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구글 파이낸스" sheetId="1" r:id="rId4"/>
    <sheet state="visible" name="네이버_1" sheetId="2" r:id="rId5"/>
    <sheet state="visible" name="네이버_2" sheetId="3" r:id="rId6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3" xfId="0" applyFont="1" applyNumberFormat="1"/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13"/>
  </cols>
  <sheetData>
    <row r="1">
      <c r="A1" s="1" t="str">
        <f>IFERROR(__xludf.DUMMYFUNCTION("GOOGLEFINANCE(""005930"",""all"",DATE(2011,1,1),TODAY())"),"Date")</f>
        <v>Date</v>
      </c>
      <c r="B1" s="1" t="str">
        <f>IFERROR(__xludf.DUMMYFUNCTION("""COMPUTED_VALUE"""),"Open")</f>
        <v>Open</v>
      </c>
      <c r="C1" s="1" t="str">
        <f>IFERROR(__xludf.DUMMYFUNCTION("""COMPUTED_VALUE"""),"High")</f>
        <v>High</v>
      </c>
      <c r="D1" s="1" t="str">
        <f>IFERROR(__xludf.DUMMYFUNCTION("""COMPUTED_VALUE"""),"Low")</f>
        <v>Low</v>
      </c>
      <c r="E1" s="1" t="str">
        <f>IFERROR(__xludf.DUMMYFUNCTION("""COMPUTED_VALUE"""),"Close")</f>
        <v>Close</v>
      </c>
      <c r="F1" s="1" t="str">
        <f>IFERROR(__xludf.DUMMYFUNCTION("""COMPUTED_VALUE"""),"Volume")</f>
        <v>Volume</v>
      </c>
    </row>
    <row r="2">
      <c r="A2" s="2">
        <f>IFERROR(__xludf.DUMMYFUNCTION("""COMPUTED_VALUE"""),40546.645833333336)</f>
        <v>40546.64583</v>
      </c>
      <c r="B2" s="1">
        <f>IFERROR(__xludf.DUMMYFUNCTION("""COMPUTED_VALUE"""),19100.0)</f>
        <v>19100</v>
      </c>
      <c r="C2" s="1">
        <f>IFERROR(__xludf.DUMMYFUNCTION("""COMPUTED_VALUE"""),19320.0)</f>
        <v>19320</v>
      </c>
      <c r="D2" s="1">
        <f>IFERROR(__xludf.DUMMYFUNCTION("""COMPUTED_VALUE"""),19000.0)</f>
        <v>19000</v>
      </c>
      <c r="E2" s="1">
        <f>IFERROR(__xludf.DUMMYFUNCTION("""COMPUTED_VALUE"""),19160.0)</f>
        <v>19160</v>
      </c>
      <c r="F2" s="1">
        <f>IFERROR(__xludf.DUMMYFUNCTION("""COMPUTED_VALUE"""),264821.0)</f>
        <v>264821</v>
      </c>
    </row>
    <row r="3">
      <c r="A3" s="2">
        <f>IFERROR(__xludf.DUMMYFUNCTION("""COMPUTED_VALUE"""),40547.645833333336)</f>
        <v>40547.64583</v>
      </c>
      <c r="B3" s="1">
        <f>IFERROR(__xludf.DUMMYFUNCTION("""COMPUTED_VALUE"""),19120.0)</f>
        <v>19120</v>
      </c>
      <c r="C3" s="1">
        <f>IFERROR(__xludf.DUMMYFUNCTION("""COMPUTED_VALUE"""),19220.0)</f>
        <v>19220</v>
      </c>
      <c r="D3" s="1">
        <f>IFERROR(__xludf.DUMMYFUNCTION("""COMPUTED_VALUE"""),18980.0)</f>
        <v>18980</v>
      </c>
      <c r="E3" s="1">
        <f>IFERROR(__xludf.DUMMYFUNCTION("""COMPUTED_VALUE"""),19160.0)</f>
        <v>19160</v>
      </c>
      <c r="F3" s="1">
        <f>IFERROR(__xludf.DUMMYFUNCTION("""COMPUTED_VALUE"""),274262.0)</f>
        <v>274262</v>
      </c>
    </row>
    <row r="4">
      <c r="A4" s="2">
        <f>IFERROR(__xludf.DUMMYFUNCTION("""COMPUTED_VALUE"""),40548.645833333336)</f>
        <v>40548.64583</v>
      </c>
      <c r="B4" s="1">
        <f>IFERROR(__xludf.DUMMYFUNCTION("""COMPUTED_VALUE"""),19100.0)</f>
        <v>19100</v>
      </c>
      <c r="C4" s="1">
        <f>IFERROR(__xludf.DUMMYFUNCTION("""COMPUTED_VALUE"""),19100.0)</f>
        <v>19100</v>
      </c>
      <c r="D4" s="1">
        <f>IFERROR(__xludf.DUMMYFUNCTION("""COMPUTED_VALUE"""),18840.0)</f>
        <v>18840</v>
      </c>
      <c r="E4" s="1">
        <f>IFERROR(__xludf.DUMMYFUNCTION("""COMPUTED_VALUE"""),18840.0)</f>
        <v>18840</v>
      </c>
      <c r="F4" s="1">
        <f>IFERROR(__xludf.DUMMYFUNCTION("""COMPUTED_VALUE"""),335750.0)</f>
        <v>335750</v>
      </c>
    </row>
    <row r="5">
      <c r="A5" s="2">
        <f>IFERROR(__xludf.DUMMYFUNCTION("""COMPUTED_VALUE"""),40549.645833333336)</f>
        <v>40549.64583</v>
      </c>
      <c r="B5" s="1">
        <f>IFERROR(__xludf.DUMMYFUNCTION("""COMPUTED_VALUE"""),18840.0)</f>
        <v>18840</v>
      </c>
      <c r="C5" s="1">
        <f>IFERROR(__xludf.DUMMYFUNCTION("""COMPUTED_VALUE"""),18980.0)</f>
        <v>18980</v>
      </c>
      <c r="D5" s="1">
        <f>IFERROR(__xludf.DUMMYFUNCTION("""COMPUTED_VALUE"""),18460.0)</f>
        <v>18460</v>
      </c>
      <c r="E5" s="1">
        <f>IFERROR(__xludf.DUMMYFUNCTION("""COMPUTED_VALUE"""),18600.0)</f>
        <v>18600</v>
      </c>
      <c r="F5" s="1">
        <f>IFERROR(__xludf.DUMMYFUNCTION("""COMPUTED_VALUE"""),387208.0)</f>
        <v>387208</v>
      </c>
    </row>
    <row r="6">
      <c r="A6" s="2">
        <f>IFERROR(__xludf.DUMMYFUNCTION("""COMPUTED_VALUE"""),40550.645833333336)</f>
        <v>40550.64583</v>
      </c>
      <c r="B6" s="1">
        <f>IFERROR(__xludf.DUMMYFUNCTION("""COMPUTED_VALUE"""),18300.0)</f>
        <v>18300</v>
      </c>
      <c r="C6" s="1">
        <f>IFERROR(__xludf.DUMMYFUNCTION("""COMPUTED_VALUE"""),18580.0)</f>
        <v>18580</v>
      </c>
      <c r="D6" s="1">
        <f>IFERROR(__xludf.DUMMYFUNCTION("""COMPUTED_VALUE"""),18280.0)</f>
        <v>18280</v>
      </c>
      <c r="E6" s="1">
        <f>IFERROR(__xludf.DUMMYFUNCTION("""COMPUTED_VALUE"""),18420.0)</f>
        <v>18420</v>
      </c>
      <c r="F6" s="1">
        <f>IFERROR(__xludf.DUMMYFUNCTION("""COMPUTED_VALUE"""),462796.0)</f>
        <v>462796</v>
      </c>
    </row>
    <row r="7">
      <c r="A7" s="2">
        <f>IFERROR(__xludf.DUMMYFUNCTION("""COMPUTED_VALUE"""),40553.645833333336)</f>
        <v>40553.64583</v>
      </c>
      <c r="B7" s="1">
        <f>IFERROR(__xludf.DUMMYFUNCTION("""COMPUTED_VALUE"""),18360.0)</f>
        <v>18360</v>
      </c>
      <c r="C7" s="1">
        <f>IFERROR(__xludf.DUMMYFUNCTION("""COMPUTED_VALUE"""),18560.0)</f>
        <v>18560</v>
      </c>
      <c r="D7" s="1">
        <f>IFERROR(__xludf.DUMMYFUNCTION("""COMPUTED_VALUE"""),18180.0)</f>
        <v>18180</v>
      </c>
      <c r="E7" s="1">
        <f>IFERROR(__xludf.DUMMYFUNCTION("""COMPUTED_VALUE"""),18340.0)</f>
        <v>18340</v>
      </c>
      <c r="F7" s="1">
        <f>IFERROR(__xludf.DUMMYFUNCTION("""COMPUTED_VALUE"""),366535.0)</f>
        <v>366535</v>
      </c>
    </row>
    <row r="8">
      <c r="A8" s="2">
        <f>IFERROR(__xludf.DUMMYFUNCTION("""COMPUTED_VALUE"""),40554.645833333336)</f>
        <v>40554.64583</v>
      </c>
      <c r="B8" s="1">
        <f>IFERROR(__xludf.DUMMYFUNCTION("""COMPUTED_VALUE"""),18340.0)</f>
        <v>18340</v>
      </c>
      <c r="C8" s="1">
        <f>IFERROR(__xludf.DUMMYFUNCTION("""COMPUTED_VALUE"""),18440.0)</f>
        <v>18440</v>
      </c>
      <c r="D8" s="1">
        <f>IFERROR(__xludf.DUMMYFUNCTION("""COMPUTED_VALUE"""),18160.0)</f>
        <v>18160</v>
      </c>
      <c r="E8" s="1">
        <f>IFERROR(__xludf.DUMMYFUNCTION("""COMPUTED_VALUE"""),18260.0)</f>
        <v>18260</v>
      </c>
      <c r="F8" s="1">
        <f>IFERROR(__xludf.DUMMYFUNCTION("""COMPUTED_VALUE"""),391016.0)</f>
        <v>391016</v>
      </c>
    </row>
    <row r="9">
      <c r="A9" s="2">
        <f>IFERROR(__xludf.DUMMYFUNCTION("""COMPUTED_VALUE"""),40555.645833333336)</f>
        <v>40555.64583</v>
      </c>
      <c r="B9" s="1">
        <f>IFERROR(__xludf.DUMMYFUNCTION("""COMPUTED_VALUE"""),18280.0)</f>
        <v>18280</v>
      </c>
      <c r="C9" s="1">
        <f>IFERROR(__xludf.DUMMYFUNCTION("""COMPUTED_VALUE"""),18660.0)</f>
        <v>18660</v>
      </c>
      <c r="D9" s="1">
        <f>IFERROR(__xludf.DUMMYFUNCTION("""COMPUTED_VALUE"""),18280.0)</f>
        <v>18280</v>
      </c>
      <c r="E9" s="1">
        <f>IFERROR(__xludf.DUMMYFUNCTION("""COMPUTED_VALUE"""),18600.0)</f>
        <v>18600</v>
      </c>
      <c r="F9" s="1">
        <f>IFERROR(__xludf.DUMMYFUNCTION("""COMPUTED_VALUE"""),411116.0)</f>
        <v>411116</v>
      </c>
    </row>
    <row r="10">
      <c r="A10" s="2">
        <f>IFERROR(__xludf.DUMMYFUNCTION("""COMPUTED_VALUE"""),40556.645833333336)</f>
        <v>40556.64583</v>
      </c>
      <c r="B10" s="1">
        <f>IFERROR(__xludf.DUMMYFUNCTION("""COMPUTED_VALUE"""),18980.0)</f>
        <v>18980</v>
      </c>
      <c r="C10" s="1">
        <f>IFERROR(__xludf.DUMMYFUNCTION("""COMPUTED_VALUE"""),18980.0)</f>
        <v>18980</v>
      </c>
      <c r="D10" s="1">
        <f>IFERROR(__xludf.DUMMYFUNCTION("""COMPUTED_VALUE"""),18340.0)</f>
        <v>18340</v>
      </c>
      <c r="E10" s="1">
        <f>IFERROR(__xludf.DUMMYFUNCTION("""COMPUTED_VALUE"""),18440.0)</f>
        <v>18440</v>
      </c>
      <c r="F10" s="1">
        <f>IFERROR(__xludf.DUMMYFUNCTION("""COMPUTED_VALUE"""),564797.0)</f>
        <v>564797</v>
      </c>
    </row>
    <row r="11">
      <c r="A11" s="2">
        <f>IFERROR(__xludf.DUMMYFUNCTION("""COMPUTED_VALUE"""),40557.645833333336)</f>
        <v>40557.64583</v>
      </c>
      <c r="B11" s="1">
        <f>IFERROR(__xludf.DUMMYFUNCTION("""COMPUTED_VALUE"""),18560.0)</f>
        <v>18560</v>
      </c>
      <c r="C11" s="1">
        <f>IFERROR(__xludf.DUMMYFUNCTION("""COMPUTED_VALUE"""),18680.0)</f>
        <v>18680</v>
      </c>
      <c r="D11" s="1">
        <f>IFERROR(__xludf.DUMMYFUNCTION("""COMPUTED_VALUE"""),18300.0)</f>
        <v>18300</v>
      </c>
      <c r="E11" s="1">
        <f>IFERROR(__xludf.DUMMYFUNCTION("""COMPUTED_VALUE"""),18660.0)</f>
        <v>18660</v>
      </c>
      <c r="F11" s="1">
        <f>IFERROR(__xludf.DUMMYFUNCTION("""COMPUTED_VALUE"""),307647.0)</f>
        <v>307647</v>
      </c>
    </row>
    <row r="12">
      <c r="A12" s="2">
        <f>IFERROR(__xludf.DUMMYFUNCTION("""COMPUTED_VALUE"""),40560.645833333336)</f>
        <v>40560.64583</v>
      </c>
      <c r="B12" s="1">
        <f>IFERROR(__xludf.DUMMYFUNCTION("""COMPUTED_VALUE"""),18900.0)</f>
        <v>18900</v>
      </c>
      <c r="C12" s="1">
        <f>IFERROR(__xludf.DUMMYFUNCTION("""COMPUTED_VALUE"""),19020.0)</f>
        <v>19020</v>
      </c>
      <c r="D12" s="1">
        <f>IFERROR(__xludf.DUMMYFUNCTION("""COMPUTED_VALUE"""),18800.0)</f>
        <v>18800</v>
      </c>
      <c r="E12" s="1">
        <f>IFERROR(__xludf.DUMMYFUNCTION("""COMPUTED_VALUE"""),18980.0)</f>
        <v>18980</v>
      </c>
      <c r="F12" s="1">
        <f>IFERROR(__xludf.DUMMYFUNCTION("""COMPUTED_VALUE"""),411642.0)</f>
        <v>411642</v>
      </c>
    </row>
    <row r="13">
      <c r="A13" s="2">
        <f>IFERROR(__xludf.DUMMYFUNCTION("""COMPUTED_VALUE"""),40561.645833333336)</f>
        <v>40561.64583</v>
      </c>
      <c r="B13" s="1">
        <f>IFERROR(__xludf.DUMMYFUNCTION("""COMPUTED_VALUE"""),19000.0)</f>
        <v>19000</v>
      </c>
      <c r="C13" s="1">
        <f>IFERROR(__xludf.DUMMYFUNCTION("""COMPUTED_VALUE"""),19620.0)</f>
        <v>19620</v>
      </c>
      <c r="D13" s="1">
        <f>IFERROR(__xludf.DUMMYFUNCTION("""COMPUTED_VALUE"""),18980.0)</f>
        <v>18980</v>
      </c>
      <c r="E13" s="1">
        <f>IFERROR(__xludf.DUMMYFUNCTION("""COMPUTED_VALUE"""),19380.0)</f>
        <v>19380</v>
      </c>
      <c r="F13" s="1">
        <f>IFERROR(__xludf.DUMMYFUNCTION("""COMPUTED_VALUE"""),592627.0)</f>
        <v>592627</v>
      </c>
    </row>
    <row r="14">
      <c r="A14" s="2">
        <f>IFERROR(__xludf.DUMMYFUNCTION("""COMPUTED_VALUE"""),40562.645833333336)</f>
        <v>40562.64583</v>
      </c>
      <c r="B14" s="1">
        <f>IFERROR(__xludf.DUMMYFUNCTION("""COMPUTED_VALUE"""),19580.0)</f>
        <v>19580</v>
      </c>
      <c r="C14" s="1">
        <f>IFERROR(__xludf.DUMMYFUNCTION("""COMPUTED_VALUE"""),20000.0)</f>
        <v>20000</v>
      </c>
      <c r="D14" s="1">
        <f>IFERROR(__xludf.DUMMYFUNCTION("""COMPUTED_VALUE"""),19320.0)</f>
        <v>19320</v>
      </c>
      <c r="E14" s="1">
        <f>IFERROR(__xludf.DUMMYFUNCTION("""COMPUTED_VALUE"""),19940.0)</f>
        <v>19940</v>
      </c>
      <c r="F14" s="1">
        <f>IFERROR(__xludf.DUMMYFUNCTION("""COMPUTED_VALUE"""),666864.0)</f>
        <v>666864</v>
      </c>
    </row>
    <row r="15">
      <c r="A15" s="2">
        <f>IFERROR(__xludf.DUMMYFUNCTION("""COMPUTED_VALUE"""),40563.645833333336)</f>
        <v>40563.64583</v>
      </c>
      <c r="B15" s="1">
        <f>IFERROR(__xludf.DUMMYFUNCTION("""COMPUTED_VALUE"""),19740.0)</f>
        <v>19740</v>
      </c>
      <c r="C15" s="1">
        <f>IFERROR(__xludf.DUMMYFUNCTION("""COMPUTED_VALUE"""),19800.0)</f>
        <v>19800</v>
      </c>
      <c r="D15" s="1">
        <f>IFERROR(__xludf.DUMMYFUNCTION("""COMPUTED_VALUE"""),19580.0)</f>
        <v>19580</v>
      </c>
      <c r="E15" s="1">
        <f>IFERROR(__xludf.DUMMYFUNCTION("""COMPUTED_VALUE"""),19640.0)</f>
        <v>19640</v>
      </c>
      <c r="F15" s="1">
        <f>IFERROR(__xludf.DUMMYFUNCTION("""COMPUTED_VALUE"""),304888.0)</f>
        <v>304888</v>
      </c>
    </row>
    <row r="16">
      <c r="A16" s="2">
        <f>IFERROR(__xludf.DUMMYFUNCTION("""COMPUTED_VALUE"""),40564.645833333336)</f>
        <v>40564.64583</v>
      </c>
      <c r="B16" s="1">
        <f>IFERROR(__xludf.DUMMYFUNCTION("""COMPUTED_VALUE"""),19520.0)</f>
        <v>19520</v>
      </c>
      <c r="C16" s="1">
        <f>IFERROR(__xludf.DUMMYFUNCTION("""COMPUTED_VALUE"""),19680.0)</f>
        <v>19680</v>
      </c>
      <c r="D16" s="1">
        <f>IFERROR(__xludf.DUMMYFUNCTION("""COMPUTED_VALUE"""),19400.0)</f>
        <v>19400</v>
      </c>
      <c r="E16" s="1">
        <f>IFERROR(__xludf.DUMMYFUNCTION("""COMPUTED_VALUE"""),19420.0)</f>
        <v>19420</v>
      </c>
      <c r="F16" s="1">
        <f>IFERROR(__xludf.DUMMYFUNCTION("""COMPUTED_VALUE"""),333328.0)</f>
        <v>333328</v>
      </c>
    </row>
    <row r="17">
      <c r="A17" s="2">
        <f>IFERROR(__xludf.DUMMYFUNCTION("""COMPUTED_VALUE"""),40567.645833333336)</f>
        <v>40567.64583</v>
      </c>
      <c r="B17" s="1">
        <f>IFERROR(__xludf.DUMMYFUNCTION("""COMPUTED_VALUE"""),19360.0)</f>
        <v>19360</v>
      </c>
      <c r="C17" s="1">
        <f>IFERROR(__xludf.DUMMYFUNCTION("""COMPUTED_VALUE"""),19660.0)</f>
        <v>19660</v>
      </c>
      <c r="D17" s="1">
        <f>IFERROR(__xludf.DUMMYFUNCTION("""COMPUTED_VALUE"""),19320.0)</f>
        <v>19320</v>
      </c>
      <c r="E17" s="1">
        <f>IFERROR(__xludf.DUMMYFUNCTION("""COMPUTED_VALUE"""),19420.0)</f>
        <v>19420</v>
      </c>
      <c r="F17" s="1">
        <f>IFERROR(__xludf.DUMMYFUNCTION("""COMPUTED_VALUE"""),272187.0)</f>
        <v>272187</v>
      </c>
    </row>
    <row r="18">
      <c r="A18" s="2">
        <f>IFERROR(__xludf.DUMMYFUNCTION("""COMPUTED_VALUE"""),40568.645833333336)</f>
        <v>40568.64583</v>
      </c>
      <c r="B18" s="1">
        <f>IFERROR(__xludf.DUMMYFUNCTION("""COMPUTED_VALUE"""),19440.0)</f>
        <v>19440</v>
      </c>
      <c r="C18" s="1">
        <f>IFERROR(__xludf.DUMMYFUNCTION("""COMPUTED_VALUE"""),19800.0)</f>
        <v>19800</v>
      </c>
      <c r="D18" s="1">
        <f>IFERROR(__xludf.DUMMYFUNCTION("""COMPUTED_VALUE"""),19420.0)</f>
        <v>19420</v>
      </c>
      <c r="E18" s="1">
        <f>IFERROR(__xludf.DUMMYFUNCTION("""COMPUTED_VALUE"""),19500.0)</f>
        <v>19500</v>
      </c>
      <c r="F18" s="1">
        <f>IFERROR(__xludf.DUMMYFUNCTION("""COMPUTED_VALUE"""),279411.0)</f>
        <v>279411</v>
      </c>
    </row>
    <row r="19">
      <c r="A19" s="2">
        <f>IFERROR(__xludf.DUMMYFUNCTION("""COMPUTED_VALUE"""),40569.645833333336)</f>
        <v>40569.64583</v>
      </c>
      <c r="B19" s="1">
        <f>IFERROR(__xludf.DUMMYFUNCTION("""COMPUTED_VALUE"""),19700.0)</f>
        <v>19700</v>
      </c>
      <c r="C19" s="1">
        <f>IFERROR(__xludf.DUMMYFUNCTION("""COMPUTED_VALUE"""),19980.0)</f>
        <v>19980</v>
      </c>
      <c r="D19" s="1">
        <f>IFERROR(__xludf.DUMMYFUNCTION("""COMPUTED_VALUE"""),19600.0)</f>
        <v>19600</v>
      </c>
      <c r="E19" s="1">
        <f>IFERROR(__xludf.DUMMYFUNCTION("""COMPUTED_VALUE"""),19960.0)</f>
        <v>19960</v>
      </c>
      <c r="F19" s="1">
        <f>IFERROR(__xludf.DUMMYFUNCTION("""COMPUTED_VALUE"""),267050.0)</f>
        <v>267050</v>
      </c>
    </row>
    <row r="20">
      <c r="A20" s="2">
        <f>IFERROR(__xludf.DUMMYFUNCTION("""COMPUTED_VALUE"""),40570.645833333336)</f>
        <v>40570.64583</v>
      </c>
      <c r="B20" s="1">
        <f>IFERROR(__xludf.DUMMYFUNCTION("""COMPUTED_VALUE"""),19900.0)</f>
        <v>19900</v>
      </c>
      <c r="C20" s="1">
        <f>IFERROR(__xludf.DUMMYFUNCTION("""COMPUTED_VALUE"""),20040.0)</f>
        <v>20040</v>
      </c>
      <c r="D20" s="1">
        <f>IFERROR(__xludf.DUMMYFUNCTION("""COMPUTED_VALUE"""),19820.0)</f>
        <v>19820</v>
      </c>
      <c r="E20" s="1">
        <f>IFERROR(__xludf.DUMMYFUNCTION("""COMPUTED_VALUE"""),19880.0)</f>
        <v>19880</v>
      </c>
      <c r="F20" s="1">
        <f>IFERROR(__xludf.DUMMYFUNCTION("""COMPUTED_VALUE"""),307340.0)</f>
        <v>307340</v>
      </c>
    </row>
    <row r="21">
      <c r="A21" s="2">
        <f>IFERROR(__xludf.DUMMYFUNCTION("""COMPUTED_VALUE"""),40571.645833333336)</f>
        <v>40571.64583</v>
      </c>
      <c r="B21" s="1">
        <f>IFERROR(__xludf.DUMMYFUNCTION("""COMPUTED_VALUE"""),19960.0)</f>
        <v>19960</v>
      </c>
      <c r="C21" s="1">
        <f>IFERROR(__xludf.DUMMYFUNCTION("""COMPUTED_VALUE"""),20280.0)</f>
        <v>20280</v>
      </c>
      <c r="D21" s="1">
        <f>IFERROR(__xludf.DUMMYFUNCTION("""COMPUTED_VALUE"""),19800.0)</f>
        <v>19800</v>
      </c>
      <c r="E21" s="1">
        <f>IFERROR(__xludf.DUMMYFUNCTION("""COMPUTED_VALUE"""),20200.0)</f>
        <v>20200</v>
      </c>
      <c r="F21" s="1">
        <f>IFERROR(__xludf.DUMMYFUNCTION("""COMPUTED_VALUE"""),382379.0)</f>
        <v>382379</v>
      </c>
    </row>
    <row r="22">
      <c r="A22" s="2">
        <f>IFERROR(__xludf.DUMMYFUNCTION("""COMPUTED_VALUE"""),40574.645833333336)</f>
        <v>40574.64583</v>
      </c>
      <c r="B22" s="1">
        <f>IFERROR(__xludf.DUMMYFUNCTION("""COMPUTED_VALUE"""),20180.0)</f>
        <v>20180</v>
      </c>
      <c r="C22" s="1">
        <f>IFERROR(__xludf.DUMMYFUNCTION("""COMPUTED_VALUE"""),20200.0)</f>
        <v>20200</v>
      </c>
      <c r="D22" s="1">
        <f>IFERROR(__xludf.DUMMYFUNCTION("""COMPUTED_VALUE"""),19620.0)</f>
        <v>19620</v>
      </c>
      <c r="E22" s="1">
        <f>IFERROR(__xludf.DUMMYFUNCTION("""COMPUTED_VALUE"""),19620.0)</f>
        <v>19620</v>
      </c>
      <c r="F22" s="1">
        <f>IFERROR(__xludf.DUMMYFUNCTION("""COMPUTED_VALUE"""),428238.0)</f>
        <v>428238</v>
      </c>
    </row>
    <row r="23">
      <c r="A23" s="2">
        <f>IFERROR(__xludf.DUMMYFUNCTION("""COMPUTED_VALUE"""),40575.645833333336)</f>
        <v>40575.64583</v>
      </c>
      <c r="B23" s="1">
        <f>IFERROR(__xludf.DUMMYFUNCTION("""COMPUTED_VALUE"""),19640.0)</f>
        <v>19640</v>
      </c>
      <c r="C23" s="1">
        <f>IFERROR(__xludf.DUMMYFUNCTION("""COMPUTED_VALUE"""),19900.0)</f>
        <v>19900</v>
      </c>
      <c r="D23" s="1">
        <f>IFERROR(__xludf.DUMMYFUNCTION("""COMPUTED_VALUE"""),19580.0)</f>
        <v>19580</v>
      </c>
      <c r="E23" s="1">
        <f>IFERROR(__xludf.DUMMYFUNCTION("""COMPUTED_VALUE"""),19660.0)</f>
        <v>19660</v>
      </c>
      <c r="F23" s="1">
        <f>IFERROR(__xludf.DUMMYFUNCTION("""COMPUTED_VALUE"""),269369.0)</f>
        <v>269369</v>
      </c>
    </row>
    <row r="24">
      <c r="A24" s="2">
        <f>IFERROR(__xludf.DUMMYFUNCTION("""COMPUTED_VALUE"""),40581.645833333336)</f>
        <v>40581.64583</v>
      </c>
      <c r="B24" s="1">
        <f>IFERROR(__xludf.DUMMYFUNCTION("""COMPUTED_VALUE"""),20040.0)</f>
        <v>20040</v>
      </c>
      <c r="C24" s="1">
        <f>IFERROR(__xludf.DUMMYFUNCTION("""COMPUTED_VALUE"""),20080.0)</f>
        <v>20080</v>
      </c>
      <c r="D24" s="1">
        <f>IFERROR(__xludf.DUMMYFUNCTION("""COMPUTED_VALUE"""),19440.0)</f>
        <v>19440</v>
      </c>
      <c r="E24" s="1">
        <f>IFERROR(__xludf.DUMMYFUNCTION("""COMPUTED_VALUE"""),19440.0)</f>
        <v>19440</v>
      </c>
      <c r="F24" s="1">
        <f>IFERROR(__xludf.DUMMYFUNCTION("""COMPUTED_VALUE"""),485044.0)</f>
        <v>485044</v>
      </c>
    </row>
    <row r="25">
      <c r="A25" s="2">
        <f>IFERROR(__xludf.DUMMYFUNCTION("""COMPUTED_VALUE"""),40582.645833333336)</f>
        <v>40582.64583</v>
      </c>
      <c r="B25" s="1">
        <f>IFERROR(__xludf.DUMMYFUNCTION("""COMPUTED_VALUE"""),19400.0)</f>
        <v>19400</v>
      </c>
      <c r="C25" s="1">
        <f>IFERROR(__xludf.DUMMYFUNCTION("""COMPUTED_VALUE"""),19480.0)</f>
        <v>19480</v>
      </c>
      <c r="D25" s="1">
        <f>IFERROR(__xludf.DUMMYFUNCTION("""COMPUTED_VALUE"""),19180.0)</f>
        <v>19180</v>
      </c>
      <c r="E25" s="1">
        <f>IFERROR(__xludf.DUMMYFUNCTION("""COMPUTED_VALUE"""),19220.0)</f>
        <v>19220</v>
      </c>
      <c r="F25" s="1">
        <f>IFERROR(__xludf.DUMMYFUNCTION("""COMPUTED_VALUE"""),609670.0)</f>
        <v>609670</v>
      </c>
    </row>
    <row r="26">
      <c r="A26" s="2">
        <f>IFERROR(__xludf.DUMMYFUNCTION("""COMPUTED_VALUE"""),40583.645833333336)</f>
        <v>40583.64583</v>
      </c>
      <c r="B26" s="1">
        <f>IFERROR(__xludf.DUMMYFUNCTION("""COMPUTED_VALUE"""),19460.0)</f>
        <v>19460</v>
      </c>
      <c r="C26" s="1">
        <f>IFERROR(__xludf.DUMMYFUNCTION("""COMPUTED_VALUE"""),19460.0)</f>
        <v>19460</v>
      </c>
      <c r="D26" s="1">
        <f>IFERROR(__xludf.DUMMYFUNCTION("""COMPUTED_VALUE"""),19020.0)</f>
        <v>19020</v>
      </c>
      <c r="E26" s="1">
        <f>IFERROR(__xludf.DUMMYFUNCTION("""COMPUTED_VALUE"""),19200.0)</f>
        <v>19200</v>
      </c>
      <c r="F26" s="1">
        <f>IFERROR(__xludf.DUMMYFUNCTION("""COMPUTED_VALUE"""),419693.0)</f>
        <v>419693</v>
      </c>
    </row>
    <row r="27">
      <c r="A27" s="2">
        <f>IFERROR(__xludf.DUMMYFUNCTION("""COMPUTED_VALUE"""),40584.645833333336)</f>
        <v>40584.64583</v>
      </c>
      <c r="B27" s="1">
        <f>IFERROR(__xludf.DUMMYFUNCTION("""COMPUTED_VALUE"""),19200.0)</f>
        <v>19200</v>
      </c>
      <c r="C27" s="1">
        <f>IFERROR(__xludf.DUMMYFUNCTION("""COMPUTED_VALUE"""),19300.0)</f>
        <v>19300</v>
      </c>
      <c r="D27" s="1">
        <f>IFERROR(__xludf.DUMMYFUNCTION("""COMPUTED_VALUE"""),18700.0)</f>
        <v>18700</v>
      </c>
      <c r="E27" s="1">
        <f>IFERROR(__xludf.DUMMYFUNCTION("""COMPUTED_VALUE"""),18720.0)</f>
        <v>18720</v>
      </c>
      <c r="F27" s="1">
        <f>IFERROR(__xludf.DUMMYFUNCTION("""COMPUTED_VALUE"""),613386.0)</f>
        <v>613386</v>
      </c>
    </row>
    <row r="28">
      <c r="A28" s="2">
        <f>IFERROR(__xludf.DUMMYFUNCTION("""COMPUTED_VALUE"""),40585.645833333336)</f>
        <v>40585.64583</v>
      </c>
      <c r="B28" s="1">
        <f>IFERROR(__xludf.DUMMYFUNCTION("""COMPUTED_VALUE"""),18700.0)</f>
        <v>18700</v>
      </c>
      <c r="C28" s="1">
        <f>IFERROR(__xludf.DUMMYFUNCTION("""COMPUTED_VALUE"""),18860.0)</f>
        <v>18860</v>
      </c>
      <c r="D28" s="1">
        <f>IFERROR(__xludf.DUMMYFUNCTION("""COMPUTED_VALUE"""),18260.0)</f>
        <v>18260</v>
      </c>
      <c r="E28" s="1">
        <f>IFERROR(__xludf.DUMMYFUNCTION("""COMPUTED_VALUE"""),18300.0)</f>
        <v>18300</v>
      </c>
      <c r="F28" s="1">
        <f>IFERROR(__xludf.DUMMYFUNCTION("""COMPUTED_VALUE"""),529798.0)</f>
        <v>529798</v>
      </c>
    </row>
    <row r="29">
      <c r="A29" s="2">
        <f>IFERROR(__xludf.DUMMYFUNCTION("""COMPUTED_VALUE"""),40588.645833333336)</f>
        <v>40588.64583</v>
      </c>
      <c r="B29" s="1">
        <f>IFERROR(__xludf.DUMMYFUNCTION("""COMPUTED_VALUE"""),18560.0)</f>
        <v>18560</v>
      </c>
      <c r="C29" s="1">
        <f>IFERROR(__xludf.DUMMYFUNCTION("""COMPUTED_VALUE"""),19100.0)</f>
        <v>19100</v>
      </c>
      <c r="D29" s="1">
        <f>IFERROR(__xludf.DUMMYFUNCTION("""COMPUTED_VALUE"""),18500.0)</f>
        <v>18500</v>
      </c>
      <c r="E29" s="1">
        <f>IFERROR(__xludf.DUMMYFUNCTION("""COMPUTED_VALUE"""),19060.0)</f>
        <v>19060</v>
      </c>
      <c r="F29" s="1">
        <f>IFERROR(__xludf.DUMMYFUNCTION("""COMPUTED_VALUE"""),391316.0)</f>
        <v>391316</v>
      </c>
    </row>
    <row r="30">
      <c r="A30" s="2">
        <f>IFERROR(__xludf.DUMMYFUNCTION("""COMPUTED_VALUE"""),40589.645833333336)</f>
        <v>40589.64583</v>
      </c>
      <c r="B30" s="1">
        <f>IFERROR(__xludf.DUMMYFUNCTION("""COMPUTED_VALUE"""),19260.0)</f>
        <v>19260</v>
      </c>
      <c r="C30" s="1">
        <f>IFERROR(__xludf.DUMMYFUNCTION("""COMPUTED_VALUE"""),19400.0)</f>
        <v>19400</v>
      </c>
      <c r="D30" s="1">
        <f>IFERROR(__xludf.DUMMYFUNCTION("""COMPUTED_VALUE"""),18940.0)</f>
        <v>18940</v>
      </c>
      <c r="E30" s="1">
        <f>IFERROR(__xludf.DUMMYFUNCTION("""COMPUTED_VALUE"""),19160.0)</f>
        <v>19160</v>
      </c>
      <c r="F30" s="1">
        <f>IFERROR(__xludf.DUMMYFUNCTION("""COMPUTED_VALUE"""),362116.0)</f>
        <v>362116</v>
      </c>
    </row>
    <row r="31">
      <c r="A31" s="2">
        <f>IFERROR(__xludf.DUMMYFUNCTION("""COMPUTED_VALUE"""),40590.645833333336)</f>
        <v>40590.64583</v>
      </c>
      <c r="B31" s="1">
        <f>IFERROR(__xludf.DUMMYFUNCTION("""COMPUTED_VALUE"""),19040.0)</f>
        <v>19040</v>
      </c>
      <c r="C31" s="1">
        <f>IFERROR(__xludf.DUMMYFUNCTION("""COMPUTED_VALUE"""),19400.0)</f>
        <v>19400</v>
      </c>
      <c r="D31" s="1">
        <f>IFERROR(__xludf.DUMMYFUNCTION("""COMPUTED_VALUE"""),18900.0)</f>
        <v>18900</v>
      </c>
      <c r="E31" s="1">
        <f>IFERROR(__xludf.DUMMYFUNCTION("""COMPUTED_VALUE"""),18900.0)</f>
        <v>18900</v>
      </c>
      <c r="F31" s="1">
        <f>IFERROR(__xludf.DUMMYFUNCTION("""COMPUTED_VALUE"""),303653.0)</f>
        <v>303653</v>
      </c>
    </row>
    <row r="32">
      <c r="A32" s="2">
        <f>IFERROR(__xludf.DUMMYFUNCTION("""COMPUTED_VALUE"""),40591.645833333336)</f>
        <v>40591.64583</v>
      </c>
      <c r="B32" s="1">
        <f>IFERROR(__xludf.DUMMYFUNCTION("""COMPUTED_VALUE"""),19060.0)</f>
        <v>19060</v>
      </c>
      <c r="C32" s="1">
        <f>IFERROR(__xludf.DUMMYFUNCTION("""COMPUTED_VALUE"""),19260.0)</f>
        <v>19260</v>
      </c>
      <c r="D32" s="1">
        <f>IFERROR(__xludf.DUMMYFUNCTION("""COMPUTED_VALUE"""),18860.0)</f>
        <v>18860</v>
      </c>
      <c r="E32" s="1">
        <f>IFERROR(__xludf.DUMMYFUNCTION("""COMPUTED_VALUE"""),19080.0)</f>
        <v>19080</v>
      </c>
      <c r="F32" s="1">
        <f>IFERROR(__xludf.DUMMYFUNCTION("""COMPUTED_VALUE"""),286971.0)</f>
        <v>286971</v>
      </c>
    </row>
    <row r="33">
      <c r="A33" s="2">
        <f>IFERROR(__xludf.DUMMYFUNCTION("""COMPUTED_VALUE"""),40592.645833333336)</f>
        <v>40592.64583</v>
      </c>
      <c r="B33" s="1">
        <f>IFERROR(__xludf.DUMMYFUNCTION("""COMPUTED_VALUE"""),19300.0)</f>
        <v>19300</v>
      </c>
      <c r="C33" s="1">
        <f>IFERROR(__xludf.DUMMYFUNCTION("""COMPUTED_VALUE"""),19320.0)</f>
        <v>19320</v>
      </c>
      <c r="D33" s="1">
        <f>IFERROR(__xludf.DUMMYFUNCTION("""COMPUTED_VALUE"""),19140.0)</f>
        <v>19140</v>
      </c>
      <c r="E33" s="1">
        <f>IFERROR(__xludf.DUMMYFUNCTION("""COMPUTED_VALUE"""),19200.0)</f>
        <v>19200</v>
      </c>
      <c r="F33" s="1">
        <f>IFERROR(__xludf.DUMMYFUNCTION("""COMPUTED_VALUE"""),205077.0)</f>
        <v>205077</v>
      </c>
    </row>
    <row r="34">
      <c r="A34" s="2">
        <f>IFERROR(__xludf.DUMMYFUNCTION("""COMPUTED_VALUE"""),40595.645833333336)</f>
        <v>40595.64583</v>
      </c>
      <c r="B34" s="1">
        <f>IFERROR(__xludf.DUMMYFUNCTION("""COMPUTED_VALUE"""),19280.0)</f>
        <v>19280</v>
      </c>
      <c r="C34" s="1">
        <f>IFERROR(__xludf.DUMMYFUNCTION("""COMPUTED_VALUE"""),19300.0)</f>
        <v>19300</v>
      </c>
      <c r="D34" s="1">
        <f>IFERROR(__xludf.DUMMYFUNCTION("""COMPUTED_VALUE"""),18840.0)</f>
        <v>18840</v>
      </c>
      <c r="E34" s="1">
        <f>IFERROR(__xludf.DUMMYFUNCTION("""COMPUTED_VALUE"""),18960.0)</f>
        <v>18960</v>
      </c>
      <c r="F34" s="1">
        <f>IFERROR(__xludf.DUMMYFUNCTION("""COMPUTED_VALUE"""),275017.0)</f>
        <v>275017</v>
      </c>
    </row>
    <row r="35">
      <c r="A35" s="2">
        <f>IFERROR(__xludf.DUMMYFUNCTION("""COMPUTED_VALUE"""),40596.645833333336)</f>
        <v>40596.64583</v>
      </c>
      <c r="B35" s="1">
        <f>IFERROR(__xludf.DUMMYFUNCTION("""COMPUTED_VALUE"""),18780.0)</f>
        <v>18780</v>
      </c>
      <c r="C35" s="1">
        <f>IFERROR(__xludf.DUMMYFUNCTION("""COMPUTED_VALUE"""),18960.0)</f>
        <v>18960</v>
      </c>
      <c r="D35" s="1">
        <f>IFERROR(__xludf.DUMMYFUNCTION("""COMPUTED_VALUE"""),18680.0)</f>
        <v>18680</v>
      </c>
      <c r="E35" s="1">
        <f>IFERROR(__xludf.DUMMYFUNCTION("""COMPUTED_VALUE"""),18760.0)</f>
        <v>18760</v>
      </c>
      <c r="F35" s="1">
        <f>IFERROR(__xludf.DUMMYFUNCTION("""COMPUTED_VALUE"""),243631.0)</f>
        <v>243631</v>
      </c>
    </row>
    <row r="36">
      <c r="A36" s="2">
        <f>IFERROR(__xludf.DUMMYFUNCTION("""COMPUTED_VALUE"""),40597.645833333336)</f>
        <v>40597.64583</v>
      </c>
      <c r="B36" s="1">
        <f>IFERROR(__xludf.DUMMYFUNCTION("""COMPUTED_VALUE"""),18500.0)</f>
        <v>18500</v>
      </c>
      <c r="C36" s="1">
        <f>IFERROR(__xludf.DUMMYFUNCTION("""COMPUTED_VALUE"""),18820.0)</f>
        <v>18820</v>
      </c>
      <c r="D36" s="1">
        <f>IFERROR(__xludf.DUMMYFUNCTION("""COMPUTED_VALUE"""),18500.0)</f>
        <v>18500</v>
      </c>
      <c r="E36" s="1">
        <f>IFERROR(__xludf.DUMMYFUNCTION("""COMPUTED_VALUE"""),18600.0)</f>
        <v>18600</v>
      </c>
      <c r="F36" s="1">
        <f>IFERROR(__xludf.DUMMYFUNCTION("""COMPUTED_VALUE"""),343860.0)</f>
        <v>343860</v>
      </c>
    </row>
    <row r="37">
      <c r="A37" s="2">
        <f>IFERROR(__xludf.DUMMYFUNCTION("""COMPUTED_VALUE"""),40598.645833333336)</f>
        <v>40598.64583</v>
      </c>
      <c r="B37" s="1">
        <f>IFERROR(__xludf.DUMMYFUNCTION("""COMPUTED_VALUE"""),18520.0)</f>
        <v>18520</v>
      </c>
      <c r="C37" s="1">
        <f>IFERROR(__xludf.DUMMYFUNCTION("""COMPUTED_VALUE"""),18680.0)</f>
        <v>18680</v>
      </c>
      <c r="D37" s="1">
        <f>IFERROR(__xludf.DUMMYFUNCTION("""COMPUTED_VALUE"""),18400.0)</f>
        <v>18400</v>
      </c>
      <c r="E37" s="1">
        <f>IFERROR(__xludf.DUMMYFUNCTION("""COMPUTED_VALUE"""),18580.0)</f>
        <v>18580</v>
      </c>
      <c r="F37" s="1">
        <f>IFERROR(__xludf.DUMMYFUNCTION("""COMPUTED_VALUE"""),362218.0)</f>
        <v>362218</v>
      </c>
    </row>
    <row r="38">
      <c r="A38" s="2">
        <f>IFERROR(__xludf.DUMMYFUNCTION("""COMPUTED_VALUE"""),40599.645833333336)</f>
        <v>40599.64583</v>
      </c>
      <c r="B38" s="1">
        <f>IFERROR(__xludf.DUMMYFUNCTION("""COMPUTED_VALUE"""),18560.0)</f>
        <v>18560</v>
      </c>
      <c r="C38" s="1">
        <f>IFERROR(__xludf.DUMMYFUNCTION("""COMPUTED_VALUE"""),18660.0)</f>
        <v>18660</v>
      </c>
      <c r="D38" s="1">
        <f>IFERROR(__xludf.DUMMYFUNCTION("""COMPUTED_VALUE"""),18460.0)</f>
        <v>18460</v>
      </c>
      <c r="E38" s="1">
        <f>IFERROR(__xludf.DUMMYFUNCTION("""COMPUTED_VALUE"""),18520.0)</f>
        <v>18520</v>
      </c>
      <c r="F38" s="1">
        <f>IFERROR(__xludf.DUMMYFUNCTION("""COMPUTED_VALUE"""),303624.0)</f>
        <v>303624</v>
      </c>
    </row>
    <row r="39">
      <c r="A39" s="2">
        <f>IFERROR(__xludf.DUMMYFUNCTION("""COMPUTED_VALUE"""),40602.645833333336)</f>
        <v>40602.64583</v>
      </c>
      <c r="B39" s="1">
        <f>IFERROR(__xludf.DUMMYFUNCTION("""COMPUTED_VALUE"""),18400.0)</f>
        <v>18400</v>
      </c>
      <c r="C39" s="1">
        <f>IFERROR(__xludf.DUMMYFUNCTION("""COMPUTED_VALUE"""),18680.0)</f>
        <v>18680</v>
      </c>
      <c r="D39" s="1">
        <f>IFERROR(__xludf.DUMMYFUNCTION("""COMPUTED_VALUE"""),18400.0)</f>
        <v>18400</v>
      </c>
      <c r="E39" s="1">
        <f>IFERROR(__xludf.DUMMYFUNCTION("""COMPUTED_VALUE"""),18460.0)</f>
        <v>18460</v>
      </c>
      <c r="F39" s="1">
        <f>IFERROR(__xludf.DUMMYFUNCTION("""COMPUTED_VALUE"""),325496.0)</f>
        <v>325496</v>
      </c>
    </row>
    <row r="40">
      <c r="A40" s="2">
        <f>IFERROR(__xludf.DUMMYFUNCTION("""COMPUTED_VALUE"""),40604.645833333336)</f>
        <v>40604.64583</v>
      </c>
      <c r="B40" s="1">
        <f>IFERROR(__xludf.DUMMYFUNCTION("""COMPUTED_VALUE"""),18280.0)</f>
        <v>18280</v>
      </c>
      <c r="C40" s="1">
        <f>IFERROR(__xludf.DUMMYFUNCTION("""COMPUTED_VALUE"""),18460.0)</f>
        <v>18460</v>
      </c>
      <c r="D40" s="1">
        <f>IFERROR(__xludf.DUMMYFUNCTION("""COMPUTED_VALUE"""),18240.0)</f>
        <v>18240</v>
      </c>
      <c r="E40" s="1">
        <f>IFERROR(__xludf.DUMMYFUNCTION("""COMPUTED_VALUE"""),18360.0)</f>
        <v>18360</v>
      </c>
      <c r="F40" s="1">
        <f>IFERROR(__xludf.DUMMYFUNCTION("""COMPUTED_VALUE"""),322686.0)</f>
        <v>322686</v>
      </c>
    </row>
    <row r="41">
      <c r="A41" s="2">
        <f>IFERROR(__xludf.DUMMYFUNCTION("""COMPUTED_VALUE"""),40605.645833333336)</f>
        <v>40605.64583</v>
      </c>
      <c r="B41" s="1">
        <f>IFERROR(__xludf.DUMMYFUNCTION("""COMPUTED_VALUE"""),18380.0)</f>
        <v>18380</v>
      </c>
      <c r="C41" s="1">
        <f>IFERROR(__xludf.DUMMYFUNCTION("""COMPUTED_VALUE"""),18540.0)</f>
        <v>18540</v>
      </c>
      <c r="D41" s="1">
        <f>IFERROR(__xludf.DUMMYFUNCTION("""COMPUTED_VALUE"""),18320.0)</f>
        <v>18320</v>
      </c>
      <c r="E41" s="1">
        <f>IFERROR(__xludf.DUMMYFUNCTION("""COMPUTED_VALUE"""),18460.0)</f>
        <v>18460</v>
      </c>
      <c r="F41" s="1">
        <f>IFERROR(__xludf.DUMMYFUNCTION("""COMPUTED_VALUE"""),361484.0)</f>
        <v>361484</v>
      </c>
    </row>
    <row r="42">
      <c r="A42" s="2">
        <f>IFERROR(__xludf.DUMMYFUNCTION("""COMPUTED_VALUE"""),40606.645833333336)</f>
        <v>40606.64583</v>
      </c>
      <c r="B42" s="1">
        <f>IFERROR(__xludf.DUMMYFUNCTION("""COMPUTED_VALUE"""),18680.0)</f>
        <v>18680</v>
      </c>
      <c r="C42" s="1">
        <f>IFERROR(__xludf.DUMMYFUNCTION("""COMPUTED_VALUE"""),18900.0)</f>
        <v>18900</v>
      </c>
      <c r="D42" s="1">
        <f>IFERROR(__xludf.DUMMYFUNCTION("""COMPUTED_VALUE"""),18540.0)</f>
        <v>18540</v>
      </c>
      <c r="E42" s="1">
        <f>IFERROR(__xludf.DUMMYFUNCTION("""COMPUTED_VALUE"""),18900.0)</f>
        <v>18900</v>
      </c>
      <c r="F42" s="1">
        <f>IFERROR(__xludf.DUMMYFUNCTION("""COMPUTED_VALUE"""),371383.0)</f>
        <v>371383</v>
      </c>
    </row>
    <row r="43">
      <c r="A43" s="2">
        <f>IFERROR(__xludf.DUMMYFUNCTION("""COMPUTED_VALUE"""),40609.645833333336)</f>
        <v>40609.64583</v>
      </c>
      <c r="B43" s="1">
        <f>IFERROR(__xludf.DUMMYFUNCTION("""COMPUTED_VALUE"""),18860.0)</f>
        <v>18860</v>
      </c>
      <c r="C43" s="1">
        <f>IFERROR(__xludf.DUMMYFUNCTION("""COMPUTED_VALUE"""),18860.0)</f>
        <v>18860</v>
      </c>
      <c r="D43" s="1">
        <f>IFERROR(__xludf.DUMMYFUNCTION("""COMPUTED_VALUE"""),18120.0)</f>
        <v>18120</v>
      </c>
      <c r="E43" s="1">
        <f>IFERROR(__xludf.DUMMYFUNCTION("""COMPUTED_VALUE"""),18120.0)</f>
        <v>18120</v>
      </c>
      <c r="F43" s="1">
        <f>IFERROR(__xludf.DUMMYFUNCTION("""COMPUTED_VALUE"""),637672.0)</f>
        <v>637672</v>
      </c>
    </row>
    <row r="44">
      <c r="A44" s="2">
        <f>IFERROR(__xludf.DUMMYFUNCTION("""COMPUTED_VALUE"""),40610.645833333336)</f>
        <v>40610.64583</v>
      </c>
      <c r="B44" s="1">
        <f>IFERROR(__xludf.DUMMYFUNCTION("""COMPUTED_VALUE"""),18220.0)</f>
        <v>18220</v>
      </c>
      <c r="C44" s="1">
        <f>IFERROR(__xludf.DUMMYFUNCTION("""COMPUTED_VALUE"""),18240.0)</f>
        <v>18240</v>
      </c>
      <c r="D44" s="1">
        <f>IFERROR(__xludf.DUMMYFUNCTION("""COMPUTED_VALUE"""),17880.0)</f>
        <v>17880</v>
      </c>
      <c r="E44" s="1">
        <f>IFERROR(__xludf.DUMMYFUNCTION("""COMPUTED_VALUE"""),17980.0)</f>
        <v>17980</v>
      </c>
      <c r="F44" s="1">
        <f>IFERROR(__xludf.DUMMYFUNCTION("""COMPUTED_VALUE"""),498108.0)</f>
        <v>498108</v>
      </c>
    </row>
    <row r="45">
      <c r="A45" s="2">
        <f>IFERROR(__xludf.DUMMYFUNCTION("""COMPUTED_VALUE"""),40611.645833333336)</f>
        <v>40611.64583</v>
      </c>
      <c r="B45" s="1">
        <f>IFERROR(__xludf.DUMMYFUNCTION("""COMPUTED_VALUE"""),18120.0)</f>
        <v>18120</v>
      </c>
      <c r="C45" s="1">
        <f>IFERROR(__xludf.DUMMYFUNCTION("""COMPUTED_VALUE"""),18160.0)</f>
        <v>18160</v>
      </c>
      <c r="D45" s="1">
        <f>IFERROR(__xludf.DUMMYFUNCTION("""COMPUTED_VALUE"""),17640.0)</f>
        <v>17640</v>
      </c>
      <c r="E45" s="1">
        <f>IFERROR(__xludf.DUMMYFUNCTION("""COMPUTED_VALUE"""),17800.0)</f>
        <v>17800</v>
      </c>
      <c r="F45" s="1">
        <f>IFERROR(__xludf.DUMMYFUNCTION("""COMPUTED_VALUE"""),525926.0)</f>
        <v>525926</v>
      </c>
    </row>
    <row r="46">
      <c r="A46" s="2">
        <f>IFERROR(__xludf.DUMMYFUNCTION("""COMPUTED_VALUE"""),40612.645833333336)</f>
        <v>40612.64583</v>
      </c>
      <c r="B46" s="1">
        <f>IFERROR(__xludf.DUMMYFUNCTION("""COMPUTED_VALUE"""),17580.0)</f>
        <v>17580</v>
      </c>
      <c r="C46" s="1">
        <f>IFERROR(__xludf.DUMMYFUNCTION("""COMPUTED_VALUE"""),17680.0)</f>
        <v>17680</v>
      </c>
      <c r="D46" s="1">
        <f>IFERROR(__xludf.DUMMYFUNCTION("""COMPUTED_VALUE"""),17320.0)</f>
        <v>17320</v>
      </c>
      <c r="E46" s="1">
        <f>IFERROR(__xludf.DUMMYFUNCTION("""COMPUTED_VALUE"""),17320.0)</f>
        <v>17320</v>
      </c>
      <c r="F46" s="1">
        <f>IFERROR(__xludf.DUMMYFUNCTION("""COMPUTED_VALUE"""),832604.0)</f>
        <v>832604</v>
      </c>
    </row>
    <row r="47">
      <c r="A47" s="2">
        <f>IFERROR(__xludf.DUMMYFUNCTION("""COMPUTED_VALUE"""),40613.645833333336)</f>
        <v>40613.64583</v>
      </c>
      <c r="B47" s="1">
        <f>IFERROR(__xludf.DUMMYFUNCTION("""COMPUTED_VALUE"""),17220.0)</f>
        <v>17220</v>
      </c>
      <c r="C47" s="1">
        <f>IFERROR(__xludf.DUMMYFUNCTION("""COMPUTED_VALUE"""),17520.0)</f>
        <v>17520</v>
      </c>
      <c r="D47" s="1">
        <f>IFERROR(__xludf.DUMMYFUNCTION("""COMPUTED_VALUE"""),17200.0)</f>
        <v>17200</v>
      </c>
      <c r="E47" s="1">
        <f>IFERROR(__xludf.DUMMYFUNCTION("""COMPUTED_VALUE"""),17240.0)</f>
        <v>17240</v>
      </c>
      <c r="F47" s="1">
        <f>IFERROR(__xludf.DUMMYFUNCTION("""COMPUTED_VALUE"""),537680.0)</f>
        <v>537680</v>
      </c>
    </row>
    <row r="48">
      <c r="A48" s="2">
        <f>IFERROR(__xludf.DUMMYFUNCTION("""COMPUTED_VALUE"""),40616.645833333336)</f>
        <v>40616.64583</v>
      </c>
      <c r="B48" s="1">
        <f>IFERROR(__xludf.DUMMYFUNCTION("""COMPUTED_VALUE"""),17600.0)</f>
        <v>17600</v>
      </c>
      <c r="C48" s="1">
        <f>IFERROR(__xludf.DUMMYFUNCTION("""COMPUTED_VALUE"""),18020.0)</f>
        <v>18020</v>
      </c>
      <c r="D48" s="1">
        <f>IFERROR(__xludf.DUMMYFUNCTION("""COMPUTED_VALUE"""),17060.0)</f>
        <v>17060</v>
      </c>
      <c r="E48" s="1">
        <f>IFERROR(__xludf.DUMMYFUNCTION("""COMPUTED_VALUE"""),18000.0)</f>
        <v>18000</v>
      </c>
      <c r="F48" s="1">
        <f>IFERROR(__xludf.DUMMYFUNCTION("""COMPUTED_VALUE"""),666500.0)</f>
        <v>666500</v>
      </c>
    </row>
    <row r="49">
      <c r="A49" s="2">
        <f>IFERROR(__xludf.DUMMYFUNCTION("""COMPUTED_VALUE"""),40617.645833333336)</f>
        <v>40617.64583</v>
      </c>
      <c r="B49" s="1">
        <f>IFERROR(__xludf.DUMMYFUNCTION("""COMPUTED_VALUE"""),18020.0)</f>
        <v>18020</v>
      </c>
      <c r="C49" s="1">
        <f>IFERROR(__xludf.DUMMYFUNCTION("""COMPUTED_VALUE"""),18040.0)</f>
        <v>18040</v>
      </c>
      <c r="D49" s="1">
        <f>IFERROR(__xludf.DUMMYFUNCTION("""COMPUTED_VALUE"""),17120.0)</f>
        <v>17120</v>
      </c>
      <c r="E49" s="1">
        <f>IFERROR(__xludf.DUMMYFUNCTION("""COMPUTED_VALUE"""),17200.0)</f>
        <v>17200</v>
      </c>
      <c r="F49" s="1">
        <f>IFERROR(__xludf.DUMMYFUNCTION("""COMPUTED_VALUE"""),726264.0)</f>
        <v>726264</v>
      </c>
    </row>
    <row r="50">
      <c r="A50" s="2">
        <f>IFERROR(__xludf.DUMMYFUNCTION("""COMPUTED_VALUE"""),40618.645833333336)</f>
        <v>40618.64583</v>
      </c>
      <c r="B50" s="1">
        <f>IFERROR(__xludf.DUMMYFUNCTION("""COMPUTED_VALUE"""),17700.0)</f>
        <v>17700</v>
      </c>
      <c r="C50" s="1">
        <f>IFERROR(__xludf.DUMMYFUNCTION("""COMPUTED_VALUE"""),17900.0)</f>
        <v>17900</v>
      </c>
      <c r="D50" s="1">
        <f>IFERROR(__xludf.DUMMYFUNCTION("""COMPUTED_VALUE"""),17440.0)</f>
        <v>17440</v>
      </c>
      <c r="E50" s="1">
        <f>IFERROR(__xludf.DUMMYFUNCTION("""COMPUTED_VALUE"""),17720.0)</f>
        <v>17720</v>
      </c>
      <c r="F50" s="1">
        <f>IFERROR(__xludf.DUMMYFUNCTION("""COMPUTED_VALUE"""),798781.0)</f>
        <v>798781</v>
      </c>
    </row>
    <row r="51">
      <c r="A51" s="2">
        <f>IFERROR(__xludf.DUMMYFUNCTION("""COMPUTED_VALUE"""),40619.645833333336)</f>
        <v>40619.64583</v>
      </c>
      <c r="B51" s="1">
        <f>IFERROR(__xludf.DUMMYFUNCTION("""COMPUTED_VALUE"""),17560.0)</f>
        <v>17560</v>
      </c>
      <c r="C51" s="1">
        <f>IFERROR(__xludf.DUMMYFUNCTION("""COMPUTED_VALUE"""),17800.0)</f>
        <v>17800</v>
      </c>
      <c r="D51" s="1">
        <f>IFERROR(__xludf.DUMMYFUNCTION("""COMPUTED_VALUE"""),17360.0)</f>
        <v>17360</v>
      </c>
      <c r="E51" s="1">
        <f>IFERROR(__xludf.DUMMYFUNCTION("""COMPUTED_VALUE"""),17800.0)</f>
        <v>17800</v>
      </c>
      <c r="F51" s="1">
        <f>IFERROR(__xludf.DUMMYFUNCTION("""COMPUTED_VALUE"""),450104.0)</f>
        <v>450104</v>
      </c>
    </row>
    <row r="52">
      <c r="A52" s="2">
        <f>IFERROR(__xludf.DUMMYFUNCTION("""COMPUTED_VALUE"""),40620.645833333336)</f>
        <v>40620.64583</v>
      </c>
      <c r="B52" s="1">
        <f>IFERROR(__xludf.DUMMYFUNCTION("""COMPUTED_VALUE"""),17840.0)</f>
        <v>17840</v>
      </c>
      <c r="C52" s="1">
        <f>IFERROR(__xludf.DUMMYFUNCTION("""COMPUTED_VALUE"""),17900.0)</f>
        <v>17900</v>
      </c>
      <c r="D52" s="1">
        <f>IFERROR(__xludf.DUMMYFUNCTION("""COMPUTED_VALUE"""),17660.0)</f>
        <v>17660</v>
      </c>
      <c r="E52" s="1">
        <f>IFERROR(__xludf.DUMMYFUNCTION("""COMPUTED_VALUE"""),17820.0)</f>
        <v>17820</v>
      </c>
      <c r="F52" s="1">
        <f>IFERROR(__xludf.DUMMYFUNCTION("""COMPUTED_VALUE"""),383321.0)</f>
        <v>383321</v>
      </c>
    </row>
    <row r="53">
      <c r="A53" s="2">
        <f>IFERROR(__xludf.DUMMYFUNCTION("""COMPUTED_VALUE"""),40623.645833333336)</f>
        <v>40623.64583</v>
      </c>
      <c r="B53" s="1">
        <f>IFERROR(__xludf.DUMMYFUNCTION("""COMPUTED_VALUE"""),17820.0)</f>
        <v>17820</v>
      </c>
      <c r="C53" s="1">
        <f>IFERROR(__xludf.DUMMYFUNCTION("""COMPUTED_VALUE"""),17980.0)</f>
        <v>17980</v>
      </c>
      <c r="D53" s="1">
        <f>IFERROR(__xludf.DUMMYFUNCTION("""COMPUTED_VALUE"""),17680.0)</f>
        <v>17680</v>
      </c>
      <c r="E53" s="1">
        <f>IFERROR(__xludf.DUMMYFUNCTION("""COMPUTED_VALUE"""),17800.0)</f>
        <v>17800</v>
      </c>
      <c r="F53" s="1">
        <f>IFERROR(__xludf.DUMMYFUNCTION("""COMPUTED_VALUE"""),289470.0)</f>
        <v>289470</v>
      </c>
    </row>
    <row r="54">
      <c r="A54" s="2">
        <f>IFERROR(__xludf.DUMMYFUNCTION("""COMPUTED_VALUE"""),40624.645833333336)</f>
        <v>40624.64583</v>
      </c>
      <c r="B54" s="1">
        <f>IFERROR(__xludf.DUMMYFUNCTION("""COMPUTED_VALUE"""),17840.0)</f>
        <v>17840</v>
      </c>
      <c r="C54" s="1">
        <f>IFERROR(__xludf.DUMMYFUNCTION("""COMPUTED_VALUE"""),17940.0)</f>
        <v>17940</v>
      </c>
      <c r="D54" s="1">
        <f>IFERROR(__xludf.DUMMYFUNCTION("""COMPUTED_VALUE"""),17400.0)</f>
        <v>17400</v>
      </c>
      <c r="E54" s="1">
        <f>IFERROR(__xludf.DUMMYFUNCTION("""COMPUTED_VALUE"""),17500.0)</f>
        <v>17500</v>
      </c>
      <c r="F54" s="1">
        <f>IFERROR(__xludf.DUMMYFUNCTION("""COMPUTED_VALUE"""),436206.0)</f>
        <v>436206</v>
      </c>
    </row>
    <row r="55">
      <c r="A55" s="2">
        <f>IFERROR(__xludf.DUMMYFUNCTION("""COMPUTED_VALUE"""),40625.645833333336)</f>
        <v>40625.64583</v>
      </c>
      <c r="B55" s="1">
        <f>IFERROR(__xludf.DUMMYFUNCTION("""COMPUTED_VALUE"""),17600.0)</f>
        <v>17600</v>
      </c>
      <c r="C55" s="1">
        <f>IFERROR(__xludf.DUMMYFUNCTION("""COMPUTED_VALUE"""),17600.0)</f>
        <v>17600</v>
      </c>
      <c r="D55" s="1">
        <f>IFERROR(__xludf.DUMMYFUNCTION("""COMPUTED_VALUE"""),17180.0)</f>
        <v>17180</v>
      </c>
      <c r="E55" s="1">
        <f>IFERROR(__xludf.DUMMYFUNCTION("""COMPUTED_VALUE"""),17460.0)</f>
        <v>17460</v>
      </c>
      <c r="F55" s="1">
        <f>IFERROR(__xludf.DUMMYFUNCTION("""COMPUTED_VALUE"""),504580.0)</f>
        <v>504580</v>
      </c>
    </row>
    <row r="56">
      <c r="A56" s="2">
        <f>IFERROR(__xludf.DUMMYFUNCTION("""COMPUTED_VALUE"""),40626.645833333336)</f>
        <v>40626.64583</v>
      </c>
      <c r="B56" s="1">
        <f>IFERROR(__xludf.DUMMYFUNCTION("""COMPUTED_VALUE"""),17600.0)</f>
        <v>17600</v>
      </c>
      <c r="C56" s="1">
        <f>IFERROR(__xludf.DUMMYFUNCTION("""COMPUTED_VALUE"""),17760.0)</f>
        <v>17760</v>
      </c>
      <c r="D56" s="1">
        <f>IFERROR(__xludf.DUMMYFUNCTION("""COMPUTED_VALUE"""),17480.0)</f>
        <v>17480</v>
      </c>
      <c r="E56" s="1">
        <f>IFERROR(__xludf.DUMMYFUNCTION("""COMPUTED_VALUE"""),17600.0)</f>
        <v>17600</v>
      </c>
      <c r="F56" s="1">
        <f>IFERROR(__xludf.DUMMYFUNCTION("""COMPUTED_VALUE"""),307851.0)</f>
        <v>307851</v>
      </c>
    </row>
    <row r="57">
      <c r="A57" s="2">
        <f>IFERROR(__xludf.DUMMYFUNCTION("""COMPUTED_VALUE"""),40627.645833333336)</f>
        <v>40627.64583</v>
      </c>
      <c r="B57" s="1">
        <f>IFERROR(__xludf.DUMMYFUNCTION("""COMPUTED_VALUE"""),17840.0)</f>
        <v>17840</v>
      </c>
      <c r="C57" s="1">
        <f>IFERROR(__xludf.DUMMYFUNCTION("""COMPUTED_VALUE"""),18200.0)</f>
        <v>18200</v>
      </c>
      <c r="D57" s="1">
        <f>IFERROR(__xludf.DUMMYFUNCTION("""COMPUTED_VALUE"""),17800.0)</f>
        <v>17800</v>
      </c>
      <c r="E57" s="1">
        <f>IFERROR(__xludf.DUMMYFUNCTION("""COMPUTED_VALUE"""),18200.0)</f>
        <v>18200</v>
      </c>
      <c r="F57" s="1">
        <f>IFERROR(__xludf.DUMMYFUNCTION("""COMPUTED_VALUE"""),621562.0)</f>
        <v>621562</v>
      </c>
    </row>
    <row r="58">
      <c r="A58" s="2">
        <f>IFERROR(__xludf.DUMMYFUNCTION("""COMPUTED_VALUE"""),40630.645833333336)</f>
        <v>40630.64583</v>
      </c>
      <c r="B58" s="1">
        <f>IFERROR(__xludf.DUMMYFUNCTION("""COMPUTED_VALUE"""),18300.0)</f>
        <v>18300</v>
      </c>
      <c r="C58" s="1">
        <f>IFERROR(__xludf.DUMMYFUNCTION("""COMPUTED_VALUE"""),18440.0)</f>
        <v>18440</v>
      </c>
      <c r="D58" s="1">
        <f>IFERROR(__xludf.DUMMYFUNCTION("""COMPUTED_VALUE"""),18180.0)</f>
        <v>18180</v>
      </c>
      <c r="E58" s="1">
        <f>IFERROR(__xludf.DUMMYFUNCTION("""COMPUTED_VALUE"""),18320.0)</f>
        <v>18320</v>
      </c>
      <c r="F58" s="1">
        <f>IFERROR(__xludf.DUMMYFUNCTION("""COMPUTED_VALUE"""),317804.0)</f>
        <v>317804</v>
      </c>
    </row>
    <row r="59">
      <c r="A59" s="2">
        <f>IFERROR(__xludf.DUMMYFUNCTION("""COMPUTED_VALUE"""),40631.645833333336)</f>
        <v>40631.64583</v>
      </c>
      <c r="B59" s="1">
        <f>IFERROR(__xludf.DUMMYFUNCTION("""COMPUTED_VALUE"""),18140.0)</f>
        <v>18140</v>
      </c>
      <c r="C59" s="1">
        <f>IFERROR(__xludf.DUMMYFUNCTION("""COMPUTED_VALUE"""),18320.0)</f>
        <v>18320</v>
      </c>
      <c r="D59" s="1">
        <f>IFERROR(__xludf.DUMMYFUNCTION("""COMPUTED_VALUE"""),18000.0)</f>
        <v>18000</v>
      </c>
      <c r="E59" s="1">
        <f>IFERROR(__xludf.DUMMYFUNCTION("""COMPUTED_VALUE"""),18320.0)</f>
        <v>18320</v>
      </c>
      <c r="F59" s="1">
        <f>IFERROR(__xludf.DUMMYFUNCTION("""COMPUTED_VALUE"""),344082.0)</f>
        <v>344082</v>
      </c>
    </row>
    <row r="60">
      <c r="A60" s="2">
        <f>IFERROR(__xludf.DUMMYFUNCTION("""COMPUTED_VALUE"""),40632.645833333336)</f>
        <v>40632.64583</v>
      </c>
      <c r="B60" s="1">
        <f>IFERROR(__xludf.DUMMYFUNCTION("""COMPUTED_VALUE"""),18320.0)</f>
        <v>18320</v>
      </c>
      <c r="C60" s="1">
        <f>IFERROR(__xludf.DUMMYFUNCTION("""COMPUTED_VALUE"""),18580.0)</f>
        <v>18580</v>
      </c>
      <c r="D60" s="1">
        <f>IFERROR(__xludf.DUMMYFUNCTION("""COMPUTED_VALUE"""),18320.0)</f>
        <v>18320</v>
      </c>
      <c r="E60" s="1">
        <f>IFERROR(__xludf.DUMMYFUNCTION("""COMPUTED_VALUE"""),18520.0)</f>
        <v>18520</v>
      </c>
      <c r="F60" s="1">
        <f>IFERROR(__xludf.DUMMYFUNCTION("""COMPUTED_VALUE"""),413703.0)</f>
        <v>413703</v>
      </c>
    </row>
    <row r="61">
      <c r="A61" s="2">
        <f>IFERROR(__xludf.DUMMYFUNCTION("""COMPUTED_VALUE"""),40633.645833333336)</f>
        <v>40633.64583</v>
      </c>
      <c r="B61" s="1">
        <f>IFERROR(__xludf.DUMMYFUNCTION("""COMPUTED_VALUE"""),18720.0)</f>
        <v>18720</v>
      </c>
      <c r="C61" s="1">
        <f>IFERROR(__xludf.DUMMYFUNCTION("""COMPUTED_VALUE"""),18720.0)</f>
        <v>18720</v>
      </c>
      <c r="D61" s="1">
        <f>IFERROR(__xludf.DUMMYFUNCTION("""COMPUTED_VALUE"""),18420.0)</f>
        <v>18420</v>
      </c>
      <c r="E61" s="1">
        <f>IFERROR(__xludf.DUMMYFUNCTION("""COMPUTED_VALUE"""),18640.0)</f>
        <v>18640</v>
      </c>
      <c r="F61" s="1">
        <f>IFERROR(__xludf.DUMMYFUNCTION("""COMPUTED_VALUE"""),527531.0)</f>
        <v>527531</v>
      </c>
    </row>
    <row r="62">
      <c r="A62" s="2">
        <f>IFERROR(__xludf.DUMMYFUNCTION("""COMPUTED_VALUE"""),40634.645833333336)</f>
        <v>40634.64583</v>
      </c>
      <c r="B62" s="1">
        <f>IFERROR(__xludf.DUMMYFUNCTION("""COMPUTED_VALUE"""),18720.0)</f>
        <v>18720</v>
      </c>
      <c r="C62" s="1">
        <f>IFERROR(__xludf.DUMMYFUNCTION("""COMPUTED_VALUE"""),18800.0)</f>
        <v>18800</v>
      </c>
      <c r="D62" s="1">
        <f>IFERROR(__xludf.DUMMYFUNCTION("""COMPUTED_VALUE"""),18540.0)</f>
        <v>18540</v>
      </c>
      <c r="E62" s="1">
        <f>IFERROR(__xludf.DUMMYFUNCTION("""COMPUTED_VALUE"""),18800.0)</f>
        <v>18800</v>
      </c>
      <c r="F62" s="1">
        <f>IFERROR(__xludf.DUMMYFUNCTION("""COMPUTED_VALUE"""),449434.0)</f>
        <v>449434</v>
      </c>
    </row>
    <row r="63">
      <c r="A63" s="2">
        <f>IFERROR(__xludf.DUMMYFUNCTION("""COMPUTED_VALUE"""),40637.645833333336)</f>
        <v>40637.64583</v>
      </c>
      <c r="B63" s="1">
        <f>IFERROR(__xludf.DUMMYFUNCTION("""COMPUTED_VALUE"""),18800.0)</f>
        <v>18800</v>
      </c>
      <c r="C63" s="1">
        <f>IFERROR(__xludf.DUMMYFUNCTION("""COMPUTED_VALUE"""),18900.0)</f>
        <v>18900</v>
      </c>
      <c r="D63" s="1">
        <f>IFERROR(__xludf.DUMMYFUNCTION("""COMPUTED_VALUE"""),18780.0)</f>
        <v>18780</v>
      </c>
      <c r="E63" s="1">
        <f>IFERROR(__xludf.DUMMYFUNCTION("""COMPUTED_VALUE"""),18900.0)</f>
        <v>18900</v>
      </c>
      <c r="F63" s="1">
        <f>IFERROR(__xludf.DUMMYFUNCTION("""COMPUTED_VALUE"""),334335.0)</f>
        <v>334335</v>
      </c>
    </row>
    <row r="64">
      <c r="A64" s="2">
        <f>IFERROR(__xludf.DUMMYFUNCTION("""COMPUTED_VALUE"""),40638.645833333336)</f>
        <v>40638.64583</v>
      </c>
      <c r="B64" s="1">
        <f>IFERROR(__xludf.DUMMYFUNCTION("""COMPUTED_VALUE"""),18960.0)</f>
        <v>18960</v>
      </c>
      <c r="C64" s="1">
        <f>IFERROR(__xludf.DUMMYFUNCTION("""COMPUTED_VALUE"""),18960.0)</f>
        <v>18960</v>
      </c>
      <c r="D64" s="1">
        <f>IFERROR(__xludf.DUMMYFUNCTION("""COMPUTED_VALUE"""),18700.0)</f>
        <v>18700</v>
      </c>
      <c r="E64" s="1">
        <f>IFERROR(__xludf.DUMMYFUNCTION("""COMPUTED_VALUE"""),18900.0)</f>
        <v>18900</v>
      </c>
      <c r="F64" s="1">
        <f>IFERROR(__xludf.DUMMYFUNCTION("""COMPUTED_VALUE"""),238440.0)</f>
        <v>238440</v>
      </c>
    </row>
    <row r="65">
      <c r="A65" s="2">
        <f>IFERROR(__xludf.DUMMYFUNCTION("""COMPUTED_VALUE"""),40639.645833333336)</f>
        <v>40639.64583</v>
      </c>
      <c r="B65" s="1">
        <f>IFERROR(__xludf.DUMMYFUNCTION("""COMPUTED_VALUE"""),18800.0)</f>
        <v>18800</v>
      </c>
      <c r="C65" s="1">
        <f>IFERROR(__xludf.DUMMYFUNCTION("""COMPUTED_VALUE"""),18840.0)</f>
        <v>18840</v>
      </c>
      <c r="D65" s="1">
        <f>IFERROR(__xludf.DUMMYFUNCTION("""COMPUTED_VALUE"""),18300.0)</f>
        <v>18300</v>
      </c>
      <c r="E65" s="1">
        <f>IFERROR(__xludf.DUMMYFUNCTION("""COMPUTED_VALUE"""),18460.0)</f>
        <v>18460</v>
      </c>
      <c r="F65" s="1">
        <f>IFERROR(__xludf.DUMMYFUNCTION("""COMPUTED_VALUE"""),549437.0)</f>
        <v>549437</v>
      </c>
    </row>
    <row r="66">
      <c r="A66" s="2">
        <f>IFERROR(__xludf.DUMMYFUNCTION("""COMPUTED_VALUE"""),40640.645833333336)</f>
        <v>40640.64583</v>
      </c>
      <c r="B66" s="1">
        <f>IFERROR(__xludf.DUMMYFUNCTION("""COMPUTED_VALUE"""),18500.0)</f>
        <v>18500</v>
      </c>
      <c r="C66" s="1">
        <f>IFERROR(__xludf.DUMMYFUNCTION("""COMPUTED_VALUE"""),18700.0)</f>
        <v>18700</v>
      </c>
      <c r="D66" s="1">
        <f>IFERROR(__xludf.DUMMYFUNCTION("""COMPUTED_VALUE"""),18100.0)</f>
        <v>18100</v>
      </c>
      <c r="E66" s="1">
        <f>IFERROR(__xludf.DUMMYFUNCTION("""COMPUTED_VALUE"""),18180.0)</f>
        <v>18180</v>
      </c>
      <c r="F66" s="1">
        <f>IFERROR(__xludf.DUMMYFUNCTION("""COMPUTED_VALUE"""),435625.0)</f>
        <v>435625</v>
      </c>
    </row>
    <row r="67">
      <c r="A67" s="2">
        <f>IFERROR(__xludf.DUMMYFUNCTION("""COMPUTED_VALUE"""),40641.645833333336)</f>
        <v>40641.64583</v>
      </c>
      <c r="B67" s="1">
        <f>IFERROR(__xludf.DUMMYFUNCTION("""COMPUTED_VALUE"""),18220.0)</f>
        <v>18220</v>
      </c>
      <c r="C67" s="1">
        <f>IFERROR(__xludf.DUMMYFUNCTION("""COMPUTED_VALUE"""),18280.0)</f>
        <v>18280</v>
      </c>
      <c r="D67" s="1">
        <f>IFERROR(__xludf.DUMMYFUNCTION("""COMPUTED_VALUE"""),17900.0)</f>
        <v>17900</v>
      </c>
      <c r="E67" s="1">
        <f>IFERROR(__xludf.DUMMYFUNCTION("""COMPUTED_VALUE"""),17960.0)</f>
        <v>17960</v>
      </c>
      <c r="F67" s="1">
        <f>IFERROR(__xludf.DUMMYFUNCTION("""COMPUTED_VALUE"""),519669.0)</f>
        <v>519669</v>
      </c>
    </row>
    <row r="68">
      <c r="A68" s="2">
        <f>IFERROR(__xludf.DUMMYFUNCTION("""COMPUTED_VALUE"""),40644.645833333336)</f>
        <v>40644.64583</v>
      </c>
      <c r="B68" s="1">
        <f>IFERROR(__xludf.DUMMYFUNCTION("""COMPUTED_VALUE"""),17960.0)</f>
        <v>17960</v>
      </c>
      <c r="C68" s="1">
        <f>IFERROR(__xludf.DUMMYFUNCTION("""COMPUTED_VALUE"""),18140.0)</f>
        <v>18140</v>
      </c>
      <c r="D68" s="1">
        <f>IFERROR(__xludf.DUMMYFUNCTION("""COMPUTED_VALUE"""),17760.0)</f>
        <v>17760</v>
      </c>
      <c r="E68" s="1">
        <f>IFERROR(__xludf.DUMMYFUNCTION("""COMPUTED_VALUE"""),17880.0)</f>
        <v>17880</v>
      </c>
      <c r="F68" s="1">
        <f>IFERROR(__xludf.DUMMYFUNCTION("""COMPUTED_VALUE"""),411656.0)</f>
        <v>411656</v>
      </c>
    </row>
    <row r="69">
      <c r="A69" s="2">
        <f>IFERROR(__xludf.DUMMYFUNCTION("""COMPUTED_VALUE"""),40645.645833333336)</f>
        <v>40645.64583</v>
      </c>
      <c r="B69" s="1">
        <f>IFERROR(__xludf.DUMMYFUNCTION("""COMPUTED_VALUE"""),17720.0)</f>
        <v>17720</v>
      </c>
      <c r="C69" s="1">
        <f>IFERROR(__xludf.DUMMYFUNCTION("""COMPUTED_VALUE"""),17800.0)</f>
        <v>17800</v>
      </c>
      <c r="D69" s="1">
        <f>IFERROR(__xludf.DUMMYFUNCTION("""COMPUTED_VALUE"""),17640.0)</f>
        <v>17640</v>
      </c>
      <c r="E69" s="1">
        <f>IFERROR(__xludf.DUMMYFUNCTION("""COMPUTED_VALUE"""),17640.0)</f>
        <v>17640</v>
      </c>
      <c r="F69" s="1">
        <f>IFERROR(__xludf.DUMMYFUNCTION("""COMPUTED_VALUE"""),315339.0)</f>
        <v>315339</v>
      </c>
    </row>
    <row r="70">
      <c r="A70" s="2">
        <f>IFERROR(__xludf.DUMMYFUNCTION("""COMPUTED_VALUE"""),40646.645833333336)</f>
        <v>40646.64583</v>
      </c>
      <c r="B70" s="1">
        <f>IFERROR(__xludf.DUMMYFUNCTION("""COMPUTED_VALUE"""),17740.0)</f>
        <v>17740</v>
      </c>
      <c r="C70" s="1">
        <f>IFERROR(__xludf.DUMMYFUNCTION("""COMPUTED_VALUE"""),18020.0)</f>
        <v>18020</v>
      </c>
      <c r="D70" s="1">
        <f>IFERROR(__xludf.DUMMYFUNCTION("""COMPUTED_VALUE"""),17600.0)</f>
        <v>17600</v>
      </c>
      <c r="E70" s="1">
        <f>IFERROR(__xludf.DUMMYFUNCTION("""COMPUTED_VALUE"""),18020.0)</f>
        <v>18020</v>
      </c>
      <c r="F70" s="1">
        <f>IFERROR(__xludf.DUMMYFUNCTION("""COMPUTED_VALUE"""),332555.0)</f>
        <v>332555</v>
      </c>
    </row>
    <row r="71">
      <c r="A71" s="2">
        <f>IFERROR(__xludf.DUMMYFUNCTION("""COMPUTED_VALUE"""),40647.645833333336)</f>
        <v>40647.64583</v>
      </c>
      <c r="B71" s="1">
        <f>IFERROR(__xludf.DUMMYFUNCTION("""COMPUTED_VALUE"""),18000.0)</f>
        <v>18000</v>
      </c>
      <c r="C71" s="1">
        <f>IFERROR(__xludf.DUMMYFUNCTION("""COMPUTED_VALUE"""),18000.0)</f>
        <v>18000</v>
      </c>
      <c r="D71" s="1">
        <f>IFERROR(__xludf.DUMMYFUNCTION("""COMPUTED_VALUE"""),17680.0)</f>
        <v>17680</v>
      </c>
      <c r="E71" s="1">
        <f>IFERROR(__xludf.DUMMYFUNCTION("""COMPUTED_VALUE"""),18000.0)</f>
        <v>18000</v>
      </c>
      <c r="F71" s="1">
        <f>IFERROR(__xludf.DUMMYFUNCTION("""COMPUTED_VALUE"""),505314.0)</f>
        <v>505314</v>
      </c>
    </row>
    <row r="72">
      <c r="A72" s="2">
        <f>IFERROR(__xludf.DUMMYFUNCTION("""COMPUTED_VALUE"""),40648.645833333336)</f>
        <v>40648.64583</v>
      </c>
      <c r="B72" s="1">
        <f>IFERROR(__xludf.DUMMYFUNCTION("""COMPUTED_VALUE"""),17960.0)</f>
        <v>17960</v>
      </c>
      <c r="C72" s="1">
        <f>IFERROR(__xludf.DUMMYFUNCTION("""COMPUTED_VALUE"""),17980.0)</f>
        <v>17980</v>
      </c>
      <c r="D72" s="1">
        <f>IFERROR(__xludf.DUMMYFUNCTION("""COMPUTED_VALUE"""),17640.0)</f>
        <v>17640</v>
      </c>
      <c r="E72" s="1">
        <f>IFERROR(__xludf.DUMMYFUNCTION("""COMPUTED_VALUE"""),17760.0)</f>
        <v>17760</v>
      </c>
      <c r="F72" s="1">
        <f>IFERROR(__xludf.DUMMYFUNCTION("""COMPUTED_VALUE"""),445495.0)</f>
        <v>445495</v>
      </c>
    </row>
    <row r="73">
      <c r="A73" s="2">
        <f>IFERROR(__xludf.DUMMYFUNCTION("""COMPUTED_VALUE"""),40651.645833333336)</f>
        <v>40651.64583</v>
      </c>
      <c r="B73" s="1">
        <f>IFERROR(__xludf.DUMMYFUNCTION("""COMPUTED_VALUE"""),17820.0)</f>
        <v>17820</v>
      </c>
      <c r="C73" s="1">
        <f>IFERROR(__xludf.DUMMYFUNCTION("""COMPUTED_VALUE"""),17840.0)</f>
        <v>17840</v>
      </c>
      <c r="D73" s="1">
        <f>IFERROR(__xludf.DUMMYFUNCTION("""COMPUTED_VALUE"""),17320.0)</f>
        <v>17320</v>
      </c>
      <c r="E73" s="1">
        <f>IFERROR(__xludf.DUMMYFUNCTION("""COMPUTED_VALUE"""),17340.0)</f>
        <v>17340</v>
      </c>
      <c r="F73" s="1">
        <f>IFERROR(__xludf.DUMMYFUNCTION("""COMPUTED_VALUE"""),548374.0)</f>
        <v>548374</v>
      </c>
    </row>
    <row r="74">
      <c r="A74" s="2">
        <f>IFERROR(__xludf.DUMMYFUNCTION("""COMPUTED_VALUE"""),40652.645833333336)</f>
        <v>40652.64583</v>
      </c>
      <c r="B74" s="1">
        <f>IFERROR(__xludf.DUMMYFUNCTION("""COMPUTED_VALUE"""),17060.0)</f>
        <v>17060</v>
      </c>
      <c r="C74" s="1">
        <f>IFERROR(__xludf.DUMMYFUNCTION("""COMPUTED_VALUE"""),17500.0)</f>
        <v>17500</v>
      </c>
      <c r="D74" s="1">
        <f>IFERROR(__xludf.DUMMYFUNCTION("""COMPUTED_VALUE"""),17060.0)</f>
        <v>17060</v>
      </c>
      <c r="E74" s="1">
        <f>IFERROR(__xludf.DUMMYFUNCTION("""COMPUTED_VALUE"""),17500.0)</f>
        <v>17500</v>
      </c>
      <c r="F74" s="1">
        <f>IFERROR(__xludf.DUMMYFUNCTION("""COMPUTED_VALUE"""),461573.0)</f>
        <v>461573</v>
      </c>
    </row>
    <row r="75">
      <c r="A75" s="2">
        <f>IFERROR(__xludf.DUMMYFUNCTION("""COMPUTED_VALUE"""),40653.645833333336)</f>
        <v>40653.64583</v>
      </c>
      <c r="B75" s="1">
        <f>IFERROR(__xludf.DUMMYFUNCTION("""COMPUTED_VALUE"""),17780.0)</f>
        <v>17780</v>
      </c>
      <c r="C75" s="1">
        <f>IFERROR(__xludf.DUMMYFUNCTION("""COMPUTED_VALUE"""),18320.0)</f>
        <v>18320</v>
      </c>
      <c r="D75" s="1">
        <f>IFERROR(__xludf.DUMMYFUNCTION("""COMPUTED_VALUE"""),17720.0)</f>
        <v>17720</v>
      </c>
      <c r="E75" s="1">
        <f>IFERROR(__xludf.DUMMYFUNCTION("""COMPUTED_VALUE"""),18320.0)</f>
        <v>18320</v>
      </c>
      <c r="F75" s="1">
        <f>IFERROR(__xludf.DUMMYFUNCTION("""COMPUTED_VALUE"""),640885.0)</f>
        <v>640885</v>
      </c>
    </row>
    <row r="76">
      <c r="A76" s="2">
        <f>IFERROR(__xludf.DUMMYFUNCTION("""COMPUTED_VALUE"""),40654.645833333336)</f>
        <v>40654.64583</v>
      </c>
      <c r="B76" s="1">
        <f>IFERROR(__xludf.DUMMYFUNCTION("""COMPUTED_VALUE"""),18600.0)</f>
        <v>18600</v>
      </c>
      <c r="C76" s="1">
        <f>IFERROR(__xludf.DUMMYFUNCTION("""COMPUTED_VALUE"""),18740.0)</f>
        <v>18740</v>
      </c>
      <c r="D76" s="1">
        <f>IFERROR(__xludf.DUMMYFUNCTION("""COMPUTED_VALUE"""),18360.0)</f>
        <v>18360</v>
      </c>
      <c r="E76" s="1">
        <f>IFERROR(__xludf.DUMMYFUNCTION("""COMPUTED_VALUE"""),18560.0)</f>
        <v>18560</v>
      </c>
      <c r="F76" s="1">
        <f>IFERROR(__xludf.DUMMYFUNCTION("""COMPUTED_VALUE"""),541437.0)</f>
        <v>541437</v>
      </c>
    </row>
    <row r="77">
      <c r="A77" s="2">
        <f>IFERROR(__xludf.DUMMYFUNCTION("""COMPUTED_VALUE"""),40655.645833333336)</f>
        <v>40655.64583</v>
      </c>
      <c r="B77" s="1">
        <f>IFERROR(__xludf.DUMMYFUNCTION("""COMPUTED_VALUE"""),18480.0)</f>
        <v>18480</v>
      </c>
      <c r="C77" s="1">
        <f>IFERROR(__xludf.DUMMYFUNCTION("""COMPUTED_VALUE"""),18540.0)</f>
        <v>18540</v>
      </c>
      <c r="D77" s="1">
        <f>IFERROR(__xludf.DUMMYFUNCTION("""COMPUTED_VALUE"""),18040.0)</f>
        <v>18040</v>
      </c>
      <c r="E77" s="1">
        <f>IFERROR(__xludf.DUMMYFUNCTION("""COMPUTED_VALUE"""),18080.0)</f>
        <v>18080</v>
      </c>
      <c r="F77" s="1">
        <f>IFERROR(__xludf.DUMMYFUNCTION("""COMPUTED_VALUE"""),376509.0)</f>
        <v>376509</v>
      </c>
    </row>
    <row r="78">
      <c r="A78" s="2">
        <f>IFERROR(__xludf.DUMMYFUNCTION("""COMPUTED_VALUE"""),40658.645833333336)</f>
        <v>40658.64583</v>
      </c>
      <c r="B78" s="1">
        <f>IFERROR(__xludf.DUMMYFUNCTION("""COMPUTED_VALUE"""),18020.0)</f>
        <v>18020</v>
      </c>
      <c r="C78" s="1">
        <f>IFERROR(__xludf.DUMMYFUNCTION("""COMPUTED_VALUE"""),18220.0)</f>
        <v>18220</v>
      </c>
      <c r="D78" s="1">
        <f>IFERROR(__xludf.DUMMYFUNCTION("""COMPUTED_VALUE"""),17780.0)</f>
        <v>17780</v>
      </c>
      <c r="E78" s="1">
        <f>IFERROR(__xludf.DUMMYFUNCTION("""COMPUTED_VALUE"""),17780.0)</f>
        <v>17780</v>
      </c>
      <c r="F78" s="1">
        <f>IFERROR(__xludf.DUMMYFUNCTION("""COMPUTED_VALUE"""),286779.0)</f>
        <v>286779</v>
      </c>
    </row>
    <row r="79">
      <c r="A79" s="2">
        <f>IFERROR(__xludf.DUMMYFUNCTION("""COMPUTED_VALUE"""),40659.645833333336)</f>
        <v>40659.64583</v>
      </c>
      <c r="B79" s="1">
        <f>IFERROR(__xludf.DUMMYFUNCTION("""COMPUTED_VALUE"""),17980.0)</f>
        <v>17980</v>
      </c>
      <c r="C79" s="1">
        <f>IFERROR(__xludf.DUMMYFUNCTION("""COMPUTED_VALUE"""),17980.0)</f>
        <v>17980</v>
      </c>
      <c r="D79" s="1">
        <f>IFERROR(__xludf.DUMMYFUNCTION("""COMPUTED_VALUE"""),17600.0)</f>
        <v>17600</v>
      </c>
      <c r="E79" s="1">
        <f>IFERROR(__xludf.DUMMYFUNCTION("""COMPUTED_VALUE"""),17940.0)</f>
        <v>17940</v>
      </c>
      <c r="F79" s="1">
        <f>IFERROR(__xludf.DUMMYFUNCTION("""COMPUTED_VALUE"""),383493.0)</f>
        <v>383493</v>
      </c>
    </row>
    <row r="80">
      <c r="A80" s="2">
        <f>IFERROR(__xludf.DUMMYFUNCTION("""COMPUTED_VALUE"""),40660.645833333336)</f>
        <v>40660.64583</v>
      </c>
      <c r="B80" s="1">
        <f>IFERROR(__xludf.DUMMYFUNCTION("""COMPUTED_VALUE"""),18340.0)</f>
        <v>18340</v>
      </c>
      <c r="C80" s="1">
        <f>IFERROR(__xludf.DUMMYFUNCTION("""COMPUTED_VALUE"""),18540.0)</f>
        <v>18540</v>
      </c>
      <c r="D80" s="1">
        <f>IFERROR(__xludf.DUMMYFUNCTION("""COMPUTED_VALUE"""),18220.0)</f>
        <v>18220</v>
      </c>
      <c r="E80" s="1">
        <f>IFERROR(__xludf.DUMMYFUNCTION("""COMPUTED_VALUE"""),18480.0)</f>
        <v>18480</v>
      </c>
      <c r="F80" s="1">
        <f>IFERROR(__xludf.DUMMYFUNCTION("""COMPUTED_VALUE"""),527588.0)</f>
        <v>527588</v>
      </c>
    </row>
    <row r="81">
      <c r="A81" s="2">
        <f>IFERROR(__xludf.DUMMYFUNCTION("""COMPUTED_VALUE"""),40661.645833333336)</f>
        <v>40661.64583</v>
      </c>
      <c r="B81" s="1">
        <f>IFERROR(__xludf.DUMMYFUNCTION("""COMPUTED_VALUE"""),18480.0)</f>
        <v>18480</v>
      </c>
      <c r="C81" s="1">
        <f>IFERROR(__xludf.DUMMYFUNCTION("""COMPUTED_VALUE"""),18540.0)</f>
        <v>18540</v>
      </c>
      <c r="D81" s="1">
        <f>IFERROR(__xludf.DUMMYFUNCTION("""COMPUTED_VALUE"""),17980.0)</f>
        <v>17980</v>
      </c>
      <c r="E81" s="1">
        <f>IFERROR(__xludf.DUMMYFUNCTION("""COMPUTED_VALUE"""),18000.0)</f>
        <v>18000</v>
      </c>
      <c r="F81" s="1">
        <f>IFERROR(__xludf.DUMMYFUNCTION("""COMPUTED_VALUE"""),416068.0)</f>
        <v>416068</v>
      </c>
    </row>
    <row r="82">
      <c r="A82" s="2">
        <f>IFERROR(__xludf.DUMMYFUNCTION("""COMPUTED_VALUE"""),40662.645833333336)</f>
        <v>40662.64583</v>
      </c>
      <c r="B82" s="1">
        <f>IFERROR(__xludf.DUMMYFUNCTION("""COMPUTED_VALUE"""),18020.0)</f>
        <v>18020</v>
      </c>
      <c r="C82" s="1">
        <f>IFERROR(__xludf.DUMMYFUNCTION("""COMPUTED_VALUE"""),18160.0)</f>
        <v>18160</v>
      </c>
      <c r="D82" s="1">
        <f>IFERROR(__xludf.DUMMYFUNCTION("""COMPUTED_VALUE"""),17600.0)</f>
        <v>17600</v>
      </c>
      <c r="E82" s="1">
        <f>IFERROR(__xludf.DUMMYFUNCTION("""COMPUTED_VALUE"""),17860.0)</f>
        <v>17860</v>
      </c>
      <c r="F82" s="1">
        <f>IFERROR(__xludf.DUMMYFUNCTION("""COMPUTED_VALUE"""),428300.0)</f>
        <v>428300</v>
      </c>
    </row>
    <row r="83">
      <c r="A83" s="2">
        <f>IFERROR(__xludf.DUMMYFUNCTION("""COMPUTED_VALUE"""),40665.645833333336)</f>
        <v>40665.64583</v>
      </c>
      <c r="B83" s="1">
        <f>IFERROR(__xludf.DUMMYFUNCTION("""COMPUTED_VALUE"""),18200.0)</f>
        <v>18200</v>
      </c>
      <c r="C83" s="1">
        <f>IFERROR(__xludf.DUMMYFUNCTION("""COMPUTED_VALUE"""),18740.0)</f>
        <v>18740</v>
      </c>
      <c r="D83" s="1">
        <f>IFERROR(__xludf.DUMMYFUNCTION("""COMPUTED_VALUE"""),18080.0)</f>
        <v>18080</v>
      </c>
      <c r="E83" s="1">
        <f>IFERROR(__xludf.DUMMYFUNCTION("""COMPUTED_VALUE"""),18640.0)</f>
        <v>18640</v>
      </c>
      <c r="F83" s="1">
        <f>IFERROR(__xludf.DUMMYFUNCTION("""COMPUTED_VALUE"""),650897.0)</f>
        <v>650897</v>
      </c>
    </row>
    <row r="84">
      <c r="A84" s="2">
        <f>IFERROR(__xludf.DUMMYFUNCTION("""COMPUTED_VALUE"""),40666.645833333336)</f>
        <v>40666.64583</v>
      </c>
      <c r="B84" s="1">
        <f>IFERROR(__xludf.DUMMYFUNCTION("""COMPUTED_VALUE"""),18720.0)</f>
        <v>18720</v>
      </c>
      <c r="C84" s="1">
        <f>IFERROR(__xludf.DUMMYFUNCTION("""COMPUTED_VALUE"""),18800.0)</f>
        <v>18800</v>
      </c>
      <c r="D84" s="1">
        <f>IFERROR(__xludf.DUMMYFUNCTION("""COMPUTED_VALUE"""),18440.0)</f>
        <v>18440</v>
      </c>
      <c r="E84" s="1">
        <f>IFERROR(__xludf.DUMMYFUNCTION("""COMPUTED_VALUE"""),18760.0)</f>
        <v>18760</v>
      </c>
      <c r="F84" s="1">
        <f>IFERROR(__xludf.DUMMYFUNCTION("""COMPUTED_VALUE"""),507330.0)</f>
        <v>507330</v>
      </c>
    </row>
    <row r="85">
      <c r="A85" s="2">
        <f>IFERROR(__xludf.DUMMYFUNCTION("""COMPUTED_VALUE"""),40667.645833333336)</f>
        <v>40667.64583</v>
      </c>
      <c r="B85" s="1">
        <f>IFERROR(__xludf.DUMMYFUNCTION("""COMPUTED_VALUE"""),18600.0)</f>
        <v>18600</v>
      </c>
      <c r="C85" s="1">
        <f>IFERROR(__xludf.DUMMYFUNCTION("""COMPUTED_VALUE"""),18680.0)</f>
        <v>18680</v>
      </c>
      <c r="D85" s="1">
        <f>IFERROR(__xludf.DUMMYFUNCTION("""COMPUTED_VALUE"""),18000.0)</f>
        <v>18000</v>
      </c>
      <c r="E85" s="1">
        <f>IFERROR(__xludf.DUMMYFUNCTION("""COMPUTED_VALUE"""),18300.0)</f>
        <v>18300</v>
      </c>
      <c r="F85" s="1">
        <f>IFERROR(__xludf.DUMMYFUNCTION("""COMPUTED_VALUE"""),515397.0)</f>
        <v>515397</v>
      </c>
    </row>
    <row r="86">
      <c r="A86" s="2">
        <f>IFERROR(__xludf.DUMMYFUNCTION("""COMPUTED_VALUE"""),40669.645833333336)</f>
        <v>40669.64583</v>
      </c>
      <c r="B86" s="1">
        <f>IFERROR(__xludf.DUMMYFUNCTION("""COMPUTED_VALUE"""),17980.0)</f>
        <v>17980</v>
      </c>
      <c r="C86" s="1">
        <f>IFERROR(__xludf.DUMMYFUNCTION("""COMPUTED_VALUE"""),18280.0)</f>
        <v>18280</v>
      </c>
      <c r="D86" s="1">
        <f>IFERROR(__xludf.DUMMYFUNCTION("""COMPUTED_VALUE"""),17900.0)</f>
        <v>17900</v>
      </c>
      <c r="E86" s="1">
        <f>IFERROR(__xludf.DUMMYFUNCTION("""COMPUTED_VALUE"""),17980.0)</f>
        <v>17980</v>
      </c>
      <c r="F86" s="1">
        <f>IFERROR(__xludf.DUMMYFUNCTION("""COMPUTED_VALUE"""),472749.0)</f>
        <v>472749</v>
      </c>
    </row>
    <row r="87">
      <c r="A87" s="2">
        <f>IFERROR(__xludf.DUMMYFUNCTION("""COMPUTED_VALUE"""),40672.645833333336)</f>
        <v>40672.64583</v>
      </c>
      <c r="B87" s="1">
        <f>IFERROR(__xludf.DUMMYFUNCTION("""COMPUTED_VALUE"""),18160.0)</f>
        <v>18160</v>
      </c>
      <c r="C87" s="1">
        <f>IFERROR(__xludf.DUMMYFUNCTION("""COMPUTED_VALUE"""),18220.0)</f>
        <v>18220</v>
      </c>
      <c r="D87" s="1">
        <f>IFERROR(__xludf.DUMMYFUNCTION("""COMPUTED_VALUE"""),17820.0)</f>
        <v>17820</v>
      </c>
      <c r="E87" s="1">
        <f>IFERROR(__xludf.DUMMYFUNCTION("""COMPUTED_VALUE"""),17820.0)</f>
        <v>17820</v>
      </c>
      <c r="F87" s="1">
        <f>IFERROR(__xludf.DUMMYFUNCTION("""COMPUTED_VALUE"""),270867.0)</f>
        <v>270867</v>
      </c>
    </row>
    <row r="88">
      <c r="A88" s="2">
        <f>IFERROR(__xludf.DUMMYFUNCTION("""COMPUTED_VALUE"""),40674.645833333336)</f>
        <v>40674.64583</v>
      </c>
      <c r="B88" s="1">
        <f>IFERROR(__xludf.DUMMYFUNCTION("""COMPUTED_VALUE"""),17780.0)</f>
        <v>17780</v>
      </c>
      <c r="C88" s="1">
        <f>IFERROR(__xludf.DUMMYFUNCTION("""COMPUTED_VALUE"""),17900.0)</f>
        <v>17900</v>
      </c>
      <c r="D88" s="1">
        <f>IFERROR(__xludf.DUMMYFUNCTION("""COMPUTED_VALUE"""),17640.0)</f>
        <v>17640</v>
      </c>
      <c r="E88" s="1">
        <f>IFERROR(__xludf.DUMMYFUNCTION("""COMPUTED_VALUE"""),17840.0)</f>
        <v>17840</v>
      </c>
      <c r="F88" s="1">
        <f>IFERROR(__xludf.DUMMYFUNCTION("""COMPUTED_VALUE"""),447275.0)</f>
        <v>447275</v>
      </c>
    </row>
    <row r="89">
      <c r="A89" s="2">
        <f>IFERROR(__xludf.DUMMYFUNCTION("""COMPUTED_VALUE"""),40675.645833333336)</f>
        <v>40675.64583</v>
      </c>
      <c r="B89" s="1">
        <f>IFERROR(__xludf.DUMMYFUNCTION("""COMPUTED_VALUE"""),17720.0)</f>
        <v>17720</v>
      </c>
      <c r="C89" s="1">
        <f>IFERROR(__xludf.DUMMYFUNCTION("""COMPUTED_VALUE"""),18020.0)</f>
        <v>18020</v>
      </c>
      <c r="D89" s="1">
        <f>IFERROR(__xludf.DUMMYFUNCTION("""COMPUTED_VALUE"""),17660.0)</f>
        <v>17660</v>
      </c>
      <c r="E89" s="1">
        <f>IFERROR(__xludf.DUMMYFUNCTION("""COMPUTED_VALUE"""),17700.0)</f>
        <v>17700</v>
      </c>
      <c r="F89" s="1">
        <f>IFERROR(__xludf.DUMMYFUNCTION("""COMPUTED_VALUE"""),552322.0)</f>
        <v>552322</v>
      </c>
    </row>
    <row r="90">
      <c r="A90" s="2">
        <f>IFERROR(__xludf.DUMMYFUNCTION("""COMPUTED_VALUE"""),40676.645833333336)</f>
        <v>40676.64583</v>
      </c>
      <c r="B90" s="1">
        <f>IFERROR(__xludf.DUMMYFUNCTION("""COMPUTED_VALUE"""),17920.0)</f>
        <v>17920</v>
      </c>
      <c r="C90" s="1">
        <f>IFERROR(__xludf.DUMMYFUNCTION("""COMPUTED_VALUE"""),18480.0)</f>
        <v>18480</v>
      </c>
      <c r="D90" s="1">
        <f>IFERROR(__xludf.DUMMYFUNCTION("""COMPUTED_VALUE"""),17800.0)</f>
        <v>17800</v>
      </c>
      <c r="E90" s="1">
        <f>IFERROR(__xludf.DUMMYFUNCTION("""COMPUTED_VALUE"""),18320.0)</f>
        <v>18320</v>
      </c>
      <c r="F90" s="1">
        <f>IFERROR(__xludf.DUMMYFUNCTION("""COMPUTED_VALUE"""),668760.0)</f>
        <v>668760</v>
      </c>
    </row>
    <row r="91">
      <c r="A91" s="2">
        <f>IFERROR(__xludf.DUMMYFUNCTION("""COMPUTED_VALUE"""),40679.645833333336)</f>
        <v>40679.64583</v>
      </c>
      <c r="B91" s="1">
        <f>IFERROR(__xludf.DUMMYFUNCTION("""COMPUTED_VALUE"""),18340.0)</f>
        <v>18340</v>
      </c>
      <c r="C91" s="1">
        <f>IFERROR(__xludf.DUMMYFUNCTION("""COMPUTED_VALUE"""),18380.0)</f>
        <v>18380</v>
      </c>
      <c r="D91" s="1">
        <f>IFERROR(__xludf.DUMMYFUNCTION("""COMPUTED_VALUE"""),17960.0)</f>
        <v>17960</v>
      </c>
      <c r="E91" s="1">
        <f>IFERROR(__xludf.DUMMYFUNCTION("""COMPUTED_VALUE"""),18020.0)</f>
        <v>18020</v>
      </c>
      <c r="F91" s="1">
        <f>IFERROR(__xludf.DUMMYFUNCTION("""COMPUTED_VALUE"""),322474.0)</f>
        <v>322474</v>
      </c>
    </row>
    <row r="92">
      <c r="A92" s="2">
        <f>IFERROR(__xludf.DUMMYFUNCTION("""COMPUTED_VALUE"""),40680.645833333336)</f>
        <v>40680.64583</v>
      </c>
      <c r="B92" s="1">
        <f>IFERROR(__xludf.DUMMYFUNCTION("""COMPUTED_VALUE"""),17940.0)</f>
        <v>17940</v>
      </c>
      <c r="C92" s="1">
        <f>IFERROR(__xludf.DUMMYFUNCTION("""COMPUTED_VALUE"""),17960.0)</f>
        <v>17960</v>
      </c>
      <c r="D92" s="1">
        <f>IFERROR(__xludf.DUMMYFUNCTION("""COMPUTED_VALUE"""),17780.0)</f>
        <v>17780</v>
      </c>
      <c r="E92" s="1">
        <f>IFERROR(__xludf.DUMMYFUNCTION("""COMPUTED_VALUE"""),17800.0)</f>
        <v>17800</v>
      </c>
      <c r="F92" s="1">
        <f>IFERROR(__xludf.DUMMYFUNCTION("""COMPUTED_VALUE"""),230999.0)</f>
        <v>230999</v>
      </c>
    </row>
    <row r="93">
      <c r="A93" s="2">
        <f>IFERROR(__xludf.DUMMYFUNCTION("""COMPUTED_VALUE"""),40681.645833333336)</f>
        <v>40681.64583</v>
      </c>
      <c r="B93" s="1">
        <f>IFERROR(__xludf.DUMMYFUNCTION("""COMPUTED_VALUE"""),17860.0)</f>
        <v>17860</v>
      </c>
      <c r="C93" s="1">
        <f>IFERROR(__xludf.DUMMYFUNCTION("""COMPUTED_VALUE"""),17980.0)</f>
        <v>17980</v>
      </c>
      <c r="D93" s="1">
        <f>IFERROR(__xludf.DUMMYFUNCTION("""COMPUTED_VALUE"""),17720.0)</f>
        <v>17720</v>
      </c>
      <c r="E93" s="1">
        <f>IFERROR(__xludf.DUMMYFUNCTION("""COMPUTED_VALUE"""),17860.0)</f>
        <v>17860</v>
      </c>
      <c r="F93" s="1">
        <f>IFERROR(__xludf.DUMMYFUNCTION("""COMPUTED_VALUE"""),331586.0)</f>
        <v>331586</v>
      </c>
    </row>
    <row r="94">
      <c r="A94" s="2">
        <f>IFERROR(__xludf.DUMMYFUNCTION("""COMPUTED_VALUE"""),40682.645833333336)</f>
        <v>40682.64583</v>
      </c>
      <c r="B94" s="1">
        <f>IFERROR(__xludf.DUMMYFUNCTION("""COMPUTED_VALUE"""),17820.0)</f>
        <v>17820</v>
      </c>
      <c r="C94" s="1">
        <f>IFERROR(__xludf.DUMMYFUNCTION("""COMPUTED_VALUE"""),17960.0)</f>
        <v>17960</v>
      </c>
      <c r="D94" s="1">
        <f>IFERROR(__xludf.DUMMYFUNCTION("""COMPUTED_VALUE"""),17600.0)</f>
        <v>17600</v>
      </c>
      <c r="E94" s="1">
        <f>IFERROR(__xludf.DUMMYFUNCTION("""COMPUTED_VALUE"""),17600.0)</f>
        <v>17600</v>
      </c>
      <c r="F94" s="1">
        <f>IFERROR(__xludf.DUMMYFUNCTION("""COMPUTED_VALUE"""),386904.0)</f>
        <v>386904</v>
      </c>
    </row>
    <row r="95">
      <c r="A95" s="2">
        <f>IFERROR(__xludf.DUMMYFUNCTION("""COMPUTED_VALUE"""),40683.645833333336)</f>
        <v>40683.64583</v>
      </c>
      <c r="B95" s="1">
        <f>IFERROR(__xludf.DUMMYFUNCTION("""COMPUTED_VALUE"""),17700.0)</f>
        <v>17700</v>
      </c>
      <c r="C95" s="1">
        <f>IFERROR(__xludf.DUMMYFUNCTION("""COMPUTED_VALUE"""),17740.0)</f>
        <v>17740</v>
      </c>
      <c r="D95" s="1">
        <f>IFERROR(__xludf.DUMMYFUNCTION("""COMPUTED_VALUE"""),17600.0)</f>
        <v>17600</v>
      </c>
      <c r="E95" s="1">
        <f>IFERROR(__xludf.DUMMYFUNCTION("""COMPUTED_VALUE"""),17640.0)</f>
        <v>17640</v>
      </c>
      <c r="F95" s="1">
        <f>IFERROR(__xludf.DUMMYFUNCTION("""COMPUTED_VALUE"""),221399.0)</f>
        <v>221399</v>
      </c>
    </row>
    <row r="96">
      <c r="A96" s="2">
        <f>IFERROR(__xludf.DUMMYFUNCTION("""COMPUTED_VALUE"""),40686.645833333336)</f>
        <v>40686.64583</v>
      </c>
      <c r="B96" s="1">
        <f>IFERROR(__xludf.DUMMYFUNCTION("""COMPUTED_VALUE"""),17540.0)</f>
        <v>17540</v>
      </c>
      <c r="C96" s="1">
        <f>IFERROR(__xludf.DUMMYFUNCTION("""COMPUTED_VALUE"""),17700.0)</f>
        <v>17700</v>
      </c>
      <c r="D96" s="1">
        <f>IFERROR(__xludf.DUMMYFUNCTION("""COMPUTED_VALUE"""),17440.0)</f>
        <v>17440</v>
      </c>
      <c r="E96" s="1">
        <f>IFERROR(__xludf.DUMMYFUNCTION("""COMPUTED_VALUE"""),17460.0)</f>
        <v>17460</v>
      </c>
      <c r="F96" s="1">
        <f>IFERROR(__xludf.DUMMYFUNCTION("""COMPUTED_VALUE"""),281120.0)</f>
        <v>281120</v>
      </c>
    </row>
    <row r="97">
      <c r="A97" s="2">
        <f>IFERROR(__xludf.DUMMYFUNCTION("""COMPUTED_VALUE"""),40687.645833333336)</f>
        <v>40687.64583</v>
      </c>
      <c r="B97" s="1">
        <f>IFERROR(__xludf.DUMMYFUNCTION("""COMPUTED_VALUE"""),17440.0)</f>
        <v>17440</v>
      </c>
      <c r="C97" s="1">
        <f>IFERROR(__xludf.DUMMYFUNCTION("""COMPUTED_VALUE"""),17680.0)</f>
        <v>17680</v>
      </c>
      <c r="D97" s="1">
        <f>IFERROR(__xludf.DUMMYFUNCTION("""COMPUTED_VALUE"""),17300.0)</f>
        <v>17300</v>
      </c>
      <c r="E97" s="1">
        <f>IFERROR(__xludf.DUMMYFUNCTION("""COMPUTED_VALUE"""),17300.0)</f>
        <v>17300</v>
      </c>
      <c r="F97" s="1">
        <f>IFERROR(__xludf.DUMMYFUNCTION("""COMPUTED_VALUE"""),289770.0)</f>
        <v>289770</v>
      </c>
    </row>
    <row r="98">
      <c r="A98" s="2">
        <f>IFERROR(__xludf.DUMMYFUNCTION("""COMPUTED_VALUE"""),40688.645833333336)</f>
        <v>40688.64583</v>
      </c>
      <c r="B98" s="1">
        <f>IFERROR(__xludf.DUMMYFUNCTION("""COMPUTED_VALUE"""),17580.0)</f>
        <v>17580</v>
      </c>
      <c r="C98" s="1">
        <f>IFERROR(__xludf.DUMMYFUNCTION("""COMPUTED_VALUE"""),17580.0)</f>
        <v>17580</v>
      </c>
      <c r="D98" s="1">
        <f>IFERROR(__xludf.DUMMYFUNCTION("""COMPUTED_VALUE"""),17060.0)</f>
        <v>17060</v>
      </c>
      <c r="E98" s="1">
        <f>IFERROR(__xludf.DUMMYFUNCTION("""COMPUTED_VALUE"""),17120.0)</f>
        <v>17120</v>
      </c>
      <c r="F98" s="1">
        <f>IFERROR(__xludf.DUMMYFUNCTION("""COMPUTED_VALUE"""),320361.0)</f>
        <v>320361</v>
      </c>
    </row>
    <row r="99">
      <c r="A99" s="2">
        <f>IFERROR(__xludf.DUMMYFUNCTION("""COMPUTED_VALUE"""),40689.645833333336)</f>
        <v>40689.64583</v>
      </c>
      <c r="B99" s="1">
        <f>IFERROR(__xludf.DUMMYFUNCTION("""COMPUTED_VALUE"""),17360.0)</f>
        <v>17360</v>
      </c>
      <c r="C99" s="1">
        <f>IFERROR(__xludf.DUMMYFUNCTION("""COMPUTED_VALUE"""),17600.0)</f>
        <v>17600</v>
      </c>
      <c r="D99" s="1">
        <f>IFERROR(__xludf.DUMMYFUNCTION("""COMPUTED_VALUE"""),17300.0)</f>
        <v>17300</v>
      </c>
      <c r="E99" s="1">
        <f>IFERROR(__xludf.DUMMYFUNCTION("""COMPUTED_VALUE"""),17580.0)</f>
        <v>17580</v>
      </c>
      <c r="F99" s="1">
        <f>IFERROR(__xludf.DUMMYFUNCTION("""COMPUTED_VALUE"""),279370.0)</f>
        <v>279370</v>
      </c>
    </row>
    <row r="100">
      <c r="A100" s="2">
        <f>IFERROR(__xludf.DUMMYFUNCTION("""COMPUTED_VALUE"""),40690.645833333336)</f>
        <v>40690.64583</v>
      </c>
      <c r="B100" s="1">
        <f>IFERROR(__xludf.DUMMYFUNCTION("""COMPUTED_VALUE"""),17480.0)</f>
        <v>17480</v>
      </c>
      <c r="C100" s="1">
        <f>IFERROR(__xludf.DUMMYFUNCTION("""COMPUTED_VALUE"""),17980.0)</f>
        <v>17980</v>
      </c>
      <c r="D100" s="1">
        <f>IFERROR(__xludf.DUMMYFUNCTION("""COMPUTED_VALUE"""),17340.0)</f>
        <v>17340</v>
      </c>
      <c r="E100" s="1">
        <f>IFERROR(__xludf.DUMMYFUNCTION("""COMPUTED_VALUE"""),17820.0)</f>
        <v>17820</v>
      </c>
      <c r="F100" s="1">
        <f>IFERROR(__xludf.DUMMYFUNCTION("""COMPUTED_VALUE"""),429552.0)</f>
        <v>429552</v>
      </c>
    </row>
    <row r="101">
      <c r="A101" s="2">
        <f>IFERROR(__xludf.DUMMYFUNCTION("""COMPUTED_VALUE"""),40693.645833333336)</f>
        <v>40693.64583</v>
      </c>
      <c r="B101" s="1">
        <f>IFERROR(__xludf.DUMMYFUNCTION("""COMPUTED_VALUE"""),17900.0)</f>
        <v>17900</v>
      </c>
      <c r="C101" s="1">
        <f>IFERROR(__xludf.DUMMYFUNCTION("""COMPUTED_VALUE"""),17900.0)</f>
        <v>17900</v>
      </c>
      <c r="D101" s="1">
        <f>IFERROR(__xludf.DUMMYFUNCTION("""COMPUTED_VALUE"""),17520.0)</f>
        <v>17520</v>
      </c>
      <c r="E101" s="1">
        <f>IFERROR(__xludf.DUMMYFUNCTION("""COMPUTED_VALUE"""),17680.0)</f>
        <v>17680</v>
      </c>
      <c r="F101" s="1">
        <f>IFERROR(__xludf.DUMMYFUNCTION("""COMPUTED_VALUE"""),205872.0)</f>
        <v>205872</v>
      </c>
    </row>
    <row r="102">
      <c r="A102" s="2">
        <f>IFERROR(__xludf.DUMMYFUNCTION("""COMPUTED_VALUE"""),40694.645833333336)</f>
        <v>40694.64583</v>
      </c>
      <c r="B102" s="1">
        <f>IFERROR(__xludf.DUMMYFUNCTION("""COMPUTED_VALUE"""),17800.0)</f>
        <v>17800</v>
      </c>
      <c r="C102" s="1">
        <f>IFERROR(__xludf.DUMMYFUNCTION("""COMPUTED_VALUE"""),18280.0)</f>
        <v>18280</v>
      </c>
      <c r="D102" s="1">
        <f>IFERROR(__xludf.DUMMYFUNCTION("""COMPUTED_VALUE"""),17720.0)</f>
        <v>17720</v>
      </c>
      <c r="E102" s="1">
        <f>IFERROR(__xludf.DUMMYFUNCTION("""COMPUTED_VALUE"""),18040.0)</f>
        <v>18040</v>
      </c>
      <c r="F102" s="1">
        <f>IFERROR(__xludf.DUMMYFUNCTION("""COMPUTED_VALUE"""),477751.0)</f>
        <v>477751</v>
      </c>
    </row>
    <row r="103">
      <c r="A103" s="2">
        <f>IFERROR(__xludf.DUMMYFUNCTION("""COMPUTED_VALUE"""),40695.645833333336)</f>
        <v>40695.64583</v>
      </c>
      <c r="B103" s="1">
        <f>IFERROR(__xludf.DUMMYFUNCTION("""COMPUTED_VALUE"""),18040.0)</f>
        <v>18040</v>
      </c>
      <c r="C103" s="1">
        <f>IFERROR(__xludf.DUMMYFUNCTION("""COMPUTED_VALUE"""),18240.0)</f>
        <v>18240</v>
      </c>
      <c r="D103" s="1">
        <f>IFERROR(__xludf.DUMMYFUNCTION("""COMPUTED_VALUE"""),17900.0)</f>
        <v>17900</v>
      </c>
      <c r="E103" s="1">
        <f>IFERROR(__xludf.DUMMYFUNCTION("""COMPUTED_VALUE"""),18220.0)</f>
        <v>18220</v>
      </c>
      <c r="F103" s="1">
        <f>IFERROR(__xludf.DUMMYFUNCTION("""COMPUTED_VALUE"""),313570.0)</f>
        <v>313570</v>
      </c>
    </row>
    <row r="104">
      <c r="A104" s="2">
        <f>IFERROR(__xludf.DUMMYFUNCTION("""COMPUTED_VALUE"""),40696.645833333336)</f>
        <v>40696.64583</v>
      </c>
      <c r="B104" s="1">
        <f>IFERROR(__xludf.DUMMYFUNCTION("""COMPUTED_VALUE"""),17880.0)</f>
        <v>17880</v>
      </c>
      <c r="C104" s="1">
        <f>IFERROR(__xludf.DUMMYFUNCTION("""COMPUTED_VALUE"""),17940.0)</f>
        <v>17940</v>
      </c>
      <c r="D104" s="1">
        <f>IFERROR(__xludf.DUMMYFUNCTION("""COMPUTED_VALUE"""),17600.0)</f>
        <v>17600</v>
      </c>
      <c r="E104" s="1">
        <f>IFERROR(__xludf.DUMMYFUNCTION("""COMPUTED_VALUE"""),17660.0)</f>
        <v>17660</v>
      </c>
      <c r="F104" s="1">
        <f>IFERROR(__xludf.DUMMYFUNCTION("""COMPUTED_VALUE"""),331659.0)</f>
        <v>331659</v>
      </c>
    </row>
    <row r="105">
      <c r="A105" s="2">
        <f>IFERROR(__xludf.DUMMYFUNCTION("""COMPUTED_VALUE"""),40697.645833333336)</f>
        <v>40697.64583</v>
      </c>
      <c r="B105" s="1">
        <f>IFERROR(__xludf.DUMMYFUNCTION("""COMPUTED_VALUE"""),17800.0)</f>
        <v>17800</v>
      </c>
      <c r="C105" s="1">
        <f>IFERROR(__xludf.DUMMYFUNCTION("""COMPUTED_VALUE"""),17800.0)</f>
        <v>17800</v>
      </c>
      <c r="D105" s="1">
        <f>IFERROR(__xludf.DUMMYFUNCTION("""COMPUTED_VALUE"""),17540.0)</f>
        <v>17540</v>
      </c>
      <c r="E105" s="1">
        <f>IFERROR(__xludf.DUMMYFUNCTION("""COMPUTED_VALUE"""),17700.0)</f>
        <v>17700</v>
      </c>
      <c r="F105" s="1">
        <f>IFERROR(__xludf.DUMMYFUNCTION("""COMPUTED_VALUE"""),201342.0)</f>
        <v>201342</v>
      </c>
    </row>
    <row r="106">
      <c r="A106" s="2">
        <f>IFERROR(__xludf.DUMMYFUNCTION("""COMPUTED_VALUE"""),40701.645833333336)</f>
        <v>40701.64583</v>
      </c>
      <c r="B106" s="1">
        <f>IFERROR(__xludf.DUMMYFUNCTION("""COMPUTED_VALUE"""),17520.0)</f>
        <v>17520</v>
      </c>
      <c r="C106" s="1">
        <f>IFERROR(__xludf.DUMMYFUNCTION("""COMPUTED_VALUE"""),17780.0)</f>
        <v>17780</v>
      </c>
      <c r="D106" s="1">
        <f>IFERROR(__xludf.DUMMYFUNCTION("""COMPUTED_VALUE"""),17380.0)</f>
        <v>17380</v>
      </c>
      <c r="E106" s="1">
        <f>IFERROR(__xludf.DUMMYFUNCTION("""COMPUTED_VALUE"""),17740.0)</f>
        <v>17740</v>
      </c>
      <c r="F106" s="1">
        <f>IFERROR(__xludf.DUMMYFUNCTION("""COMPUTED_VALUE"""),302202.0)</f>
        <v>302202</v>
      </c>
    </row>
    <row r="107">
      <c r="A107" s="2">
        <f>IFERROR(__xludf.DUMMYFUNCTION("""COMPUTED_VALUE"""),40702.645833333336)</f>
        <v>40702.64583</v>
      </c>
      <c r="B107" s="1">
        <f>IFERROR(__xludf.DUMMYFUNCTION("""COMPUTED_VALUE"""),17700.0)</f>
        <v>17700</v>
      </c>
      <c r="C107" s="1">
        <f>IFERROR(__xludf.DUMMYFUNCTION("""COMPUTED_VALUE"""),17800.0)</f>
        <v>17800</v>
      </c>
      <c r="D107" s="1">
        <f>IFERROR(__xludf.DUMMYFUNCTION("""COMPUTED_VALUE"""),17500.0)</f>
        <v>17500</v>
      </c>
      <c r="E107" s="1">
        <f>IFERROR(__xludf.DUMMYFUNCTION("""COMPUTED_VALUE"""),17540.0)</f>
        <v>17540</v>
      </c>
      <c r="F107" s="1">
        <f>IFERROR(__xludf.DUMMYFUNCTION("""COMPUTED_VALUE"""),258777.0)</f>
        <v>258777</v>
      </c>
    </row>
    <row r="108">
      <c r="A108" s="2">
        <f>IFERROR(__xludf.DUMMYFUNCTION("""COMPUTED_VALUE"""),40703.645833333336)</f>
        <v>40703.64583</v>
      </c>
      <c r="B108" s="1">
        <f>IFERROR(__xludf.DUMMYFUNCTION("""COMPUTED_VALUE"""),17540.0)</f>
        <v>17540</v>
      </c>
      <c r="C108" s="1">
        <f>IFERROR(__xludf.DUMMYFUNCTION("""COMPUTED_VALUE"""),17580.0)</f>
        <v>17580</v>
      </c>
      <c r="D108" s="1">
        <f>IFERROR(__xludf.DUMMYFUNCTION("""COMPUTED_VALUE"""),17300.0)</f>
        <v>17300</v>
      </c>
      <c r="E108" s="1">
        <f>IFERROR(__xludf.DUMMYFUNCTION("""COMPUTED_VALUE"""),17300.0)</f>
        <v>17300</v>
      </c>
      <c r="F108" s="1">
        <f>IFERROR(__xludf.DUMMYFUNCTION("""COMPUTED_VALUE"""),430224.0)</f>
        <v>430224</v>
      </c>
    </row>
    <row r="109">
      <c r="A109" s="2">
        <f>IFERROR(__xludf.DUMMYFUNCTION("""COMPUTED_VALUE"""),40704.645833333336)</f>
        <v>40704.64583</v>
      </c>
      <c r="B109" s="1">
        <f>IFERROR(__xludf.DUMMYFUNCTION("""COMPUTED_VALUE"""),17400.0)</f>
        <v>17400</v>
      </c>
      <c r="C109" s="1">
        <f>IFERROR(__xludf.DUMMYFUNCTION("""COMPUTED_VALUE"""),17480.0)</f>
        <v>17480</v>
      </c>
      <c r="D109" s="1">
        <f>IFERROR(__xludf.DUMMYFUNCTION("""COMPUTED_VALUE"""),17020.0)</f>
        <v>17020</v>
      </c>
      <c r="E109" s="1">
        <f>IFERROR(__xludf.DUMMYFUNCTION("""COMPUTED_VALUE"""),17020.0)</f>
        <v>17020</v>
      </c>
      <c r="F109" s="1">
        <f>IFERROR(__xludf.DUMMYFUNCTION("""COMPUTED_VALUE"""),391732.0)</f>
        <v>391732</v>
      </c>
    </row>
    <row r="110">
      <c r="A110" s="2">
        <f>IFERROR(__xludf.DUMMYFUNCTION("""COMPUTED_VALUE"""),40707.645833333336)</f>
        <v>40707.64583</v>
      </c>
      <c r="B110" s="1">
        <f>IFERROR(__xludf.DUMMYFUNCTION("""COMPUTED_VALUE"""),16880.0)</f>
        <v>16880</v>
      </c>
      <c r="C110" s="1">
        <f>IFERROR(__xludf.DUMMYFUNCTION("""COMPUTED_VALUE"""),17060.0)</f>
        <v>17060</v>
      </c>
      <c r="D110" s="1">
        <f>IFERROR(__xludf.DUMMYFUNCTION("""COMPUTED_VALUE"""),16760.0)</f>
        <v>16760</v>
      </c>
      <c r="E110" s="1">
        <f>IFERROR(__xludf.DUMMYFUNCTION("""COMPUTED_VALUE"""),17060.0)</f>
        <v>17060</v>
      </c>
      <c r="F110" s="1">
        <f>IFERROR(__xludf.DUMMYFUNCTION("""COMPUTED_VALUE"""),301249.0)</f>
        <v>301249</v>
      </c>
    </row>
    <row r="111">
      <c r="A111" s="2">
        <f>IFERROR(__xludf.DUMMYFUNCTION("""COMPUTED_VALUE"""),40708.645833333336)</f>
        <v>40708.64583</v>
      </c>
      <c r="B111" s="1">
        <f>IFERROR(__xludf.DUMMYFUNCTION("""COMPUTED_VALUE"""),17020.0)</f>
        <v>17020</v>
      </c>
      <c r="C111" s="1">
        <f>IFERROR(__xludf.DUMMYFUNCTION("""COMPUTED_VALUE"""),17460.0)</f>
        <v>17460</v>
      </c>
      <c r="D111" s="1">
        <f>IFERROR(__xludf.DUMMYFUNCTION("""COMPUTED_VALUE"""),16960.0)</f>
        <v>16960</v>
      </c>
      <c r="E111" s="1">
        <f>IFERROR(__xludf.DUMMYFUNCTION("""COMPUTED_VALUE"""),17260.0)</f>
        <v>17260</v>
      </c>
      <c r="F111" s="1">
        <f>IFERROR(__xludf.DUMMYFUNCTION("""COMPUTED_VALUE"""),212854.0)</f>
        <v>212854</v>
      </c>
    </row>
    <row r="112">
      <c r="A112" s="2">
        <f>IFERROR(__xludf.DUMMYFUNCTION("""COMPUTED_VALUE"""),40709.645833333336)</f>
        <v>40709.64583</v>
      </c>
      <c r="B112" s="1">
        <f>IFERROR(__xludf.DUMMYFUNCTION("""COMPUTED_VALUE"""),17320.0)</f>
        <v>17320</v>
      </c>
      <c r="C112" s="1">
        <f>IFERROR(__xludf.DUMMYFUNCTION("""COMPUTED_VALUE"""),17380.0)</f>
        <v>17380</v>
      </c>
      <c r="D112" s="1">
        <f>IFERROR(__xludf.DUMMYFUNCTION("""COMPUTED_VALUE"""),17020.0)</f>
        <v>17020</v>
      </c>
      <c r="E112" s="1">
        <f>IFERROR(__xludf.DUMMYFUNCTION("""COMPUTED_VALUE"""),17300.0)</f>
        <v>17300</v>
      </c>
      <c r="F112" s="1">
        <f>IFERROR(__xludf.DUMMYFUNCTION("""COMPUTED_VALUE"""),265662.0)</f>
        <v>265662</v>
      </c>
    </row>
    <row r="113">
      <c r="A113" s="2">
        <f>IFERROR(__xludf.DUMMYFUNCTION("""COMPUTED_VALUE"""),40710.645833333336)</f>
        <v>40710.64583</v>
      </c>
      <c r="B113" s="1">
        <f>IFERROR(__xludf.DUMMYFUNCTION("""COMPUTED_VALUE"""),17060.0)</f>
        <v>17060</v>
      </c>
      <c r="C113" s="1">
        <f>IFERROR(__xludf.DUMMYFUNCTION("""COMPUTED_VALUE"""),17160.0)</f>
        <v>17160</v>
      </c>
      <c r="D113" s="1">
        <f>IFERROR(__xludf.DUMMYFUNCTION("""COMPUTED_VALUE"""),16880.0)</f>
        <v>16880</v>
      </c>
      <c r="E113" s="1">
        <f>IFERROR(__xludf.DUMMYFUNCTION("""COMPUTED_VALUE"""),16960.0)</f>
        <v>16960</v>
      </c>
      <c r="F113" s="1">
        <f>IFERROR(__xludf.DUMMYFUNCTION("""COMPUTED_VALUE"""),238811.0)</f>
        <v>238811</v>
      </c>
    </row>
    <row r="114">
      <c r="A114" s="2">
        <f>IFERROR(__xludf.DUMMYFUNCTION("""COMPUTED_VALUE"""),40711.645833333336)</f>
        <v>40711.64583</v>
      </c>
      <c r="B114" s="1">
        <f>IFERROR(__xludf.DUMMYFUNCTION("""COMPUTED_VALUE"""),17020.0)</f>
        <v>17020</v>
      </c>
      <c r="C114" s="1">
        <f>IFERROR(__xludf.DUMMYFUNCTION("""COMPUTED_VALUE"""),17040.0)</f>
        <v>17040</v>
      </c>
      <c r="D114" s="1">
        <f>IFERROR(__xludf.DUMMYFUNCTION("""COMPUTED_VALUE"""),16060.0)</f>
        <v>16060</v>
      </c>
      <c r="E114" s="1">
        <f>IFERROR(__xludf.DUMMYFUNCTION("""COMPUTED_VALUE"""),16380.0)</f>
        <v>16380</v>
      </c>
      <c r="F114" s="1">
        <f>IFERROR(__xludf.DUMMYFUNCTION("""COMPUTED_VALUE"""),721162.0)</f>
        <v>721162</v>
      </c>
    </row>
    <row r="115">
      <c r="A115" s="2">
        <f>IFERROR(__xludf.DUMMYFUNCTION("""COMPUTED_VALUE"""),40714.645833333336)</f>
        <v>40714.64583</v>
      </c>
      <c r="B115" s="1">
        <f>IFERROR(__xludf.DUMMYFUNCTION("""COMPUTED_VALUE"""),16260.0)</f>
        <v>16260</v>
      </c>
      <c r="C115" s="1">
        <f>IFERROR(__xludf.DUMMYFUNCTION("""COMPUTED_VALUE"""),16280.0)</f>
        <v>16280</v>
      </c>
      <c r="D115" s="1">
        <f>IFERROR(__xludf.DUMMYFUNCTION("""COMPUTED_VALUE"""),15900.0)</f>
        <v>15900</v>
      </c>
      <c r="E115" s="1">
        <f>IFERROR(__xludf.DUMMYFUNCTION("""COMPUTED_VALUE"""),16000.0)</f>
        <v>16000</v>
      </c>
      <c r="F115" s="1">
        <f>IFERROR(__xludf.DUMMYFUNCTION("""COMPUTED_VALUE"""),471610.0)</f>
        <v>471610</v>
      </c>
    </row>
    <row r="116">
      <c r="A116" s="2">
        <f>IFERROR(__xludf.DUMMYFUNCTION("""COMPUTED_VALUE"""),40715.645833333336)</f>
        <v>40715.64583</v>
      </c>
      <c r="B116" s="1">
        <f>IFERROR(__xludf.DUMMYFUNCTION("""COMPUTED_VALUE"""),16000.0)</f>
        <v>16000</v>
      </c>
      <c r="C116" s="1">
        <f>IFERROR(__xludf.DUMMYFUNCTION("""COMPUTED_VALUE"""),16400.0)</f>
        <v>16400</v>
      </c>
      <c r="D116" s="1">
        <f>IFERROR(__xludf.DUMMYFUNCTION("""COMPUTED_VALUE"""),15960.0)</f>
        <v>15960</v>
      </c>
      <c r="E116" s="1">
        <f>IFERROR(__xludf.DUMMYFUNCTION("""COMPUTED_VALUE"""),16280.0)</f>
        <v>16280</v>
      </c>
      <c r="F116" s="1">
        <f>IFERROR(__xludf.DUMMYFUNCTION("""COMPUTED_VALUE"""),376888.0)</f>
        <v>376888</v>
      </c>
    </row>
    <row r="117">
      <c r="A117" s="2">
        <f>IFERROR(__xludf.DUMMYFUNCTION("""COMPUTED_VALUE"""),40716.645833333336)</f>
        <v>40716.64583</v>
      </c>
      <c r="B117" s="1">
        <f>IFERROR(__xludf.DUMMYFUNCTION("""COMPUTED_VALUE"""),16480.0)</f>
        <v>16480</v>
      </c>
      <c r="C117" s="1">
        <f>IFERROR(__xludf.DUMMYFUNCTION("""COMPUTED_VALUE"""),16660.0)</f>
        <v>16660</v>
      </c>
      <c r="D117" s="1">
        <f>IFERROR(__xludf.DUMMYFUNCTION("""COMPUTED_VALUE"""),16440.0)</f>
        <v>16440</v>
      </c>
      <c r="E117" s="1">
        <f>IFERROR(__xludf.DUMMYFUNCTION("""COMPUTED_VALUE"""),16520.0)</f>
        <v>16520</v>
      </c>
      <c r="F117" s="1">
        <f>IFERROR(__xludf.DUMMYFUNCTION("""COMPUTED_VALUE"""),330608.0)</f>
        <v>330608</v>
      </c>
    </row>
    <row r="118">
      <c r="A118" s="2">
        <f>IFERROR(__xludf.DUMMYFUNCTION("""COMPUTED_VALUE"""),40717.645833333336)</f>
        <v>40717.64583</v>
      </c>
      <c r="B118" s="1">
        <f>IFERROR(__xludf.DUMMYFUNCTION("""COMPUTED_VALUE"""),16500.0)</f>
        <v>16500</v>
      </c>
      <c r="C118" s="1">
        <f>IFERROR(__xludf.DUMMYFUNCTION("""COMPUTED_VALUE"""),16780.0)</f>
        <v>16780</v>
      </c>
      <c r="D118" s="1">
        <f>IFERROR(__xludf.DUMMYFUNCTION("""COMPUTED_VALUE"""),16400.0)</f>
        <v>16400</v>
      </c>
      <c r="E118" s="1">
        <f>IFERROR(__xludf.DUMMYFUNCTION("""COMPUTED_VALUE"""),16620.0)</f>
        <v>16620</v>
      </c>
      <c r="F118" s="1">
        <f>IFERROR(__xludf.DUMMYFUNCTION("""COMPUTED_VALUE"""),277168.0)</f>
        <v>277168</v>
      </c>
    </row>
    <row r="119">
      <c r="A119" s="2">
        <f>IFERROR(__xludf.DUMMYFUNCTION("""COMPUTED_VALUE"""),40718.645833333336)</f>
        <v>40718.64583</v>
      </c>
      <c r="B119" s="1">
        <f>IFERROR(__xludf.DUMMYFUNCTION("""COMPUTED_VALUE"""),16420.0)</f>
        <v>16420</v>
      </c>
      <c r="C119" s="1">
        <f>IFERROR(__xludf.DUMMYFUNCTION("""COMPUTED_VALUE"""),17080.0)</f>
        <v>17080</v>
      </c>
      <c r="D119" s="1">
        <f>IFERROR(__xludf.DUMMYFUNCTION("""COMPUTED_VALUE"""),16420.0)</f>
        <v>16420</v>
      </c>
      <c r="E119" s="1">
        <f>IFERROR(__xludf.DUMMYFUNCTION("""COMPUTED_VALUE"""),17040.0)</f>
        <v>17040</v>
      </c>
      <c r="F119" s="1">
        <f>IFERROR(__xludf.DUMMYFUNCTION("""COMPUTED_VALUE"""),469063.0)</f>
        <v>469063</v>
      </c>
    </row>
    <row r="120">
      <c r="A120" s="2">
        <f>IFERROR(__xludf.DUMMYFUNCTION("""COMPUTED_VALUE"""),40721.645833333336)</f>
        <v>40721.64583</v>
      </c>
      <c r="B120" s="1">
        <f>IFERROR(__xludf.DUMMYFUNCTION("""COMPUTED_VALUE"""),16940.0)</f>
        <v>16940</v>
      </c>
      <c r="C120" s="1">
        <f>IFERROR(__xludf.DUMMYFUNCTION("""COMPUTED_VALUE"""),16940.0)</f>
        <v>16940</v>
      </c>
      <c r="D120" s="1">
        <f>IFERROR(__xludf.DUMMYFUNCTION("""COMPUTED_VALUE"""),16560.0)</f>
        <v>16560</v>
      </c>
      <c r="E120" s="1">
        <f>IFERROR(__xludf.DUMMYFUNCTION("""COMPUTED_VALUE"""),16700.0)</f>
        <v>16700</v>
      </c>
      <c r="F120" s="1">
        <f>IFERROR(__xludf.DUMMYFUNCTION("""COMPUTED_VALUE"""),304145.0)</f>
        <v>304145</v>
      </c>
    </row>
    <row r="121">
      <c r="A121" s="2">
        <f>IFERROR(__xludf.DUMMYFUNCTION("""COMPUTED_VALUE"""),40722.645833333336)</f>
        <v>40722.64583</v>
      </c>
      <c r="B121" s="1">
        <f>IFERROR(__xludf.DUMMYFUNCTION("""COMPUTED_VALUE"""),16800.0)</f>
        <v>16800</v>
      </c>
      <c r="C121" s="1">
        <f>IFERROR(__xludf.DUMMYFUNCTION("""COMPUTED_VALUE"""),17060.0)</f>
        <v>17060</v>
      </c>
      <c r="D121" s="1">
        <f>IFERROR(__xludf.DUMMYFUNCTION("""COMPUTED_VALUE"""),16620.0)</f>
        <v>16620</v>
      </c>
      <c r="E121" s="1">
        <f>IFERROR(__xludf.DUMMYFUNCTION("""COMPUTED_VALUE"""),16640.0)</f>
        <v>16640</v>
      </c>
      <c r="F121" s="1">
        <f>IFERROR(__xludf.DUMMYFUNCTION("""COMPUTED_VALUE"""),239002.0)</f>
        <v>239002</v>
      </c>
    </row>
    <row r="122">
      <c r="A122" s="2">
        <f>IFERROR(__xludf.DUMMYFUNCTION("""COMPUTED_VALUE"""),40723.645833333336)</f>
        <v>40723.64583</v>
      </c>
      <c r="B122" s="1">
        <f>IFERROR(__xludf.DUMMYFUNCTION("""COMPUTED_VALUE"""),16960.0)</f>
        <v>16960</v>
      </c>
      <c r="C122" s="1">
        <f>IFERROR(__xludf.DUMMYFUNCTION("""COMPUTED_VALUE"""),16980.0)</f>
        <v>16980</v>
      </c>
      <c r="D122" s="1">
        <f>IFERROR(__xludf.DUMMYFUNCTION("""COMPUTED_VALUE"""),16640.0)</f>
        <v>16640</v>
      </c>
      <c r="E122" s="1">
        <f>IFERROR(__xludf.DUMMYFUNCTION("""COMPUTED_VALUE"""),16660.0)</f>
        <v>16660</v>
      </c>
      <c r="F122" s="1">
        <f>IFERROR(__xludf.DUMMYFUNCTION("""COMPUTED_VALUE"""),206964.0)</f>
        <v>206964</v>
      </c>
    </row>
    <row r="123">
      <c r="A123" s="2">
        <f>IFERROR(__xludf.DUMMYFUNCTION("""COMPUTED_VALUE"""),40724.645833333336)</f>
        <v>40724.64583</v>
      </c>
      <c r="B123" s="1">
        <f>IFERROR(__xludf.DUMMYFUNCTION("""COMPUTED_VALUE"""),16660.0)</f>
        <v>16660</v>
      </c>
      <c r="C123" s="1">
        <f>IFERROR(__xludf.DUMMYFUNCTION("""COMPUTED_VALUE"""),16700.0)</f>
        <v>16700</v>
      </c>
      <c r="D123" s="1">
        <f>IFERROR(__xludf.DUMMYFUNCTION("""COMPUTED_VALUE"""),16420.0)</f>
        <v>16420</v>
      </c>
      <c r="E123" s="1">
        <f>IFERROR(__xludf.DUMMYFUNCTION("""COMPUTED_VALUE"""),16520.0)</f>
        <v>16520</v>
      </c>
      <c r="F123" s="1">
        <f>IFERROR(__xludf.DUMMYFUNCTION("""COMPUTED_VALUE"""),328179.0)</f>
        <v>328179</v>
      </c>
    </row>
    <row r="124">
      <c r="A124" s="2">
        <f>IFERROR(__xludf.DUMMYFUNCTION("""COMPUTED_VALUE"""),40725.645833333336)</f>
        <v>40725.64583</v>
      </c>
      <c r="B124" s="1">
        <f>IFERROR(__xludf.DUMMYFUNCTION("""COMPUTED_VALUE"""),16860.0)</f>
        <v>16860</v>
      </c>
      <c r="C124" s="1">
        <f>IFERROR(__xludf.DUMMYFUNCTION("""COMPUTED_VALUE"""),17200.0)</f>
        <v>17200</v>
      </c>
      <c r="D124" s="1">
        <f>IFERROR(__xludf.DUMMYFUNCTION("""COMPUTED_VALUE"""),16760.0)</f>
        <v>16760</v>
      </c>
      <c r="E124" s="1">
        <f>IFERROR(__xludf.DUMMYFUNCTION("""COMPUTED_VALUE"""),17100.0)</f>
        <v>17100</v>
      </c>
      <c r="F124" s="1">
        <f>IFERROR(__xludf.DUMMYFUNCTION("""COMPUTED_VALUE"""),442661.0)</f>
        <v>442661</v>
      </c>
    </row>
    <row r="125">
      <c r="A125" s="2">
        <f>IFERROR(__xludf.DUMMYFUNCTION("""COMPUTED_VALUE"""),40728.645833333336)</f>
        <v>40728.64583</v>
      </c>
      <c r="B125" s="1">
        <f>IFERROR(__xludf.DUMMYFUNCTION("""COMPUTED_VALUE"""),17400.0)</f>
        <v>17400</v>
      </c>
      <c r="C125" s="1">
        <f>IFERROR(__xludf.DUMMYFUNCTION("""COMPUTED_VALUE"""),17660.0)</f>
        <v>17660</v>
      </c>
      <c r="D125" s="1">
        <f>IFERROR(__xludf.DUMMYFUNCTION("""COMPUTED_VALUE"""),17380.0)</f>
        <v>17380</v>
      </c>
      <c r="E125" s="1">
        <f>IFERROR(__xludf.DUMMYFUNCTION("""COMPUTED_VALUE"""),17560.0)</f>
        <v>17560</v>
      </c>
      <c r="F125" s="1">
        <f>IFERROR(__xludf.DUMMYFUNCTION("""COMPUTED_VALUE"""),428789.0)</f>
        <v>428789</v>
      </c>
    </row>
    <row r="126">
      <c r="A126" s="2">
        <f>IFERROR(__xludf.DUMMYFUNCTION("""COMPUTED_VALUE"""),40729.645833333336)</f>
        <v>40729.64583</v>
      </c>
      <c r="B126" s="1">
        <f>IFERROR(__xludf.DUMMYFUNCTION("""COMPUTED_VALUE"""),17600.0)</f>
        <v>17600</v>
      </c>
      <c r="C126" s="1">
        <f>IFERROR(__xludf.DUMMYFUNCTION("""COMPUTED_VALUE"""),17980.0)</f>
        <v>17980</v>
      </c>
      <c r="D126" s="1">
        <f>IFERROR(__xludf.DUMMYFUNCTION("""COMPUTED_VALUE"""),17560.0)</f>
        <v>17560</v>
      </c>
      <c r="E126" s="1">
        <f>IFERROR(__xludf.DUMMYFUNCTION("""COMPUTED_VALUE"""),17980.0)</f>
        <v>17980</v>
      </c>
      <c r="F126" s="1">
        <f>IFERROR(__xludf.DUMMYFUNCTION("""COMPUTED_VALUE"""),422144.0)</f>
        <v>422144</v>
      </c>
    </row>
    <row r="127">
      <c r="A127" s="2">
        <f>IFERROR(__xludf.DUMMYFUNCTION("""COMPUTED_VALUE"""),40730.645833333336)</f>
        <v>40730.64583</v>
      </c>
      <c r="B127" s="1">
        <f>IFERROR(__xludf.DUMMYFUNCTION("""COMPUTED_VALUE"""),17860.0)</f>
        <v>17860</v>
      </c>
      <c r="C127" s="1">
        <f>IFERROR(__xludf.DUMMYFUNCTION("""COMPUTED_VALUE"""),17960.0)</f>
        <v>17960</v>
      </c>
      <c r="D127" s="1">
        <f>IFERROR(__xludf.DUMMYFUNCTION("""COMPUTED_VALUE"""),17740.0)</f>
        <v>17740</v>
      </c>
      <c r="E127" s="1">
        <f>IFERROR(__xludf.DUMMYFUNCTION("""COMPUTED_VALUE"""),17960.0)</f>
        <v>17960</v>
      </c>
      <c r="F127" s="1">
        <f>IFERROR(__xludf.DUMMYFUNCTION("""COMPUTED_VALUE"""),224302.0)</f>
        <v>224302</v>
      </c>
    </row>
    <row r="128">
      <c r="A128" s="2">
        <f>IFERROR(__xludf.DUMMYFUNCTION("""COMPUTED_VALUE"""),40731.645833333336)</f>
        <v>40731.64583</v>
      </c>
      <c r="B128" s="1">
        <f>IFERROR(__xludf.DUMMYFUNCTION("""COMPUTED_VALUE"""),17960.0)</f>
        <v>17960</v>
      </c>
      <c r="C128" s="1">
        <f>IFERROR(__xludf.DUMMYFUNCTION("""COMPUTED_VALUE"""),17960.0)</f>
        <v>17960</v>
      </c>
      <c r="D128" s="1">
        <f>IFERROR(__xludf.DUMMYFUNCTION("""COMPUTED_VALUE"""),17580.0)</f>
        <v>17580</v>
      </c>
      <c r="E128" s="1">
        <f>IFERROR(__xludf.DUMMYFUNCTION("""COMPUTED_VALUE"""),17600.0)</f>
        <v>17600</v>
      </c>
      <c r="F128" s="1">
        <f>IFERROR(__xludf.DUMMYFUNCTION("""COMPUTED_VALUE"""),357224.0)</f>
        <v>357224</v>
      </c>
    </row>
    <row r="129">
      <c r="A129" s="2">
        <f>IFERROR(__xludf.DUMMYFUNCTION("""COMPUTED_VALUE"""),40732.645833333336)</f>
        <v>40732.64583</v>
      </c>
      <c r="B129" s="1">
        <f>IFERROR(__xludf.DUMMYFUNCTION("""COMPUTED_VALUE"""),17600.0)</f>
        <v>17600</v>
      </c>
      <c r="C129" s="1">
        <f>IFERROR(__xludf.DUMMYFUNCTION("""COMPUTED_VALUE"""),17760.0)</f>
        <v>17760</v>
      </c>
      <c r="D129" s="1">
        <f>IFERROR(__xludf.DUMMYFUNCTION("""COMPUTED_VALUE"""),17460.0)</f>
        <v>17460</v>
      </c>
      <c r="E129" s="1">
        <f>IFERROR(__xludf.DUMMYFUNCTION("""COMPUTED_VALUE"""),17700.0)</f>
        <v>17700</v>
      </c>
      <c r="F129" s="1">
        <f>IFERROR(__xludf.DUMMYFUNCTION("""COMPUTED_VALUE"""),241409.0)</f>
        <v>241409</v>
      </c>
    </row>
    <row r="130">
      <c r="A130" s="2">
        <f>IFERROR(__xludf.DUMMYFUNCTION("""COMPUTED_VALUE"""),40735.645833333336)</f>
        <v>40735.64583</v>
      </c>
      <c r="B130" s="1">
        <f>IFERROR(__xludf.DUMMYFUNCTION("""COMPUTED_VALUE"""),17600.0)</f>
        <v>17600</v>
      </c>
      <c r="C130" s="1">
        <f>IFERROR(__xludf.DUMMYFUNCTION("""COMPUTED_VALUE"""),17600.0)</f>
        <v>17600</v>
      </c>
      <c r="D130" s="1">
        <f>IFERROR(__xludf.DUMMYFUNCTION("""COMPUTED_VALUE"""),17240.0)</f>
        <v>17240</v>
      </c>
      <c r="E130" s="1">
        <f>IFERROR(__xludf.DUMMYFUNCTION("""COMPUTED_VALUE"""),17300.0)</f>
        <v>17300</v>
      </c>
      <c r="F130" s="1">
        <f>IFERROR(__xludf.DUMMYFUNCTION("""COMPUTED_VALUE"""),319490.0)</f>
        <v>319490</v>
      </c>
    </row>
    <row r="131">
      <c r="A131" s="2">
        <f>IFERROR(__xludf.DUMMYFUNCTION("""COMPUTED_VALUE"""),40736.645833333336)</f>
        <v>40736.64583</v>
      </c>
      <c r="B131" s="1">
        <f>IFERROR(__xludf.DUMMYFUNCTION("""COMPUTED_VALUE"""),17200.0)</f>
        <v>17200</v>
      </c>
      <c r="C131" s="1">
        <f>IFERROR(__xludf.DUMMYFUNCTION("""COMPUTED_VALUE"""),17220.0)</f>
        <v>17220</v>
      </c>
      <c r="D131" s="1">
        <f>IFERROR(__xludf.DUMMYFUNCTION("""COMPUTED_VALUE"""),16920.0)</f>
        <v>16920</v>
      </c>
      <c r="E131" s="1">
        <f>IFERROR(__xludf.DUMMYFUNCTION("""COMPUTED_VALUE"""),17000.0)</f>
        <v>17000</v>
      </c>
      <c r="F131" s="1">
        <f>IFERROR(__xludf.DUMMYFUNCTION("""COMPUTED_VALUE"""),247944.0)</f>
        <v>247944</v>
      </c>
    </row>
    <row r="132">
      <c r="A132" s="2">
        <f>IFERROR(__xludf.DUMMYFUNCTION("""COMPUTED_VALUE"""),40737.645833333336)</f>
        <v>40737.64583</v>
      </c>
      <c r="B132" s="1">
        <f>IFERROR(__xludf.DUMMYFUNCTION("""COMPUTED_VALUE"""),16960.0)</f>
        <v>16960</v>
      </c>
      <c r="C132" s="1">
        <f>IFERROR(__xludf.DUMMYFUNCTION("""COMPUTED_VALUE"""),17100.0)</f>
        <v>17100</v>
      </c>
      <c r="D132" s="1">
        <f>IFERROR(__xludf.DUMMYFUNCTION("""COMPUTED_VALUE"""),16720.0)</f>
        <v>16720</v>
      </c>
      <c r="E132" s="1">
        <f>IFERROR(__xludf.DUMMYFUNCTION("""COMPUTED_VALUE"""),16860.0)</f>
        <v>16860</v>
      </c>
      <c r="F132" s="1">
        <f>IFERROR(__xludf.DUMMYFUNCTION("""COMPUTED_VALUE"""),328612.0)</f>
        <v>328612</v>
      </c>
    </row>
    <row r="133">
      <c r="A133" s="2">
        <f>IFERROR(__xludf.DUMMYFUNCTION("""COMPUTED_VALUE"""),40738.645833333336)</f>
        <v>40738.64583</v>
      </c>
      <c r="B133" s="1">
        <f>IFERROR(__xludf.DUMMYFUNCTION("""COMPUTED_VALUE"""),16700.0)</f>
        <v>16700</v>
      </c>
      <c r="C133" s="1">
        <f>IFERROR(__xludf.DUMMYFUNCTION("""COMPUTED_VALUE"""),16700.0)</f>
        <v>16700</v>
      </c>
      <c r="D133" s="1">
        <f>IFERROR(__xludf.DUMMYFUNCTION("""COMPUTED_VALUE"""),16460.0)</f>
        <v>16460</v>
      </c>
      <c r="E133" s="1">
        <f>IFERROR(__xludf.DUMMYFUNCTION("""COMPUTED_VALUE"""),16620.0)</f>
        <v>16620</v>
      </c>
      <c r="F133" s="1">
        <f>IFERROR(__xludf.DUMMYFUNCTION("""COMPUTED_VALUE"""),407267.0)</f>
        <v>407267</v>
      </c>
    </row>
    <row r="134">
      <c r="A134" s="2">
        <f>IFERROR(__xludf.DUMMYFUNCTION("""COMPUTED_VALUE"""),40739.645833333336)</f>
        <v>40739.64583</v>
      </c>
      <c r="B134" s="1">
        <f>IFERROR(__xludf.DUMMYFUNCTION("""COMPUTED_VALUE"""),16600.0)</f>
        <v>16600</v>
      </c>
      <c r="C134" s="1">
        <f>IFERROR(__xludf.DUMMYFUNCTION("""COMPUTED_VALUE"""),16800.0)</f>
        <v>16800</v>
      </c>
      <c r="D134" s="1">
        <f>IFERROR(__xludf.DUMMYFUNCTION("""COMPUTED_VALUE"""),16420.0)</f>
        <v>16420</v>
      </c>
      <c r="E134" s="1">
        <f>IFERROR(__xludf.DUMMYFUNCTION("""COMPUTED_VALUE"""),16640.0)</f>
        <v>16640</v>
      </c>
      <c r="F134" s="1">
        <f>IFERROR(__xludf.DUMMYFUNCTION("""COMPUTED_VALUE"""),272436.0)</f>
        <v>272436</v>
      </c>
    </row>
    <row r="135">
      <c r="A135" s="2">
        <f>IFERROR(__xludf.DUMMYFUNCTION("""COMPUTED_VALUE"""),40742.645833333336)</f>
        <v>40742.64583</v>
      </c>
      <c r="B135" s="1">
        <f>IFERROR(__xludf.DUMMYFUNCTION("""COMPUTED_VALUE"""),16560.0)</f>
        <v>16560</v>
      </c>
      <c r="C135" s="1">
        <f>IFERROR(__xludf.DUMMYFUNCTION("""COMPUTED_VALUE"""),16600.0)</f>
        <v>16600</v>
      </c>
      <c r="D135" s="1">
        <f>IFERROR(__xludf.DUMMYFUNCTION("""COMPUTED_VALUE"""),16220.0)</f>
        <v>16220</v>
      </c>
      <c r="E135" s="1">
        <f>IFERROR(__xludf.DUMMYFUNCTION("""COMPUTED_VALUE"""),16260.0)</f>
        <v>16260</v>
      </c>
      <c r="F135" s="1">
        <f>IFERROR(__xludf.DUMMYFUNCTION("""COMPUTED_VALUE"""),363781.0)</f>
        <v>363781</v>
      </c>
    </row>
    <row r="136">
      <c r="A136" s="2">
        <f>IFERROR(__xludf.DUMMYFUNCTION("""COMPUTED_VALUE"""),40743.645833333336)</f>
        <v>40743.64583</v>
      </c>
      <c r="B136" s="1">
        <f>IFERROR(__xludf.DUMMYFUNCTION("""COMPUTED_VALUE"""),16120.0)</f>
        <v>16120</v>
      </c>
      <c r="C136" s="1">
        <f>IFERROR(__xludf.DUMMYFUNCTION("""COMPUTED_VALUE"""),16540.0)</f>
        <v>16540</v>
      </c>
      <c r="D136" s="1">
        <f>IFERROR(__xludf.DUMMYFUNCTION("""COMPUTED_VALUE"""),16120.0)</f>
        <v>16120</v>
      </c>
      <c r="E136" s="1">
        <f>IFERROR(__xludf.DUMMYFUNCTION("""COMPUTED_VALUE"""),16440.0)</f>
        <v>16440</v>
      </c>
      <c r="F136" s="1">
        <f>IFERROR(__xludf.DUMMYFUNCTION("""COMPUTED_VALUE"""),290742.0)</f>
        <v>290742</v>
      </c>
    </row>
    <row r="137">
      <c r="A137" s="2">
        <f>IFERROR(__xludf.DUMMYFUNCTION("""COMPUTED_VALUE"""),40744.645833333336)</f>
        <v>40744.64583</v>
      </c>
      <c r="B137" s="1">
        <f>IFERROR(__xludf.DUMMYFUNCTION("""COMPUTED_VALUE"""),16800.0)</f>
        <v>16800</v>
      </c>
      <c r="C137" s="1">
        <f>IFERROR(__xludf.DUMMYFUNCTION("""COMPUTED_VALUE"""),17080.0)</f>
        <v>17080</v>
      </c>
      <c r="D137" s="1">
        <f>IFERROR(__xludf.DUMMYFUNCTION("""COMPUTED_VALUE"""),16780.0)</f>
        <v>16780</v>
      </c>
      <c r="E137" s="1">
        <f>IFERROR(__xludf.DUMMYFUNCTION("""COMPUTED_VALUE"""),17020.0)</f>
        <v>17020</v>
      </c>
      <c r="F137" s="1">
        <f>IFERROR(__xludf.DUMMYFUNCTION("""COMPUTED_VALUE"""),421583.0)</f>
        <v>421583</v>
      </c>
    </row>
    <row r="138">
      <c r="A138" s="2">
        <f>IFERROR(__xludf.DUMMYFUNCTION("""COMPUTED_VALUE"""),40745.645833333336)</f>
        <v>40745.64583</v>
      </c>
      <c r="B138" s="1">
        <f>IFERROR(__xludf.DUMMYFUNCTION("""COMPUTED_VALUE"""),16920.0)</f>
        <v>16920</v>
      </c>
      <c r="C138" s="1">
        <f>IFERROR(__xludf.DUMMYFUNCTION("""COMPUTED_VALUE"""),17020.0)</f>
        <v>17020</v>
      </c>
      <c r="D138" s="1">
        <f>IFERROR(__xludf.DUMMYFUNCTION("""COMPUTED_VALUE"""),16640.0)</f>
        <v>16640</v>
      </c>
      <c r="E138" s="1">
        <f>IFERROR(__xludf.DUMMYFUNCTION("""COMPUTED_VALUE"""),16840.0)</f>
        <v>16840</v>
      </c>
      <c r="F138" s="1">
        <f>IFERROR(__xludf.DUMMYFUNCTION("""COMPUTED_VALUE"""),206871.0)</f>
        <v>206871</v>
      </c>
    </row>
    <row r="139">
      <c r="A139" s="2">
        <f>IFERROR(__xludf.DUMMYFUNCTION("""COMPUTED_VALUE"""),40746.645833333336)</f>
        <v>40746.64583</v>
      </c>
      <c r="B139" s="1">
        <f>IFERROR(__xludf.DUMMYFUNCTION("""COMPUTED_VALUE"""),17000.0)</f>
        <v>17000</v>
      </c>
      <c r="C139" s="1">
        <f>IFERROR(__xludf.DUMMYFUNCTION("""COMPUTED_VALUE"""),17120.0)</f>
        <v>17120</v>
      </c>
      <c r="D139" s="1">
        <f>IFERROR(__xludf.DUMMYFUNCTION("""COMPUTED_VALUE"""),16840.0)</f>
        <v>16840</v>
      </c>
      <c r="E139" s="1">
        <f>IFERROR(__xludf.DUMMYFUNCTION("""COMPUTED_VALUE"""),17000.0)</f>
        <v>17000</v>
      </c>
      <c r="F139" s="1">
        <f>IFERROR(__xludf.DUMMYFUNCTION("""COMPUTED_VALUE"""),243592.0)</f>
        <v>243592</v>
      </c>
    </row>
    <row r="140">
      <c r="A140" s="2">
        <f>IFERROR(__xludf.DUMMYFUNCTION("""COMPUTED_VALUE"""),40749.645833333336)</f>
        <v>40749.64583</v>
      </c>
      <c r="B140" s="1">
        <f>IFERROR(__xludf.DUMMYFUNCTION("""COMPUTED_VALUE"""),17000.0)</f>
        <v>17000</v>
      </c>
      <c r="C140" s="1">
        <f>IFERROR(__xludf.DUMMYFUNCTION("""COMPUTED_VALUE"""),17000.0)</f>
        <v>17000</v>
      </c>
      <c r="D140" s="1">
        <f>IFERROR(__xludf.DUMMYFUNCTION("""COMPUTED_VALUE"""),16680.0)</f>
        <v>16680</v>
      </c>
      <c r="E140" s="1">
        <f>IFERROR(__xludf.DUMMYFUNCTION("""COMPUTED_VALUE"""),16940.0)</f>
        <v>16940</v>
      </c>
      <c r="F140" s="1">
        <f>IFERROR(__xludf.DUMMYFUNCTION("""COMPUTED_VALUE"""),189936.0)</f>
        <v>189936</v>
      </c>
    </row>
    <row r="141">
      <c r="A141" s="2">
        <f>IFERROR(__xludf.DUMMYFUNCTION("""COMPUTED_VALUE"""),40750.645833333336)</f>
        <v>40750.64583</v>
      </c>
      <c r="B141" s="1">
        <f>IFERROR(__xludf.DUMMYFUNCTION("""COMPUTED_VALUE"""),16860.0)</f>
        <v>16860</v>
      </c>
      <c r="C141" s="1">
        <f>IFERROR(__xludf.DUMMYFUNCTION("""COMPUTED_VALUE"""),17020.0)</f>
        <v>17020</v>
      </c>
      <c r="D141" s="1">
        <f>IFERROR(__xludf.DUMMYFUNCTION("""COMPUTED_VALUE"""),16800.0)</f>
        <v>16800</v>
      </c>
      <c r="E141" s="1">
        <f>IFERROR(__xludf.DUMMYFUNCTION("""COMPUTED_VALUE"""),17000.0)</f>
        <v>17000</v>
      </c>
      <c r="F141" s="1">
        <f>IFERROR(__xludf.DUMMYFUNCTION("""COMPUTED_VALUE"""),225198.0)</f>
        <v>225198</v>
      </c>
    </row>
    <row r="142">
      <c r="A142" s="2">
        <f>IFERROR(__xludf.DUMMYFUNCTION("""COMPUTED_VALUE"""),40751.645833333336)</f>
        <v>40751.64583</v>
      </c>
      <c r="B142" s="1">
        <f>IFERROR(__xludf.DUMMYFUNCTION("""COMPUTED_VALUE"""),16960.0)</f>
        <v>16960</v>
      </c>
      <c r="C142" s="1">
        <f>IFERROR(__xludf.DUMMYFUNCTION("""COMPUTED_VALUE"""),16960.0)</f>
        <v>16960</v>
      </c>
      <c r="D142" s="1">
        <f>IFERROR(__xludf.DUMMYFUNCTION("""COMPUTED_VALUE"""),16720.0)</f>
        <v>16720</v>
      </c>
      <c r="E142" s="1">
        <f>IFERROR(__xludf.DUMMYFUNCTION("""COMPUTED_VALUE"""),16900.0)</f>
        <v>16900</v>
      </c>
      <c r="F142" s="1">
        <f>IFERROR(__xludf.DUMMYFUNCTION("""COMPUTED_VALUE"""),201589.0)</f>
        <v>201589</v>
      </c>
    </row>
    <row r="143">
      <c r="A143" s="2">
        <f>IFERROR(__xludf.DUMMYFUNCTION("""COMPUTED_VALUE"""),40752.645833333336)</f>
        <v>40752.64583</v>
      </c>
      <c r="B143" s="1">
        <f>IFERROR(__xludf.DUMMYFUNCTION("""COMPUTED_VALUE"""),16560.0)</f>
        <v>16560</v>
      </c>
      <c r="C143" s="1">
        <f>IFERROR(__xludf.DUMMYFUNCTION("""COMPUTED_VALUE"""),16800.0)</f>
        <v>16800</v>
      </c>
      <c r="D143" s="1">
        <f>IFERROR(__xludf.DUMMYFUNCTION("""COMPUTED_VALUE"""),16520.0)</f>
        <v>16520</v>
      </c>
      <c r="E143" s="1">
        <f>IFERROR(__xludf.DUMMYFUNCTION("""COMPUTED_VALUE"""),16740.0)</f>
        <v>16740</v>
      </c>
      <c r="F143" s="1">
        <f>IFERROR(__xludf.DUMMYFUNCTION("""COMPUTED_VALUE"""),272463.0)</f>
        <v>272463</v>
      </c>
    </row>
    <row r="144">
      <c r="A144" s="2">
        <f>IFERROR(__xludf.DUMMYFUNCTION("""COMPUTED_VALUE"""),40753.645833333336)</f>
        <v>40753.64583</v>
      </c>
      <c r="B144" s="1">
        <f>IFERROR(__xludf.DUMMYFUNCTION("""COMPUTED_VALUE"""),16920.0)</f>
        <v>16920</v>
      </c>
      <c r="C144" s="1">
        <f>IFERROR(__xludf.DUMMYFUNCTION("""COMPUTED_VALUE"""),17040.0)</f>
        <v>17040</v>
      </c>
      <c r="D144" s="1">
        <f>IFERROR(__xludf.DUMMYFUNCTION("""COMPUTED_VALUE"""),16740.0)</f>
        <v>16740</v>
      </c>
      <c r="E144" s="1">
        <f>IFERROR(__xludf.DUMMYFUNCTION("""COMPUTED_VALUE"""),16880.0)</f>
        <v>16880</v>
      </c>
      <c r="F144" s="1">
        <f>IFERROR(__xludf.DUMMYFUNCTION("""COMPUTED_VALUE"""),301783.0)</f>
        <v>301783</v>
      </c>
    </row>
    <row r="145">
      <c r="A145" s="2">
        <f>IFERROR(__xludf.DUMMYFUNCTION("""COMPUTED_VALUE"""),40756.645833333336)</f>
        <v>40756.64583</v>
      </c>
      <c r="B145" s="1">
        <f>IFERROR(__xludf.DUMMYFUNCTION("""COMPUTED_VALUE"""),17100.0)</f>
        <v>17100</v>
      </c>
      <c r="C145" s="1">
        <f>IFERROR(__xludf.DUMMYFUNCTION("""COMPUTED_VALUE"""),17500.0)</f>
        <v>17500</v>
      </c>
      <c r="D145" s="1">
        <f>IFERROR(__xludf.DUMMYFUNCTION("""COMPUTED_VALUE"""),17100.0)</f>
        <v>17100</v>
      </c>
      <c r="E145" s="1">
        <f>IFERROR(__xludf.DUMMYFUNCTION("""COMPUTED_VALUE"""),17400.0)</f>
        <v>17400</v>
      </c>
      <c r="F145" s="1">
        <f>IFERROR(__xludf.DUMMYFUNCTION("""COMPUTED_VALUE"""),388648.0)</f>
        <v>388648</v>
      </c>
    </row>
    <row r="146">
      <c r="A146" s="2">
        <f>IFERROR(__xludf.DUMMYFUNCTION("""COMPUTED_VALUE"""),40757.645833333336)</f>
        <v>40757.64583</v>
      </c>
      <c r="B146" s="1">
        <f>IFERROR(__xludf.DUMMYFUNCTION("""COMPUTED_VALUE"""),17060.0)</f>
        <v>17060</v>
      </c>
      <c r="C146" s="1">
        <f>IFERROR(__xludf.DUMMYFUNCTION("""COMPUTED_VALUE"""),17180.0)</f>
        <v>17180</v>
      </c>
      <c r="D146" s="1">
        <f>IFERROR(__xludf.DUMMYFUNCTION("""COMPUTED_VALUE"""),17000.0)</f>
        <v>17000</v>
      </c>
      <c r="E146" s="1">
        <f>IFERROR(__xludf.DUMMYFUNCTION("""COMPUTED_VALUE"""),17040.0)</f>
        <v>17040</v>
      </c>
      <c r="F146" s="1">
        <f>IFERROR(__xludf.DUMMYFUNCTION("""COMPUTED_VALUE"""),269731.0)</f>
        <v>269731</v>
      </c>
    </row>
    <row r="147">
      <c r="A147" s="2">
        <f>IFERROR(__xludf.DUMMYFUNCTION("""COMPUTED_VALUE"""),40758.645833333336)</f>
        <v>40758.64583</v>
      </c>
      <c r="B147" s="1">
        <f>IFERROR(__xludf.DUMMYFUNCTION("""COMPUTED_VALUE"""),16800.0)</f>
        <v>16800</v>
      </c>
      <c r="C147" s="1">
        <f>IFERROR(__xludf.DUMMYFUNCTION("""COMPUTED_VALUE"""),16880.0)</f>
        <v>16880</v>
      </c>
      <c r="D147" s="1">
        <f>IFERROR(__xludf.DUMMYFUNCTION("""COMPUTED_VALUE"""),16480.0)</f>
        <v>16480</v>
      </c>
      <c r="E147" s="1">
        <f>IFERROR(__xludf.DUMMYFUNCTION("""COMPUTED_VALUE"""),16660.0)</f>
        <v>16660</v>
      </c>
      <c r="F147" s="1">
        <f>IFERROR(__xludf.DUMMYFUNCTION("""COMPUTED_VALUE"""),408344.0)</f>
        <v>408344</v>
      </c>
    </row>
    <row r="148">
      <c r="A148" s="2">
        <f>IFERROR(__xludf.DUMMYFUNCTION("""COMPUTED_VALUE"""),40759.645833333336)</f>
        <v>40759.64583</v>
      </c>
      <c r="B148" s="1">
        <f>IFERROR(__xludf.DUMMYFUNCTION("""COMPUTED_VALUE"""),16780.0)</f>
        <v>16780</v>
      </c>
      <c r="C148" s="1">
        <f>IFERROR(__xludf.DUMMYFUNCTION("""COMPUTED_VALUE"""),16780.0)</f>
        <v>16780</v>
      </c>
      <c r="D148" s="1">
        <f>IFERROR(__xludf.DUMMYFUNCTION("""COMPUTED_VALUE"""),16300.0)</f>
        <v>16300</v>
      </c>
      <c r="E148" s="1">
        <f>IFERROR(__xludf.DUMMYFUNCTION("""COMPUTED_VALUE"""),16420.0)</f>
        <v>16420</v>
      </c>
      <c r="F148" s="1">
        <f>IFERROR(__xludf.DUMMYFUNCTION("""COMPUTED_VALUE"""),346155.0)</f>
        <v>346155</v>
      </c>
    </row>
    <row r="149">
      <c r="A149" s="2">
        <f>IFERROR(__xludf.DUMMYFUNCTION("""COMPUTED_VALUE"""),40760.645833333336)</f>
        <v>40760.64583</v>
      </c>
      <c r="B149" s="1">
        <f>IFERROR(__xludf.DUMMYFUNCTION("""COMPUTED_VALUE"""),15840.0)</f>
        <v>15840</v>
      </c>
      <c r="C149" s="1">
        <f>IFERROR(__xludf.DUMMYFUNCTION("""COMPUTED_VALUE"""),16100.0)</f>
        <v>16100</v>
      </c>
      <c r="D149" s="1">
        <f>IFERROR(__xludf.DUMMYFUNCTION("""COMPUTED_VALUE"""),15780.0)</f>
        <v>15780</v>
      </c>
      <c r="E149" s="1">
        <f>IFERROR(__xludf.DUMMYFUNCTION("""COMPUTED_VALUE"""),15780.0)</f>
        <v>15780</v>
      </c>
      <c r="F149" s="1">
        <f>IFERROR(__xludf.DUMMYFUNCTION("""COMPUTED_VALUE"""),607850.0)</f>
        <v>607850</v>
      </c>
    </row>
    <row r="150">
      <c r="A150" s="2">
        <f>IFERROR(__xludf.DUMMYFUNCTION("""COMPUTED_VALUE"""),40763.645833333336)</f>
        <v>40763.64583</v>
      </c>
      <c r="B150" s="1">
        <f>IFERROR(__xludf.DUMMYFUNCTION("""COMPUTED_VALUE"""),15400.0)</f>
        <v>15400</v>
      </c>
      <c r="C150" s="1">
        <f>IFERROR(__xludf.DUMMYFUNCTION("""COMPUTED_VALUE"""),15780.0)</f>
        <v>15780</v>
      </c>
      <c r="D150" s="1">
        <f>IFERROR(__xludf.DUMMYFUNCTION("""COMPUTED_VALUE"""),15200.0)</f>
        <v>15200</v>
      </c>
      <c r="E150" s="1">
        <f>IFERROR(__xludf.DUMMYFUNCTION("""COMPUTED_VALUE"""),15200.0)</f>
        <v>15200</v>
      </c>
      <c r="F150" s="1">
        <f>IFERROR(__xludf.DUMMYFUNCTION("""COMPUTED_VALUE"""),605927.0)</f>
        <v>605927</v>
      </c>
    </row>
    <row r="151">
      <c r="A151" s="2">
        <f>IFERROR(__xludf.DUMMYFUNCTION("""COMPUTED_VALUE"""),40764.645833333336)</f>
        <v>40764.64583</v>
      </c>
      <c r="B151" s="1">
        <f>IFERROR(__xludf.DUMMYFUNCTION("""COMPUTED_VALUE"""),15000.0)</f>
        <v>15000</v>
      </c>
      <c r="C151" s="1">
        <f>IFERROR(__xludf.DUMMYFUNCTION("""COMPUTED_VALUE"""),15060.0)</f>
        <v>15060</v>
      </c>
      <c r="D151" s="1">
        <f>IFERROR(__xludf.DUMMYFUNCTION("""COMPUTED_VALUE"""),13920.0)</f>
        <v>13920</v>
      </c>
      <c r="E151" s="1">
        <f>IFERROR(__xludf.DUMMYFUNCTION("""COMPUTED_VALUE"""),14480.0)</f>
        <v>14480</v>
      </c>
      <c r="F151" s="1">
        <f>IFERROR(__xludf.DUMMYFUNCTION("""COMPUTED_VALUE"""),985984.0)</f>
        <v>985984</v>
      </c>
    </row>
    <row r="152">
      <c r="A152" s="2">
        <f>IFERROR(__xludf.DUMMYFUNCTION("""COMPUTED_VALUE"""),40765.645833333336)</f>
        <v>40765.64583</v>
      </c>
      <c r="B152" s="1">
        <f>IFERROR(__xludf.DUMMYFUNCTION("""COMPUTED_VALUE"""),15200.0)</f>
        <v>15200</v>
      </c>
      <c r="C152" s="1">
        <f>IFERROR(__xludf.DUMMYFUNCTION("""COMPUTED_VALUE"""),15200.0)</f>
        <v>15200</v>
      </c>
      <c r="D152" s="1">
        <f>IFERROR(__xludf.DUMMYFUNCTION("""COMPUTED_VALUE"""),14400.0)</f>
        <v>14400</v>
      </c>
      <c r="E152" s="1">
        <f>IFERROR(__xludf.DUMMYFUNCTION("""COMPUTED_VALUE"""),14400.0)</f>
        <v>14400</v>
      </c>
      <c r="F152" s="1">
        <f>IFERROR(__xludf.DUMMYFUNCTION("""COMPUTED_VALUE"""),984890.0)</f>
        <v>984890</v>
      </c>
    </row>
    <row r="153">
      <c r="A153" s="2">
        <f>IFERROR(__xludf.DUMMYFUNCTION("""COMPUTED_VALUE"""),40766.645833333336)</f>
        <v>40766.64583</v>
      </c>
      <c r="B153" s="1">
        <f>IFERROR(__xludf.DUMMYFUNCTION("""COMPUTED_VALUE"""),13760.0)</f>
        <v>13760</v>
      </c>
      <c r="C153" s="1">
        <f>IFERROR(__xludf.DUMMYFUNCTION("""COMPUTED_VALUE"""),14500.0)</f>
        <v>14500</v>
      </c>
      <c r="D153" s="1">
        <f>IFERROR(__xludf.DUMMYFUNCTION("""COMPUTED_VALUE"""),13760.0)</f>
        <v>13760</v>
      </c>
      <c r="E153" s="1">
        <f>IFERROR(__xludf.DUMMYFUNCTION("""COMPUTED_VALUE"""),14160.0)</f>
        <v>14160</v>
      </c>
      <c r="F153" s="1">
        <f>IFERROR(__xludf.DUMMYFUNCTION("""COMPUTED_VALUE"""),791603.0)</f>
        <v>791603</v>
      </c>
    </row>
    <row r="154">
      <c r="A154" s="2">
        <f>IFERROR(__xludf.DUMMYFUNCTION("""COMPUTED_VALUE"""),40767.645833333336)</f>
        <v>40767.64583</v>
      </c>
      <c r="B154" s="1">
        <f>IFERROR(__xludf.DUMMYFUNCTION("""COMPUTED_VALUE"""),14420.0)</f>
        <v>14420</v>
      </c>
      <c r="C154" s="1">
        <f>IFERROR(__xludf.DUMMYFUNCTION("""COMPUTED_VALUE"""),14440.0)</f>
        <v>14440</v>
      </c>
      <c r="D154" s="1">
        <f>IFERROR(__xludf.DUMMYFUNCTION("""COMPUTED_VALUE"""),14000.0)</f>
        <v>14000</v>
      </c>
      <c r="E154" s="1">
        <f>IFERROR(__xludf.DUMMYFUNCTION("""COMPUTED_VALUE"""),14140.0)</f>
        <v>14140</v>
      </c>
      <c r="F154" s="1">
        <f>IFERROR(__xludf.DUMMYFUNCTION("""COMPUTED_VALUE"""),676892.0)</f>
        <v>676892</v>
      </c>
    </row>
    <row r="155">
      <c r="A155" s="2">
        <f>IFERROR(__xludf.DUMMYFUNCTION("""COMPUTED_VALUE"""),40771.645833333336)</f>
        <v>40771.64583</v>
      </c>
      <c r="B155" s="1">
        <f>IFERROR(__xludf.DUMMYFUNCTION("""COMPUTED_VALUE"""),14700.0)</f>
        <v>14700</v>
      </c>
      <c r="C155" s="1">
        <f>IFERROR(__xludf.DUMMYFUNCTION("""COMPUTED_VALUE"""),15000.0)</f>
        <v>15000</v>
      </c>
      <c r="D155" s="1">
        <f>IFERROR(__xludf.DUMMYFUNCTION("""COMPUTED_VALUE"""),14520.0)</f>
        <v>14520</v>
      </c>
      <c r="E155" s="1">
        <f>IFERROR(__xludf.DUMMYFUNCTION("""COMPUTED_VALUE"""),15000.0)</f>
        <v>15000</v>
      </c>
      <c r="F155" s="1">
        <f>IFERROR(__xludf.DUMMYFUNCTION("""COMPUTED_VALUE"""),600851.0)</f>
        <v>600851</v>
      </c>
    </row>
    <row r="156">
      <c r="A156" s="2">
        <f>IFERROR(__xludf.DUMMYFUNCTION("""COMPUTED_VALUE"""),40772.645833333336)</f>
        <v>40772.64583</v>
      </c>
      <c r="B156" s="1">
        <f>IFERROR(__xludf.DUMMYFUNCTION("""COMPUTED_VALUE"""),15020.0)</f>
        <v>15020</v>
      </c>
      <c r="C156" s="1">
        <f>IFERROR(__xludf.DUMMYFUNCTION("""COMPUTED_VALUE"""),15200.0)</f>
        <v>15200</v>
      </c>
      <c r="D156" s="1">
        <f>IFERROR(__xludf.DUMMYFUNCTION("""COMPUTED_VALUE"""),14820.0)</f>
        <v>14820</v>
      </c>
      <c r="E156" s="1">
        <f>IFERROR(__xludf.DUMMYFUNCTION("""COMPUTED_VALUE"""),15040.0)</f>
        <v>15040</v>
      </c>
      <c r="F156" s="1">
        <f>IFERROR(__xludf.DUMMYFUNCTION("""COMPUTED_VALUE"""),292997.0)</f>
        <v>292997</v>
      </c>
    </row>
    <row r="157">
      <c r="A157" s="2">
        <f>IFERROR(__xludf.DUMMYFUNCTION("""COMPUTED_VALUE"""),40773.645833333336)</f>
        <v>40773.64583</v>
      </c>
      <c r="B157" s="1">
        <f>IFERROR(__xludf.DUMMYFUNCTION("""COMPUTED_VALUE"""),14960.0)</f>
        <v>14960</v>
      </c>
      <c r="C157" s="1">
        <f>IFERROR(__xludf.DUMMYFUNCTION("""COMPUTED_VALUE"""),14980.0)</f>
        <v>14980</v>
      </c>
      <c r="D157" s="1">
        <f>IFERROR(__xludf.DUMMYFUNCTION("""COMPUTED_VALUE"""),14060.0)</f>
        <v>14060</v>
      </c>
      <c r="E157" s="1">
        <f>IFERROR(__xludf.DUMMYFUNCTION("""COMPUTED_VALUE"""),14180.0)</f>
        <v>14180</v>
      </c>
      <c r="F157" s="1">
        <f>IFERROR(__xludf.DUMMYFUNCTION("""COMPUTED_VALUE"""),706720.0)</f>
        <v>706720</v>
      </c>
    </row>
    <row r="158">
      <c r="A158" s="2">
        <f>IFERROR(__xludf.DUMMYFUNCTION("""COMPUTED_VALUE"""),40774.645833333336)</f>
        <v>40774.64583</v>
      </c>
      <c r="B158" s="1">
        <f>IFERROR(__xludf.DUMMYFUNCTION("""COMPUTED_VALUE"""),13760.0)</f>
        <v>13760</v>
      </c>
      <c r="C158" s="1">
        <f>IFERROR(__xludf.DUMMYFUNCTION("""COMPUTED_VALUE"""),13940.0)</f>
        <v>13940</v>
      </c>
      <c r="D158" s="1">
        <f>IFERROR(__xludf.DUMMYFUNCTION("""COMPUTED_VALUE"""),13440.0)</f>
        <v>13440</v>
      </c>
      <c r="E158" s="1">
        <f>IFERROR(__xludf.DUMMYFUNCTION("""COMPUTED_VALUE"""),13600.0)</f>
        <v>13600</v>
      </c>
      <c r="F158" s="1">
        <f>IFERROR(__xludf.DUMMYFUNCTION("""COMPUTED_VALUE"""),579412.0)</f>
        <v>579412</v>
      </c>
    </row>
    <row r="159">
      <c r="A159" s="2">
        <f>IFERROR(__xludf.DUMMYFUNCTION("""COMPUTED_VALUE"""),40777.645833333336)</f>
        <v>40777.64583</v>
      </c>
      <c r="B159" s="1">
        <f>IFERROR(__xludf.DUMMYFUNCTION("""COMPUTED_VALUE"""),13680.0)</f>
        <v>13680</v>
      </c>
      <c r="C159" s="1">
        <f>IFERROR(__xludf.DUMMYFUNCTION("""COMPUTED_VALUE"""),14040.0)</f>
        <v>14040</v>
      </c>
      <c r="D159" s="1">
        <f>IFERROR(__xludf.DUMMYFUNCTION("""COMPUTED_VALUE"""),13660.0)</f>
        <v>13660</v>
      </c>
      <c r="E159" s="1">
        <f>IFERROR(__xludf.DUMMYFUNCTION("""COMPUTED_VALUE"""),13820.0)</f>
        <v>13820</v>
      </c>
      <c r="F159" s="1">
        <f>IFERROR(__xludf.DUMMYFUNCTION("""COMPUTED_VALUE"""),418013.0)</f>
        <v>418013</v>
      </c>
    </row>
    <row r="160">
      <c r="A160" s="2">
        <f>IFERROR(__xludf.DUMMYFUNCTION("""COMPUTED_VALUE"""),40778.645833333336)</f>
        <v>40778.64583</v>
      </c>
      <c r="B160" s="1">
        <f>IFERROR(__xludf.DUMMYFUNCTION("""COMPUTED_VALUE"""),14000.0)</f>
        <v>14000</v>
      </c>
      <c r="C160" s="1">
        <f>IFERROR(__xludf.DUMMYFUNCTION("""COMPUTED_VALUE"""),14700.0)</f>
        <v>14700</v>
      </c>
      <c r="D160" s="1">
        <f>IFERROR(__xludf.DUMMYFUNCTION("""COMPUTED_VALUE"""),13980.0)</f>
        <v>13980</v>
      </c>
      <c r="E160" s="1">
        <f>IFERROR(__xludf.DUMMYFUNCTION("""COMPUTED_VALUE"""),14460.0)</f>
        <v>14460</v>
      </c>
      <c r="F160" s="1">
        <f>IFERROR(__xludf.DUMMYFUNCTION("""COMPUTED_VALUE"""),492346.0)</f>
        <v>492346</v>
      </c>
    </row>
    <row r="161">
      <c r="A161" s="2">
        <f>IFERROR(__xludf.DUMMYFUNCTION("""COMPUTED_VALUE"""),40779.645833333336)</f>
        <v>40779.64583</v>
      </c>
      <c r="B161" s="1">
        <f>IFERROR(__xludf.DUMMYFUNCTION("""COMPUTED_VALUE"""),14480.0)</f>
        <v>14480</v>
      </c>
      <c r="C161" s="1">
        <f>IFERROR(__xludf.DUMMYFUNCTION("""COMPUTED_VALUE"""),14700.0)</f>
        <v>14700</v>
      </c>
      <c r="D161" s="1">
        <f>IFERROR(__xludf.DUMMYFUNCTION("""COMPUTED_VALUE"""),14000.0)</f>
        <v>14000</v>
      </c>
      <c r="E161" s="1">
        <f>IFERROR(__xludf.DUMMYFUNCTION("""COMPUTED_VALUE"""),14160.0)</f>
        <v>14160</v>
      </c>
      <c r="F161" s="1">
        <f>IFERROR(__xludf.DUMMYFUNCTION("""COMPUTED_VALUE"""),370173.0)</f>
        <v>370173</v>
      </c>
    </row>
    <row r="162">
      <c r="A162" s="2">
        <f>IFERROR(__xludf.DUMMYFUNCTION("""COMPUTED_VALUE"""),40780.645833333336)</f>
        <v>40780.64583</v>
      </c>
      <c r="B162" s="1">
        <f>IFERROR(__xludf.DUMMYFUNCTION("""COMPUTED_VALUE"""),14740.0)</f>
        <v>14740</v>
      </c>
      <c r="C162" s="1">
        <f>IFERROR(__xludf.DUMMYFUNCTION("""COMPUTED_VALUE"""),14760.0)</f>
        <v>14760</v>
      </c>
      <c r="D162" s="1">
        <f>IFERROR(__xludf.DUMMYFUNCTION("""COMPUTED_VALUE"""),14420.0)</f>
        <v>14420</v>
      </c>
      <c r="E162" s="1">
        <f>IFERROR(__xludf.DUMMYFUNCTION("""COMPUTED_VALUE"""),14500.0)</f>
        <v>14500</v>
      </c>
      <c r="F162" s="1">
        <f>IFERROR(__xludf.DUMMYFUNCTION("""COMPUTED_VALUE"""),380796.0)</f>
        <v>380796</v>
      </c>
    </row>
    <row r="163">
      <c r="A163" s="2">
        <f>IFERROR(__xludf.DUMMYFUNCTION("""COMPUTED_VALUE"""),40781.645833333336)</f>
        <v>40781.64583</v>
      </c>
      <c r="B163" s="1">
        <f>IFERROR(__xludf.DUMMYFUNCTION("""COMPUTED_VALUE"""),14340.0)</f>
        <v>14340</v>
      </c>
      <c r="C163" s="1">
        <f>IFERROR(__xludf.DUMMYFUNCTION("""COMPUTED_VALUE"""),14680.0)</f>
        <v>14680</v>
      </c>
      <c r="D163" s="1">
        <f>IFERROR(__xludf.DUMMYFUNCTION("""COMPUTED_VALUE"""),14340.0)</f>
        <v>14340</v>
      </c>
      <c r="E163" s="1">
        <f>IFERROR(__xludf.DUMMYFUNCTION("""COMPUTED_VALUE"""),14520.0)</f>
        <v>14520</v>
      </c>
      <c r="F163" s="1">
        <f>IFERROR(__xludf.DUMMYFUNCTION("""COMPUTED_VALUE"""),212246.0)</f>
        <v>212246</v>
      </c>
    </row>
    <row r="164">
      <c r="A164" s="2">
        <f>IFERROR(__xludf.DUMMYFUNCTION("""COMPUTED_VALUE"""),40784.645833333336)</f>
        <v>40784.64583</v>
      </c>
      <c r="B164" s="1">
        <f>IFERROR(__xludf.DUMMYFUNCTION("""COMPUTED_VALUE"""),14840.0)</f>
        <v>14840</v>
      </c>
      <c r="C164" s="1">
        <f>IFERROR(__xludf.DUMMYFUNCTION("""COMPUTED_VALUE"""),14840.0)</f>
        <v>14840</v>
      </c>
      <c r="D164" s="1">
        <f>IFERROR(__xludf.DUMMYFUNCTION("""COMPUTED_VALUE"""),14480.0)</f>
        <v>14480</v>
      </c>
      <c r="E164" s="1">
        <f>IFERROR(__xludf.DUMMYFUNCTION("""COMPUTED_VALUE"""),14660.0)</f>
        <v>14660</v>
      </c>
      <c r="F164" s="1">
        <f>IFERROR(__xludf.DUMMYFUNCTION("""COMPUTED_VALUE"""),260037.0)</f>
        <v>260037</v>
      </c>
    </row>
    <row r="165">
      <c r="A165" s="2">
        <f>IFERROR(__xludf.DUMMYFUNCTION("""COMPUTED_VALUE"""),40785.645833333336)</f>
        <v>40785.64583</v>
      </c>
      <c r="B165" s="1">
        <f>IFERROR(__xludf.DUMMYFUNCTION("""COMPUTED_VALUE"""),14820.0)</f>
        <v>14820</v>
      </c>
      <c r="C165" s="1">
        <f>IFERROR(__xludf.DUMMYFUNCTION("""COMPUTED_VALUE"""),14960.0)</f>
        <v>14960</v>
      </c>
      <c r="D165" s="1">
        <f>IFERROR(__xludf.DUMMYFUNCTION("""COMPUTED_VALUE"""),14720.0)</f>
        <v>14720</v>
      </c>
      <c r="E165" s="1">
        <f>IFERROR(__xludf.DUMMYFUNCTION("""COMPUTED_VALUE"""),14840.0)</f>
        <v>14840</v>
      </c>
      <c r="F165" s="1">
        <f>IFERROR(__xludf.DUMMYFUNCTION("""COMPUTED_VALUE"""),252592.0)</f>
        <v>252592</v>
      </c>
    </row>
    <row r="166">
      <c r="A166" s="2">
        <f>IFERROR(__xludf.DUMMYFUNCTION("""COMPUTED_VALUE"""),40786.645833333336)</f>
        <v>40786.64583</v>
      </c>
      <c r="B166" s="1">
        <f>IFERROR(__xludf.DUMMYFUNCTION("""COMPUTED_VALUE"""),14940.0)</f>
        <v>14940</v>
      </c>
      <c r="C166" s="1">
        <f>IFERROR(__xludf.DUMMYFUNCTION("""COMPUTED_VALUE"""),14940.0)</f>
        <v>14940</v>
      </c>
      <c r="D166" s="1">
        <f>IFERROR(__xludf.DUMMYFUNCTION("""COMPUTED_VALUE"""),14620.0)</f>
        <v>14620</v>
      </c>
      <c r="E166" s="1">
        <f>IFERROR(__xludf.DUMMYFUNCTION("""COMPUTED_VALUE"""),14880.0)</f>
        <v>14880</v>
      </c>
      <c r="F166" s="1">
        <f>IFERROR(__xludf.DUMMYFUNCTION("""COMPUTED_VALUE"""),289910.0)</f>
        <v>289910</v>
      </c>
    </row>
    <row r="167">
      <c r="A167" s="2">
        <f>IFERROR(__xludf.DUMMYFUNCTION("""COMPUTED_VALUE"""),40787.645833333336)</f>
        <v>40787.64583</v>
      </c>
      <c r="B167" s="1">
        <f>IFERROR(__xludf.DUMMYFUNCTION("""COMPUTED_VALUE"""),15180.0)</f>
        <v>15180</v>
      </c>
      <c r="C167" s="1">
        <f>IFERROR(__xludf.DUMMYFUNCTION("""COMPUTED_VALUE"""),15760.0)</f>
        <v>15760</v>
      </c>
      <c r="D167" s="1">
        <f>IFERROR(__xludf.DUMMYFUNCTION("""COMPUTED_VALUE"""),14880.0)</f>
        <v>14880</v>
      </c>
      <c r="E167" s="1">
        <f>IFERROR(__xludf.DUMMYFUNCTION("""COMPUTED_VALUE"""),15420.0)</f>
        <v>15420</v>
      </c>
      <c r="F167" s="1">
        <f>IFERROR(__xludf.DUMMYFUNCTION("""COMPUTED_VALUE"""),716675.0)</f>
        <v>716675</v>
      </c>
    </row>
    <row r="168">
      <c r="A168" s="2">
        <f>IFERROR(__xludf.DUMMYFUNCTION("""COMPUTED_VALUE"""),40788.645833333336)</f>
        <v>40788.64583</v>
      </c>
      <c r="B168" s="1">
        <f>IFERROR(__xludf.DUMMYFUNCTION("""COMPUTED_VALUE"""),15300.0)</f>
        <v>15300</v>
      </c>
      <c r="C168" s="1">
        <f>IFERROR(__xludf.DUMMYFUNCTION("""COMPUTED_VALUE"""),15620.0)</f>
        <v>15620</v>
      </c>
      <c r="D168" s="1">
        <f>IFERROR(__xludf.DUMMYFUNCTION("""COMPUTED_VALUE"""),15260.0)</f>
        <v>15260</v>
      </c>
      <c r="E168" s="1">
        <f>IFERROR(__xludf.DUMMYFUNCTION("""COMPUTED_VALUE"""),15380.0)</f>
        <v>15380</v>
      </c>
      <c r="F168" s="1">
        <f>IFERROR(__xludf.DUMMYFUNCTION("""COMPUTED_VALUE"""),258308.0)</f>
        <v>258308</v>
      </c>
    </row>
    <row r="169">
      <c r="A169" s="2">
        <f>IFERROR(__xludf.DUMMYFUNCTION("""COMPUTED_VALUE"""),40791.645833333336)</f>
        <v>40791.64583</v>
      </c>
      <c r="B169" s="1">
        <f>IFERROR(__xludf.DUMMYFUNCTION("""COMPUTED_VALUE"""),15100.0)</f>
        <v>15100</v>
      </c>
      <c r="C169" s="1">
        <f>IFERROR(__xludf.DUMMYFUNCTION("""COMPUTED_VALUE"""),15120.0)</f>
        <v>15120</v>
      </c>
      <c r="D169" s="1">
        <f>IFERROR(__xludf.DUMMYFUNCTION("""COMPUTED_VALUE"""),14600.0)</f>
        <v>14600</v>
      </c>
      <c r="E169" s="1">
        <f>IFERROR(__xludf.DUMMYFUNCTION("""COMPUTED_VALUE"""),14620.0)</f>
        <v>14620</v>
      </c>
      <c r="F169" s="1">
        <f>IFERROR(__xludf.DUMMYFUNCTION("""COMPUTED_VALUE"""),277078.0)</f>
        <v>277078</v>
      </c>
    </row>
    <row r="170">
      <c r="A170" s="2">
        <f>IFERROR(__xludf.DUMMYFUNCTION("""COMPUTED_VALUE"""),40792.645833333336)</f>
        <v>40792.64583</v>
      </c>
      <c r="B170" s="1">
        <f>IFERROR(__xludf.DUMMYFUNCTION("""COMPUTED_VALUE"""),14520.0)</f>
        <v>14520</v>
      </c>
      <c r="C170" s="1">
        <f>IFERROR(__xludf.DUMMYFUNCTION("""COMPUTED_VALUE"""),14720.0)</f>
        <v>14720</v>
      </c>
      <c r="D170" s="1">
        <f>IFERROR(__xludf.DUMMYFUNCTION("""COMPUTED_VALUE"""),14200.0)</f>
        <v>14200</v>
      </c>
      <c r="E170" s="1">
        <f>IFERROR(__xludf.DUMMYFUNCTION("""COMPUTED_VALUE"""),14540.0)</f>
        <v>14540</v>
      </c>
      <c r="F170" s="1">
        <f>IFERROR(__xludf.DUMMYFUNCTION("""COMPUTED_VALUE"""),264267.0)</f>
        <v>264267</v>
      </c>
    </row>
    <row r="171">
      <c r="A171" s="2">
        <f>IFERROR(__xludf.DUMMYFUNCTION("""COMPUTED_VALUE"""),40793.645833333336)</f>
        <v>40793.64583</v>
      </c>
      <c r="B171" s="1">
        <f>IFERROR(__xludf.DUMMYFUNCTION("""COMPUTED_VALUE"""),14660.0)</f>
        <v>14660</v>
      </c>
      <c r="C171" s="1">
        <f>IFERROR(__xludf.DUMMYFUNCTION("""COMPUTED_VALUE"""),15560.0)</f>
        <v>15560</v>
      </c>
      <c r="D171" s="1">
        <f>IFERROR(__xludf.DUMMYFUNCTION("""COMPUTED_VALUE"""),14660.0)</f>
        <v>14660</v>
      </c>
      <c r="E171" s="1">
        <f>IFERROR(__xludf.DUMMYFUNCTION("""COMPUTED_VALUE"""),15460.0)</f>
        <v>15460</v>
      </c>
      <c r="F171" s="1">
        <f>IFERROR(__xludf.DUMMYFUNCTION("""COMPUTED_VALUE"""),350250.0)</f>
        <v>350250</v>
      </c>
    </row>
    <row r="172">
      <c r="A172" s="2">
        <f>IFERROR(__xludf.DUMMYFUNCTION("""COMPUTED_VALUE"""),40794.645833333336)</f>
        <v>40794.64583</v>
      </c>
      <c r="B172" s="1">
        <f>IFERROR(__xludf.DUMMYFUNCTION("""COMPUTED_VALUE"""),15600.0)</f>
        <v>15600</v>
      </c>
      <c r="C172" s="1">
        <f>IFERROR(__xludf.DUMMYFUNCTION("""COMPUTED_VALUE"""),16040.0)</f>
        <v>16040</v>
      </c>
      <c r="D172" s="1">
        <f>IFERROR(__xludf.DUMMYFUNCTION("""COMPUTED_VALUE"""),15560.0)</f>
        <v>15560</v>
      </c>
      <c r="E172" s="1">
        <f>IFERROR(__xludf.DUMMYFUNCTION("""COMPUTED_VALUE"""),15960.0)</f>
        <v>15960</v>
      </c>
      <c r="F172" s="1">
        <f>IFERROR(__xludf.DUMMYFUNCTION("""COMPUTED_VALUE"""),574610.0)</f>
        <v>574610</v>
      </c>
    </row>
    <row r="173">
      <c r="A173" s="2">
        <f>IFERROR(__xludf.DUMMYFUNCTION("""COMPUTED_VALUE"""),40795.645833333336)</f>
        <v>40795.64583</v>
      </c>
      <c r="B173" s="1">
        <f>IFERROR(__xludf.DUMMYFUNCTION("""COMPUTED_VALUE"""),15700.0)</f>
        <v>15700</v>
      </c>
      <c r="C173" s="1">
        <f>IFERROR(__xludf.DUMMYFUNCTION("""COMPUTED_VALUE"""),16240.0)</f>
        <v>16240</v>
      </c>
      <c r="D173" s="1">
        <f>IFERROR(__xludf.DUMMYFUNCTION("""COMPUTED_VALUE"""),15540.0)</f>
        <v>15540</v>
      </c>
      <c r="E173" s="1">
        <f>IFERROR(__xludf.DUMMYFUNCTION("""COMPUTED_VALUE"""),15600.0)</f>
        <v>15600</v>
      </c>
      <c r="F173" s="1">
        <f>IFERROR(__xludf.DUMMYFUNCTION("""COMPUTED_VALUE"""),361653.0)</f>
        <v>361653</v>
      </c>
    </row>
    <row r="174">
      <c r="A174" s="2">
        <f>IFERROR(__xludf.DUMMYFUNCTION("""COMPUTED_VALUE"""),40800.645833333336)</f>
        <v>40800.64583</v>
      </c>
      <c r="B174" s="1">
        <f>IFERROR(__xludf.DUMMYFUNCTION("""COMPUTED_VALUE"""),15600.0)</f>
        <v>15600</v>
      </c>
      <c r="C174" s="1">
        <f>IFERROR(__xludf.DUMMYFUNCTION("""COMPUTED_VALUE"""),15620.0)</f>
        <v>15620</v>
      </c>
      <c r="D174" s="1">
        <f>IFERROR(__xludf.DUMMYFUNCTION("""COMPUTED_VALUE"""),14820.0)</f>
        <v>14820</v>
      </c>
      <c r="E174" s="1">
        <f>IFERROR(__xludf.DUMMYFUNCTION("""COMPUTED_VALUE"""),15060.0)</f>
        <v>15060</v>
      </c>
      <c r="F174" s="1">
        <f>IFERROR(__xludf.DUMMYFUNCTION("""COMPUTED_VALUE"""),550819.0)</f>
        <v>550819</v>
      </c>
    </row>
    <row r="175">
      <c r="A175" s="2">
        <f>IFERROR(__xludf.DUMMYFUNCTION("""COMPUTED_VALUE"""),40801.645833333336)</f>
        <v>40801.64583</v>
      </c>
      <c r="B175" s="1">
        <f>IFERROR(__xludf.DUMMYFUNCTION("""COMPUTED_VALUE"""),15680.0)</f>
        <v>15680</v>
      </c>
      <c r="C175" s="1">
        <f>IFERROR(__xludf.DUMMYFUNCTION("""COMPUTED_VALUE"""),15680.0)</f>
        <v>15680</v>
      </c>
      <c r="D175" s="1">
        <f>IFERROR(__xludf.DUMMYFUNCTION("""COMPUTED_VALUE"""),15300.0)</f>
        <v>15300</v>
      </c>
      <c r="E175" s="1">
        <f>IFERROR(__xludf.DUMMYFUNCTION("""COMPUTED_VALUE"""),15420.0)</f>
        <v>15420</v>
      </c>
      <c r="F175" s="1">
        <f>IFERROR(__xludf.DUMMYFUNCTION("""COMPUTED_VALUE"""),426367.0)</f>
        <v>426367</v>
      </c>
    </row>
    <row r="176">
      <c r="A176" s="2">
        <f>IFERROR(__xludf.DUMMYFUNCTION("""COMPUTED_VALUE"""),40802.645833333336)</f>
        <v>40802.64583</v>
      </c>
      <c r="B176" s="1">
        <f>IFERROR(__xludf.DUMMYFUNCTION("""COMPUTED_VALUE"""),15880.0)</f>
        <v>15880</v>
      </c>
      <c r="C176" s="1">
        <f>IFERROR(__xludf.DUMMYFUNCTION("""COMPUTED_VALUE"""),16220.0)</f>
        <v>16220</v>
      </c>
      <c r="D176" s="1">
        <f>IFERROR(__xludf.DUMMYFUNCTION("""COMPUTED_VALUE"""),15840.0)</f>
        <v>15840</v>
      </c>
      <c r="E176" s="1">
        <f>IFERROR(__xludf.DUMMYFUNCTION("""COMPUTED_VALUE"""),15960.0)</f>
        <v>15960</v>
      </c>
      <c r="F176" s="1">
        <f>IFERROR(__xludf.DUMMYFUNCTION("""COMPUTED_VALUE"""),476222.0)</f>
        <v>476222</v>
      </c>
    </row>
    <row r="177">
      <c r="A177" s="2">
        <f>IFERROR(__xludf.DUMMYFUNCTION("""COMPUTED_VALUE"""),40805.645833333336)</f>
        <v>40805.64583</v>
      </c>
      <c r="B177" s="1">
        <f>IFERROR(__xludf.DUMMYFUNCTION("""COMPUTED_VALUE"""),16000.0)</f>
        <v>16000</v>
      </c>
      <c r="C177" s="1">
        <f>IFERROR(__xludf.DUMMYFUNCTION("""COMPUTED_VALUE"""),16280.0)</f>
        <v>16280</v>
      </c>
      <c r="D177" s="1">
        <f>IFERROR(__xludf.DUMMYFUNCTION("""COMPUTED_VALUE"""),15760.0)</f>
        <v>15760</v>
      </c>
      <c r="E177" s="1">
        <f>IFERROR(__xludf.DUMMYFUNCTION("""COMPUTED_VALUE"""),16160.0)</f>
        <v>16160</v>
      </c>
      <c r="F177" s="1">
        <f>IFERROR(__xludf.DUMMYFUNCTION("""COMPUTED_VALUE"""),246553.0)</f>
        <v>246553</v>
      </c>
    </row>
    <row r="178">
      <c r="A178" s="2">
        <f>IFERROR(__xludf.DUMMYFUNCTION("""COMPUTED_VALUE"""),40806.645833333336)</f>
        <v>40806.64583</v>
      </c>
      <c r="B178" s="1">
        <f>IFERROR(__xludf.DUMMYFUNCTION("""COMPUTED_VALUE"""),16220.0)</f>
        <v>16220</v>
      </c>
      <c r="C178" s="1">
        <f>IFERROR(__xludf.DUMMYFUNCTION("""COMPUTED_VALUE"""),16360.0)</f>
        <v>16360</v>
      </c>
      <c r="D178" s="1">
        <f>IFERROR(__xludf.DUMMYFUNCTION("""COMPUTED_VALUE"""),15920.0)</f>
        <v>15920</v>
      </c>
      <c r="E178" s="1">
        <f>IFERROR(__xludf.DUMMYFUNCTION("""COMPUTED_VALUE"""),16220.0)</f>
        <v>16220</v>
      </c>
      <c r="F178" s="1">
        <f>IFERROR(__xludf.DUMMYFUNCTION("""COMPUTED_VALUE"""),279950.0)</f>
        <v>279950</v>
      </c>
    </row>
    <row r="179">
      <c r="A179" s="2">
        <f>IFERROR(__xludf.DUMMYFUNCTION("""COMPUTED_VALUE"""),40807.645833333336)</f>
        <v>40807.64583</v>
      </c>
      <c r="B179" s="1">
        <f>IFERROR(__xludf.DUMMYFUNCTION("""COMPUTED_VALUE"""),16380.0)</f>
        <v>16380</v>
      </c>
      <c r="C179" s="1">
        <f>IFERROR(__xludf.DUMMYFUNCTION("""COMPUTED_VALUE"""),16560.0)</f>
        <v>16560</v>
      </c>
      <c r="D179" s="1">
        <f>IFERROR(__xludf.DUMMYFUNCTION("""COMPUTED_VALUE"""),16020.0)</f>
        <v>16020</v>
      </c>
      <c r="E179" s="1">
        <f>IFERROR(__xludf.DUMMYFUNCTION("""COMPUTED_VALUE"""),16260.0)</f>
        <v>16260</v>
      </c>
      <c r="F179" s="1">
        <f>IFERROR(__xludf.DUMMYFUNCTION("""COMPUTED_VALUE"""),341262.0)</f>
        <v>341262</v>
      </c>
    </row>
    <row r="180">
      <c r="A180" s="2">
        <f>IFERROR(__xludf.DUMMYFUNCTION("""COMPUTED_VALUE"""),40808.645833333336)</f>
        <v>40808.64583</v>
      </c>
      <c r="B180" s="1">
        <f>IFERROR(__xludf.DUMMYFUNCTION("""COMPUTED_VALUE"""),15920.0)</f>
        <v>15920</v>
      </c>
      <c r="C180" s="1">
        <f>IFERROR(__xludf.DUMMYFUNCTION("""COMPUTED_VALUE"""),16000.0)</f>
        <v>16000</v>
      </c>
      <c r="D180" s="1">
        <f>IFERROR(__xludf.DUMMYFUNCTION("""COMPUTED_VALUE"""),15560.0)</f>
        <v>15560</v>
      </c>
      <c r="E180" s="1">
        <f>IFERROR(__xludf.DUMMYFUNCTION("""COMPUTED_VALUE"""),15800.0)</f>
        <v>15800</v>
      </c>
      <c r="F180" s="1">
        <f>IFERROR(__xludf.DUMMYFUNCTION("""COMPUTED_VALUE"""),306622.0)</f>
        <v>306622</v>
      </c>
    </row>
    <row r="181">
      <c r="A181" s="2">
        <f>IFERROR(__xludf.DUMMYFUNCTION("""COMPUTED_VALUE"""),40809.645833333336)</f>
        <v>40809.64583</v>
      </c>
      <c r="B181" s="1">
        <f>IFERROR(__xludf.DUMMYFUNCTION("""COMPUTED_VALUE"""),15280.0)</f>
        <v>15280</v>
      </c>
      <c r="C181" s="1">
        <f>IFERROR(__xludf.DUMMYFUNCTION("""COMPUTED_VALUE"""),15600.0)</f>
        <v>15600</v>
      </c>
      <c r="D181" s="1">
        <f>IFERROR(__xludf.DUMMYFUNCTION("""COMPUTED_VALUE"""),15020.0)</f>
        <v>15020</v>
      </c>
      <c r="E181" s="1">
        <f>IFERROR(__xludf.DUMMYFUNCTION("""COMPUTED_VALUE"""),15160.0)</f>
        <v>15160</v>
      </c>
      <c r="F181" s="1">
        <f>IFERROR(__xludf.DUMMYFUNCTION("""COMPUTED_VALUE"""),436458.0)</f>
        <v>436458</v>
      </c>
    </row>
    <row r="182">
      <c r="A182" s="2">
        <f>IFERROR(__xludf.DUMMYFUNCTION("""COMPUTED_VALUE"""),40812.645833333336)</f>
        <v>40812.64583</v>
      </c>
      <c r="B182" s="1">
        <f>IFERROR(__xludf.DUMMYFUNCTION("""COMPUTED_VALUE"""),15200.0)</f>
        <v>15200</v>
      </c>
      <c r="C182" s="1">
        <f>IFERROR(__xludf.DUMMYFUNCTION("""COMPUTED_VALUE"""),15740.0)</f>
        <v>15740</v>
      </c>
      <c r="D182" s="1">
        <f>IFERROR(__xludf.DUMMYFUNCTION("""COMPUTED_VALUE"""),15180.0)</f>
        <v>15180</v>
      </c>
      <c r="E182" s="1">
        <f>IFERROR(__xludf.DUMMYFUNCTION("""COMPUTED_VALUE"""),15500.0)</f>
        <v>15500</v>
      </c>
      <c r="F182" s="1">
        <f>IFERROR(__xludf.DUMMYFUNCTION("""COMPUTED_VALUE"""),480376.0)</f>
        <v>480376</v>
      </c>
    </row>
    <row r="183">
      <c r="A183" s="2">
        <f>IFERROR(__xludf.DUMMYFUNCTION("""COMPUTED_VALUE"""),40813.645833333336)</f>
        <v>40813.64583</v>
      </c>
      <c r="B183" s="1">
        <f>IFERROR(__xludf.DUMMYFUNCTION("""COMPUTED_VALUE"""),16100.0)</f>
        <v>16100</v>
      </c>
      <c r="C183" s="1">
        <f>IFERROR(__xludf.DUMMYFUNCTION("""COMPUTED_VALUE"""),16100.0)</f>
        <v>16100</v>
      </c>
      <c r="D183" s="1">
        <f>IFERROR(__xludf.DUMMYFUNCTION("""COMPUTED_VALUE"""),15820.0)</f>
        <v>15820</v>
      </c>
      <c r="E183" s="1">
        <f>IFERROR(__xludf.DUMMYFUNCTION("""COMPUTED_VALUE"""),16080.0)</f>
        <v>16080</v>
      </c>
      <c r="F183" s="1">
        <f>IFERROR(__xludf.DUMMYFUNCTION("""COMPUTED_VALUE"""),330526.0)</f>
        <v>330526</v>
      </c>
    </row>
    <row r="184">
      <c r="A184" s="2">
        <f>IFERROR(__xludf.DUMMYFUNCTION("""COMPUTED_VALUE"""),40814.645833333336)</f>
        <v>40814.64583</v>
      </c>
      <c r="B184" s="1">
        <f>IFERROR(__xludf.DUMMYFUNCTION("""COMPUTED_VALUE"""),16480.0)</f>
        <v>16480</v>
      </c>
      <c r="C184" s="1">
        <f>IFERROR(__xludf.DUMMYFUNCTION("""COMPUTED_VALUE"""),16500.0)</f>
        <v>16500</v>
      </c>
      <c r="D184" s="1">
        <f>IFERROR(__xludf.DUMMYFUNCTION("""COMPUTED_VALUE"""),15820.0)</f>
        <v>15820</v>
      </c>
      <c r="E184" s="1">
        <f>IFERROR(__xludf.DUMMYFUNCTION("""COMPUTED_VALUE"""),16140.0)</f>
        <v>16140</v>
      </c>
      <c r="F184" s="1">
        <f>IFERROR(__xludf.DUMMYFUNCTION("""COMPUTED_VALUE"""),486339.0)</f>
        <v>486339</v>
      </c>
    </row>
    <row r="185">
      <c r="A185" s="2">
        <f>IFERROR(__xludf.DUMMYFUNCTION("""COMPUTED_VALUE"""),40815.645833333336)</f>
        <v>40815.64583</v>
      </c>
      <c r="B185" s="1">
        <f>IFERROR(__xludf.DUMMYFUNCTION("""COMPUTED_VALUE"""),16080.0)</f>
        <v>16080</v>
      </c>
      <c r="C185" s="1">
        <f>IFERROR(__xludf.DUMMYFUNCTION("""COMPUTED_VALUE"""),16960.0)</f>
        <v>16960</v>
      </c>
      <c r="D185" s="1">
        <f>IFERROR(__xludf.DUMMYFUNCTION("""COMPUTED_VALUE"""),16080.0)</f>
        <v>16080</v>
      </c>
      <c r="E185" s="1">
        <f>IFERROR(__xludf.DUMMYFUNCTION("""COMPUTED_VALUE"""),16740.0)</f>
        <v>16740</v>
      </c>
      <c r="F185" s="1">
        <f>IFERROR(__xludf.DUMMYFUNCTION("""COMPUTED_VALUE"""),553509.0)</f>
        <v>553509</v>
      </c>
    </row>
    <row r="186">
      <c r="A186" s="2">
        <f>IFERROR(__xludf.DUMMYFUNCTION("""COMPUTED_VALUE"""),40816.645833333336)</f>
        <v>40816.64583</v>
      </c>
      <c r="B186" s="1">
        <f>IFERROR(__xludf.DUMMYFUNCTION("""COMPUTED_VALUE"""),16600.0)</f>
        <v>16600</v>
      </c>
      <c r="C186" s="1">
        <f>IFERROR(__xludf.DUMMYFUNCTION("""COMPUTED_VALUE"""),16800.0)</f>
        <v>16800</v>
      </c>
      <c r="D186" s="1">
        <f>IFERROR(__xludf.DUMMYFUNCTION("""COMPUTED_VALUE"""),16220.0)</f>
        <v>16220</v>
      </c>
      <c r="E186" s="1">
        <f>IFERROR(__xludf.DUMMYFUNCTION("""COMPUTED_VALUE"""),16800.0)</f>
        <v>16800</v>
      </c>
      <c r="F186" s="1">
        <f>IFERROR(__xludf.DUMMYFUNCTION("""COMPUTED_VALUE"""),515612.0)</f>
        <v>515612</v>
      </c>
    </row>
    <row r="187">
      <c r="A187" s="2">
        <f>IFERROR(__xludf.DUMMYFUNCTION("""COMPUTED_VALUE"""),40820.645833333336)</f>
        <v>40820.64583</v>
      </c>
      <c r="B187" s="1">
        <f>IFERROR(__xludf.DUMMYFUNCTION("""COMPUTED_VALUE"""),16100.0)</f>
        <v>16100</v>
      </c>
      <c r="C187" s="1">
        <f>IFERROR(__xludf.DUMMYFUNCTION("""COMPUTED_VALUE"""),16640.0)</f>
        <v>16640</v>
      </c>
      <c r="D187" s="1">
        <f>IFERROR(__xludf.DUMMYFUNCTION("""COMPUTED_VALUE"""),15920.0)</f>
        <v>15920</v>
      </c>
      <c r="E187" s="1">
        <f>IFERROR(__xludf.DUMMYFUNCTION("""COMPUTED_VALUE"""),16560.0)</f>
        <v>16560</v>
      </c>
      <c r="F187" s="1">
        <f>IFERROR(__xludf.DUMMYFUNCTION("""COMPUTED_VALUE"""),657900.0)</f>
        <v>657900</v>
      </c>
    </row>
    <row r="188">
      <c r="A188" s="2">
        <f>IFERROR(__xludf.DUMMYFUNCTION("""COMPUTED_VALUE"""),40821.645833333336)</f>
        <v>40821.64583</v>
      </c>
      <c r="B188" s="1">
        <f>IFERROR(__xludf.DUMMYFUNCTION("""COMPUTED_VALUE"""),16480.0)</f>
        <v>16480</v>
      </c>
      <c r="C188" s="1">
        <f>IFERROR(__xludf.DUMMYFUNCTION("""COMPUTED_VALUE"""),17000.0)</f>
        <v>17000</v>
      </c>
      <c r="D188" s="1">
        <f>IFERROR(__xludf.DUMMYFUNCTION("""COMPUTED_VALUE"""),16340.0)</f>
        <v>16340</v>
      </c>
      <c r="E188" s="1">
        <f>IFERROR(__xludf.DUMMYFUNCTION("""COMPUTED_VALUE"""),16840.0)</f>
        <v>16840</v>
      </c>
      <c r="F188" s="1">
        <f>IFERROR(__xludf.DUMMYFUNCTION("""COMPUTED_VALUE"""),642056.0)</f>
        <v>642056</v>
      </c>
    </row>
    <row r="189">
      <c r="A189" s="2">
        <f>IFERROR(__xludf.DUMMYFUNCTION("""COMPUTED_VALUE"""),40822.645833333336)</f>
        <v>40822.64583</v>
      </c>
      <c r="B189" s="1">
        <f>IFERROR(__xludf.DUMMYFUNCTION("""COMPUTED_VALUE"""),17480.0)</f>
        <v>17480</v>
      </c>
      <c r="C189" s="1">
        <f>IFERROR(__xludf.DUMMYFUNCTION("""COMPUTED_VALUE"""),17580.0)</f>
        <v>17580</v>
      </c>
      <c r="D189" s="1">
        <f>IFERROR(__xludf.DUMMYFUNCTION("""COMPUTED_VALUE"""),16840.0)</f>
        <v>16840</v>
      </c>
      <c r="E189" s="1">
        <f>IFERROR(__xludf.DUMMYFUNCTION("""COMPUTED_VALUE"""),17100.0)</f>
        <v>17100</v>
      </c>
      <c r="F189" s="1">
        <f>IFERROR(__xludf.DUMMYFUNCTION("""COMPUTED_VALUE"""),599380.0)</f>
        <v>599380</v>
      </c>
    </row>
    <row r="190">
      <c r="A190" s="2">
        <f>IFERROR(__xludf.DUMMYFUNCTION("""COMPUTED_VALUE"""),40823.645833333336)</f>
        <v>40823.64583</v>
      </c>
      <c r="B190" s="1">
        <f>IFERROR(__xludf.DUMMYFUNCTION("""COMPUTED_VALUE"""),17300.0)</f>
        <v>17300</v>
      </c>
      <c r="C190" s="1">
        <f>IFERROR(__xludf.DUMMYFUNCTION("""COMPUTED_VALUE"""),17620.0)</f>
        <v>17620</v>
      </c>
      <c r="D190" s="1">
        <f>IFERROR(__xludf.DUMMYFUNCTION("""COMPUTED_VALUE"""),17000.0)</f>
        <v>17000</v>
      </c>
      <c r="E190" s="1">
        <f>IFERROR(__xludf.DUMMYFUNCTION("""COMPUTED_VALUE"""),17200.0)</f>
        <v>17200</v>
      </c>
      <c r="F190" s="1">
        <f>IFERROR(__xludf.DUMMYFUNCTION("""COMPUTED_VALUE"""),530184.0)</f>
        <v>530184</v>
      </c>
    </row>
    <row r="191">
      <c r="A191" s="2">
        <f>IFERROR(__xludf.DUMMYFUNCTION("""COMPUTED_VALUE"""),40826.645833333336)</f>
        <v>40826.64583</v>
      </c>
      <c r="B191" s="1">
        <f>IFERROR(__xludf.DUMMYFUNCTION("""COMPUTED_VALUE"""),17560.0)</f>
        <v>17560</v>
      </c>
      <c r="C191" s="1">
        <f>IFERROR(__xludf.DUMMYFUNCTION("""COMPUTED_VALUE"""),17700.0)</f>
        <v>17700</v>
      </c>
      <c r="D191" s="1">
        <f>IFERROR(__xludf.DUMMYFUNCTION("""COMPUTED_VALUE"""),17440.0)</f>
        <v>17440</v>
      </c>
      <c r="E191" s="1">
        <f>IFERROR(__xludf.DUMMYFUNCTION("""COMPUTED_VALUE"""),17480.0)</f>
        <v>17480</v>
      </c>
      <c r="F191" s="1">
        <f>IFERROR(__xludf.DUMMYFUNCTION("""COMPUTED_VALUE"""),344925.0)</f>
        <v>344925</v>
      </c>
    </row>
    <row r="192">
      <c r="A192" s="2">
        <f>IFERROR(__xludf.DUMMYFUNCTION("""COMPUTED_VALUE"""),40827.645833333336)</f>
        <v>40827.64583</v>
      </c>
      <c r="B192" s="1">
        <f>IFERROR(__xludf.DUMMYFUNCTION("""COMPUTED_VALUE"""),17700.0)</f>
        <v>17700</v>
      </c>
      <c r="C192" s="1">
        <f>IFERROR(__xludf.DUMMYFUNCTION("""COMPUTED_VALUE"""),17700.0)</f>
        <v>17700</v>
      </c>
      <c r="D192" s="1">
        <f>IFERROR(__xludf.DUMMYFUNCTION("""COMPUTED_VALUE"""),17380.0)</f>
        <v>17380</v>
      </c>
      <c r="E192" s="1">
        <f>IFERROR(__xludf.DUMMYFUNCTION("""COMPUTED_VALUE"""),17620.0)</f>
        <v>17620</v>
      </c>
      <c r="F192" s="1">
        <f>IFERROR(__xludf.DUMMYFUNCTION("""COMPUTED_VALUE"""),458310.0)</f>
        <v>458310</v>
      </c>
    </row>
    <row r="193">
      <c r="A193" s="2">
        <f>IFERROR(__xludf.DUMMYFUNCTION("""COMPUTED_VALUE"""),40828.645833333336)</f>
        <v>40828.64583</v>
      </c>
      <c r="B193" s="1">
        <f>IFERROR(__xludf.DUMMYFUNCTION("""COMPUTED_VALUE"""),17440.0)</f>
        <v>17440</v>
      </c>
      <c r="C193" s="1">
        <f>IFERROR(__xludf.DUMMYFUNCTION("""COMPUTED_VALUE"""),17980.0)</f>
        <v>17980</v>
      </c>
      <c r="D193" s="1">
        <f>IFERROR(__xludf.DUMMYFUNCTION("""COMPUTED_VALUE"""),17400.0)</f>
        <v>17400</v>
      </c>
      <c r="E193" s="1">
        <f>IFERROR(__xludf.DUMMYFUNCTION("""COMPUTED_VALUE"""),17960.0)</f>
        <v>17960</v>
      </c>
      <c r="F193" s="1">
        <f>IFERROR(__xludf.DUMMYFUNCTION("""COMPUTED_VALUE"""),430570.0)</f>
        <v>430570</v>
      </c>
    </row>
    <row r="194">
      <c r="A194" s="2">
        <f>IFERROR(__xludf.DUMMYFUNCTION("""COMPUTED_VALUE"""),40829.645833333336)</f>
        <v>40829.64583</v>
      </c>
      <c r="B194" s="1">
        <f>IFERROR(__xludf.DUMMYFUNCTION("""COMPUTED_VALUE"""),17960.0)</f>
        <v>17960</v>
      </c>
      <c r="C194" s="1">
        <f>IFERROR(__xludf.DUMMYFUNCTION("""COMPUTED_VALUE"""),17980.0)</f>
        <v>17980</v>
      </c>
      <c r="D194" s="1">
        <f>IFERROR(__xludf.DUMMYFUNCTION("""COMPUTED_VALUE"""),17620.0)</f>
        <v>17620</v>
      </c>
      <c r="E194" s="1">
        <f>IFERROR(__xludf.DUMMYFUNCTION("""COMPUTED_VALUE"""),17800.0)</f>
        <v>17800</v>
      </c>
      <c r="F194" s="1">
        <f>IFERROR(__xludf.DUMMYFUNCTION("""COMPUTED_VALUE"""),325323.0)</f>
        <v>325323</v>
      </c>
    </row>
    <row r="195">
      <c r="A195" s="2">
        <f>IFERROR(__xludf.DUMMYFUNCTION("""COMPUTED_VALUE"""),40830.645833333336)</f>
        <v>40830.64583</v>
      </c>
      <c r="B195" s="1">
        <f>IFERROR(__xludf.DUMMYFUNCTION("""COMPUTED_VALUE"""),17420.0)</f>
        <v>17420</v>
      </c>
      <c r="C195" s="1">
        <f>IFERROR(__xludf.DUMMYFUNCTION("""COMPUTED_VALUE"""),17880.0)</f>
        <v>17880</v>
      </c>
      <c r="D195" s="1">
        <f>IFERROR(__xludf.DUMMYFUNCTION("""COMPUTED_VALUE"""),17420.0)</f>
        <v>17420</v>
      </c>
      <c r="E195" s="1">
        <f>IFERROR(__xludf.DUMMYFUNCTION("""COMPUTED_VALUE"""),17720.0)</f>
        <v>17720</v>
      </c>
      <c r="F195" s="1">
        <f>IFERROR(__xludf.DUMMYFUNCTION("""COMPUTED_VALUE"""),217010.0)</f>
        <v>217010</v>
      </c>
    </row>
    <row r="196">
      <c r="A196" s="2">
        <f>IFERROR(__xludf.DUMMYFUNCTION("""COMPUTED_VALUE"""),40833.645833333336)</f>
        <v>40833.64583</v>
      </c>
      <c r="B196" s="1">
        <f>IFERROR(__xludf.DUMMYFUNCTION("""COMPUTED_VALUE"""),17800.0)</f>
        <v>17800</v>
      </c>
      <c r="C196" s="1">
        <f>IFERROR(__xludf.DUMMYFUNCTION("""COMPUTED_VALUE"""),17900.0)</f>
        <v>17900</v>
      </c>
      <c r="D196" s="1">
        <f>IFERROR(__xludf.DUMMYFUNCTION("""COMPUTED_VALUE"""),17620.0)</f>
        <v>17620</v>
      </c>
      <c r="E196" s="1">
        <f>IFERROR(__xludf.DUMMYFUNCTION("""COMPUTED_VALUE"""),17800.0)</f>
        <v>17800</v>
      </c>
      <c r="F196" s="1">
        <f>IFERROR(__xludf.DUMMYFUNCTION("""COMPUTED_VALUE"""),213511.0)</f>
        <v>213511</v>
      </c>
    </row>
    <row r="197">
      <c r="A197" s="2">
        <f>IFERROR(__xludf.DUMMYFUNCTION("""COMPUTED_VALUE"""),40834.645833333336)</f>
        <v>40834.64583</v>
      </c>
      <c r="B197" s="1">
        <f>IFERROR(__xludf.DUMMYFUNCTION("""COMPUTED_VALUE"""),17500.0)</f>
        <v>17500</v>
      </c>
      <c r="C197" s="1">
        <f>IFERROR(__xludf.DUMMYFUNCTION("""COMPUTED_VALUE"""),17860.0)</f>
        <v>17860</v>
      </c>
      <c r="D197" s="1">
        <f>IFERROR(__xludf.DUMMYFUNCTION("""COMPUTED_VALUE"""),17420.0)</f>
        <v>17420</v>
      </c>
      <c r="E197" s="1">
        <f>IFERROR(__xludf.DUMMYFUNCTION("""COMPUTED_VALUE"""),17660.0)</f>
        <v>17660</v>
      </c>
      <c r="F197" s="1">
        <f>IFERROR(__xludf.DUMMYFUNCTION("""COMPUTED_VALUE"""),276886.0)</f>
        <v>276886</v>
      </c>
    </row>
    <row r="198">
      <c r="A198" s="2">
        <f>IFERROR(__xludf.DUMMYFUNCTION("""COMPUTED_VALUE"""),40835.645833333336)</f>
        <v>40835.64583</v>
      </c>
      <c r="B198" s="1">
        <f>IFERROR(__xludf.DUMMYFUNCTION("""COMPUTED_VALUE"""),17700.0)</f>
        <v>17700</v>
      </c>
      <c r="C198" s="1">
        <f>IFERROR(__xludf.DUMMYFUNCTION("""COMPUTED_VALUE"""),17720.0)</f>
        <v>17720</v>
      </c>
      <c r="D198" s="1">
        <f>IFERROR(__xludf.DUMMYFUNCTION("""COMPUTED_VALUE"""),17400.0)</f>
        <v>17400</v>
      </c>
      <c r="E198" s="1">
        <f>IFERROR(__xludf.DUMMYFUNCTION("""COMPUTED_VALUE"""),17720.0)</f>
        <v>17720</v>
      </c>
      <c r="F198" s="1">
        <f>IFERROR(__xludf.DUMMYFUNCTION("""COMPUTED_VALUE"""),214082.0)</f>
        <v>214082</v>
      </c>
    </row>
    <row r="199">
      <c r="A199" s="2">
        <f>IFERROR(__xludf.DUMMYFUNCTION("""COMPUTED_VALUE"""),40836.645833333336)</f>
        <v>40836.64583</v>
      </c>
      <c r="B199" s="1">
        <f>IFERROR(__xludf.DUMMYFUNCTION("""COMPUTED_VALUE"""),17720.0)</f>
        <v>17720</v>
      </c>
      <c r="C199" s="1">
        <f>IFERROR(__xludf.DUMMYFUNCTION("""COMPUTED_VALUE"""),18400.0)</f>
        <v>18400</v>
      </c>
      <c r="D199" s="1">
        <f>IFERROR(__xludf.DUMMYFUNCTION("""COMPUTED_VALUE"""),17660.0)</f>
        <v>17660</v>
      </c>
      <c r="E199" s="1">
        <f>IFERROR(__xludf.DUMMYFUNCTION("""COMPUTED_VALUE"""),18140.0)</f>
        <v>18140</v>
      </c>
      <c r="F199" s="1">
        <f>IFERROR(__xludf.DUMMYFUNCTION("""COMPUTED_VALUE"""),568732.0)</f>
        <v>568732</v>
      </c>
    </row>
    <row r="200">
      <c r="A200" s="2">
        <f>IFERROR(__xludf.DUMMYFUNCTION("""COMPUTED_VALUE"""),40837.645833333336)</f>
        <v>40837.64583</v>
      </c>
      <c r="B200" s="1">
        <f>IFERROR(__xludf.DUMMYFUNCTION("""COMPUTED_VALUE"""),18400.0)</f>
        <v>18400</v>
      </c>
      <c r="C200" s="1">
        <f>IFERROR(__xludf.DUMMYFUNCTION("""COMPUTED_VALUE"""),18500.0)</f>
        <v>18500</v>
      </c>
      <c r="D200" s="1">
        <f>IFERROR(__xludf.DUMMYFUNCTION("""COMPUTED_VALUE"""),18140.0)</f>
        <v>18140</v>
      </c>
      <c r="E200" s="1">
        <f>IFERROR(__xludf.DUMMYFUNCTION("""COMPUTED_VALUE"""),18340.0)</f>
        <v>18340</v>
      </c>
      <c r="F200" s="1">
        <f>IFERROR(__xludf.DUMMYFUNCTION("""COMPUTED_VALUE"""),466140.0)</f>
        <v>466140</v>
      </c>
    </row>
    <row r="201">
      <c r="A201" s="2">
        <f>IFERROR(__xludf.DUMMYFUNCTION("""COMPUTED_VALUE"""),40840.645833333336)</f>
        <v>40840.64583</v>
      </c>
      <c r="B201" s="1">
        <f>IFERROR(__xludf.DUMMYFUNCTION("""COMPUTED_VALUE"""),18260.0)</f>
        <v>18260</v>
      </c>
      <c r="C201" s="1">
        <f>IFERROR(__xludf.DUMMYFUNCTION("""COMPUTED_VALUE"""),18860.0)</f>
        <v>18860</v>
      </c>
      <c r="D201" s="1">
        <f>IFERROR(__xludf.DUMMYFUNCTION("""COMPUTED_VALUE"""),18220.0)</f>
        <v>18220</v>
      </c>
      <c r="E201" s="1">
        <f>IFERROR(__xludf.DUMMYFUNCTION("""COMPUTED_VALUE"""),18820.0)</f>
        <v>18820</v>
      </c>
      <c r="F201" s="1">
        <f>IFERROR(__xludf.DUMMYFUNCTION("""COMPUTED_VALUE"""),375385.0)</f>
        <v>375385</v>
      </c>
    </row>
    <row r="202">
      <c r="A202" s="2">
        <f>IFERROR(__xludf.DUMMYFUNCTION("""COMPUTED_VALUE"""),40841.645833333336)</f>
        <v>40841.64583</v>
      </c>
      <c r="B202" s="1">
        <f>IFERROR(__xludf.DUMMYFUNCTION("""COMPUTED_VALUE"""),18720.0)</f>
        <v>18720</v>
      </c>
      <c r="C202" s="1">
        <f>IFERROR(__xludf.DUMMYFUNCTION("""COMPUTED_VALUE"""),19020.0)</f>
        <v>19020</v>
      </c>
      <c r="D202" s="1">
        <f>IFERROR(__xludf.DUMMYFUNCTION("""COMPUTED_VALUE"""),18700.0)</f>
        <v>18700</v>
      </c>
      <c r="E202" s="1">
        <f>IFERROR(__xludf.DUMMYFUNCTION("""COMPUTED_VALUE"""),18900.0)</f>
        <v>18900</v>
      </c>
      <c r="F202" s="1">
        <f>IFERROR(__xludf.DUMMYFUNCTION("""COMPUTED_VALUE"""),364160.0)</f>
        <v>364160</v>
      </c>
    </row>
    <row r="203">
      <c r="A203" s="2">
        <f>IFERROR(__xludf.DUMMYFUNCTION("""COMPUTED_VALUE"""),40842.645833333336)</f>
        <v>40842.64583</v>
      </c>
      <c r="B203" s="1">
        <f>IFERROR(__xludf.DUMMYFUNCTION("""COMPUTED_VALUE"""),18660.0)</f>
        <v>18660</v>
      </c>
      <c r="C203" s="1">
        <f>IFERROR(__xludf.DUMMYFUNCTION("""COMPUTED_VALUE"""),18920.0)</f>
        <v>18920</v>
      </c>
      <c r="D203" s="1">
        <f>IFERROR(__xludf.DUMMYFUNCTION("""COMPUTED_VALUE"""),18540.0)</f>
        <v>18540</v>
      </c>
      <c r="E203" s="1">
        <f>IFERROR(__xludf.DUMMYFUNCTION("""COMPUTED_VALUE"""),18680.0)</f>
        <v>18680</v>
      </c>
      <c r="F203" s="1">
        <f>IFERROR(__xludf.DUMMYFUNCTION("""COMPUTED_VALUE"""),250095.0)</f>
        <v>250095</v>
      </c>
    </row>
    <row r="204">
      <c r="A204" s="2">
        <f>IFERROR(__xludf.DUMMYFUNCTION("""COMPUTED_VALUE"""),40843.645833333336)</f>
        <v>40843.64583</v>
      </c>
      <c r="B204" s="1">
        <f>IFERROR(__xludf.DUMMYFUNCTION("""COMPUTED_VALUE"""),18580.0)</f>
        <v>18580</v>
      </c>
      <c r="C204" s="1">
        <f>IFERROR(__xludf.DUMMYFUNCTION("""COMPUTED_VALUE"""),18780.0)</f>
        <v>18780</v>
      </c>
      <c r="D204" s="1">
        <f>IFERROR(__xludf.DUMMYFUNCTION("""COMPUTED_VALUE"""),18380.0)</f>
        <v>18380</v>
      </c>
      <c r="E204" s="1">
        <f>IFERROR(__xludf.DUMMYFUNCTION("""COMPUTED_VALUE"""),18480.0)</f>
        <v>18480</v>
      </c>
      <c r="F204" s="1">
        <f>IFERROR(__xludf.DUMMYFUNCTION("""COMPUTED_VALUE"""),348861.0)</f>
        <v>348861</v>
      </c>
    </row>
    <row r="205">
      <c r="A205" s="2">
        <f>IFERROR(__xludf.DUMMYFUNCTION("""COMPUTED_VALUE"""),40844.645833333336)</f>
        <v>40844.64583</v>
      </c>
      <c r="B205" s="1">
        <f>IFERROR(__xludf.DUMMYFUNCTION("""COMPUTED_VALUE"""),18560.0)</f>
        <v>18560</v>
      </c>
      <c r="C205" s="1">
        <f>IFERROR(__xludf.DUMMYFUNCTION("""COMPUTED_VALUE"""),18920.0)</f>
        <v>18920</v>
      </c>
      <c r="D205" s="1">
        <f>IFERROR(__xludf.DUMMYFUNCTION("""COMPUTED_VALUE"""),18540.0)</f>
        <v>18540</v>
      </c>
      <c r="E205" s="1">
        <f>IFERROR(__xludf.DUMMYFUNCTION("""COMPUTED_VALUE"""),18900.0)</f>
        <v>18900</v>
      </c>
      <c r="F205" s="1">
        <f>IFERROR(__xludf.DUMMYFUNCTION("""COMPUTED_VALUE"""),537687.0)</f>
        <v>537687</v>
      </c>
    </row>
    <row r="206">
      <c r="A206" s="2">
        <f>IFERROR(__xludf.DUMMYFUNCTION("""COMPUTED_VALUE"""),40847.645833333336)</f>
        <v>40847.64583</v>
      </c>
      <c r="B206" s="1">
        <f>IFERROR(__xludf.DUMMYFUNCTION("""COMPUTED_VALUE"""),18820.0)</f>
        <v>18820</v>
      </c>
      <c r="C206" s="1">
        <f>IFERROR(__xludf.DUMMYFUNCTION("""COMPUTED_VALUE"""),19400.0)</f>
        <v>19400</v>
      </c>
      <c r="D206" s="1">
        <f>IFERROR(__xludf.DUMMYFUNCTION("""COMPUTED_VALUE"""),18660.0)</f>
        <v>18660</v>
      </c>
      <c r="E206" s="1">
        <f>IFERROR(__xludf.DUMMYFUNCTION("""COMPUTED_VALUE"""),19360.0)</f>
        <v>19360</v>
      </c>
      <c r="F206" s="1">
        <f>IFERROR(__xludf.DUMMYFUNCTION("""COMPUTED_VALUE"""),475848.0)</f>
        <v>475848</v>
      </c>
    </row>
    <row r="207">
      <c r="A207" s="2">
        <f>IFERROR(__xludf.DUMMYFUNCTION("""COMPUTED_VALUE"""),40848.645833333336)</f>
        <v>40848.64583</v>
      </c>
      <c r="B207" s="1">
        <f>IFERROR(__xludf.DUMMYFUNCTION("""COMPUTED_VALUE"""),19360.0)</f>
        <v>19360</v>
      </c>
      <c r="C207" s="1">
        <f>IFERROR(__xludf.DUMMYFUNCTION("""COMPUTED_VALUE"""),19980.0)</f>
        <v>19980</v>
      </c>
      <c r="D207" s="1">
        <f>IFERROR(__xludf.DUMMYFUNCTION("""COMPUTED_VALUE"""),19240.0)</f>
        <v>19240</v>
      </c>
      <c r="E207" s="1">
        <f>IFERROR(__xludf.DUMMYFUNCTION("""COMPUTED_VALUE"""),19800.0)</f>
        <v>19800</v>
      </c>
      <c r="F207" s="1">
        <f>IFERROR(__xludf.DUMMYFUNCTION("""COMPUTED_VALUE"""),619673.0)</f>
        <v>619673</v>
      </c>
    </row>
    <row r="208">
      <c r="A208" s="2">
        <f>IFERROR(__xludf.DUMMYFUNCTION("""COMPUTED_VALUE"""),40849.645833333336)</f>
        <v>40849.64583</v>
      </c>
      <c r="B208" s="1">
        <f>IFERROR(__xludf.DUMMYFUNCTION("""COMPUTED_VALUE"""),19400.0)</f>
        <v>19400</v>
      </c>
      <c r="C208" s="1">
        <f>IFERROR(__xludf.DUMMYFUNCTION("""COMPUTED_VALUE"""),19560.0)</f>
        <v>19560</v>
      </c>
      <c r="D208" s="1">
        <f>IFERROR(__xludf.DUMMYFUNCTION("""COMPUTED_VALUE"""),19320.0)</f>
        <v>19320</v>
      </c>
      <c r="E208" s="1">
        <f>IFERROR(__xludf.DUMMYFUNCTION("""COMPUTED_VALUE"""),19420.0)</f>
        <v>19420</v>
      </c>
      <c r="F208" s="1">
        <f>IFERROR(__xludf.DUMMYFUNCTION("""COMPUTED_VALUE"""),569092.0)</f>
        <v>569092</v>
      </c>
    </row>
    <row r="209">
      <c r="A209" s="2">
        <f>IFERROR(__xludf.DUMMYFUNCTION("""COMPUTED_VALUE"""),40850.645833333336)</f>
        <v>40850.64583</v>
      </c>
      <c r="B209" s="1">
        <f>IFERROR(__xludf.DUMMYFUNCTION("""COMPUTED_VALUE"""),19240.0)</f>
        <v>19240</v>
      </c>
      <c r="C209" s="1">
        <f>IFERROR(__xludf.DUMMYFUNCTION("""COMPUTED_VALUE"""),19420.0)</f>
        <v>19420</v>
      </c>
      <c r="D209" s="1">
        <f>IFERROR(__xludf.DUMMYFUNCTION("""COMPUTED_VALUE"""),19160.0)</f>
        <v>19160</v>
      </c>
      <c r="E209" s="1">
        <f>IFERROR(__xludf.DUMMYFUNCTION("""COMPUTED_VALUE"""),19340.0)</f>
        <v>19340</v>
      </c>
      <c r="F209" s="1">
        <f>IFERROR(__xludf.DUMMYFUNCTION("""COMPUTED_VALUE"""),328174.0)</f>
        <v>328174</v>
      </c>
    </row>
    <row r="210">
      <c r="A210" s="2">
        <f>IFERROR(__xludf.DUMMYFUNCTION("""COMPUTED_VALUE"""),40851.645833333336)</f>
        <v>40851.64583</v>
      </c>
      <c r="B210" s="1">
        <f>IFERROR(__xludf.DUMMYFUNCTION("""COMPUTED_VALUE"""),19660.0)</f>
        <v>19660</v>
      </c>
      <c r="C210" s="1">
        <f>IFERROR(__xludf.DUMMYFUNCTION("""COMPUTED_VALUE"""),20100.0)</f>
        <v>20100</v>
      </c>
      <c r="D210" s="1">
        <f>IFERROR(__xludf.DUMMYFUNCTION("""COMPUTED_VALUE"""),19640.0)</f>
        <v>19640</v>
      </c>
      <c r="E210" s="1">
        <f>IFERROR(__xludf.DUMMYFUNCTION("""COMPUTED_VALUE"""),20100.0)</f>
        <v>20100</v>
      </c>
      <c r="F210" s="1">
        <f>IFERROR(__xludf.DUMMYFUNCTION("""COMPUTED_VALUE"""),534096.0)</f>
        <v>534096</v>
      </c>
    </row>
    <row r="211">
      <c r="A211" s="2">
        <f>IFERROR(__xludf.DUMMYFUNCTION("""COMPUTED_VALUE"""),40854.645833333336)</f>
        <v>40854.64583</v>
      </c>
      <c r="B211" s="1">
        <f>IFERROR(__xludf.DUMMYFUNCTION("""COMPUTED_VALUE"""),19920.0)</f>
        <v>19920</v>
      </c>
      <c r="C211" s="1">
        <f>IFERROR(__xludf.DUMMYFUNCTION("""COMPUTED_VALUE"""),20000.0)</f>
        <v>20000</v>
      </c>
      <c r="D211" s="1">
        <f>IFERROR(__xludf.DUMMYFUNCTION("""COMPUTED_VALUE"""),19720.0)</f>
        <v>19720</v>
      </c>
      <c r="E211" s="1">
        <f>IFERROR(__xludf.DUMMYFUNCTION("""COMPUTED_VALUE"""),19860.0)</f>
        <v>19860</v>
      </c>
      <c r="F211" s="1">
        <f>IFERROR(__xludf.DUMMYFUNCTION("""COMPUTED_VALUE"""),280361.0)</f>
        <v>280361</v>
      </c>
    </row>
    <row r="212">
      <c r="A212" s="2">
        <f>IFERROR(__xludf.DUMMYFUNCTION("""COMPUTED_VALUE"""),40855.645833333336)</f>
        <v>40855.64583</v>
      </c>
      <c r="B212" s="1">
        <f>IFERROR(__xludf.DUMMYFUNCTION("""COMPUTED_VALUE"""),19720.0)</f>
        <v>19720</v>
      </c>
      <c r="C212" s="1">
        <f>IFERROR(__xludf.DUMMYFUNCTION("""COMPUTED_VALUE"""),19800.0)</f>
        <v>19800</v>
      </c>
      <c r="D212" s="1">
        <f>IFERROR(__xludf.DUMMYFUNCTION("""COMPUTED_VALUE"""),19300.0)</f>
        <v>19300</v>
      </c>
      <c r="E212" s="1">
        <f>IFERROR(__xludf.DUMMYFUNCTION("""COMPUTED_VALUE"""),19400.0)</f>
        <v>19400</v>
      </c>
      <c r="F212" s="1">
        <f>IFERROR(__xludf.DUMMYFUNCTION("""COMPUTED_VALUE"""),341398.0)</f>
        <v>341398</v>
      </c>
    </row>
    <row r="213">
      <c r="A213" s="2">
        <f>IFERROR(__xludf.DUMMYFUNCTION("""COMPUTED_VALUE"""),40856.645833333336)</f>
        <v>40856.64583</v>
      </c>
      <c r="B213" s="1">
        <f>IFERROR(__xludf.DUMMYFUNCTION("""COMPUTED_VALUE"""),19400.0)</f>
        <v>19400</v>
      </c>
      <c r="C213" s="1">
        <f>IFERROR(__xludf.DUMMYFUNCTION("""COMPUTED_VALUE"""),19760.0)</f>
        <v>19760</v>
      </c>
      <c r="D213" s="1">
        <f>IFERROR(__xludf.DUMMYFUNCTION("""COMPUTED_VALUE"""),19320.0)</f>
        <v>19320</v>
      </c>
      <c r="E213" s="1">
        <f>IFERROR(__xludf.DUMMYFUNCTION("""COMPUTED_VALUE"""),19700.0)</f>
        <v>19700</v>
      </c>
      <c r="F213" s="1">
        <f>IFERROR(__xludf.DUMMYFUNCTION("""COMPUTED_VALUE"""),386085.0)</f>
        <v>386085</v>
      </c>
    </row>
    <row r="214">
      <c r="A214" s="2">
        <f>IFERROR(__xludf.DUMMYFUNCTION("""COMPUTED_VALUE"""),40857.645833333336)</f>
        <v>40857.64583</v>
      </c>
      <c r="B214" s="1">
        <f>IFERROR(__xludf.DUMMYFUNCTION("""COMPUTED_VALUE"""),19340.0)</f>
        <v>19340</v>
      </c>
      <c r="C214" s="1">
        <f>IFERROR(__xludf.DUMMYFUNCTION("""COMPUTED_VALUE"""),19460.0)</f>
        <v>19460</v>
      </c>
      <c r="D214" s="1">
        <f>IFERROR(__xludf.DUMMYFUNCTION("""COMPUTED_VALUE"""),18700.0)</f>
        <v>18700</v>
      </c>
      <c r="E214" s="1">
        <f>IFERROR(__xludf.DUMMYFUNCTION("""COMPUTED_VALUE"""),18700.0)</f>
        <v>18700</v>
      </c>
      <c r="F214" s="1">
        <f>IFERROR(__xludf.DUMMYFUNCTION("""COMPUTED_VALUE"""),620121.0)</f>
        <v>620121</v>
      </c>
    </row>
    <row r="215">
      <c r="A215" s="2">
        <f>IFERROR(__xludf.DUMMYFUNCTION("""COMPUTED_VALUE"""),40858.645833333336)</f>
        <v>40858.64583</v>
      </c>
      <c r="B215" s="1">
        <f>IFERROR(__xludf.DUMMYFUNCTION("""COMPUTED_VALUE"""),18900.0)</f>
        <v>18900</v>
      </c>
      <c r="C215" s="1">
        <f>IFERROR(__xludf.DUMMYFUNCTION("""COMPUTED_VALUE"""),19680.0)</f>
        <v>19680</v>
      </c>
      <c r="D215" s="1">
        <f>IFERROR(__xludf.DUMMYFUNCTION("""COMPUTED_VALUE"""),18600.0)</f>
        <v>18600</v>
      </c>
      <c r="E215" s="1">
        <f>IFERROR(__xludf.DUMMYFUNCTION("""COMPUTED_VALUE"""),19660.0)</f>
        <v>19660</v>
      </c>
      <c r="F215" s="1">
        <f>IFERROR(__xludf.DUMMYFUNCTION("""COMPUTED_VALUE"""),484935.0)</f>
        <v>484935</v>
      </c>
    </row>
    <row r="216">
      <c r="A216" s="2">
        <f>IFERROR(__xludf.DUMMYFUNCTION("""COMPUTED_VALUE"""),40861.645833333336)</f>
        <v>40861.64583</v>
      </c>
      <c r="B216" s="1">
        <f>IFERROR(__xludf.DUMMYFUNCTION("""COMPUTED_VALUE"""),19760.0)</f>
        <v>19760</v>
      </c>
      <c r="C216" s="1">
        <f>IFERROR(__xludf.DUMMYFUNCTION("""COMPUTED_VALUE"""),20040.0)</f>
        <v>20040</v>
      </c>
      <c r="D216" s="1">
        <f>IFERROR(__xludf.DUMMYFUNCTION("""COMPUTED_VALUE"""),19740.0)</f>
        <v>19740</v>
      </c>
      <c r="E216" s="1">
        <f>IFERROR(__xludf.DUMMYFUNCTION("""COMPUTED_VALUE"""),19920.0)</f>
        <v>19920</v>
      </c>
      <c r="F216" s="1">
        <f>IFERROR(__xludf.DUMMYFUNCTION("""COMPUTED_VALUE"""),282721.0)</f>
        <v>282721</v>
      </c>
    </row>
    <row r="217">
      <c r="A217" s="2">
        <f>IFERROR(__xludf.DUMMYFUNCTION("""COMPUTED_VALUE"""),40862.645833333336)</f>
        <v>40862.64583</v>
      </c>
      <c r="B217" s="1">
        <f>IFERROR(__xludf.DUMMYFUNCTION("""COMPUTED_VALUE"""),19720.0)</f>
        <v>19720</v>
      </c>
      <c r="C217" s="1">
        <f>IFERROR(__xludf.DUMMYFUNCTION("""COMPUTED_VALUE"""),20000.0)</f>
        <v>20000</v>
      </c>
      <c r="D217" s="1">
        <f>IFERROR(__xludf.DUMMYFUNCTION("""COMPUTED_VALUE"""),19600.0)</f>
        <v>19600</v>
      </c>
      <c r="E217" s="1">
        <f>IFERROR(__xludf.DUMMYFUNCTION("""COMPUTED_VALUE"""),19920.0)</f>
        <v>19920</v>
      </c>
      <c r="F217" s="1">
        <f>IFERROR(__xludf.DUMMYFUNCTION("""COMPUTED_VALUE"""),234742.0)</f>
        <v>234742</v>
      </c>
    </row>
    <row r="218">
      <c r="A218" s="2">
        <f>IFERROR(__xludf.DUMMYFUNCTION("""COMPUTED_VALUE"""),40863.645833333336)</f>
        <v>40863.64583</v>
      </c>
      <c r="B218" s="1">
        <f>IFERROR(__xludf.DUMMYFUNCTION("""COMPUTED_VALUE"""),19900.0)</f>
        <v>19900</v>
      </c>
      <c r="C218" s="1">
        <f>IFERROR(__xludf.DUMMYFUNCTION("""COMPUTED_VALUE"""),20060.0)</f>
        <v>20060</v>
      </c>
      <c r="D218" s="1">
        <f>IFERROR(__xludf.DUMMYFUNCTION("""COMPUTED_VALUE"""),19460.0)</f>
        <v>19460</v>
      </c>
      <c r="E218" s="1">
        <f>IFERROR(__xludf.DUMMYFUNCTION("""COMPUTED_VALUE"""),19500.0)</f>
        <v>19500</v>
      </c>
      <c r="F218" s="1">
        <f>IFERROR(__xludf.DUMMYFUNCTION("""COMPUTED_VALUE"""),338687.0)</f>
        <v>338687</v>
      </c>
    </row>
    <row r="219">
      <c r="A219" s="2">
        <f>IFERROR(__xludf.DUMMYFUNCTION("""COMPUTED_VALUE"""),40864.645833333336)</f>
        <v>40864.64583</v>
      </c>
      <c r="B219" s="1">
        <f>IFERROR(__xludf.DUMMYFUNCTION("""COMPUTED_VALUE"""),19640.0)</f>
        <v>19640</v>
      </c>
      <c r="C219" s="1">
        <f>IFERROR(__xludf.DUMMYFUNCTION("""COMPUTED_VALUE"""),19840.0)</f>
        <v>19840</v>
      </c>
      <c r="D219" s="1">
        <f>IFERROR(__xludf.DUMMYFUNCTION("""COMPUTED_VALUE"""),19220.0)</f>
        <v>19220</v>
      </c>
      <c r="E219" s="1">
        <f>IFERROR(__xludf.DUMMYFUNCTION("""COMPUTED_VALUE"""),19600.0)</f>
        <v>19600</v>
      </c>
      <c r="F219" s="1">
        <f>IFERROR(__xludf.DUMMYFUNCTION("""COMPUTED_VALUE"""),258867.0)</f>
        <v>258867</v>
      </c>
    </row>
    <row r="220">
      <c r="A220" s="2">
        <f>IFERROR(__xludf.DUMMYFUNCTION("""COMPUTED_VALUE"""),40865.645833333336)</f>
        <v>40865.64583</v>
      </c>
      <c r="B220" s="1">
        <f>IFERROR(__xludf.DUMMYFUNCTION("""COMPUTED_VALUE"""),19420.0)</f>
        <v>19420</v>
      </c>
      <c r="C220" s="1">
        <f>IFERROR(__xludf.DUMMYFUNCTION("""COMPUTED_VALUE"""),19540.0)</f>
        <v>19540</v>
      </c>
      <c r="D220" s="1">
        <f>IFERROR(__xludf.DUMMYFUNCTION("""COMPUTED_VALUE"""),19240.0)</f>
        <v>19240</v>
      </c>
      <c r="E220" s="1">
        <f>IFERROR(__xludf.DUMMYFUNCTION("""COMPUTED_VALUE"""),19260.0)</f>
        <v>19260</v>
      </c>
      <c r="F220" s="1">
        <f>IFERROR(__xludf.DUMMYFUNCTION("""COMPUTED_VALUE"""),326206.0)</f>
        <v>326206</v>
      </c>
    </row>
    <row r="221">
      <c r="A221" s="2">
        <f>IFERROR(__xludf.DUMMYFUNCTION("""COMPUTED_VALUE"""),40868.645833333336)</f>
        <v>40868.64583</v>
      </c>
      <c r="B221" s="1">
        <f>IFERROR(__xludf.DUMMYFUNCTION("""COMPUTED_VALUE"""),19020.0)</f>
        <v>19020</v>
      </c>
      <c r="C221" s="1">
        <f>IFERROR(__xludf.DUMMYFUNCTION("""COMPUTED_VALUE"""),19200.0)</f>
        <v>19200</v>
      </c>
      <c r="D221" s="1">
        <f>IFERROR(__xludf.DUMMYFUNCTION("""COMPUTED_VALUE"""),18840.0)</f>
        <v>18840</v>
      </c>
      <c r="E221" s="1">
        <f>IFERROR(__xludf.DUMMYFUNCTION("""COMPUTED_VALUE"""),19000.0)</f>
        <v>19000</v>
      </c>
      <c r="F221" s="1">
        <f>IFERROR(__xludf.DUMMYFUNCTION("""COMPUTED_VALUE"""),255838.0)</f>
        <v>255838</v>
      </c>
    </row>
    <row r="222">
      <c r="A222" s="2">
        <f>IFERROR(__xludf.DUMMYFUNCTION("""COMPUTED_VALUE"""),40869.645833333336)</f>
        <v>40869.64583</v>
      </c>
      <c r="B222" s="1">
        <f>IFERROR(__xludf.DUMMYFUNCTION("""COMPUTED_VALUE"""),19000.0)</f>
        <v>19000</v>
      </c>
      <c r="C222" s="1">
        <f>IFERROR(__xludf.DUMMYFUNCTION("""COMPUTED_VALUE"""),19420.0)</f>
        <v>19420</v>
      </c>
      <c r="D222" s="1">
        <f>IFERROR(__xludf.DUMMYFUNCTION("""COMPUTED_VALUE"""),18860.0)</f>
        <v>18860</v>
      </c>
      <c r="E222" s="1">
        <f>IFERROR(__xludf.DUMMYFUNCTION("""COMPUTED_VALUE"""),19260.0)</f>
        <v>19260</v>
      </c>
      <c r="F222" s="1">
        <f>IFERROR(__xludf.DUMMYFUNCTION("""COMPUTED_VALUE"""),240812.0)</f>
        <v>240812</v>
      </c>
    </row>
    <row r="223">
      <c r="A223" s="2">
        <f>IFERROR(__xludf.DUMMYFUNCTION("""COMPUTED_VALUE"""),40870.645833333336)</f>
        <v>40870.64583</v>
      </c>
      <c r="B223" s="1">
        <f>IFERROR(__xludf.DUMMYFUNCTION("""COMPUTED_VALUE"""),18960.0)</f>
        <v>18960</v>
      </c>
      <c r="C223" s="1">
        <f>IFERROR(__xludf.DUMMYFUNCTION("""COMPUTED_VALUE"""),19200.0)</f>
        <v>19200</v>
      </c>
      <c r="D223" s="1">
        <f>IFERROR(__xludf.DUMMYFUNCTION("""COMPUTED_VALUE"""),18700.0)</f>
        <v>18700</v>
      </c>
      <c r="E223" s="1">
        <f>IFERROR(__xludf.DUMMYFUNCTION("""COMPUTED_VALUE"""),18700.0)</f>
        <v>18700</v>
      </c>
      <c r="F223" s="1">
        <f>IFERROR(__xludf.DUMMYFUNCTION("""COMPUTED_VALUE"""),306714.0)</f>
        <v>306714</v>
      </c>
    </row>
    <row r="224">
      <c r="A224" s="2">
        <f>IFERROR(__xludf.DUMMYFUNCTION("""COMPUTED_VALUE"""),40871.645833333336)</f>
        <v>40871.64583</v>
      </c>
      <c r="B224" s="1">
        <f>IFERROR(__xludf.DUMMYFUNCTION("""COMPUTED_VALUE"""),18440.0)</f>
        <v>18440</v>
      </c>
      <c r="C224" s="1">
        <f>IFERROR(__xludf.DUMMYFUNCTION("""COMPUTED_VALUE"""),19060.0)</f>
        <v>19060</v>
      </c>
      <c r="D224" s="1">
        <f>IFERROR(__xludf.DUMMYFUNCTION("""COMPUTED_VALUE"""),18420.0)</f>
        <v>18420</v>
      </c>
      <c r="E224" s="1">
        <f>IFERROR(__xludf.DUMMYFUNCTION("""COMPUTED_VALUE"""),18860.0)</f>
        <v>18860</v>
      </c>
      <c r="F224" s="1">
        <f>IFERROR(__xludf.DUMMYFUNCTION("""COMPUTED_VALUE"""),273615.0)</f>
        <v>273615</v>
      </c>
    </row>
    <row r="225">
      <c r="A225" s="2">
        <f>IFERROR(__xludf.DUMMYFUNCTION("""COMPUTED_VALUE"""),40872.645833333336)</f>
        <v>40872.64583</v>
      </c>
      <c r="B225" s="1">
        <f>IFERROR(__xludf.DUMMYFUNCTION("""COMPUTED_VALUE"""),18580.0)</f>
        <v>18580</v>
      </c>
      <c r="C225" s="1">
        <f>IFERROR(__xludf.DUMMYFUNCTION("""COMPUTED_VALUE"""),19060.0)</f>
        <v>19060</v>
      </c>
      <c r="D225" s="1">
        <f>IFERROR(__xludf.DUMMYFUNCTION("""COMPUTED_VALUE"""),18580.0)</f>
        <v>18580</v>
      </c>
      <c r="E225" s="1">
        <f>IFERROR(__xludf.DUMMYFUNCTION("""COMPUTED_VALUE"""),18940.0)</f>
        <v>18940</v>
      </c>
      <c r="F225" s="1">
        <f>IFERROR(__xludf.DUMMYFUNCTION("""COMPUTED_VALUE"""),233788.0)</f>
        <v>233788</v>
      </c>
    </row>
    <row r="226">
      <c r="A226" s="2">
        <f>IFERROR(__xludf.DUMMYFUNCTION("""COMPUTED_VALUE"""),40875.645833333336)</f>
        <v>40875.64583</v>
      </c>
      <c r="B226" s="1">
        <f>IFERROR(__xludf.DUMMYFUNCTION("""COMPUTED_VALUE"""),19180.0)</f>
        <v>19180</v>
      </c>
      <c r="C226" s="1">
        <f>IFERROR(__xludf.DUMMYFUNCTION("""COMPUTED_VALUE"""),19640.0)</f>
        <v>19640</v>
      </c>
      <c r="D226" s="1">
        <f>IFERROR(__xludf.DUMMYFUNCTION("""COMPUTED_VALUE"""),19160.0)</f>
        <v>19160</v>
      </c>
      <c r="E226" s="1">
        <f>IFERROR(__xludf.DUMMYFUNCTION("""COMPUTED_VALUE"""),19560.0)</f>
        <v>19560</v>
      </c>
      <c r="F226" s="1">
        <f>IFERROR(__xludf.DUMMYFUNCTION("""COMPUTED_VALUE"""),314480.0)</f>
        <v>314480</v>
      </c>
    </row>
    <row r="227">
      <c r="A227" s="2">
        <f>IFERROR(__xludf.DUMMYFUNCTION("""COMPUTED_VALUE"""),40876.645833333336)</f>
        <v>40876.64583</v>
      </c>
      <c r="B227" s="1">
        <f>IFERROR(__xludf.DUMMYFUNCTION("""COMPUTED_VALUE"""),19800.0)</f>
        <v>19800</v>
      </c>
      <c r="C227" s="1">
        <f>IFERROR(__xludf.DUMMYFUNCTION("""COMPUTED_VALUE"""),20100.0)</f>
        <v>20100</v>
      </c>
      <c r="D227" s="1">
        <f>IFERROR(__xludf.DUMMYFUNCTION("""COMPUTED_VALUE"""),19720.0)</f>
        <v>19720</v>
      </c>
      <c r="E227" s="1">
        <f>IFERROR(__xludf.DUMMYFUNCTION("""COMPUTED_VALUE"""),20100.0)</f>
        <v>20100</v>
      </c>
      <c r="F227" s="1">
        <f>IFERROR(__xludf.DUMMYFUNCTION("""COMPUTED_VALUE"""),551769.0)</f>
        <v>551769</v>
      </c>
    </row>
    <row r="228">
      <c r="A228" s="2">
        <f>IFERROR(__xludf.DUMMYFUNCTION("""COMPUTED_VALUE"""),40877.645833333336)</f>
        <v>40877.64583</v>
      </c>
      <c r="B228" s="1">
        <f>IFERROR(__xludf.DUMMYFUNCTION("""COMPUTED_VALUE"""),20000.0)</f>
        <v>20000</v>
      </c>
      <c r="C228" s="1">
        <f>IFERROR(__xludf.DUMMYFUNCTION("""COMPUTED_VALUE"""),20200.0)</f>
        <v>20200</v>
      </c>
      <c r="D228" s="1">
        <f>IFERROR(__xludf.DUMMYFUNCTION("""COMPUTED_VALUE"""),19920.0)</f>
        <v>19920</v>
      </c>
      <c r="E228" s="1">
        <f>IFERROR(__xludf.DUMMYFUNCTION("""COMPUTED_VALUE"""),20080.0)</f>
        <v>20080</v>
      </c>
      <c r="F228" s="1">
        <f>IFERROR(__xludf.DUMMYFUNCTION("""COMPUTED_VALUE"""),391588.0)</f>
        <v>391588</v>
      </c>
    </row>
    <row r="229">
      <c r="A229" s="2">
        <f>IFERROR(__xludf.DUMMYFUNCTION("""COMPUTED_VALUE"""),40878.645833333336)</f>
        <v>40878.64583</v>
      </c>
      <c r="B229" s="1">
        <f>IFERROR(__xludf.DUMMYFUNCTION("""COMPUTED_VALUE"""),20700.0)</f>
        <v>20700</v>
      </c>
      <c r="C229" s="1">
        <f>IFERROR(__xludf.DUMMYFUNCTION("""COMPUTED_VALUE"""),21600.0)</f>
        <v>21600</v>
      </c>
      <c r="D229" s="1">
        <f>IFERROR(__xludf.DUMMYFUNCTION("""COMPUTED_VALUE"""),20580.0)</f>
        <v>20580</v>
      </c>
      <c r="E229" s="1">
        <f>IFERROR(__xludf.DUMMYFUNCTION("""COMPUTED_VALUE"""),21480.0)</f>
        <v>21480</v>
      </c>
      <c r="F229" s="1">
        <f>IFERROR(__xludf.DUMMYFUNCTION("""COMPUTED_VALUE"""),694343.0)</f>
        <v>694343</v>
      </c>
    </row>
    <row r="230">
      <c r="A230" s="2">
        <f>IFERROR(__xludf.DUMMYFUNCTION("""COMPUTED_VALUE"""),40879.645833333336)</f>
        <v>40879.64583</v>
      </c>
      <c r="B230" s="1">
        <f>IFERROR(__xludf.DUMMYFUNCTION("""COMPUTED_VALUE"""),21220.0)</f>
        <v>21220</v>
      </c>
      <c r="C230" s="1">
        <f>IFERROR(__xludf.DUMMYFUNCTION("""COMPUTED_VALUE"""),21420.0)</f>
        <v>21420</v>
      </c>
      <c r="D230" s="1">
        <f>IFERROR(__xludf.DUMMYFUNCTION("""COMPUTED_VALUE"""),20800.0)</f>
        <v>20800</v>
      </c>
      <c r="E230" s="1">
        <f>IFERROR(__xludf.DUMMYFUNCTION("""COMPUTED_VALUE"""),21000.0)</f>
        <v>21000</v>
      </c>
      <c r="F230" s="1">
        <f>IFERROR(__xludf.DUMMYFUNCTION("""COMPUTED_VALUE"""),438359.0)</f>
        <v>438359</v>
      </c>
    </row>
    <row r="231">
      <c r="A231" s="2">
        <f>IFERROR(__xludf.DUMMYFUNCTION("""COMPUTED_VALUE"""),40882.645833333336)</f>
        <v>40882.64583</v>
      </c>
      <c r="B231" s="1">
        <f>IFERROR(__xludf.DUMMYFUNCTION("""COMPUTED_VALUE"""),21380.0)</f>
        <v>21380</v>
      </c>
      <c r="C231" s="1">
        <f>IFERROR(__xludf.DUMMYFUNCTION("""COMPUTED_VALUE"""),21460.0)</f>
        <v>21460</v>
      </c>
      <c r="D231" s="1">
        <f>IFERROR(__xludf.DUMMYFUNCTION("""COMPUTED_VALUE"""),21160.0)</f>
        <v>21160</v>
      </c>
      <c r="E231" s="1">
        <f>IFERROR(__xludf.DUMMYFUNCTION("""COMPUTED_VALUE"""),21320.0)</f>
        <v>21320</v>
      </c>
      <c r="F231" s="1">
        <f>IFERROR(__xludf.DUMMYFUNCTION("""COMPUTED_VALUE"""),296962.0)</f>
        <v>296962</v>
      </c>
    </row>
    <row r="232">
      <c r="A232" s="2">
        <f>IFERROR(__xludf.DUMMYFUNCTION("""COMPUTED_VALUE"""),40883.645833333336)</f>
        <v>40883.64583</v>
      </c>
      <c r="B232" s="1">
        <f>IFERROR(__xludf.DUMMYFUNCTION("""COMPUTED_VALUE"""),21140.0)</f>
        <v>21140</v>
      </c>
      <c r="C232" s="1">
        <f>IFERROR(__xludf.DUMMYFUNCTION("""COMPUTED_VALUE"""),21400.0)</f>
        <v>21400</v>
      </c>
      <c r="D232" s="1">
        <f>IFERROR(__xludf.DUMMYFUNCTION("""COMPUTED_VALUE"""),20820.0)</f>
        <v>20820</v>
      </c>
      <c r="E232" s="1">
        <f>IFERROR(__xludf.DUMMYFUNCTION("""COMPUTED_VALUE"""),20880.0)</f>
        <v>20880</v>
      </c>
      <c r="F232" s="1">
        <f>IFERROR(__xludf.DUMMYFUNCTION("""COMPUTED_VALUE"""),290571.0)</f>
        <v>290571</v>
      </c>
    </row>
    <row r="233">
      <c r="A233" s="2">
        <f>IFERROR(__xludf.DUMMYFUNCTION("""COMPUTED_VALUE"""),40884.645833333336)</f>
        <v>40884.64583</v>
      </c>
      <c r="B233" s="1">
        <f>IFERROR(__xludf.DUMMYFUNCTION("""COMPUTED_VALUE"""),21000.0)</f>
        <v>21000</v>
      </c>
      <c r="C233" s="1">
        <f>IFERROR(__xludf.DUMMYFUNCTION("""COMPUTED_VALUE"""),21360.0)</f>
        <v>21360</v>
      </c>
      <c r="D233" s="1">
        <f>IFERROR(__xludf.DUMMYFUNCTION("""COMPUTED_VALUE"""),20820.0)</f>
        <v>20820</v>
      </c>
      <c r="E233" s="1">
        <f>IFERROR(__xludf.DUMMYFUNCTION("""COMPUTED_VALUE"""),21120.0)</f>
        <v>21120</v>
      </c>
      <c r="F233" s="1">
        <f>IFERROR(__xludf.DUMMYFUNCTION("""COMPUTED_VALUE"""),394938.0)</f>
        <v>394938</v>
      </c>
    </row>
    <row r="234">
      <c r="A234" s="2">
        <f>IFERROR(__xludf.DUMMYFUNCTION("""COMPUTED_VALUE"""),40885.645833333336)</f>
        <v>40885.64583</v>
      </c>
      <c r="B234" s="1">
        <f>IFERROR(__xludf.DUMMYFUNCTION("""COMPUTED_VALUE"""),21140.0)</f>
        <v>21140</v>
      </c>
      <c r="C234" s="1">
        <f>IFERROR(__xludf.DUMMYFUNCTION("""COMPUTED_VALUE"""),21660.0)</f>
        <v>21660</v>
      </c>
      <c r="D234" s="1">
        <f>IFERROR(__xludf.DUMMYFUNCTION("""COMPUTED_VALUE"""),20920.0)</f>
        <v>20920</v>
      </c>
      <c r="E234" s="1">
        <f>IFERROR(__xludf.DUMMYFUNCTION("""COMPUTED_VALUE"""),21280.0)</f>
        <v>21280</v>
      </c>
      <c r="F234" s="1">
        <f>IFERROR(__xludf.DUMMYFUNCTION("""COMPUTED_VALUE"""),517860.0)</f>
        <v>517860</v>
      </c>
    </row>
    <row r="235">
      <c r="A235" s="2">
        <f>IFERROR(__xludf.DUMMYFUNCTION("""COMPUTED_VALUE"""),40886.645833333336)</f>
        <v>40886.64583</v>
      </c>
      <c r="B235" s="1">
        <f>IFERROR(__xludf.DUMMYFUNCTION("""COMPUTED_VALUE"""),20980.0)</f>
        <v>20980</v>
      </c>
      <c r="C235" s="1">
        <f>IFERROR(__xludf.DUMMYFUNCTION("""COMPUTED_VALUE"""),21480.0)</f>
        <v>21480</v>
      </c>
      <c r="D235" s="1">
        <f>IFERROR(__xludf.DUMMYFUNCTION("""COMPUTED_VALUE"""),20740.0)</f>
        <v>20740</v>
      </c>
      <c r="E235" s="1">
        <f>IFERROR(__xludf.DUMMYFUNCTION("""COMPUTED_VALUE"""),21060.0)</f>
        <v>21060</v>
      </c>
      <c r="F235" s="1">
        <f>IFERROR(__xludf.DUMMYFUNCTION("""COMPUTED_VALUE"""),276084.0)</f>
        <v>276084</v>
      </c>
    </row>
    <row r="236">
      <c r="A236" s="2">
        <f>IFERROR(__xludf.DUMMYFUNCTION("""COMPUTED_VALUE"""),40889.645833333336)</f>
        <v>40889.64583</v>
      </c>
      <c r="B236" s="1">
        <f>IFERROR(__xludf.DUMMYFUNCTION("""COMPUTED_VALUE"""),21260.0)</f>
        <v>21260</v>
      </c>
      <c r="C236" s="1">
        <f>IFERROR(__xludf.DUMMYFUNCTION("""COMPUTED_VALUE"""),21680.0)</f>
        <v>21680</v>
      </c>
      <c r="D236" s="1">
        <f>IFERROR(__xludf.DUMMYFUNCTION("""COMPUTED_VALUE"""),21200.0)</f>
        <v>21200</v>
      </c>
      <c r="E236" s="1">
        <f>IFERROR(__xludf.DUMMYFUNCTION("""COMPUTED_VALUE"""),21680.0)</f>
        <v>21680</v>
      </c>
      <c r="F236" s="1">
        <f>IFERROR(__xludf.DUMMYFUNCTION("""COMPUTED_VALUE"""),243271.0)</f>
        <v>243271</v>
      </c>
    </row>
    <row r="237">
      <c r="A237" s="2">
        <f>IFERROR(__xludf.DUMMYFUNCTION("""COMPUTED_VALUE"""),40890.645833333336)</f>
        <v>40890.64583</v>
      </c>
      <c r="B237" s="1">
        <f>IFERROR(__xludf.DUMMYFUNCTION("""COMPUTED_VALUE"""),21480.0)</f>
        <v>21480</v>
      </c>
      <c r="C237" s="1">
        <f>IFERROR(__xludf.DUMMYFUNCTION("""COMPUTED_VALUE"""),21500.0)</f>
        <v>21500</v>
      </c>
      <c r="D237" s="1">
        <f>IFERROR(__xludf.DUMMYFUNCTION("""COMPUTED_VALUE"""),21000.0)</f>
        <v>21000</v>
      </c>
      <c r="E237" s="1">
        <f>IFERROR(__xludf.DUMMYFUNCTION("""COMPUTED_VALUE"""),21000.0)</f>
        <v>21000</v>
      </c>
      <c r="F237" s="1">
        <f>IFERROR(__xludf.DUMMYFUNCTION("""COMPUTED_VALUE"""),264200.0)</f>
        <v>264200</v>
      </c>
    </row>
    <row r="238">
      <c r="A238" s="2">
        <f>IFERROR(__xludf.DUMMYFUNCTION("""COMPUTED_VALUE"""),40891.645833333336)</f>
        <v>40891.64583</v>
      </c>
      <c r="B238" s="1">
        <f>IFERROR(__xludf.DUMMYFUNCTION("""COMPUTED_VALUE"""),20680.0)</f>
        <v>20680</v>
      </c>
      <c r="C238" s="1">
        <f>IFERROR(__xludf.DUMMYFUNCTION("""COMPUTED_VALUE"""),20900.0)</f>
        <v>20900</v>
      </c>
      <c r="D238" s="1">
        <f>IFERROR(__xludf.DUMMYFUNCTION("""COMPUTED_VALUE"""),20500.0)</f>
        <v>20500</v>
      </c>
      <c r="E238" s="1">
        <f>IFERROR(__xludf.DUMMYFUNCTION("""COMPUTED_VALUE"""),20800.0)</f>
        <v>20800</v>
      </c>
      <c r="F238" s="1">
        <f>IFERROR(__xludf.DUMMYFUNCTION("""COMPUTED_VALUE"""),421287.0)</f>
        <v>421287</v>
      </c>
    </row>
    <row r="239">
      <c r="A239" s="2">
        <f>IFERROR(__xludf.DUMMYFUNCTION("""COMPUTED_VALUE"""),40892.645833333336)</f>
        <v>40892.64583</v>
      </c>
      <c r="B239" s="1">
        <f>IFERROR(__xludf.DUMMYFUNCTION("""COMPUTED_VALUE"""),20580.0)</f>
        <v>20580</v>
      </c>
      <c r="C239" s="1">
        <f>IFERROR(__xludf.DUMMYFUNCTION("""COMPUTED_VALUE"""),20720.0)</f>
        <v>20720</v>
      </c>
      <c r="D239" s="1">
        <f>IFERROR(__xludf.DUMMYFUNCTION("""COMPUTED_VALUE"""),20300.0)</f>
        <v>20300</v>
      </c>
      <c r="E239" s="1">
        <f>IFERROR(__xludf.DUMMYFUNCTION("""COMPUTED_VALUE"""),20300.0)</f>
        <v>20300</v>
      </c>
      <c r="F239" s="1">
        <f>IFERROR(__xludf.DUMMYFUNCTION("""COMPUTED_VALUE"""),339260.0)</f>
        <v>339260</v>
      </c>
    </row>
    <row r="240">
      <c r="A240" s="2">
        <f>IFERROR(__xludf.DUMMYFUNCTION("""COMPUTED_VALUE"""),40893.645833333336)</f>
        <v>40893.64583</v>
      </c>
      <c r="B240" s="1">
        <f>IFERROR(__xludf.DUMMYFUNCTION("""COMPUTED_VALUE"""),20420.0)</f>
        <v>20420</v>
      </c>
      <c r="C240" s="1">
        <f>IFERROR(__xludf.DUMMYFUNCTION("""COMPUTED_VALUE"""),20900.0)</f>
        <v>20900</v>
      </c>
      <c r="D240" s="1">
        <f>IFERROR(__xludf.DUMMYFUNCTION("""COMPUTED_VALUE"""),20400.0)</f>
        <v>20400</v>
      </c>
      <c r="E240" s="1">
        <f>IFERROR(__xludf.DUMMYFUNCTION("""COMPUTED_VALUE"""),20900.0)</f>
        <v>20900</v>
      </c>
      <c r="F240" s="1">
        <f>IFERROR(__xludf.DUMMYFUNCTION("""COMPUTED_VALUE"""),245264.0)</f>
        <v>245264</v>
      </c>
    </row>
    <row r="241">
      <c r="A241" s="2">
        <f>IFERROR(__xludf.DUMMYFUNCTION("""COMPUTED_VALUE"""),40896.645833333336)</f>
        <v>40896.64583</v>
      </c>
      <c r="B241" s="1">
        <f>IFERROR(__xludf.DUMMYFUNCTION("""COMPUTED_VALUE"""),20900.0)</f>
        <v>20900</v>
      </c>
      <c r="C241" s="1">
        <f>IFERROR(__xludf.DUMMYFUNCTION("""COMPUTED_VALUE"""),20900.0)</f>
        <v>20900</v>
      </c>
      <c r="D241" s="1">
        <f>IFERROR(__xludf.DUMMYFUNCTION("""COMPUTED_VALUE"""),19680.0)</f>
        <v>19680</v>
      </c>
      <c r="E241" s="1">
        <f>IFERROR(__xludf.DUMMYFUNCTION("""COMPUTED_VALUE"""),20140.0)</f>
        <v>20140</v>
      </c>
      <c r="F241" s="1">
        <f>IFERROR(__xludf.DUMMYFUNCTION("""COMPUTED_VALUE"""),409706.0)</f>
        <v>409706</v>
      </c>
    </row>
    <row r="242">
      <c r="A242" s="2">
        <f>IFERROR(__xludf.DUMMYFUNCTION("""COMPUTED_VALUE"""),40897.645833333336)</f>
        <v>40897.64583</v>
      </c>
      <c r="B242" s="1">
        <f>IFERROR(__xludf.DUMMYFUNCTION("""COMPUTED_VALUE"""),20160.0)</f>
        <v>20160</v>
      </c>
      <c r="C242" s="1">
        <f>IFERROR(__xludf.DUMMYFUNCTION("""COMPUTED_VALUE"""),20580.0)</f>
        <v>20580</v>
      </c>
      <c r="D242" s="1">
        <f>IFERROR(__xludf.DUMMYFUNCTION("""COMPUTED_VALUE"""),20140.0)</f>
        <v>20140</v>
      </c>
      <c r="E242" s="1">
        <f>IFERROR(__xludf.DUMMYFUNCTION("""COMPUTED_VALUE"""),20240.0)</f>
        <v>20240</v>
      </c>
      <c r="F242" s="1">
        <f>IFERROR(__xludf.DUMMYFUNCTION("""COMPUTED_VALUE"""),275006.0)</f>
        <v>275006</v>
      </c>
    </row>
    <row r="243">
      <c r="A243" s="2">
        <f>IFERROR(__xludf.DUMMYFUNCTION("""COMPUTED_VALUE"""),40898.645833333336)</f>
        <v>40898.64583</v>
      </c>
      <c r="B243" s="1">
        <f>IFERROR(__xludf.DUMMYFUNCTION("""COMPUTED_VALUE"""),20700.0)</f>
        <v>20700</v>
      </c>
      <c r="C243" s="1">
        <f>IFERROR(__xludf.DUMMYFUNCTION("""COMPUTED_VALUE"""),21140.0)</f>
        <v>21140</v>
      </c>
      <c r="D243" s="1">
        <f>IFERROR(__xludf.DUMMYFUNCTION("""COMPUTED_VALUE"""),20620.0)</f>
        <v>20620</v>
      </c>
      <c r="E243" s="1">
        <f>IFERROR(__xludf.DUMMYFUNCTION("""COMPUTED_VALUE"""),21140.0)</f>
        <v>21140</v>
      </c>
      <c r="F243" s="1">
        <f>IFERROR(__xludf.DUMMYFUNCTION("""COMPUTED_VALUE"""),408059.0)</f>
        <v>408059</v>
      </c>
    </row>
    <row r="244">
      <c r="A244" s="2">
        <f>IFERROR(__xludf.DUMMYFUNCTION("""COMPUTED_VALUE"""),40899.645833333336)</f>
        <v>40899.64583</v>
      </c>
      <c r="B244" s="1">
        <f>IFERROR(__xludf.DUMMYFUNCTION("""COMPUTED_VALUE"""),20900.0)</f>
        <v>20900</v>
      </c>
      <c r="C244" s="1">
        <f>IFERROR(__xludf.DUMMYFUNCTION("""COMPUTED_VALUE"""),21060.0)</f>
        <v>21060</v>
      </c>
      <c r="D244" s="1">
        <f>IFERROR(__xludf.DUMMYFUNCTION("""COMPUTED_VALUE"""),20820.0)</f>
        <v>20820</v>
      </c>
      <c r="E244" s="1">
        <f>IFERROR(__xludf.DUMMYFUNCTION("""COMPUTED_VALUE"""),21040.0)</f>
        <v>21040</v>
      </c>
      <c r="F244" s="1">
        <f>IFERROR(__xludf.DUMMYFUNCTION("""COMPUTED_VALUE"""),212691.0)</f>
        <v>212691</v>
      </c>
    </row>
    <row r="245">
      <c r="A245" s="2">
        <f>IFERROR(__xludf.DUMMYFUNCTION("""COMPUTED_VALUE"""),40900.645833333336)</f>
        <v>40900.64583</v>
      </c>
      <c r="B245" s="1">
        <f>IFERROR(__xludf.DUMMYFUNCTION("""COMPUTED_VALUE"""),21120.0)</f>
        <v>21120</v>
      </c>
      <c r="C245" s="1">
        <f>IFERROR(__xludf.DUMMYFUNCTION("""COMPUTED_VALUE"""),21480.0)</f>
        <v>21480</v>
      </c>
      <c r="D245" s="1">
        <f>IFERROR(__xludf.DUMMYFUNCTION("""COMPUTED_VALUE"""),21120.0)</f>
        <v>21120</v>
      </c>
      <c r="E245" s="1">
        <f>IFERROR(__xludf.DUMMYFUNCTION("""COMPUTED_VALUE"""),21360.0)</f>
        <v>21360</v>
      </c>
      <c r="F245" s="1">
        <f>IFERROR(__xludf.DUMMYFUNCTION("""COMPUTED_VALUE"""),245981.0)</f>
        <v>245981</v>
      </c>
    </row>
    <row r="246">
      <c r="A246" s="2">
        <f>IFERROR(__xludf.DUMMYFUNCTION("""COMPUTED_VALUE"""),40903.645833333336)</f>
        <v>40903.64583</v>
      </c>
      <c r="B246" s="1">
        <f>IFERROR(__xludf.DUMMYFUNCTION("""COMPUTED_VALUE"""),21340.0)</f>
        <v>21340</v>
      </c>
      <c r="C246" s="1">
        <f>IFERROR(__xludf.DUMMYFUNCTION("""COMPUTED_VALUE"""),21500.0)</f>
        <v>21500</v>
      </c>
      <c r="D246" s="1">
        <f>IFERROR(__xludf.DUMMYFUNCTION("""COMPUTED_VALUE"""),21320.0)</f>
        <v>21320</v>
      </c>
      <c r="E246" s="1">
        <f>IFERROR(__xludf.DUMMYFUNCTION("""COMPUTED_VALUE"""),21320.0)</f>
        <v>21320</v>
      </c>
      <c r="F246" s="1">
        <f>IFERROR(__xludf.DUMMYFUNCTION("""COMPUTED_VALUE"""),124325.0)</f>
        <v>124325</v>
      </c>
    </row>
    <row r="247">
      <c r="A247" s="2">
        <f>IFERROR(__xludf.DUMMYFUNCTION("""COMPUTED_VALUE"""),40904.645833333336)</f>
        <v>40904.64583</v>
      </c>
      <c r="B247" s="1">
        <f>IFERROR(__xludf.DUMMYFUNCTION("""COMPUTED_VALUE"""),21360.0)</f>
        <v>21360</v>
      </c>
      <c r="C247" s="1">
        <f>IFERROR(__xludf.DUMMYFUNCTION("""COMPUTED_VALUE"""),21600.0)</f>
        <v>21600</v>
      </c>
      <c r="D247" s="1">
        <f>IFERROR(__xludf.DUMMYFUNCTION("""COMPUTED_VALUE"""),21060.0)</f>
        <v>21060</v>
      </c>
      <c r="E247" s="1">
        <f>IFERROR(__xludf.DUMMYFUNCTION("""COMPUTED_VALUE"""),21460.0)</f>
        <v>21460</v>
      </c>
      <c r="F247" s="1">
        <f>IFERROR(__xludf.DUMMYFUNCTION("""COMPUTED_VALUE"""),222673.0)</f>
        <v>222673</v>
      </c>
    </row>
    <row r="248">
      <c r="A248" s="2">
        <f>IFERROR(__xludf.DUMMYFUNCTION("""COMPUTED_VALUE"""),40905.645833333336)</f>
        <v>40905.64583</v>
      </c>
      <c r="B248" s="1">
        <f>IFERROR(__xludf.DUMMYFUNCTION("""COMPUTED_VALUE"""),21460.0)</f>
        <v>21460</v>
      </c>
      <c r="C248" s="1">
        <f>IFERROR(__xludf.DUMMYFUNCTION("""COMPUTED_VALUE"""),21460.0)</f>
        <v>21460</v>
      </c>
      <c r="D248" s="1">
        <f>IFERROR(__xludf.DUMMYFUNCTION("""COMPUTED_VALUE"""),21200.0)</f>
        <v>21200</v>
      </c>
      <c r="E248" s="1">
        <f>IFERROR(__xludf.DUMMYFUNCTION("""COMPUTED_VALUE"""),21220.0)</f>
        <v>21220</v>
      </c>
      <c r="F248" s="1">
        <f>IFERROR(__xludf.DUMMYFUNCTION("""COMPUTED_VALUE"""),220477.0)</f>
        <v>220477</v>
      </c>
    </row>
    <row r="249">
      <c r="A249" s="2">
        <f>IFERROR(__xludf.DUMMYFUNCTION("""COMPUTED_VALUE"""),40906.645833333336)</f>
        <v>40906.64583</v>
      </c>
      <c r="B249" s="1">
        <f>IFERROR(__xludf.DUMMYFUNCTION("""COMPUTED_VALUE"""),21240.0)</f>
        <v>21240</v>
      </c>
      <c r="C249" s="1">
        <f>IFERROR(__xludf.DUMMYFUNCTION("""COMPUTED_VALUE"""),21540.0)</f>
        <v>21540</v>
      </c>
      <c r="D249" s="1">
        <f>IFERROR(__xludf.DUMMYFUNCTION("""COMPUTED_VALUE"""),21140.0)</f>
        <v>21140</v>
      </c>
      <c r="E249" s="1">
        <f>IFERROR(__xludf.DUMMYFUNCTION("""COMPUTED_VALUE"""),21160.0)</f>
        <v>21160</v>
      </c>
      <c r="F249" s="1">
        <f>IFERROR(__xludf.DUMMYFUNCTION("""COMPUTED_VALUE"""),218478.0)</f>
        <v>218478</v>
      </c>
    </row>
    <row r="250">
      <c r="A250" s="2">
        <f>IFERROR(__xludf.DUMMYFUNCTION("""COMPUTED_VALUE"""),40910.645833333336)</f>
        <v>40910.64583</v>
      </c>
      <c r="B250" s="1">
        <f>IFERROR(__xludf.DUMMYFUNCTION("""COMPUTED_VALUE"""),21400.0)</f>
        <v>21400</v>
      </c>
      <c r="C250" s="1">
        <f>IFERROR(__xludf.DUMMYFUNCTION("""COMPUTED_VALUE"""),21600.0)</f>
        <v>21600</v>
      </c>
      <c r="D250" s="1">
        <f>IFERROR(__xludf.DUMMYFUNCTION("""COMPUTED_VALUE"""),21300.0)</f>
        <v>21300</v>
      </c>
      <c r="E250" s="1">
        <f>IFERROR(__xludf.DUMMYFUNCTION("""COMPUTED_VALUE"""),21600.0)</f>
        <v>21600</v>
      </c>
      <c r="F250" s="1">
        <f>IFERROR(__xludf.DUMMYFUNCTION("""COMPUTED_VALUE"""),263027.0)</f>
        <v>263027</v>
      </c>
    </row>
    <row r="251">
      <c r="A251" s="2">
        <f>IFERROR(__xludf.DUMMYFUNCTION("""COMPUTED_VALUE"""),40911.645833333336)</f>
        <v>40911.64583</v>
      </c>
      <c r="B251" s="1">
        <f>IFERROR(__xludf.DUMMYFUNCTION("""COMPUTED_VALUE"""),21860.0)</f>
        <v>21860</v>
      </c>
      <c r="C251" s="1">
        <f>IFERROR(__xludf.DUMMYFUNCTION("""COMPUTED_VALUE"""),22100.0)</f>
        <v>22100</v>
      </c>
      <c r="D251" s="1">
        <f>IFERROR(__xludf.DUMMYFUNCTION("""COMPUTED_VALUE"""),21840.0)</f>
        <v>21840</v>
      </c>
      <c r="E251" s="1">
        <f>IFERROR(__xludf.DUMMYFUNCTION("""COMPUTED_VALUE"""),22100.0)</f>
        <v>22100</v>
      </c>
      <c r="F251" s="1">
        <f>IFERROR(__xludf.DUMMYFUNCTION("""COMPUTED_VALUE"""),338555.0)</f>
        <v>338555</v>
      </c>
    </row>
    <row r="252">
      <c r="A252" s="2">
        <f>IFERROR(__xludf.DUMMYFUNCTION("""COMPUTED_VALUE"""),40912.645833333336)</f>
        <v>40912.64583</v>
      </c>
      <c r="B252" s="1">
        <f>IFERROR(__xludf.DUMMYFUNCTION("""COMPUTED_VALUE"""),22100.0)</f>
        <v>22100</v>
      </c>
      <c r="C252" s="1">
        <f>IFERROR(__xludf.DUMMYFUNCTION("""COMPUTED_VALUE"""),22200.0)</f>
        <v>22200</v>
      </c>
      <c r="D252" s="1">
        <f>IFERROR(__xludf.DUMMYFUNCTION("""COMPUTED_VALUE"""),21500.0)</f>
        <v>21500</v>
      </c>
      <c r="E252" s="1">
        <f>IFERROR(__xludf.DUMMYFUNCTION("""COMPUTED_VALUE"""),21600.0)</f>
        <v>21600</v>
      </c>
      <c r="F252" s="1">
        <f>IFERROR(__xludf.DUMMYFUNCTION("""COMPUTED_VALUE"""),342074.0)</f>
        <v>342074</v>
      </c>
    </row>
    <row r="253">
      <c r="A253" s="2">
        <f>IFERROR(__xludf.DUMMYFUNCTION("""COMPUTED_VALUE"""),40913.645833333336)</f>
        <v>40913.64583</v>
      </c>
      <c r="B253" s="1">
        <f>IFERROR(__xludf.DUMMYFUNCTION("""COMPUTED_VALUE"""),21460.0)</f>
        <v>21460</v>
      </c>
      <c r="C253" s="1">
        <f>IFERROR(__xludf.DUMMYFUNCTION("""COMPUTED_VALUE"""),21580.0)</f>
        <v>21580</v>
      </c>
      <c r="D253" s="1">
        <f>IFERROR(__xludf.DUMMYFUNCTION("""COMPUTED_VALUE"""),21100.0)</f>
        <v>21100</v>
      </c>
      <c r="E253" s="1">
        <f>IFERROR(__xludf.DUMMYFUNCTION("""COMPUTED_VALUE"""),21100.0)</f>
        <v>21100</v>
      </c>
      <c r="F253" s="1">
        <f>IFERROR(__xludf.DUMMYFUNCTION("""COMPUTED_VALUE"""),345968.0)</f>
        <v>345968</v>
      </c>
    </row>
    <row r="254">
      <c r="A254" s="2">
        <f>IFERROR(__xludf.DUMMYFUNCTION("""COMPUTED_VALUE"""),40914.645833333336)</f>
        <v>40914.64583</v>
      </c>
      <c r="B254" s="1">
        <f>IFERROR(__xludf.DUMMYFUNCTION("""COMPUTED_VALUE"""),21120.0)</f>
        <v>21120</v>
      </c>
      <c r="C254" s="1">
        <f>IFERROR(__xludf.DUMMYFUNCTION("""COMPUTED_VALUE"""),21320.0)</f>
        <v>21320</v>
      </c>
      <c r="D254" s="1">
        <f>IFERROR(__xludf.DUMMYFUNCTION("""COMPUTED_VALUE"""),20600.0)</f>
        <v>20600</v>
      </c>
      <c r="E254" s="1">
        <f>IFERROR(__xludf.DUMMYFUNCTION("""COMPUTED_VALUE"""),20800.0)</f>
        <v>20800</v>
      </c>
      <c r="F254" s="1">
        <f>IFERROR(__xludf.DUMMYFUNCTION("""COMPUTED_VALUE"""),376325.0)</f>
        <v>376325</v>
      </c>
    </row>
    <row r="255">
      <c r="A255" s="2">
        <f>IFERROR(__xludf.DUMMYFUNCTION("""COMPUTED_VALUE"""),40917.645833333336)</f>
        <v>40917.64583</v>
      </c>
      <c r="B255" s="1">
        <f>IFERROR(__xludf.DUMMYFUNCTION("""COMPUTED_VALUE"""),20800.0)</f>
        <v>20800</v>
      </c>
      <c r="C255" s="1">
        <f>IFERROR(__xludf.DUMMYFUNCTION("""COMPUTED_VALUE"""),20820.0)</f>
        <v>20820</v>
      </c>
      <c r="D255" s="1">
        <f>IFERROR(__xludf.DUMMYFUNCTION("""COMPUTED_VALUE"""),20300.0)</f>
        <v>20300</v>
      </c>
      <c r="E255" s="1">
        <f>IFERROR(__xludf.DUMMYFUNCTION("""COMPUTED_VALUE"""),20320.0)</f>
        <v>20320</v>
      </c>
      <c r="F255" s="1">
        <f>IFERROR(__xludf.DUMMYFUNCTION("""COMPUTED_VALUE"""),385660.0)</f>
        <v>385660</v>
      </c>
    </row>
    <row r="256">
      <c r="A256" s="2">
        <f>IFERROR(__xludf.DUMMYFUNCTION("""COMPUTED_VALUE"""),40918.645833333336)</f>
        <v>40918.64583</v>
      </c>
      <c r="B256" s="1">
        <f>IFERROR(__xludf.DUMMYFUNCTION("""COMPUTED_VALUE"""),20420.0)</f>
        <v>20420</v>
      </c>
      <c r="C256" s="1">
        <f>IFERROR(__xludf.DUMMYFUNCTION("""COMPUTED_VALUE"""),20720.0)</f>
        <v>20720</v>
      </c>
      <c r="D256" s="1">
        <f>IFERROR(__xludf.DUMMYFUNCTION("""COMPUTED_VALUE"""),20420.0)</f>
        <v>20420</v>
      </c>
      <c r="E256" s="1">
        <f>IFERROR(__xludf.DUMMYFUNCTION("""COMPUTED_VALUE"""),20520.0)</f>
        <v>20520</v>
      </c>
      <c r="F256" s="1">
        <f>IFERROR(__xludf.DUMMYFUNCTION("""COMPUTED_VALUE"""),408296.0)</f>
        <v>408296</v>
      </c>
    </row>
    <row r="257">
      <c r="A257" s="2">
        <f>IFERROR(__xludf.DUMMYFUNCTION("""COMPUTED_VALUE"""),40919.645833333336)</f>
        <v>40919.64583</v>
      </c>
      <c r="B257" s="1">
        <f>IFERROR(__xludf.DUMMYFUNCTION("""COMPUTED_VALUE"""),20340.0)</f>
        <v>20340</v>
      </c>
      <c r="C257" s="1">
        <f>IFERROR(__xludf.DUMMYFUNCTION("""COMPUTED_VALUE"""),20480.0)</f>
        <v>20480</v>
      </c>
      <c r="D257" s="1">
        <f>IFERROR(__xludf.DUMMYFUNCTION("""COMPUTED_VALUE"""),20280.0)</f>
        <v>20280</v>
      </c>
      <c r="E257" s="1">
        <f>IFERROR(__xludf.DUMMYFUNCTION("""COMPUTED_VALUE"""),20420.0)</f>
        <v>20420</v>
      </c>
      <c r="F257" s="1">
        <f>IFERROR(__xludf.DUMMYFUNCTION("""COMPUTED_VALUE"""),382203.0)</f>
        <v>382203</v>
      </c>
    </row>
    <row r="258">
      <c r="A258" s="2">
        <f>IFERROR(__xludf.DUMMYFUNCTION("""COMPUTED_VALUE"""),40920.645833333336)</f>
        <v>40920.64583</v>
      </c>
      <c r="B258" s="1">
        <f>IFERROR(__xludf.DUMMYFUNCTION("""COMPUTED_VALUE"""),20320.0)</f>
        <v>20320</v>
      </c>
      <c r="C258" s="1">
        <f>IFERROR(__xludf.DUMMYFUNCTION("""COMPUTED_VALUE"""),20580.0)</f>
        <v>20580</v>
      </c>
      <c r="D258" s="1">
        <f>IFERROR(__xludf.DUMMYFUNCTION("""COMPUTED_VALUE"""),20220.0)</f>
        <v>20220</v>
      </c>
      <c r="E258" s="1">
        <f>IFERROR(__xludf.DUMMYFUNCTION("""COMPUTED_VALUE"""),20560.0)</f>
        <v>20560</v>
      </c>
      <c r="F258" s="1">
        <f>IFERROR(__xludf.DUMMYFUNCTION("""COMPUTED_VALUE"""),370220.0)</f>
        <v>370220</v>
      </c>
    </row>
    <row r="259">
      <c r="A259" s="2">
        <f>IFERROR(__xludf.DUMMYFUNCTION("""COMPUTED_VALUE"""),40921.645833333336)</f>
        <v>40921.64583</v>
      </c>
      <c r="B259" s="1">
        <f>IFERROR(__xludf.DUMMYFUNCTION("""COMPUTED_VALUE"""),20560.0)</f>
        <v>20560</v>
      </c>
      <c r="C259" s="1">
        <f>IFERROR(__xludf.DUMMYFUNCTION("""COMPUTED_VALUE"""),21000.0)</f>
        <v>21000</v>
      </c>
      <c r="D259" s="1">
        <f>IFERROR(__xludf.DUMMYFUNCTION("""COMPUTED_VALUE"""),20520.0)</f>
        <v>20520</v>
      </c>
      <c r="E259" s="1">
        <f>IFERROR(__xludf.DUMMYFUNCTION("""COMPUTED_VALUE"""),20920.0)</f>
        <v>20920</v>
      </c>
      <c r="F259" s="1">
        <f>IFERROR(__xludf.DUMMYFUNCTION("""COMPUTED_VALUE"""),292615.0)</f>
        <v>292615</v>
      </c>
    </row>
    <row r="260">
      <c r="A260" s="2">
        <f>IFERROR(__xludf.DUMMYFUNCTION("""COMPUTED_VALUE"""),40924.645833333336)</f>
        <v>40924.64583</v>
      </c>
      <c r="B260" s="1">
        <f>IFERROR(__xludf.DUMMYFUNCTION("""COMPUTED_VALUE"""),20800.0)</f>
        <v>20800</v>
      </c>
      <c r="C260" s="1">
        <f>IFERROR(__xludf.DUMMYFUNCTION("""COMPUTED_VALUE"""),20800.0)</f>
        <v>20800</v>
      </c>
      <c r="D260" s="1">
        <f>IFERROR(__xludf.DUMMYFUNCTION("""COMPUTED_VALUE"""),20400.0)</f>
        <v>20400</v>
      </c>
      <c r="E260" s="1">
        <f>IFERROR(__xludf.DUMMYFUNCTION("""COMPUTED_VALUE"""),20600.0)</f>
        <v>20600</v>
      </c>
      <c r="F260" s="1">
        <f>IFERROR(__xludf.DUMMYFUNCTION("""COMPUTED_VALUE"""),232299.0)</f>
        <v>232299</v>
      </c>
    </row>
    <row r="261">
      <c r="A261" s="2">
        <f>IFERROR(__xludf.DUMMYFUNCTION("""COMPUTED_VALUE"""),40925.645833333336)</f>
        <v>40925.64583</v>
      </c>
      <c r="B261" s="1">
        <f>IFERROR(__xludf.DUMMYFUNCTION("""COMPUTED_VALUE"""),20820.0)</f>
        <v>20820</v>
      </c>
      <c r="C261" s="1">
        <f>IFERROR(__xludf.DUMMYFUNCTION("""COMPUTED_VALUE"""),20960.0)</f>
        <v>20960</v>
      </c>
      <c r="D261" s="1">
        <f>IFERROR(__xludf.DUMMYFUNCTION("""COMPUTED_VALUE"""),20480.0)</f>
        <v>20480</v>
      </c>
      <c r="E261" s="1">
        <f>IFERROR(__xludf.DUMMYFUNCTION("""COMPUTED_VALUE"""),20720.0)</f>
        <v>20720</v>
      </c>
      <c r="F261" s="1">
        <f>IFERROR(__xludf.DUMMYFUNCTION("""COMPUTED_VALUE"""),341688.0)</f>
        <v>341688</v>
      </c>
    </row>
    <row r="262">
      <c r="A262" s="2">
        <f>IFERROR(__xludf.DUMMYFUNCTION("""COMPUTED_VALUE"""),40926.645833333336)</f>
        <v>40926.64583</v>
      </c>
      <c r="B262" s="1">
        <f>IFERROR(__xludf.DUMMYFUNCTION("""COMPUTED_VALUE"""),21020.0)</f>
        <v>21020</v>
      </c>
      <c r="C262" s="1">
        <f>IFERROR(__xludf.DUMMYFUNCTION("""COMPUTED_VALUE"""),21040.0)</f>
        <v>21040</v>
      </c>
      <c r="D262" s="1">
        <f>IFERROR(__xludf.DUMMYFUNCTION("""COMPUTED_VALUE"""),20440.0)</f>
        <v>20440</v>
      </c>
      <c r="E262" s="1">
        <f>IFERROR(__xludf.DUMMYFUNCTION("""COMPUTED_VALUE"""),20600.0)</f>
        <v>20600</v>
      </c>
      <c r="F262" s="1">
        <f>IFERROR(__xludf.DUMMYFUNCTION("""COMPUTED_VALUE"""),307193.0)</f>
        <v>307193</v>
      </c>
    </row>
    <row r="263">
      <c r="A263" s="2">
        <f>IFERROR(__xludf.DUMMYFUNCTION("""COMPUTED_VALUE"""),40927.645833333336)</f>
        <v>40927.64583</v>
      </c>
      <c r="B263" s="1">
        <f>IFERROR(__xludf.DUMMYFUNCTION("""COMPUTED_VALUE"""),20760.0)</f>
        <v>20760</v>
      </c>
      <c r="C263" s="1">
        <f>IFERROR(__xludf.DUMMYFUNCTION("""COMPUTED_VALUE"""),21440.0)</f>
        <v>21440</v>
      </c>
      <c r="D263" s="1">
        <f>IFERROR(__xludf.DUMMYFUNCTION("""COMPUTED_VALUE"""),20740.0)</f>
        <v>20740</v>
      </c>
      <c r="E263" s="1">
        <f>IFERROR(__xludf.DUMMYFUNCTION("""COMPUTED_VALUE"""),21440.0)</f>
        <v>21440</v>
      </c>
      <c r="F263" s="1">
        <f>IFERROR(__xludf.DUMMYFUNCTION("""COMPUTED_VALUE"""),447716.0)</f>
        <v>447716</v>
      </c>
    </row>
    <row r="264">
      <c r="A264" s="2">
        <f>IFERROR(__xludf.DUMMYFUNCTION("""COMPUTED_VALUE"""),40928.645833333336)</f>
        <v>40928.64583</v>
      </c>
      <c r="B264" s="1">
        <f>IFERROR(__xludf.DUMMYFUNCTION("""COMPUTED_VALUE"""),21800.0)</f>
        <v>21800</v>
      </c>
      <c r="C264" s="1">
        <f>IFERROR(__xludf.DUMMYFUNCTION("""COMPUTED_VALUE"""),22100.0)</f>
        <v>22100</v>
      </c>
      <c r="D264" s="1">
        <f>IFERROR(__xludf.DUMMYFUNCTION("""COMPUTED_VALUE"""),21520.0)</f>
        <v>21520</v>
      </c>
      <c r="E264" s="1">
        <f>IFERROR(__xludf.DUMMYFUNCTION("""COMPUTED_VALUE"""),22100.0)</f>
        <v>22100</v>
      </c>
      <c r="F264" s="1">
        <f>IFERROR(__xludf.DUMMYFUNCTION("""COMPUTED_VALUE"""),511016.0)</f>
        <v>511016</v>
      </c>
    </row>
    <row r="265">
      <c r="A265" s="2">
        <f>IFERROR(__xludf.DUMMYFUNCTION("""COMPUTED_VALUE"""),40933.645833333336)</f>
        <v>40933.64583</v>
      </c>
      <c r="B265" s="1">
        <f>IFERROR(__xludf.DUMMYFUNCTION("""COMPUTED_VALUE"""),21840.0)</f>
        <v>21840</v>
      </c>
      <c r="C265" s="1">
        <f>IFERROR(__xludf.DUMMYFUNCTION("""COMPUTED_VALUE"""),22500.0)</f>
        <v>22500</v>
      </c>
      <c r="D265" s="1">
        <f>IFERROR(__xludf.DUMMYFUNCTION("""COMPUTED_VALUE"""),21840.0)</f>
        <v>21840</v>
      </c>
      <c r="E265" s="1">
        <f>IFERROR(__xludf.DUMMYFUNCTION("""COMPUTED_VALUE"""),22280.0)</f>
        <v>22280</v>
      </c>
      <c r="F265" s="1">
        <f>IFERROR(__xludf.DUMMYFUNCTION("""COMPUTED_VALUE"""),455026.0)</f>
        <v>455026</v>
      </c>
    </row>
    <row r="266">
      <c r="A266" s="2">
        <f>IFERROR(__xludf.DUMMYFUNCTION("""COMPUTED_VALUE"""),40934.645833333336)</f>
        <v>40934.64583</v>
      </c>
      <c r="B266" s="1">
        <f>IFERROR(__xludf.DUMMYFUNCTION("""COMPUTED_VALUE"""),22320.0)</f>
        <v>22320</v>
      </c>
      <c r="C266" s="1">
        <f>IFERROR(__xludf.DUMMYFUNCTION("""COMPUTED_VALUE"""),22420.0)</f>
        <v>22420</v>
      </c>
      <c r="D266" s="1">
        <f>IFERROR(__xludf.DUMMYFUNCTION("""COMPUTED_VALUE"""),21880.0)</f>
        <v>21880</v>
      </c>
      <c r="E266" s="1">
        <f>IFERROR(__xludf.DUMMYFUNCTION("""COMPUTED_VALUE"""),22260.0)</f>
        <v>22260</v>
      </c>
      <c r="F266" s="1">
        <f>IFERROR(__xludf.DUMMYFUNCTION("""COMPUTED_VALUE"""),353103.0)</f>
        <v>353103</v>
      </c>
    </row>
    <row r="267">
      <c r="A267" s="2">
        <f>IFERROR(__xludf.DUMMYFUNCTION("""COMPUTED_VALUE"""),40935.645833333336)</f>
        <v>40935.64583</v>
      </c>
      <c r="B267" s="1">
        <f>IFERROR(__xludf.DUMMYFUNCTION("""COMPUTED_VALUE"""),22400.0)</f>
        <v>22400</v>
      </c>
      <c r="C267" s="1">
        <f>IFERROR(__xludf.DUMMYFUNCTION("""COMPUTED_VALUE"""),22500.0)</f>
        <v>22500</v>
      </c>
      <c r="D267" s="1">
        <f>IFERROR(__xludf.DUMMYFUNCTION("""COMPUTED_VALUE"""),22220.0)</f>
        <v>22220</v>
      </c>
      <c r="E267" s="1">
        <f>IFERROR(__xludf.DUMMYFUNCTION("""COMPUTED_VALUE"""),22500.0)</f>
        <v>22500</v>
      </c>
      <c r="F267" s="1">
        <f>IFERROR(__xludf.DUMMYFUNCTION("""COMPUTED_VALUE"""),254824.0)</f>
        <v>254824</v>
      </c>
    </row>
    <row r="268">
      <c r="A268" s="2">
        <f>IFERROR(__xludf.DUMMYFUNCTION("""COMPUTED_VALUE"""),40938.645833333336)</f>
        <v>40938.64583</v>
      </c>
      <c r="B268" s="1">
        <f>IFERROR(__xludf.DUMMYFUNCTION("""COMPUTED_VALUE"""),22580.0)</f>
        <v>22580</v>
      </c>
      <c r="C268" s="1">
        <f>IFERROR(__xludf.DUMMYFUNCTION("""COMPUTED_VALUE"""),22600.0)</f>
        <v>22600</v>
      </c>
      <c r="D268" s="1">
        <f>IFERROR(__xludf.DUMMYFUNCTION("""COMPUTED_VALUE"""),22180.0)</f>
        <v>22180</v>
      </c>
      <c r="E268" s="1">
        <f>IFERROR(__xludf.DUMMYFUNCTION("""COMPUTED_VALUE"""),22300.0)</f>
        <v>22300</v>
      </c>
      <c r="F268" s="1">
        <f>IFERROR(__xludf.DUMMYFUNCTION("""COMPUTED_VALUE"""),327089.0)</f>
        <v>327089</v>
      </c>
    </row>
    <row r="269">
      <c r="A269" s="2">
        <f>IFERROR(__xludf.DUMMYFUNCTION("""COMPUTED_VALUE"""),40939.645833333336)</f>
        <v>40939.64583</v>
      </c>
      <c r="B269" s="1">
        <f>IFERROR(__xludf.DUMMYFUNCTION("""COMPUTED_VALUE"""),22100.0)</f>
        <v>22100</v>
      </c>
      <c r="C269" s="1">
        <f>IFERROR(__xludf.DUMMYFUNCTION("""COMPUTED_VALUE"""),22400.0)</f>
        <v>22400</v>
      </c>
      <c r="D269" s="1">
        <f>IFERROR(__xludf.DUMMYFUNCTION("""COMPUTED_VALUE"""),21780.0)</f>
        <v>21780</v>
      </c>
      <c r="E269" s="1">
        <f>IFERROR(__xludf.DUMMYFUNCTION("""COMPUTED_VALUE"""),22140.0)</f>
        <v>22140</v>
      </c>
      <c r="F269" s="1">
        <f>IFERROR(__xludf.DUMMYFUNCTION("""COMPUTED_VALUE"""),434627.0)</f>
        <v>434627</v>
      </c>
    </row>
    <row r="270">
      <c r="A270" s="2">
        <f>IFERROR(__xludf.DUMMYFUNCTION("""COMPUTED_VALUE"""),40940.645833333336)</f>
        <v>40940.64583</v>
      </c>
      <c r="B270" s="1">
        <f>IFERROR(__xludf.DUMMYFUNCTION("""COMPUTED_VALUE"""),22140.0)</f>
        <v>22140</v>
      </c>
      <c r="C270" s="1">
        <f>IFERROR(__xludf.DUMMYFUNCTION("""COMPUTED_VALUE"""),22140.0)</f>
        <v>22140</v>
      </c>
      <c r="D270" s="1">
        <f>IFERROR(__xludf.DUMMYFUNCTION("""COMPUTED_VALUE"""),21560.0)</f>
        <v>21560</v>
      </c>
      <c r="E270" s="1">
        <f>IFERROR(__xludf.DUMMYFUNCTION("""COMPUTED_VALUE"""),21580.0)</f>
        <v>21580</v>
      </c>
      <c r="F270" s="1">
        <f>IFERROR(__xludf.DUMMYFUNCTION("""COMPUTED_VALUE"""),456993.0)</f>
        <v>456993</v>
      </c>
    </row>
    <row r="271">
      <c r="A271" s="2">
        <f>IFERROR(__xludf.DUMMYFUNCTION("""COMPUTED_VALUE"""),40941.645833333336)</f>
        <v>40941.64583</v>
      </c>
      <c r="B271" s="1">
        <f>IFERROR(__xludf.DUMMYFUNCTION("""COMPUTED_VALUE"""),21720.0)</f>
        <v>21720</v>
      </c>
      <c r="C271" s="1">
        <f>IFERROR(__xludf.DUMMYFUNCTION("""COMPUTED_VALUE"""),22080.0)</f>
        <v>22080</v>
      </c>
      <c r="D271" s="1">
        <f>IFERROR(__xludf.DUMMYFUNCTION("""COMPUTED_VALUE"""),21360.0)</f>
        <v>21360</v>
      </c>
      <c r="E271" s="1">
        <f>IFERROR(__xludf.DUMMYFUNCTION("""COMPUTED_VALUE"""),21600.0)</f>
        <v>21600</v>
      </c>
      <c r="F271" s="1">
        <f>IFERROR(__xludf.DUMMYFUNCTION("""COMPUTED_VALUE"""),448053.0)</f>
        <v>448053</v>
      </c>
    </row>
    <row r="272">
      <c r="A272" s="2">
        <f>IFERROR(__xludf.DUMMYFUNCTION("""COMPUTED_VALUE"""),40942.645833333336)</f>
        <v>40942.64583</v>
      </c>
      <c r="B272" s="1">
        <f>IFERROR(__xludf.DUMMYFUNCTION("""COMPUTED_VALUE"""),21420.0)</f>
        <v>21420</v>
      </c>
      <c r="C272" s="1">
        <f>IFERROR(__xludf.DUMMYFUNCTION("""COMPUTED_VALUE"""),21680.0)</f>
        <v>21680</v>
      </c>
      <c r="D272" s="1">
        <f>IFERROR(__xludf.DUMMYFUNCTION("""COMPUTED_VALUE"""),21120.0)</f>
        <v>21120</v>
      </c>
      <c r="E272" s="1">
        <f>IFERROR(__xludf.DUMMYFUNCTION("""COMPUTED_VALUE"""),21320.0)</f>
        <v>21320</v>
      </c>
      <c r="F272" s="1">
        <f>IFERROR(__xludf.DUMMYFUNCTION("""COMPUTED_VALUE"""),356028.0)</f>
        <v>356028</v>
      </c>
    </row>
    <row r="273">
      <c r="A273" s="2">
        <f>IFERROR(__xludf.DUMMYFUNCTION("""COMPUTED_VALUE"""),40945.645833333336)</f>
        <v>40945.64583</v>
      </c>
      <c r="B273" s="1">
        <f>IFERROR(__xludf.DUMMYFUNCTION("""COMPUTED_VALUE"""),21680.0)</f>
        <v>21680</v>
      </c>
      <c r="C273" s="1">
        <f>IFERROR(__xludf.DUMMYFUNCTION("""COMPUTED_VALUE"""),21820.0)</f>
        <v>21820</v>
      </c>
      <c r="D273" s="1">
        <f>IFERROR(__xludf.DUMMYFUNCTION("""COMPUTED_VALUE"""),21320.0)</f>
        <v>21320</v>
      </c>
      <c r="E273" s="1">
        <f>IFERROR(__xludf.DUMMYFUNCTION("""COMPUTED_VALUE"""),21480.0)</f>
        <v>21480</v>
      </c>
      <c r="F273" s="1">
        <f>IFERROR(__xludf.DUMMYFUNCTION("""COMPUTED_VALUE"""),316750.0)</f>
        <v>316750</v>
      </c>
    </row>
    <row r="274">
      <c r="A274" s="2">
        <f>IFERROR(__xludf.DUMMYFUNCTION("""COMPUTED_VALUE"""),40946.645833333336)</f>
        <v>40946.64583</v>
      </c>
      <c r="B274" s="1">
        <f>IFERROR(__xludf.DUMMYFUNCTION("""COMPUTED_VALUE"""),21540.0)</f>
        <v>21540</v>
      </c>
      <c r="C274" s="1">
        <f>IFERROR(__xludf.DUMMYFUNCTION("""COMPUTED_VALUE"""),21920.0)</f>
        <v>21920</v>
      </c>
      <c r="D274" s="1">
        <f>IFERROR(__xludf.DUMMYFUNCTION("""COMPUTED_VALUE"""),21460.0)</f>
        <v>21460</v>
      </c>
      <c r="E274" s="1">
        <f>IFERROR(__xludf.DUMMYFUNCTION("""COMPUTED_VALUE"""),21860.0)</f>
        <v>21860</v>
      </c>
      <c r="F274" s="1">
        <f>IFERROR(__xludf.DUMMYFUNCTION("""COMPUTED_VALUE"""),238439.0)</f>
        <v>238439</v>
      </c>
    </row>
    <row r="275">
      <c r="A275" s="2">
        <f>IFERROR(__xludf.DUMMYFUNCTION("""COMPUTED_VALUE"""),40947.645833333336)</f>
        <v>40947.64583</v>
      </c>
      <c r="B275" s="1">
        <f>IFERROR(__xludf.DUMMYFUNCTION("""COMPUTED_VALUE"""),21980.0)</f>
        <v>21980</v>
      </c>
      <c r="C275" s="1">
        <f>IFERROR(__xludf.DUMMYFUNCTION("""COMPUTED_VALUE"""),22000.0)</f>
        <v>22000</v>
      </c>
      <c r="D275" s="1">
        <f>IFERROR(__xludf.DUMMYFUNCTION("""COMPUTED_VALUE"""),21680.0)</f>
        <v>21680</v>
      </c>
      <c r="E275" s="1">
        <f>IFERROR(__xludf.DUMMYFUNCTION("""COMPUTED_VALUE"""),21840.0)</f>
        <v>21840</v>
      </c>
      <c r="F275" s="1">
        <f>IFERROR(__xludf.DUMMYFUNCTION("""COMPUTED_VALUE"""),236188.0)</f>
        <v>236188</v>
      </c>
    </row>
    <row r="276">
      <c r="A276" s="2">
        <f>IFERROR(__xludf.DUMMYFUNCTION("""COMPUTED_VALUE"""),40948.645833333336)</f>
        <v>40948.64583</v>
      </c>
      <c r="B276" s="1">
        <f>IFERROR(__xludf.DUMMYFUNCTION("""COMPUTED_VALUE"""),21740.0)</f>
        <v>21740</v>
      </c>
      <c r="C276" s="1">
        <f>IFERROR(__xludf.DUMMYFUNCTION("""COMPUTED_VALUE"""),21800.0)</f>
        <v>21800</v>
      </c>
      <c r="D276" s="1">
        <f>IFERROR(__xludf.DUMMYFUNCTION("""COMPUTED_VALUE"""),21200.0)</f>
        <v>21200</v>
      </c>
      <c r="E276" s="1">
        <f>IFERROR(__xludf.DUMMYFUNCTION("""COMPUTED_VALUE"""),21680.0)</f>
        <v>21680</v>
      </c>
      <c r="F276" s="1">
        <f>IFERROR(__xludf.DUMMYFUNCTION("""COMPUTED_VALUE"""),480117.0)</f>
        <v>480117</v>
      </c>
    </row>
    <row r="277">
      <c r="A277" s="2">
        <f>IFERROR(__xludf.DUMMYFUNCTION("""COMPUTED_VALUE"""),40949.645833333336)</f>
        <v>40949.64583</v>
      </c>
      <c r="B277" s="1">
        <f>IFERROR(__xludf.DUMMYFUNCTION("""COMPUTED_VALUE"""),21680.0)</f>
        <v>21680</v>
      </c>
      <c r="C277" s="1">
        <f>IFERROR(__xludf.DUMMYFUNCTION("""COMPUTED_VALUE"""),21680.0)</f>
        <v>21680</v>
      </c>
      <c r="D277" s="1">
        <f>IFERROR(__xludf.DUMMYFUNCTION("""COMPUTED_VALUE"""),21220.0)</f>
        <v>21220</v>
      </c>
      <c r="E277" s="1">
        <f>IFERROR(__xludf.DUMMYFUNCTION("""COMPUTED_VALUE"""),21240.0)</f>
        <v>21240</v>
      </c>
      <c r="F277" s="1">
        <f>IFERROR(__xludf.DUMMYFUNCTION("""COMPUTED_VALUE"""),371582.0)</f>
        <v>371582</v>
      </c>
    </row>
    <row r="278">
      <c r="A278" s="2">
        <f>IFERROR(__xludf.DUMMYFUNCTION("""COMPUTED_VALUE"""),40952.645833333336)</f>
        <v>40952.64583</v>
      </c>
      <c r="B278" s="1">
        <f>IFERROR(__xludf.DUMMYFUNCTION("""COMPUTED_VALUE"""),21380.0)</f>
        <v>21380</v>
      </c>
      <c r="C278" s="1">
        <f>IFERROR(__xludf.DUMMYFUNCTION("""COMPUTED_VALUE"""),21780.0)</f>
        <v>21780</v>
      </c>
      <c r="D278" s="1">
        <f>IFERROR(__xludf.DUMMYFUNCTION("""COMPUTED_VALUE"""),21340.0)</f>
        <v>21340</v>
      </c>
      <c r="E278" s="1">
        <f>IFERROR(__xludf.DUMMYFUNCTION("""COMPUTED_VALUE"""),21660.0)</f>
        <v>21660</v>
      </c>
      <c r="F278" s="1">
        <f>IFERROR(__xludf.DUMMYFUNCTION("""COMPUTED_VALUE"""),320345.0)</f>
        <v>320345</v>
      </c>
    </row>
    <row r="279">
      <c r="A279" s="2">
        <f>IFERROR(__xludf.DUMMYFUNCTION("""COMPUTED_VALUE"""),40953.645833333336)</f>
        <v>40953.64583</v>
      </c>
      <c r="B279" s="1">
        <f>IFERROR(__xludf.DUMMYFUNCTION("""COMPUTED_VALUE"""),21680.0)</f>
        <v>21680</v>
      </c>
      <c r="C279" s="1">
        <f>IFERROR(__xludf.DUMMYFUNCTION("""COMPUTED_VALUE"""),21780.0)</f>
        <v>21780</v>
      </c>
      <c r="D279" s="1">
        <f>IFERROR(__xludf.DUMMYFUNCTION("""COMPUTED_VALUE"""),21480.0)</f>
        <v>21480</v>
      </c>
      <c r="E279" s="1">
        <f>IFERROR(__xludf.DUMMYFUNCTION("""COMPUTED_VALUE"""),21600.0)</f>
        <v>21600</v>
      </c>
      <c r="F279" s="1">
        <f>IFERROR(__xludf.DUMMYFUNCTION("""COMPUTED_VALUE"""),246348.0)</f>
        <v>246348</v>
      </c>
    </row>
    <row r="280">
      <c r="A280" s="2">
        <f>IFERROR(__xludf.DUMMYFUNCTION("""COMPUTED_VALUE"""),40954.645833333336)</f>
        <v>40954.64583</v>
      </c>
      <c r="B280" s="1">
        <f>IFERROR(__xludf.DUMMYFUNCTION("""COMPUTED_VALUE"""),21960.0)</f>
        <v>21960</v>
      </c>
      <c r="C280" s="1">
        <f>IFERROR(__xludf.DUMMYFUNCTION("""COMPUTED_VALUE"""),22760.0)</f>
        <v>22760</v>
      </c>
      <c r="D280" s="1">
        <f>IFERROR(__xludf.DUMMYFUNCTION("""COMPUTED_VALUE"""),21840.0)</f>
        <v>21840</v>
      </c>
      <c r="E280" s="1">
        <f>IFERROR(__xludf.DUMMYFUNCTION("""COMPUTED_VALUE"""),22700.0)</f>
        <v>22700</v>
      </c>
      <c r="F280" s="1">
        <f>IFERROR(__xludf.DUMMYFUNCTION("""COMPUTED_VALUE"""),570447.0)</f>
        <v>570447</v>
      </c>
    </row>
    <row r="281">
      <c r="A281" s="2">
        <f>IFERROR(__xludf.DUMMYFUNCTION("""COMPUTED_VALUE"""),40955.645833333336)</f>
        <v>40955.64583</v>
      </c>
      <c r="B281" s="1">
        <f>IFERROR(__xludf.DUMMYFUNCTION("""COMPUTED_VALUE"""),22600.0)</f>
        <v>22600</v>
      </c>
      <c r="C281" s="1">
        <f>IFERROR(__xludf.DUMMYFUNCTION("""COMPUTED_VALUE"""),22800.0)</f>
        <v>22800</v>
      </c>
      <c r="D281" s="1">
        <f>IFERROR(__xludf.DUMMYFUNCTION("""COMPUTED_VALUE"""),22420.0)</f>
        <v>22420</v>
      </c>
      <c r="E281" s="1">
        <f>IFERROR(__xludf.DUMMYFUNCTION("""COMPUTED_VALUE"""),22700.0)</f>
        <v>22700</v>
      </c>
      <c r="F281" s="1">
        <f>IFERROR(__xludf.DUMMYFUNCTION("""COMPUTED_VALUE"""),308236.0)</f>
        <v>308236</v>
      </c>
    </row>
    <row r="282">
      <c r="A282" s="2">
        <f>IFERROR(__xludf.DUMMYFUNCTION("""COMPUTED_VALUE"""),40956.645833333336)</f>
        <v>40956.64583</v>
      </c>
      <c r="B282" s="1">
        <f>IFERROR(__xludf.DUMMYFUNCTION("""COMPUTED_VALUE"""),23180.0)</f>
        <v>23180</v>
      </c>
      <c r="C282" s="1">
        <f>IFERROR(__xludf.DUMMYFUNCTION("""COMPUTED_VALUE"""),23600.0)</f>
        <v>23600</v>
      </c>
      <c r="D282" s="1">
        <f>IFERROR(__xludf.DUMMYFUNCTION("""COMPUTED_VALUE"""),23120.0)</f>
        <v>23120</v>
      </c>
      <c r="E282" s="1">
        <f>IFERROR(__xludf.DUMMYFUNCTION("""COMPUTED_VALUE"""),23520.0)</f>
        <v>23520</v>
      </c>
      <c r="F282" s="1">
        <f>IFERROR(__xludf.DUMMYFUNCTION("""COMPUTED_VALUE"""),346169.0)</f>
        <v>346169</v>
      </c>
    </row>
    <row r="283">
      <c r="A283" s="2">
        <f>IFERROR(__xludf.DUMMYFUNCTION("""COMPUTED_VALUE"""),40959.645833333336)</f>
        <v>40959.64583</v>
      </c>
      <c r="B283" s="1">
        <f>IFERROR(__xludf.DUMMYFUNCTION("""COMPUTED_VALUE"""),23560.0)</f>
        <v>23560</v>
      </c>
      <c r="C283" s="1">
        <f>IFERROR(__xludf.DUMMYFUNCTION("""COMPUTED_VALUE"""),23880.0)</f>
        <v>23880</v>
      </c>
      <c r="D283" s="1">
        <f>IFERROR(__xludf.DUMMYFUNCTION("""COMPUTED_VALUE"""),23320.0)</f>
        <v>23320</v>
      </c>
      <c r="E283" s="1">
        <f>IFERROR(__xludf.DUMMYFUNCTION("""COMPUTED_VALUE"""),23500.0)</f>
        <v>23500</v>
      </c>
      <c r="F283" s="1">
        <f>IFERROR(__xludf.DUMMYFUNCTION("""COMPUTED_VALUE"""),296283.0)</f>
        <v>296283</v>
      </c>
    </row>
    <row r="284">
      <c r="A284" s="2">
        <f>IFERROR(__xludf.DUMMYFUNCTION("""COMPUTED_VALUE"""),40960.645833333336)</f>
        <v>40960.64583</v>
      </c>
      <c r="B284" s="1">
        <f>IFERROR(__xludf.DUMMYFUNCTION("""COMPUTED_VALUE"""),23500.0)</f>
        <v>23500</v>
      </c>
      <c r="C284" s="1">
        <f>IFERROR(__xludf.DUMMYFUNCTION("""COMPUTED_VALUE"""),23960.0)</f>
        <v>23960</v>
      </c>
      <c r="D284" s="1">
        <f>IFERROR(__xludf.DUMMYFUNCTION("""COMPUTED_VALUE"""),23300.0)</f>
        <v>23300</v>
      </c>
      <c r="E284" s="1">
        <f>IFERROR(__xludf.DUMMYFUNCTION("""COMPUTED_VALUE"""),23600.0)</f>
        <v>23600</v>
      </c>
      <c r="F284" s="1">
        <f>IFERROR(__xludf.DUMMYFUNCTION("""COMPUTED_VALUE"""),216165.0)</f>
        <v>216165</v>
      </c>
    </row>
    <row r="285">
      <c r="A285" s="2">
        <f>IFERROR(__xludf.DUMMYFUNCTION("""COMPUTED_VALUE"""),40961.645833333336)</f>
        <v>40961.64583</v>
      </c>
      <c r="B285" s="1">
        <f>IFERROR(__xludf.DUMMYFUNCTION("""COMPUTED_VALUE"""),23640.0)</f>
        <v>23640</v>
      </c>
      <c r="C285" s="1">
        <f>IFERROR(__xludf.DUMMYFUNCTION("""COMPUTED_VALUE"""),24000.0)</f>
        <v>24000</v>
      </c>
      <c r="D285" s="1">
        <f>IFERROR(__xludf.DUMMYFUNCTION("""COMPUTED_VALUE"""),23440.0)</f>
        <v>23440</v>
      </c>
      <c r="E285" s="1">
        <f>IFERROR(__xludf.DUMMYFUNCTION("""COMPUTED_VALUE"""),23940.0)</f>
        <v>23940</v>
      </c>
      <c r="F285" s="1">
        <f>IFERROR(__xludf.DUMMYFUNCTION("""COMPUTED_VALUE"""),235585.0)</f>
        <v>235585</v>
      </c>
    </row>
    <row r="286">
      <c r="A286" s="2">
        <f>IFERROR(__xludf.DUMMYFUNCTION("""COMPUTED_VALUE"""),40962.645833333336)</f>
        <v>40962.64583</v>
      </c>
      <c r="B286" s="1">
        <f>IFERROR(__xludf.DUMMYFUNCTION("""COMPUTED_VALUE"""),23460.0)</f>
        <v>23460</v>
      </c>
      <c r="C286" s="1">
        <f>IFERROR(__xludf.DUMMYFUNCTION("""COMPUTED_VALUE"""),23580.0)</f>
        <v>23580</v>
      </c>
      <c r="D286" s="1">
        <f>IFERROR(__xludf.DUMMYFUNCTION("""COMPUTED_VALUE"""),23020.0)</f>
        <v>23020</v>
      </c>
      <c r="E286" s="1">
        <f>IFERROR(__xludf.DUMMYFUNCTION("""COMPUTED_VALUE"""),23200.0)</f>
        <v>23200</v>
      </c>
      <c r="F286" s="1">
        <f>IFERROR(__xludf.DUMMYFUNCTION("""COMPUTED_VALUE"""),465184.0)</f>
        <v>465184</v>
      </c>
    </row>
    <row r="287">
      <c r="A287" s="2">
        <f>IFERROR(__xludf.DUMMYFUNCTION("""COMPUTED_VALUE"""),40963.645833333336)</f>
        <v>40963.64583</v>
      </c>
      <c r="B287" s="1">
        <f>IFERROR(__xludf.DUMMYFUNCTION("""COMPUTED_VALUE"""),23060.0)</f>
        <v>23060</v>
      </c>
      <c r="C287" s="1">
        <f>IFERROR(__xludf.DUMMYFUNCTION("""COMPUTED_VALUE"""),23720.0)</f>
        <v>23720</v>
      </c>
      <c r="D287" s="1">
        <f>IFERROR(__xludf.DUMMYFUNCTION("""COMPUTED_VALUE"""),23060.0)</f>
        <v>23060</v>
      </c>
      <c r="E287" s="1">
        <f>IFERROR(__xludf.DUMMYFUNCTION("""COMPUTED_VALUE"""),23600.0)</f>
        <v>23600</v>
      </c>
      <c r="F287" s="1">
        <f>IFERROR(__xludf.DUMMYFUNCTION("""COMPUTED_VALUE"""),284806.0)</f>
        <v>284806</v>
      </c>
    </row>
    <row r="288">
      <c r="A288" s="2">
        <f>IFERROR(__xludf.DUMMYFUNCTION("""COMPUTED_VALUE"""),40966.645833333336)</f>
        <v>40966.64583</v>
      </c>
      <c r="B288" s="1">
        <f>IFERROR(__xludf.DUMMYFUNCTION("""COMPUTED_VALUE"""),23480.0)</f>
        <v>23480</v>
      </c>
      <c r="C288" s="1">
        <f>IFERROR(__xludf.DUMMYFUNCTION("""COMPUTED_VALUE"""),23600.0)</f>
        <v>23600</v>
      </c>
      <c r="D288" s="1">
        <f>IFERROR(__xludf.DUMMYFUNCTION("""COMPUTED_VALUE"""),23180.0)</f>
        <v>23180</v>
      </c>
      <c r="E288" s="1">
        <f>IFERROR(__xludf.DUMMYFUNCTION("""COMPUTED_VALUE"""),23420.0)</f>
        <v>23420</v>
      </c>
      <c r="F288" s="1">
        <f>IFERROR(__xludf.DUMMYFUNCTION("""COMPUTED_VALUE"""),165466.0)</f>
        <v>165466</v>
      </c>
    </row>
    <row r="289">
      <c r="A289" s="2">
        <f>IFERROR(__xludf.DUMMYFUNCTION("""COMPUTED_VALUE"""),40967.645833333336)</f>
        <v>40967.64583</v>
      </c>
      <c r="B289" s="1">
        <f>IFERROR(__xludf.DUMMYFUNCTION("""COMPUTED_VALUE"""),23920.0)</f>
        <v>23920</v>
      </c>
      <c r="C289" s="1">
        <f>IFERROR(__xludf.DUMMYFUNCTION("""COMPUTED_VALUE"""),24000.0)</f>
        <v>24000</v>
      </c>
      <c r="D289" s="1">
        <f>IFERROR(__xludf.DUMMYFUNCTION("""COMPUTED_VALUE"""),23620.0)</f>
        <v>23620</v>
      </c>
      <c r="E289" s="1">
        <f>IFERROR(__xludf.DUMMYFUNCTION("""COMPUTED_VALUE"""),23700.0)</f>
        <v>23700</v>
      </c>
      <c r="F289" s="1">
        <f>IFERROR(__xludf.DUMMYFUNCTION("""COMPUTED_VALUE"""),332962.0)</f>
        <v>332962</v>
      </c>
    </row>
    <row r="290">
      <c r="A290" s="2">
        <f>IFERROR(__xludf.DUMMYFUNCTION("""COMPUTED_VALUE"""),40968.645833333336)</f>
        <v>40968.64583</v>
      </c>
      <c r="B290" s="1">
        <f>IFERROR(__xludf.DUMMYFUNCTION("""COMPUTED_VALUE"""),23820.0)</f>
        <v>23820</v>
      </c>
      <c r="C290" s="1">
        <f>IFERROR(__xludf.DUMMYFUNCTION("""COMPUTED_VALUE"""),24180.0)</f>
        <v>24180</v>
      </c>
      <c r="D290" s="1">
        <f>IFERROR(__xludf.DUMMYFUNCTION("""COMPUTED_VALUE"""),23820.0)</f>
        <v>23820</v>
      </c>
      <c r="E290" s="1">
        <f>IFERROR(__xludf.DUMMYFUNCTION("""COMPUTED_VALUE"""),24120.0)</f>
        <v>24120</v>
      </c>
      <c r="F290" s="1">
        <f>IFERROR(__xludf.DUMMYFUNCTION("""COMPUTED_VALUE"""),345566.0)</f>
        <v>345566</v>
      </c>
    </row>
    <row r="291">
      <c r="A291" s="2">
        <f>IFERROR(__xludf.DUMMYFUNCTION("""COMPUTED_VALUE"""),40970.645833333336)</f>
        <v>40970.64583</v>
      </c>
      <c r="B291" s="1">
        <f>IFERROR(__xludf.DUMMYFUNCTION("""COMPUTED_VALUE"""),24300.0)</f>
        <v>24300</v>
      </c>
      <c r="C291" s="1">
        <f>IFERROR(__xludf.DUMMYFUNCTION("""COMPUTED_VALUE"""),24340.0)</f>
        <v>24340</v>
      </c>
      <c r="D291" s="1">
        <f>IFERROR(__xludf.DUMMYFUNCTION("""COMPUTED_VALUE"""),23580.0)</f>
        <v>23580</v>
      </c>
      <c r="E291" s="1">
        <f>IFERROR(__xludf.DUMMYFUNCTION("""COMPUTED_VALUE"""),23640.0)</f>
        <v>23640</v>
      </c>
      <c r="F291" s="1">
        <f>IFERROR(__xludf.DUMMYFUNCTION("""COMPUTED_VALUE"""),360474.0)</f>
        <v>360474</v>
      </c>
    </row>
    <row r="292">
      <c r="A292" s="2">
        <f>IFERROR(__xludf.DUMMYFUNCTION("""COMPUTED_VALUE"""),40973.645833333336)</f>
        <v>40973.64583</v>
      </c>
      <c r="B292" s="1">
        <f>IFERROR(__xludf.DUMMYFUNCTION("""COMPUTED_VALUE"""),23800.0)</f>
        <v>23800</v>
      </c>
      <c r="C292" s="1">
        <f>IFERROR(__xludf.DUMMYFUNCTION("""COMPUTED_VALUE"""),23820.0)</f>
        <v>23820</v>
      </c>
      <c r="D292" s="1">
        <f>IFERROR(__xludf.DUMMYFUNCTION("""COMPUTED_VALUE"""),23320.0)</f>
        <v>23320</v>
      </c>
      <c r="E292" s="1">
        <f>IFERROR(__xludf.DUMMYFUNCTION("""COMPUTED_VALUE"""),23480.0)</f>
        <v>23480</v>
      </c>
      <c r="F292" s="1">
        <f>IFERROR(__xludf.DUMMYFUNCTION("""COMPUTED_VALUE"""),223505.0)</f>
        <v>223505</v>
      </c>
    </row>
    <row r="293">
      <c r="A293" s="2">
        <f>IFERROR(__xludf.DUMMYFUNCTION("""COMPUTED_VALUE"""),40974.645833333336)</f>
        <v>40974.64583</v>
      </c>
      <c r="B293" s="1">
        <f>IFERROR(__xludf.DUMMYFUNCTION("""COMPUTED_VALUE"""),23580.0)</f>
        <v>23580</v>
      </c>
      <c r="C293" s="1">
        <f>IFERROR(__xludf.DUMMYFUNCTION("""COMPUTED_VALUE"""),23860.0)</f>
        <v>23860</v>
      </c>
      <c r="D293" s="1">
        <f>IFERROR(__xludf.DUMMYFUNCTION("""COMPUTED_VALUE"""),23340.0)</f>
        <v>23340</v>
      </c>
      <c r="E293" s="1">
        <f>IFERROR(__xludf.DUMMYFUNCTION("""COMPUTED_VALUE"""),23600.0)</f>
        <v>23600</v>
      </c>
      <c r="F293" s="1">
        <f>IFERROR(__xludf.DUMMYFUNCTION("""COMPUTED_VALUE"""),211457.0)</f>
        <v>211457</v>
      </c>
    </row>
    <row r="294">
      <c r="A294" s="2">
        <f>IFERROR(__xludf.DUMMYFUNCTION("""COMPUTED_VALUE"""),40975.645833333336)</f>
        <v>40975.64583</v>
      </c>
      <c r="B294" s="1">
        <f>IFERROR(__xludf.DUMMYFUNCTION("""COMPUTED_VALUE"""),23500.0)</f>
        <v>23500</v>
      </c>
      <c r="C294" s="1">
        <f>IFERROR(__xludf.DUMMYFUNCTION("""COMPUTED_VALUE"""),23660.0)</f>
        <v>23660</v>
      </c>
      <c r="D294" s="1">
        <f>IFERROR(__xludf.DUMMYFUNCTION("""COMPUTED_VALUE"""),23300.0)</f>
        <v>23300</v>
      </c>
      <c r="E294" s="1">
        <f>IFERROR(__xludf.DUMMYFUNCTION("""COMPUTED_VALUE"""),23440.0)</f>
        <v>23440</v>
      </c>
      <c r="F294" s="1">
        <f>IFERROR(__xludf.DUMMYFUNCTION("""COMPUTED_VALUE"""),230431.0)</f>
        <v>230431</v>
      </c>
    </row>
    <row r="295">
      <c r="A295" s="2">
        <f>IFERROR(__xludf.DUMMYFUNCTION("""COMPUTED_VALUE"""),40976.645833333336)</f>
        <v>40976.64583</v>
      </c>
      <c r="B295" s="1">
        <f>IFERROR(__xludf.DUMMYFUNCTION("""COMPUTED_VALUE"""),23600.0)</f>
        <v>23600</v>
      </c>
      <c r="C295" s="1">
        <f>IFERROR(__xludf.DUMMYFUNCTION("""COMPUTED_VALUE"""),23720.0)</f>
        <v>23720</v>
      </c>
      <c r="D295" s="1">
        <f>IFERROR(__xludf.DUMMYFUNCTION("""COMPUTED_VALUE"""),23300.0)</f>
        <v>23300</v>
      </c>
      <c r="E295" s="1">
        <f>IFERROR(__xludf.DUMMYFUNCTION("""COMPUTED_VALUE"""),23600.0)</f>
        <v>23600</v>
      </c>
      <c r="F295" s="1">
        <f>IFERROR(__xludf.DUMMYFUNCTION("""COMPUTED_VALUE"""),405408.0)</f>
        <v>405408</v>
      </c>
    </row>
    <row r="296">
      <c r="A296" s="2">
        <f>IFERROR(__xludf.DUMMYFUNCTION("""COMPUTED_VALUE"""),40977.645833333336)</f>
        <v>40977.64583</v>
      </c>
      <c r="B296" s="1">
        <f>IFERROR(__xludf.DUMMYFUNCTION("""COMPUTED_VALUE"""),23820.0)</f>
        <v>23820</v>
      </c>
      <c r="C296" s="1">
        <f>IFERROR(__xludf.DUMMYFUNCTION("""COMPUTED_VALUE"""),24620.0)</f>
        <v>24620</v>
      </c>
      <c r="D296" s="1">
        <f>IFERROR(__xludf.DUMMYFUNCTION("""COMPUTED_VALUE"""),23760.0)</f>
        <v>23760</v>
      </c>
      <c r="E296" s="1">
        <f>IFERROR(__xludf.DUMMYFUNCTION("""COMPUTED_VALUE"""),24600.0)</f>
        <v>24600</v>
      </c>
      <c r="F296" s="1">
        <f>IFERROR(__xludf.DUMMYFUNCTION("""COMPUTED_VALUE"""),364576.0)</f>
        <v>364576</v>
      </c>
    </row>
    <row r="297">
      <c r="A297" s="2">
        <f>IFERROR(__xludf.DUMMYFUNCTION("""COMPUTED_VALUE"""),40980.645833333336)</f>
        <v>40980.64583</v>
      </c>
      <c r="B297" s="1">
        <f>IFERROR(__xludf.DUMMYFUNCTION("""COMPUTED_VALUE"""),24480.0)</f>
        <v>24480</v>
      </c>
      <c r="C297" s="1">
        <f>IFERROR(__xludf.DUMMYFUNCTION("""COMPUTED_VALUE"""),24520.0)</f>
        <v>24520</v>
      </c>
      <c r="D297" s="1">
        <f>IFERROR(__xludf.DUMMYFUNCTION("""COMPUTED_VALUE"""),24200.0)</f>
        <v>24200</v>
      </c>
      <c r="E297" s="1">
        <f>IFERROR(__xludf.DUMMYFUNCTION("""COMPUTED_VALUE"""),24200.0)</f>
        <v>24200</v>
      </c>
      <c r="F297" s="1">
        <f>IFERROR(__xludf.DUMMYFUNCTION("""COMPUTED_VALUE"""),236539.0)</f>
        <v>236539</v>
      </c>
    </row>
    <row r="298">
      <c r="A298" s="2">
        <f>IFERROR(__xludf.DUMMYFUNCTION("""COMPUTED_VALUE"""),40981.645833333336)</f>
        <v>40981.64583</v>
      </c>
      <c r="B298" s="1">
        <f>IFERROR(__xludf.DUMMYFUNCTION("""COMPUTED_VALUE"""),24000.0)</f>
        <v>24000</v>
      </c>
      <c r="C298" s="1">
        <f>IFERROR(__xludf.DUMMYFUNCTION("""COMPUTED_VALUE"""),24580.0)</f>
        <v>24580</v>
      </c>
      <c r="D298" s="1">
        <f>IFERROR(__xludf.DUMMYFUNCTION("""COMPUTED_VALUE"""),24000.0)</f>
        <v>24000</v>
      </c>
      <c r="E298" s="1">
        <f>IFERROR(__xludf.DUMMYFUNCTION("""COMPUTED_VALUE"""),24420.0)</f>
        <v>24420</v>
      </c>
      <c r="F298" s="1">
        <f>IFERROR(__xludf.DUMMYFUNCTION("""COMPUTED_VALUE"""),239711.0)</f>
        <v>239711</v>
      </c>
    </row>
    <row r="299">
      <c r="A299" s="2">
        <f>IFERROR(__xludf.DUMMYFUNCTION("""COMPUTED_VALUE"""),40982.645833333336)</f>
        <v>40982.64583</v>
      </c>
      <c r="B299" s="1">
        <f>IFERROR(__xludf.DUMMYFUNCTION("""COMPUTED_VALUE"""),24600.0)</f>
        <v>24600</v>
      </c>
      <c r="C299" s="1">
        <f>IFERROR(__xludf.DUMMYFUNCTION("""COMPUTED_VALUE"""),25100.0)</f>
        <v>25100</v>
      </c>
      <c r="D299" s="1">
        <f>IFERROR(__xludf.DUMMYFUNCTION("""COMPUTED_VALUE"""),24600.0)</f>
        <v>24600</v>
      </c>
      <c r="E299" s="1">
        <f>IFERROR(__xludf.DUMMYFUNCTION("""COMPUTED_VALUE"""),25000.0)</f>
        <v>25000</v>
      </c>
      <c r="F299" s="1">
        <f>IFERROR(__xludf.DUMMYFUNCTION("""COMPUTED_VALUE"""),365593.0)</f>
        <v>365593</v>
      </c>
    </row>
    <row r="300">
      <c r="A300" s="2">
        <f>IFERROR(__xludf.DUMMYFUNCTION("""COMPUTED_VALUE"""),40983.645833333336)</f>
        <v>40983.64583</v>
      </c>
      <c r="B300" s="1">
        <f>IFERROR(__xludf.DUMMYFUNCTION("""COMPUTED_VALUE"""),25020.0)</f>
        <v>25020</v>
      </c>
      <c r="C300" s="1">
        <f>IFERROR(__xludf.DUMMYFUNCTION("""COMPUTED_VALUE"""),25200.0)</f>
        <v>25200</v>
      </c>
      <c r="D300" s="1">
        <f>IFERROR(__xludf.DUMMYFUNCTION("""COMPUTED_VALUE"""),24840.0)</f>
        <v>24840</v>
      </c>
      <c r="E300" s="1">
        <f>IFERROR(__xludf.DUMMYFUNCTION("""COMPUTED_VALUE"""),25000.0)</f>
        <v>25000</v>
      </c>
      <c r="F300" s="1">
        <f>IFERROR(__xludf.DUMMYFUNCTION("""COMPUTED_VALUE"""),280776.0)</f>
        <v>280776</v>
      </c>
    </row>
    <row r="301">
      <c r="A301" s="2">
        <f>IFERROR(__xludf.DUMMYFUNCTION("""COMPUTED_VALUE"""),40984.645833333336)</f>
        <v>40984.64583</v>
      </c>
      <c r="B301" s="1">
        <f>IFERROR(__xludf.DUMMYFUNCTION("""COMPUTED_VALUE"""),25200.0)</f>
        <v>25200</v>
      </c>
      <c r="C301" s="1">
        <f>IFERROR(__xludf.DUMMYFUNCTION("""COMPUTED_VALUE"""),25340.0)</f>
        <v>25340</v>
      </c>
      <c r="D301" s="1">
        <f>IFERROR(__xludf.DUMMYFUNCTION("""COMPUTED_VALUE"""),24760.0)</f>
        <v>24760</v>
      </c>
      <c r="E301" s="1">
        <f>IFERROR(__xludf.DUMMYFUNCTION("""COMPUTED_VALUE"""),24760.0)</f>
        <v>24760</v>
      </c>
      <c r="F301" s="1">
        <f>IFERROR(__xludf.DUMMYFUNCTION("""COMPUTED_VALUE"""),361404.0)</f>
        <v>361404</v>
      </c>
    </row>
    <row r="302">
      <c r="A302" s="2">
        <f>IFERROR(__xludf.DUMMYFUNCTION("""COMPUTED_VALUE"""),40987.645833333336)</f>
        <v>40987.64583</v>
      </c>
      <c r="B302" s="1">
        <f>IFERROR(__xludf.DUMMYFUNCTION("""COMPUTED_VALUE"""),24700.0)</f>
        <v>24700</v>
      </c>
      <c r="C302" s="1">
        <f>IFERROR(__xludf.DUMMYFUNCTION("""COMPUTED_VALUE"""),25360.0)</f>
        <v>25360</v>
      </c>
      <c r="D302" s="1">
        <f>IFERROR(__xludf.DUMMYFUNCTION("""COMPUTED_VALUE"""),24680.0)</f>
        <v>24680</v>
      </c>
      <c r="E302" s="1">
        <f>IFERROR(__xludf.DUMMYFUNCTION("""COMPUTED_VALUE"""),25200.0)</f>
        <v>25200</v>
      </c>
      <c r="F302" s="1">
        <f>IFERROR(__xludf.DUMMYFUNCTION("""COMPUTED_VALUE"""),237637.0)</f>
        <v>237637</v>
      </c>
    </row>
    <row r="303">
      <c r="A303" s="2">
        <f>IFERROR(__xludf.DUMMYFUNCTION("""COMPUTED_VALUE"""),40988.645833333336)</f>
        <v>40988.64583</v>
      </c>
      <c r="B303" s="1">
        <f>IFERROR(__xludf.DUMMYFUNCTION("""COMPUTED_VALUE"""),25340.0)</f>
        <v>25340</v>
      </c>
      <c r="C303" s="1">
        <f>IFERROR(__xludf.DUMMYFUNCTION("""COMPUTED_VALUE"""),25540.0)</f>
        <v>25540</v>
      </c>
      <c r="D303" s="1">
        <f>IFERROR(__xludf.DUMMYFUNCTION("""COMPUTED_VALUE"""),25200.0)</f>
        <v>25200</v>
      </c>
      <c r="E303" s="1">
        <f>IFERROR(__xludf.DUMMYFUNCTION("""COMPUTED_VALUE"""),25340.0)</f>
        <v>25340</v>
      </c>
      <c r="F303" s="1">
        <f>IFERROR(__xludf.DUMMYFUNCTION("""COMPUTED_VALUE"""),238710.0)</f>
        <v>238710</v>
      </c>
    </row>
    <row r="304">
      <c r="A304" s="2">
        <f>IFERROR(__xludf.DUMMYFUNCTION("""COMPUTED_VALUE"""),40989.645833333336)</f>
        <v>40989.64583</v>
      </c>
      <c r="B304" s="1">
        <f>IFERROR(__xludf.DUMMYFUNCTION("""COMPUTED_VALUE"""),25200.0)</f>
        <v>25200</v>
      </c>
      <c r="C304" s="1">
        <f>IFERROR(__xludf.DUMMYFUNCTION("""COMPUTED_VALUE"""),25200.0)</f>
        <v>25200</v>
      </c>
      <c r="D304" s="1">
        <f>IFERROR(__xludf.DUMMYFUNCTION("""COMPUTED_VALUE"""),24840.0)</f>
        <v>24840</v>
      </c>
      <c r="E304" s="1">
        <f>IFERROR(__xludf.DUMMYFUNCTION("""COMPUTED_VALUE"""),24840.0)</f>
        <v>24840</v>
      </c>
      <c r="F304" s="1">
        <f>IFERROR(__xludf.DUMMYFUNCTION("""COMPUTED_VALUE"""),258271.0)</f>
        <v>258271</v>
      </c>
    </row>
    <row r="305">
      <c r="A305" s="2">
        <f>IFERROR(__xludf.DUMMYFUNCTION("""COMPUTED_VALUE"""),40990.645833333336)</f>
        <v>40990.64583</v>
      </c>
      <c r="B305" s="1">
        <f>IFERROR(__xludf.DUMMYFUNCTION("""COMPUTED_VALUE"""),24700.0)</f>
        <v>24700</v>
      </c>
      <c r="C305" s="1">
        <f>IFERROR(__xludf.DUMMYFUNCTION("""COMPUTED_VALUE"""),25260.0)</f>
        <v>25260</v>
      </c>
      <c r="D305" s="1">
        <f>IFERROR(__xludf.DUMMYFUNCTION("""COMPUTED_VALUE"""),24700.0)</f>
        <v>24700</v>
      </c>
      <c r="E305" s="1">
        <f>IFERROR(__xludf.DUMMYFUNCTION("""COMPUTED_VALUE"""),25160.0)</f>
        <v>25160</v>
      </c>
      <c r="F305" s="1">
        <f>IFERROR(__xludf.DUMMYFUNCTION("""COMPUTED_VALUE"""),253509.0)</f>
        <v>253509</v>
      </c>
    </row>
    <row r="306">
      <c r="A306" s="2">
        <f>IFERROR(__xludf.DUMMYFUNCTION("""COMPUTED_VALUE"""),40991.645833333336)</f>
        <v>40991.64583</v>
      </c>
      <c r="B306" s="1">
        <f>IFERROR(__xludf.DUMMYFUNCTION("""COMPUTED_VALUE"""),24860.0)</f>
        <v>24860</v>
      </c>
      <c r="C306" s="1">
        <f>IFERROR(__xludf.DUMMYFUNCTION("""COMPUTED_VALUE"""),25480.0)</f>
        <v>25480</v>
      </c>
      <c r="D306" s="1">
        <f>IFERROR(__xludf.DUMMYFUNCTION("""COMPUTED_VALUE"""),24860.0)</f>
        <v>24860</v>
      </c>
      <c r="E306" s="1">
        <f>IFERROR(__xludf.DUMMYFUNCTION("""COMPUTED_VALUE"""),25220.0)</f>
        <v>25220</v>
      </c>
      <c r="F306" s="1">
        <f>IFERROR(__xludf.DUMMYFUNCTION("""COMPUTED_VALUE"""),216372.0)</f>
        <v>216372</v>
      </c>
    </row>
    <row r="307">
      <c r="A307" s="2">
        <f>IFERROR(__xludf.DUMMYFUNCTION("""COMPUTED_VALUE"""),40994.645833333336)</f>
        <v>40994.64583</v>
      </c>
      <c r="B307" s="1">
        <f>IFERROR(__xludf.DUMMYFUNCTION("""COMPUTED_VALUE"""),25360.0)</f>
        <v>25360</v>
      </c>
      <c r="C307" s="1">
        <f>IFERROR(__xludf.DUMMYFUNCTION("""COMPUTED_VALUE"""),25500.0)</f>
        <v>25500</v>
      </c>
      <c r="D307" s="1">
        <f>IFERROR(__xludf.DUMMYFUNCTION("""COMPUTED_VALUE"""),25220.0)</f>
        <v>25220</v>
      </c>
      <c r="E307" s="1">
        <f>IFERROR(__xludf.DUMMYFUNCTION("""COMPUTED_VALUE"""),25500.0)</f>
        <v>25500</v>
      </c>
      <c r="F307" s="1">
        <f>IFERROR(__xludf.DUMMYFUNCTION("""COMPUTED_VALUE"""),184756.0)</f>
        <v>184756</v>
      </c>
    </row>
    <row r="308">
      <c r="A308" s="2">
        <f>IFERROR(__xludf.DUMMYFUNCTION("""COMPUTED_VALUE"""),40995.645833333336)</f>
        <v>40995.64583</v>
      </c>
      <c r="B308" s="1">
        <f>IFERROR(__xludf.DUMMYFUNCTION("""COMPUTED_VALUE"""),25700.0)</f>
        <v>25700</v>
      </c>
      <c r="C308" s="1">
        <f>IFERROR(__xludf.DUMMYFUNCTION("""COMPUTED_VALUE"""),26220.0)</f>
        <v>26220</v>
      </c>
      <c r="D308" s="1">
        <f>IFERROR(__xludf.DUMMYFUNCTION("""COMPUTED_VALUE"""),25520.0)</f>
        <v>25520</v>
      </c>
      <c r="E308" s="1">
        <f>IFERROR(__xludf.DUMMYFUNCTION("""COMPUTED_VALUE"""),26220.0)</f>
        <v>26220</v>
      </c>
      <c r="F308" s="1">
        <f>IFERROR(__xludf.DUMMYFUNCTION("""COMPUTED_VALUE"""),283727.0)</f>
        <v>283727</v>
      </c>
    </row>
    <row r="309">
      <c r="A309" s="2">
        <f>IFERROR(__xludf.DUMMYFUNCTION("""COMPUTED_VALUE"""),40996.645833333336)</f>
        <v>40996.64583</v>
      </c>
      <c r="B309" s="1">
        <f>IFERROR(__xludf.DUMMYFUNCTION("""COMPUTED_VALUE"""),26000.0)</f>
        <v>26000</v>
      </c>
      <c r="C309" s="1">
        <f>IFERROR(__xludf.DUMMYFUNCTION("""COMPUTED_VALUE"""),26160.0)</f>
        <v>26160</v>
      </c>
      <c r="D309" s="1">
        <f>IFERROR(__xludf.DUMMYFUNCTION("""COMPUTED_VALUE"""),25900.0)</f>
        <v>25900</v>
      </c>
      <c r="E309" s="1">
        <f>IFERROR(__xludf.DUMMYFUNCTION("""COMPUTED_VALUE"""),26040.0)</f>
        <v>26040</v>
      </c>
      <c r="F309" s="1">
        <f>IFERROR(__xludf.DUMMYFUNCTION("""COMPUTED_VALUE"""),198291.0)</f>
        <v>198291</v>
      </c>
    </row>
    <row r="310">
      <c r="A310" s="2">
        <f>IFERROR(__xludf.DUMMYFUNCTION("""COMPUTED_VALUE"""),40997.645833333336)</f>
        <v>40997.64583</v>
      </c>
      <c r="B310" s="1">
        <f>IFERROR(__xludf.DUMMYFUNCTION("""COMPUTED_VALUE"""),25980.0)</f>
        <v>25980</v>
      </c>
      <c r="C310" s="1">
        <f>IFERROR(__xludf.DUMMYFUNCTION("""COMPUTED_VALUE"""),25980.0)</f>
        <v>25980</v>
      </c>
      <c r="D310" s="1">
        <f>IFERROR(__xludf.DUMMYFUNCTION("""COMPUTED_VALUE"""),25600.0)</f>
        <v>25600</v>
      </c>
      <c r="E310" s="1">
        <f>IFERROR(__xludf.DUMMYFUNCTION("""COMPUTED_VALUE"""),25600.0)</f>
        <v>25600</v>
      </c>
      <c r="F310" s="1">
        <f>IFERROR(__xludf.DUMMYFUNCTION("""COMPUTED_VALUE"""),233400.0)</f>
        <v>233400</v>
      </c>
    </row>
    <row r="311">
      <c r="A311" s="2">
        <f>IFERROR(__xludf.DUMMYFUNCTION("""COMPUTED_VALUE"""),40998.645833333336)</f>
        <v>40998.64583</v>
      </c>
      <c r="B311" s="1">
        <f>IFERROR(__xludf.DUMMYFUNCTION("""COMPUTED_VALUE"""),25400.0)</f>
        <v>25400</v>
      </c>
      <c r="C311" s="1">
        <f>IFERROR(__xludf.DUMMYFUNCTION("""COMPUTED_VALUE"""),25600.0)</f>
        <v>25600</v>
      </c>
      <c r="D311" s="1">
        <f>IFERROR(__xludf.DUMMYFUNCTION("""COMPUTED_VALUE"""),25140.0)</f>
        <v>25140</v>
      </c>
      <c r="E311" s="1">
        <f>IFERROR(__xludf.DUMMYFUNCTION("""COMPUTED_VALUE"""),25500.0)</f>
        <v>25500</v>
      </c>
      <c r="F311" s="1">
        <f>IFERROR(__xludf.DUMMYFUNCTION("""COMPUTED_VALUE"""),305634.0)</f>
        <v>305634</v>
      </c>
    </row>
    <row r="312">
      <c r="A312" s="2">
        <f>IFERROR(__xludf.DUMMYFUNCTION("""COMPUTED_VALUE"""),41001.645833333336)</f>
        <v>41001.64583</v>
      </c>
      <c r="B312" s="1">
        <f>IFERROR(__xludf.DUMMYFUNCTION("""COMPUTED_VALUE"""),25500.0)</f>
        <v>25500</v>
      </c>
      <c r="C312" s="1">
        <f>IFERROR(__xludf.DUMMYFUNCTION("""COMPUTED_VALUE"""),25980.0)</f>
        <v>25980</v>
      </c>
      <c r="D312" s="1">
        <f>IFERROR(__xludf.DUMMYFUNCTION("""COMPUTED_VALUE"""),25220.0)</f>
        <v>25220</v>
      </c>
      <c r="E312" s="1">
        <f>IFERROR(__xludf.DUMMYFUNCTION("""COMPUTED_VALUE"""),25980.0)</f>
        <v>25980</v>
      </c>
      <c r="F312" s="1">
        <f>IFERROR(__xludf.DUMMYFUNCTION("""COMPUTED_VALUE"""),251659.0)</f>
        <v>251659</v>
      </c>
    </row>
    <row r="313">
      <c r="A313" s="2">
        <f>IFERROR(__xludf.DUMMYFUNCTION("""COMPUTED_VALUE"""),41002.645833333336)</f>
        <v>41002.64583</v>
      </c>
      <c r="B313" s="1">
        <f>IFERROR(__xludf.DUMMYFUNCTION("""COMPUTED_VALUE"""),26400.0)</f>
        <v>26400</v>
      </c>
      <c r="C313" s="1">
        <f>IFERROR(__xludf.DUMMYFUNCTION("""COMPUTED_VALUE"""),26780.0)</f>
        <v>26780</v>
      </c>
      <c r="D313" s="1">
        <f>IFERROR(__xludf.DUMMYFUNCTION("""COMPUTED_VALUE"""),26040.0)</f>
        <v>26040</v>
      </c>
      <c r="E313" s="1">
        <f>IFERROR(__xludf.DUMMYFUNCTION("""COMPUTED_VALUE"""),26700.0)</f>
        <v>26700</v>
      </c>
      <c r="F313" s="1">
        <f>IFERROR(__xludf.DUMMYFUNCTION("""COMPUTED_VALUE"""),330158.0)</f>
        <v>330158</v>
      </c>
    </row>
    <row r="314">
      <c r="A314" s="2">
        <f>IFERROR(__xludf.DUMMYFUNCTION("""COMPUTED_VALUE"""),41003.645833333336)</f>
        <v>41003.64583</v>
      </c>
      <c r="B314" s="1">
        <f>IFERROR(__xludf.DUMMYFUNCTION("""COMPUTED_VALUE"""),26620.0)</f>
        <v>26620</v>
      </c>
      <c r="C314" s="1">
        <f>IFERROR(__xludf.DUMMYFUNCTION("""COMPUTED_VALUE"""),27020.0)</f>
        <v>27020</v>
      </c>
      <c r="D314" s="1">
        <f>IFERROR(__xludf.DUMMYFUNCTION("""COMPUTED_VALUE"""),26300.0)</f>
        <v>26300</v>
      </c>
      <c r="E314" s="1">
        <f>IFERROR(__xludf.DUMMYFUNCTION("""COMPUTED_VALUE"""),26400.0)</f>
        <v>26400</v>
      </c>
      <c r="F314" s="1">
        <f>IFERROR(__xludf.DUMMYFUNCTION("""COMPUTED_VALUE"""),291987.0)</f>
        <v>291987</v>
      </c>
    </row>
    <row r="315">
      <c r="A315" s="2">
        <f>IFERROR(__xludf.DUMMYFUNCTION("""COMPUTED_VALUE"""),41004.645833333336)</f>
        <v>41004.64583</v>
      </c>
      <c r="B315" s="1">
        <f>IFERROR(__xludf.DUMMYFUNCTION("""COMPUTED_VALUE"""),26040.0)</f>
        <v>26040</v>
      </c>
      <c r="C315" s="1">
        <f>IFERROR(__xludf.DUMMYFUNCTION("""COMPUTED_VALUE"""),26700.0)</f>
        <v>26700</v>
      </c>
      <c r="D315" s="1">
        <f>IFERROR(__xludf.DUMMYFUNCTION("""COMPUTED_VALUE"""),25940.0)</f>
        <v>25940</v>
      </c>
      <c r="E315" s="1">
        <f>IFERROR(__xludf.DUMMYFUNCTION("""COMPUTED_VALUE"""),26600.0)</f>
        <v>26600</v>
      </c>
      <c r="F315" s="1">
        <f>IFERROR(__xludf.DUMMYFUNCTION("""COMPUTED_VALUE"""),258427.0)</f>
        <v>258427</v>
      </c>
    </row>
    <row r="316">
      <c r="A316" s="2">
        <f>IFERROR(__xludf.DUMMYFUNCTION("""COMPUTED_VALUE"""),41005.645833333336)</f>
        <v>41005.64583</v>
      </c>
      <c r="B316" s="1">
        <f>IFERROR(__xludf.DUMMYFUNCTION("""COMPUTED_VALUE"""),26540.0)</f>
        <v>26540</v>
      </c>
      <c r="C316" s="1">
        <f>IFERROR(__xludf.DUMMYFUNCTION("""COMPUTED_VALUE"""),26680.0)</f>
        <v>26680</v>
      </c>
      <c r="D316" s="1">
        <f>IFERROR(__xludf.DUMMYFUNCTION("""COMPUTED_VALUE"""),26260.0)</f>
        <v>26260</v>
      </c>
      <c r="E316" s="1">
        <f>IFERROR(__xludf.DUMMYFUNCTION("""COMPUTED_VALUE"""),26640.0)</f>
        <v>26640</v>
      </c>
      <c r="F316" s="1">
        <f>IFERROR(__xludf.DUMMYFUNCTION("""COMPUTED_VALUE"""),205793.0)</f>
        <v>205793</v>
      </c>
    </row>
    <row r="317">
      <c r="A317" s="2">
        <f>IFERROR(__xludf.DUMMYFUNCTION("""COMPUTED_VALUE"""),41008.645833333336)</f>
        <v>41008.64583</v>
      </c>
      <c r="B317" s="1">
        <f>IFERROR(__xludf.DUMMYFUNCTION("""COMPUTED_VALUE"""),26400.0)</f>
        <v>26400</v>
      </c>
      <c r="C317" s="1">
        <f>IFERROR(__xludf.DUMMYFUNCTION("""COMPUTED_VALUE"""),26600.0)</f>
        <v>26600</v>
      </c>
      <c r="D317" s="1">
        <f>IFERROR(__xludf.DUMMYFUNCTION("""COMPUTED_VALUE"""),26120.0)</f>
        <v>26120</v>
      </c>
      <c r="E317" s="1">
        <f>IFERROR(__xludf.DUMMYFUNCTION("""COMPUTED_VALUE"""),26340.0)</f>
        <v>26340</v>
      </c>
      <c r="F317" s="1">
        <f>IFERROR(__xludf.DUMMYFUNCTION("""COMPUTED_VALUE"""),171452.0)</f>
        <v>171452</v>
      </c>
    </row>
    <row r="318">
      <c r="A318" s="2">
        <f>IFERROR(__xludf.DUMMYFUNCTION("""COMPUTED_VALUE"""),41009.645833333336)</f>
        <v>41009.64583</v>
      </c>
      <c r="B318" s="1">
        <f>IFERROR(__xludf.DUMMYFUNCTION("""COMPUTED_VALUE"""),26280.0)</f>
        <v>26280</v>
      </c>
      <c r="C318" s="1">
        <f>IFERROR(__xludf.DUMMYFUNCTION("""COMPUTED_VALUE"""),26400.0)</f>
        <v>26400</v>
      </c>
      <c r="D318" s="1">
        <f>IFERROR(__xludf.DUMMYFUNCTION("""COMPUTED_VALUE"""),26140.0)</f>
        <v>26140</v>
      </c>
      <c r="E318" s="1">
        <f>IFERROR(__xludf.DUMMYFUNCTION("""COMPUTED_VALUE"""),26220.0)</f>
        <v>26220</v>
      </c>
      <c r="F318" s="1">
        <f>IFERROR(__xludf.DUMMYFUNCTION("""COMPUTED_VALUE"""),223522.0)</f>
        <v>223522</v>
      </c>
    </row>
    <row r="319">
      <c r="A319" s="2">
        <f>IFERROR(__xludf.DUMMYFUNCTION("""COMPUTED_VALUE"""),41011.645833333336)</f>
        <v>41011.64583</v>
      </c>
      <c r="B319" s="1">
        <f>IFERROR(__xludf.DUMMYFUNCTION("""COMPUTED_VALUE"""),25660.0)</f>
        <v>25660</v>
      </c>
      <c r="C319" s="1">
        <f>IFERROR(__xludf.DUMMYFUNCTION("""COMPUTED_VALUE"""),25980.0)</f>
        <v>25980</v>
      </c>
      <c r="D319" s="1">
        <f>IFERROR(__xludf.DUMMYFUNCTION("""COMPUTED_VALUE"""),25360.0)</f>
        <v>25360</v>
      </c>
      <c r="E319" s="1">
        <f>IFERROR(__xludf.DUMMYFUNCTION("""COMPUTED_VALUE"""),25460.0)</f>
        <v>25460</v>
      </c>
      <c r="F319" s="1">
        <f>IFERROR(__xludf.DUMMYFUNCTION("""COMPUTED_VALUE"""),504813.0)</f>
        <v>504813</v>
      </c>
    </row>
    <row r="320">
      <c r="A320" s="2">
        <f>IFERROR(__xludf.DUMMYFUNCTION("""COMPUTED_VALUE"""),41012.645833333336)</f>
        <v>41012.64583</v>
      </c>
      <c r="B320" s="1">
        <f>IFERROR(__xludf.DUMMYFUNCTION("""COMPUTED_VALUE"""),25300.0)</f>
        <v>25300</v>
      </c>
      <c r="C320" s="1">
        <f>IFERROR(__xludf.DUMMYFUNCTION("""COMPUTED_VALUE"""),25540.0)</f>
        <v>25540</v>
      </c>
      <c r="D320" s="1">
        <f>IFERROR(__xludf.DUMMYFUNCTION("""COMPUTED_VALUE"""),25200.0)</f>
        <v>25200</v>
      </c>
      <c r="E320" s="1">
        <f>IFERROR(__xludf.DUMMYFUNCTION("""COMPUTED_VALUE"""),25360.0)</f>
        <v>25360</v>
      </c>
      <c r="F320" s="1">
        <f>IFERROR(__xludf.DUMMYFUNCTION("""COMPUTED_VALUE"""),708184.0)</f>
        <v>708184</v>
      </c>
    </row>
    <row r="321">
      <c r="A321" s="2">
        <f>IFERROR(__xludf.DUMMYFUNCTION("""COMPUTED_VALUE"""),41015.645833333336)</f>
        <v>41015.64583</v>
      </c>
      <c r="B321" s="1">
        <f>IFERROR(__xludf.DUMMYFUNCTION("""COMPUTED_VALUE"""),25460.0)</f>
        <v>25460</v>
      </c>
      <c r="C321" s="1">
        <f>IFERROR(__xludf.DUMMYFUNCTION("""COMPUTED_VALUE"""),25520.0)</f>
        <v>25520</v>
      </c>
      <c r="D321" s="1">
        <f>IFERROR(__xludf.DUMMYFUNCTION("""COMPUTED_VALUE"""),25000.0)</f>
        <v>25000</v>
      </c>
      <c r="E321" s="1">
        <f>IFERROR(__xludf.DUMMYFUNCTION("""COMPUTED_VALUE"""),25180.0)</f>
        <v>25180</v>
      </c>
      <c r="F321" s="1">
        <f>IFERROR(__xludf.DUMMYFUNCTION("""COMPUTED_VALUE"""),304448.0)</f>
        <v>304448</v>
      </c>
    </row>
    <row r="322">
      <c r="A322" s="2">
        <f>IFERROR(__xludf.DUMMYFUNCTION("""COMPUTED_VALUE"""),41016.645833333336)</f>
        <v>41016.64583</v>
      </c>
      <c r="B322" s="1">
        <f>IFERROR(__xludf.DUMMYFUNCTION("""COMPUTED_VALUE"""),25020.0)</f>
        <v>25020</v>
      </c>
      <c r="C322" s="1">
        <f>IFERROR(__xludf.DUMMYFUNCTION("""COMPUTED_VALUE"""),25280.0)</f>
        <v>25280</v>
      </c>
      <c r="D322" s="1">
        <f>IFERROR(__xludf.DUMMYFUNCTION("""COMPUTED_VALUE"""),24820.0)</f>
        <v>24820</v>
      </c>
      <c r="E322" s="1">
        <f>IFERROR(__xludf.DUMMYFUNCTION("""COMPUTED_VALUE"""),24980.0)</f>
        <v>24980</v>
      </c>
      <c r="F322" s="1">
        <f>IFERROR(__xludf.DUMMYFUNCTION("""COMPUTED_VALUE"""),291046.0)</f>
        <v>291046</v>
      </c>
    </row>
    <row r="323">
      <c r="A323" s="2">
        <f>IFERROR(__xludf.DUMMYFUNCTION("""COMPUTED_VALUE"""),41017.645833333336)</f>
        <v>41017.64583</v>
      </c>
      <c r="B323" s="1">
        <f>IFERROR(__xludf.DUMMYFUNCTION("""COMPUTED_VALUE"""),25540.0)</f>
        <v>25540</v>
      </c>
      <c r="C323" s="1">
        <f>IFERROR(__xludf.DUMMYFUNCTION("""COMPUTED_VALUE"""),26040.0)</f>
        <v>26040</v>
      </c>
      <c r="D323" s="1">
        <f>IFERROR(__xludf.DUMMYFUNCTION("""COMPUTED_VALUE"""),25380.0)</f>
        <v>25380</v>
      </c>
      <c r="E323" s="1">
        <f>IFERROR(__xludf.DUMMYFUNCTION("""COMPUTED_VALUE"""),25860.0)</f>
        <v>25860</v>
      </c>
      <c r="F323" s="1">
        <f>IFERROR(__xludf.DUMMYFUNCTION("""COMPUTED_VALUE"""),345075.0)</f>
        <v>345075</v>
      </c>
    </row>
    <row r="324">
      <c r="A324" s="2">
        <f>IFERROR(__xludf.DUMMYFUNCTION("""COMPUTED_VALUE"""),41018.645833333336)</f>
        <v>41018.64583</v>
      </c>
      <c r="B324" s="1">
        <f>IFERROR(__xludf.DUMMYFUNCTION("""COMPUTED_VALUE"""),25840.0)</f>
        <v>25840</v>
      </c>
      <c r="C324" s="1">
        <f>IFERROR(__xludf.DUMMYFUNCTION("""COMPUTED_VALUE"""),26140.0)</f>
        <v>26140</v>
      </c>
      <c r="D324" s="1">
        <f>IFERROR(__xludf.DUMMYFUNCTION("""COMPUTED_VALUE"""),25780.0)</f>
        <v>25780</v>
      </c>
      <c r="E324" s="1">
        <f>IFERROR(__xludf.DUMMYFUNCTION("""COMPUTED_VALUE"""),26140.0)</f>
        <v>26140</v>
      </c>
      <c r="F324" s="1">
        <f>IFERROR(__xludf.DUMMYFUNCTION("""COMPUTED_VALUE"""),263128.0)</f>
        <v>263128</v>
      </c>
    </row>
    <row r="325">
      <c r="A325" s="2">
        <f>IFERROR(__xludf.DUMMYFUNCTION("""COMPUTED_VALUE"""),41019.645833333336)</f>
        <v>41019.64583</v>
      </c>
      <c r="B325" s="1">
        <f>IFERROR(__xludf.DUMMYFUNCTION("""COMPUTED_VALUE"""),25880.0)</f>
        <v>25880</v>
      </c>
      <c r="C325" s="1">
        <f>IFERROR(__xludf.DUMMYFUNCTION("""COMPUTED_VALUE"""),25940.0)</f>
        <v>25940</v>
      </c>
      <c r="D325" s="1">
        <f>IFERROR(__xludf.DUMMYFUNCTION("""COMPUTED_VALUE"""),25560.0)</f>
        <v>25560</v>
      </c>
      <c r="E325" s="1">
        <f>IFERROR(__xludf.DUMMYFUNCTION("""COMPUTED_VALUE"""),25640.0)</f>
        <v>25640</v>
      </c>
      <c r="F325" s="1">
        <f>IFERROR(__xludf.DUMMYFUNCTION("""COMPUTED_VALUE"""),198011.0)</f>
        <v>198011</v>
      </c>
    </row>
    <row r="326">
      <c r="A326" s="2">
        <f>IFERROR(__xludf.DUMMYFUNCTION("""COMPUTED_VALUE"""),41022.645833333336)</f>
        <v>41022.64583</v>
      </c>
      <c r="B326" s="1">
        <f>IFERROR(__xludf.DUMMYFUNCTION("""COMPUTED_VALUE"""),25380.0)</f>
        <v>25380</v>
      </c>
      <c r="C326" s="1">
        <f>IFERROR(__xludf.DUMMYFUNCTION("""COMPUTED_VALUE"""),25600.0)</f>
        <v>25600</v>
      </c>
      <c r="D326" s="1">
        <f>IFERROR(__xludf.DUMMYFUNCTION("""COMPUTED_VALUE"""),25240.0)</f>
        <v>25240</v>
      </c>
      <c r="E326" s="1">
        <f>IFERROR(__xludf.DUMMYFUNCTION("""COMPUTED_VALUE"""),25580.0)</f>
        <v>25580</v>
      </c>
      <c r="F326" s="1">
        <f>IFERROR(__xludf.DUMMYFUNCTION("""COMPUTED_VALUE"""),167768.0)</f>
        <v>167768</v>
      </c>
    </row>
    <row r="327">
      <c r="A327" s="2">
        <f>IFERROR(__xludf.DUMMYFUNCTION("""COMPUTED_VALUE"""),41023.645833333336)</f>
        <v>41023.64583</v>
      </c>
      <c r="B327" s="1">
        <f>IFERROR(__xludf.DUMMYFUNCTION("""COMPUTED_VALUE"""),25300.0)</f>
        <v>25300</v>
      </c>
      <c r="C327" s="1">
        <f>IFERROR(__xludf.DUMMYFUNCTION("""COMPUTED_VALUE"""),25720.0)</f>
        <v>25720</v>
      </c>
      <c r="D327" s="1">
        <f>IFERROR(__xludf.DUMMYFUNCTION("""COMPUTED_VALUE"""),25240.0)</f>
        <v>25240</v>
      </c>
      <c r="E327" s="1">
        <f>IFERROR(__xludf.DUMMYFUNCTION("""COMPUTED_VALUE"""),25660.0)</f>
        <v>25660</v>
      </c>
      <c r="F327" s="1">
        <f>IFERROR(__xludf.DUMMYFUNCTION("""COMPUTED_VALUE"""),264767.0)</f>
        <v>264767</v>
      </c>
    </row>
    <row r="328">
      <c r="A328" s="2">
        <f>IFERROR(__xludf.DUMMYFUNCTION("""COMPUTED_VALUE"""),41024.645833333336)</f>
        <v>41024.64583</v>
      </c>
      <c r="B328" s="1">
        <f>IFERROR(__xludf.DUMMYFUNCTION("""COMPUTED_VALUE"""),26080.0)</f>
        <v>26080</v>
      </c>
      <c r="C328" s="1">
        <f>IFERROR(__xludf.DUMMYFUNCTION("""COMPUTED_VALUE"""),26300.0)</f>
        <v>26300</v>
      </c>
      <c r="D328" s="1">
        <f>IFERROR(__xludf.DUMMYFUNCTION("""COMPUTED_VALUE"""),25860.0)</f>
        <v>25860</v>
      </c>
      <c r="E328" s="1">
        <f>IFERROR(__xludf.DUMMYFUNCTION("""COMPUTED_VALUE"""),26100.0)</f>
        <v>26100</v>
      </c>
      <c r="F328" s="1">
        <f>IFERROR(__xludf.DUMMYFUNCTION("""COMPUTED_VALUE"""),276432.0)</f>
        <v>276432</v>
      </c>
    </row>
    <row r="329">
      <c r="A329" s="2">
        <f>IFERROR(__xludf.DUMMYFUNCTION("""COMPUTED_VALUE"""),41025.645833333336)</f>
        <v>41025.64583</v>
      </c>
      <c r="B329" s="1">
        <f>IFERROR(__xludf.DUMMYFUNCTION("""COMPUTED_VALUE"""),26400.0)</f>
        <v>26400</v>
      </c>
      <c r="C329" s="1">
        <f>IFERROR(__xludf.DUMMYFUNCTION("""COMPUTED_VALUE"""),26800.0)</f>
        <v>26800</v>
      </c>
      <c r="D329" s="1">
        <f>IFERROR(__xludf.DUMMYFUNCTION("""COMPUTED_VALUE"""),26340.0)</f>
        <v>26340</v>
      </c>
      <c r="E329" s="1">
        <f>IFERROR(__xludf.DUMMYFUNCTION("""COMPUTED_VALUE"""),26800.0)</f>
        <v>26800</v>
      </c>
      <c r="F329" s="1">
        <f>IFERROR(__xludf.DUMMYFUNCTION("""COMPUTED_VALUE"""),329590.0)</f>
        <v>329590</v>
      </c>
    </row>
    <row r="330">
      <c r="A330" s="2">
        <f>IFERROR(__xludf.DUMMYFUNCTION("""COMPUTED_VALUE"""),41026.645833333336)</f>
        <v>41026.64583</v>
      </c>
      <c r="B330" s="1">
        <f>IFERROR(__xludf.DUMMYFUNCTION("""COMPUTED_VALUE"""),27100.0)</f>
        <v>27100</v>
      </c>
      <c r="C330" s="1">
        <f>IFERROR(__xludf.DUMMYFUNCTION("""COMPUTED_VALUE"""),27660.0)</f>
        <v>27660</v>
      </c>
      <c r="D330" s="1">
        <f>IFERROR(__xludf.DUMMYFUNCTION("""COMPUTED_VALUE"""),27020.0)</f>
        <v>27020</v>
      </c>
      <c r="E330" s="1">
        <f>IFERROR(__xludf.DUMMYFUNCTION("""COMPUTED_VALUE"""),27480.0)</f>
        <v>27480</v>
      </c>
      <c r="F330" s="1">
        <f>IFERROR(__xludf.DUMMYFUNCTION("""COMPUTED_VALUE"""),318107.0)</f>
        <v>318107</v>
      </c>
    </row>
    <row r="331">
      <c r="A331" s="2">
        <f>IFERROR(__xludf.DUMMYFUNCTION("""COMPUTED_VALUE"""),41029.645833333336)</f>
        <v>41029.64583</v>
      </c>
      <c r="B331" s="1">
        <f>IFERROR(__xludf.DUMMYFUNCTION("""COMPUTED_VALUE"""),27900.0)</f>
        <v>27900</v>
      </c>
      <c r="C331" s="1">
        <f>IFERROR(__xludf.DUMMYFUNCTION("""COMPUTED_VALUE"""),28180.0)</f>
        <v>28180</v>
      </c>
      <c r="D331" s="1">
        <f>IFERROR(__xludf.DUMMYFUNCTION("""COMPUTED_VALUE"""),27540.0)</f>
        <v>27540</v>
      </c>
      <c r="E331" s="1">
        <f>IFERROR(__xludf.DUMMYFUNCTION("""COMPUTED_VALUE"""),27800.0)</f>
        <v>27800</v>
      </c>
      <c r="F331" s="1">
        <f>IFERROR(__xludf.DUMMYFUNCTION("""COMPUTED_VALUE"""),315142.0)</f>
        <v>315142</v>
      </c>
    </row>
    <row r="332">
      <c r="A332" s="2">
        <f>IFERROR(__xludf.DUMMYFUNCTION("""COMPUTED_VALUE"""),41031.645833333336)</f>
        <v>41031.64583</v>
      </c>
      <c r="B332" s="1">
        <f>IFERROR(__xludf.DUMMYFUNCTION("""COMPUTED_VALUE"""),28200.0)</f>
        <v>28200</v>
      </c>
      <c r="C332" s="1">
        <f>IFERROR(__xludf.DUMMYFUNCTION("""COMPUTED_VALUE"""),28360.0)</f>
        <v>28360</v>
      </c>
      <c r="D332" s="1">
        <f>IFERROR(__xludf.DUMMYFUNCTION("""COMPUTED_VALUE"""),27980.0)</f>
        <v>27980</v>
      </c>
      <c r="E332" s="1">
        <f>IFERROR(__xludf.DUMMYFUNCTION("""COMPUTED_VALUE"""),28200.0)</f>
        <v>28200</v>
      </c>
      <c r="F332" s="1">
        <f>IFERROR(__xludf.DUMMYFUNCTION("""COMPUTED_VALUE"""),368415.0)</f>
        <v>368415</v>
      </c>
    </row>
    <row r="333">
      <c r="A333" s="2">
        <f>IFERROR(__xludf.DUMMYFUNCTION("""COMPUTED_VALUE"""),41032.645833333336)</f>
        <v>41032.64583</v>
      </c>
      <c r="B333" s="1">
        <f>IFERROR(__xludf.DUMMYFUNCTION("""COMPUTED_VALUE"""),28040.0)</f>
        <v>28040</v>
      </c>
      <c r="C333" s="1">
        <f>IFERROR(__xludf.DUMMYFUNCTION("""COMPUTED_VALUE"""),28200.0)</f>
        <v>28200</v>
      </c>
      <c r="D333" s="1">
        <f>IFERROR(__xludf.DUMMYFUNCTION("""COMPUTED_VALUE"""),27960.0)</f>
        <v>27960</v>
      </c>
      <c r="E333" s="1">
        <f>IFERROR(__xludf.DUMMYFUNCTION("""COMPUTED_VALUE"""),28020.0)</f>
        <v>28020</v>
      </c>
      <c r="F333" s="1">
        <f>IFERROR(__xludf.DUMMYFUNCTION("""COMPUTED_VALUE"""),206541.0)</f>
        <v>206541</v>
      </c>
    </row>
    <row r="334">
      <c r="A334" s="2">
        <f>IFERROR(__xludf.DUMMYFUNCTION("""COMPUTED_VALUE"""),41033.645833333336)</f>
        <v>41033.64583</v>
      </c>
      <c r="B334" s="1">
        <f>IFERROR(__xludf.DUMMYFUNCTION("""COMPUTED_VALUE"""),27500.0)</f>
        <v>27500</v>
      </c>
      <c r="C334" s="1">
        <f>IFERROR(__xludf.DUMMYFUNCTION("""COMPUTED_VALUE"""),27960.0)</f>
        <v>27960</v>
      </c>
      <c r="D334" s="1">
        <f>IFERROR(__xludf.DUMMYFUNCTION("""COMPUTED_VALUE"""),26980.0)</f>
        <v>26980</v>
      </c>
      <c r="E334" s="1">
        <f>IFERROR(__xludf.DUMMYFUNCTION("""COMPUTED_VALUE"""),27200.0)</f>
        <v>27200</v>
      </c>
      <c r="F334" s="1">
        <f>IFERROR(__xludf.DUMMYFUNCTION("""COMPUTED_VALUE"""),409686.0)</f>
        <v>409686</v>
      </c>
    </row>
    <row r="335">
      <c r="A335" s="2">
        <f>IFERROR(__xludf.DUMMYFUNCTION("""COMPUTED_VALUE"""),41036.645833333336)</f>
        <v>41036.64583</v>
      </c>
      <c r="B335" s="1">
        <f>IFERROR(__xludf.DUMMYFUNCTION("""COMPUTED_VALUE"""),26840.0)</f>
        <v>26840</v>
      </c>
      <c r="C335" s="1">
        <f>IFERROR(__xludf.DUMMYFUNCTION("""COMPUTED_VALUE"""),27060.0)</f>
        <v>27060</v>
      </c>
      <c r="D335" s="1">
        <f>IFERROR(__xludf.DUMMYFUNCTION("""COMPUTED_VALUE"""),26500.0)</f>
        <v>26500</v>
      </c>
      <c r="E335" s="1">
        <f>IFERROR(__xludf.DUMMYFUNCTION("""COMPUTED_VALUE"""),26840.0)</f>
        <v>26840</v>
      </c>
      <c r="F335" s="1">
        <f>IFERROR(__xludf.DUMMYFUNCTION("""COMPUTED_VALUE"""),378169.0)</f>
        <v>378169</v>
      </c>
    </row>
    <row r="336">
      <c r="A336" s="2">
        <f>IFERROR(__xludf.DUMMYFUNCTION("""COMPUTED_VALUE"""),41037.645833333336)</f>
        <v>41037.64583</v>
      </c>
      <c r="B336" s="1">
        <f>IFERROR(__xludf.DUMMYFUNCTION("""COMPUTED_VALUE"""),26960.0)</f>
        <v>26960</v>
      </c>
      <c r="C336" s="1">
        <f>IFERROR(__xludf.DUMMYFUNCTION("""COMPUTED_VALUE"""),27040.0)</f>
        <v>27040</v>
      </c>
      <c r="D336" s="1">
        <f>IFERROR(__xludf.DUMMYFUNCTION("""COMPUTED_VALUE"""),26780.0)</f>
        <v>26780</v>
      </c>
      <c r="E336" s="1">
        <f>IFERROR(__xludf.DUMMYFUNCTION("""COMPUTED_VALUE"""),26820.0)</f>
        <v>26820</v>
      </c>
      <c r="F336" s="1">
        <f>IFERROR(__xludf.DUMMYFUNCTION("""COMPUTED_VALUE"""),240972.0)</f>
        <v>240972</v>
      </c>
    </row>
    <row r="337">
      <c r="A337" s="2">
        <f>IFERROR(__xludf.DUMMYFUNCTION("""COMPUTED_VALUE"""),41038.645833333336)</f>
        <v>41038.64583</v>
      </c>
      <c r="B337" s="1">
        <f>IFERROR(__xludf.DUMMYFUNCTION("""COMPUTED_VALUE"""),26700.0)</f>
        <v>26700</v>
      </c>
      <c r="C337" s="1">
        <f>IFERROR(__xludf.DUMMYFUNCTION("""COMPUTED_VALUE"""),26960.0)</f>
        <v>26960</v>
      </c>
      <c r="D337" s="1">
        <f>IFERROR(__xludf.DUMMYFUNCTION("""COMPUTED_VALUE"""),26480.0)</f>
        <v>26480</v>
      </c>
      <c r="E337" s="1">
        <f>IFERROR(__xludf.DUMMYFUNCTION("""COMPUTED_VALUE"""),26620.0)</f>
        <v>26620</v>
      </c>
      <c r="F337" s="1">
        <f>IFERROR(__xludf.DUMMYFUNCTION("""COMPUTED_VALUE"""),253234.0)</f>
        <v>253234</v>
      </c>
    </row>
    <row r="338">
      <c r="A338" s="2">
        <f>IFERROR(__xludf.DUMMYFUNCTION("""COMPUTED_VALUE"""),41039.645833333336)</f>
        <v>41039.64583</v>
      </c>
      <c r="B338" s="1">
        <f>IFERROR(__xludf.DUMMYFUNCTION("""COMPUTED_VALUE"""),26580.0)</f>
        <v>26580</v>
      </c>
      <c r="C338" s="1">
        <f>IFERROR(__xludf.DUMMYFUNCTION("""COMPUTED_VALUE"""),26720.0)</f>
        <v>26720</v>
      </c>
      <c r="D338" s="1">
        <f>IFERROR(__xludf.DUMMYFUNCTION("""COMPUTED_VALUE"""),26440.0)</f>
        <v>26440</v>
      </c>
      <c r="E338" s="1">
        <f>IFERROR(__xludf.DUMMYFUNCTION("""COMPUTED_VALUE"""),26540.0)</f>
        <v>26540</v>
      </c>
      <c r="F338" s="1">
        <f>IFERROR(__xludf.DUMMYFUNCTION("""COMPUTED_VALUE"""),262900.0)</f>
        <v>262900</v>
      </c>
    </row>
    <row r="339">
      <c r="A339" s="2">
        <f>IFERROR(__xludf.DUMMYFUNCTION("""COMPUTED_VALUE"""),41040.645833333336)</f>
        <v>41040.64583</v>
      </c>
      <c r="B339" s="1">
        <f>IFERROR(__xludf.DUMMYFUNCTION("""COMPUTED_VALUE"""),26300.0)</f>
        <v>26300</v>
      </c>
      <c r="C339" s="1">
        <f>IFERROR(__xludf.DUMMYFUNCTION("""COMPUTED_VALUE"""),26460.0)</f>
        <v>26460</v>
      </c>
      <c r="D339" s="1">
        <f>IFERROR(__xludf.DUMMYFUNCTION("""COMPUTED_VALUE"""),26060.0)</f>
        <v>26060</v>
      </c>
      <c r="E339" s="1">
        <f>IFERROR(__xludf.DUMMYFUNCTION("""COMPUTED_VALUE"""),26060.0)</f>
        <v>26060</v>
      </c>
      <c r="F339" s="1">
        <f>IFERROR(__xludf.DUMMYFUNCTION("""COMPUTED_VALUE"""),272528.0)</f>
        <v>272528</v>
      </c>
    </row>
    <row r="340">
      <c r="A340" s="2">
        <f>IFERROR(__xludf.DUMMYFUNCTION("""COMPUTED_VALUE"""),41043.645833333336)</f>
        <v>41043.64583</v>
      </c>
      <c r="B340" s="1">
        <f>IFERROR(__xludf.DUMMYFUNCTION("""COMPUTED_VALUE"""),26100.0)</f>
        <v>26100</v>
      </c>
      <c r="C340" s="1">
        <f>IFERROR(__xludf.DUMMYFUNCTION("""COMPUTED_VALUE"""),26540.0)</f>
        <v>26540</v>
      </c>
      <c r="D340" s="1">
        <f>IFERROR(__xludf.DUMMYFUNCTION("""COMPUTED_VALUE"""),26080.0)</f>
        <v>26080</v>
      </c>
      <c r="E340" s="1">
        <f>IFERROR(__xludf.DUMMYFUNCTION("""COMPUTED_VALUE"""),26280.0)</f>
        <v>26280</v>
      </c>
      <c r="F340" s="1">
        <f>IFERROR(__xludf.DUMMYFUNCTION("""COMPUTED_VALUE"""),301842.0)</f>
        <v>301842</v>
      </c>
    </row>
    <row r="341">
      <c r="A341" s="2">
        <f>IFERROR(__xludf.DUMMYFUNCTION("""COMPUTED_VALUE"""),41044.645833333336)</f>
        <v>41044.64583</v>
      </c>
      <c r="B341" s="1">
        <f>IFERROR(__xludf.DUMMYFUNCTION("""COMPUTED_VALUE"""),26080.0)</f>
        <v>26080</v>
      </c>
      <c r="C341" s="1">
        <f>IFERROR(__xludf.DUMMYFUNCTION("""COMPUTED_VALUE"""),26400.0)</f>
        <v>26400</v>
      </c>
      <c r="D341" s="1">
        <f>IFERROR(__xludf.DUMMYFUNCTION("""COMPUTED_VALUE"""),26000.0)</f>
        <v>26000</v>
      </c>
      <c r="E341" s="1">
        <f>IFERROR(__xludf.DUMMYFUNCTION("""COMPUTED_VALUE"""),26220.0)</f>
        <v>26220</v>
      </c>
      <c r="F341" s="1">
        <f>IFERROR(__xludf.DUMMYFUNCTION("""COMPUTED_VALUE"""),311162.0)</f>
        <v>311162</v>
      </c>
    </row>
    <row r="342">
      <c r="A342" s="2">
        <f>IFERROR(__xludf.DUMMYFUNCTION("""COMPUTED_VALUE"""),41045.645833333336)</f>
        <v>41045.64583</v>
      </c>
      <c r="B342" s="1">
        <f>IFERROR(__xludf.DUMMYFUNCTION("""COMPUTED_VALUE"""),25960.0)</f>
        <v>25960</v>
      </c>
      <c r="C342" s="1">
        <f>IFERROR(__xludf.DUMMYFUNCTION("""COMPUTED_VALUE"""),26000.0)</f>
        <v>26000</v>
      </c>
      <c r="D342" s="1">
        <f>IFERROR(__xludf.DUMMYFUNCTION("""COMPUTED_VALUE"""),24560.0)</f>
        <v>24560</v>
      </c>
      <c r="E342" s="1">
        <f>IFERROR(__xludf.DUMMYFUNCTION("""COMPUTED_VALUE"""),24600.0)</f>
        <v>24600</v>
      </c>
      <c r="F342" s="1">
        <f>IFERROR(__xludf.DUMMYFUNCTION("""COMPUTED_VALUE"""),769778.0)</f>
        <v>769778</v>
      </c>
    </row>
    <row r="343">
      <c r="A343" s="2">
        <f>IFERROR(__xludf.DUMMYFUNCTION("""COMPUTED_VALUE"""),41046.645833333336)</f>
        <v>41046.64583</v>
      </c>
      <c r="B343" s="1">
        <f>IFERROR(__xludf.DUMMYFUNCTION("""COMPUTED_VALUE"""),24600.0)</f>
        <v>24600</v>
      </c>
      <c r="C343" s="1">
        <f>IFERROR(__xludf.DUMMYFUNCTION("""COMPUTED_VALUE"""),24860.0)</f>
        <v>24860</v>
      </c>
      <c r="D343" s="1">
        <f>IFERROR(__xludf.DUMMYFUNCTION("""COMPUTED_VALUE"""),24020.0)</f>
        <v>24020</v>
      </c>
      <c r="E343" s="1">
        <f>IFERROR(__xludf.DUMMYFUNCTION("""COMPUTED_VALUE"""),24460.0)</f>
        <v>24460</v>
      </c>
      <c r="F343" s="1">
        <f>IFERROR(__xludf.DUMMYFUNCTION("""COMPUTED_VALUE"""),660822.0)</f>
        <v>660822</v>
      </c>
    </row>
    <row r="344">
      <c r="A344" s="2">
        <f>IFERROR(__xludf.DUMMYFUNCTION("""COMPUTED_VALUE"""),41047.645833333336)</f>
        <v>41047.64583</v>
      </c>
      <c r="B344" s="1">
        <f>IFERROR(__xludf.DUMMYFUNCTION("""COMPUTED_VALUE"""),24080.0)</f>
        <v>24080</v>
      </c>
      <c r="C344" s="1">
        <f>IFERROR(__xludf.DUMMYFUNCTION("""COMPUTED_VALUE"""),24100.0)</f>
        <v>24100</v>
      </c>
      <c r="D344" s="1">
        <f>IFERROR(__xludf.DUMMYFUNCTION("""COMPUTED_VALUE"""),23300.0)</f>
        <v>23300</v>
      </c>
      <c r="E344" s="1">
        <f>IFERROR(__xludf.DUMMYFUNCTION("""COMPUTED_VALUE"""),23320.0)</f>
        <v>23320</v>
      </c>
      <c r="F344" s="1">
        <f>IFERROR(__xludf.DUMMYFUNCTION("""COMPUTED_VALUE"""),600475.0)</f>
        <v>600475</v>
      </c>
    </row>
    <row r="345">
      <c r="A345" s="2">
        <f>IFERROR(__xludf.DUMMYFUNCTION("""COMPUTED_VALUE"""),41050.645833333336)</f>
        <v>41050.64583</v>
      </c>
      <c r="B345" s="1">
        <f>IFERROR(__xludf.DUMMYFUNCTION("""COMPUTED_VALUE"""),23880.0)</f>
        <v>23880</v>
      </c>
      <c r="C345" s="1">
        <f>IFERROR(__xludf.DUMMYFUNCTION("""COMPUTED_VALUE"""),24320.0)</f>
        <v>24320</v>
      </c>
      <c r="D345" s="1">
        <f>IFERROR(__xludf.DUMMYFUNCTION("""COMPUTED_VALUE"""),23800.0)</f>
        <v>23800</v>
      </c>
      <c r="E345" s="1">
        <f>IFERROR(__xludf.DUMMYFUNCTION("""COMPUTED_VALUE"""),24180.0)</f>
        <v>24180</v>
      </c>
      <c r="F345" s="1">
        <f>IFERROR(__xludf.DUMMYFUNCTION("""COMPUTED_VALUE"""),474055.0)</f>
        <v>474055</v>
      </c>
    </row>
    <row r="346">
      <c r="A346" s="2">
        <f>IFERROR(__xludf.DUMMYFUNCTION("""COMPUTED_VALUE"""),41051.645833333336)</f>
        <v>41051.64583</v>
      </c>
      <c r="B346" s="1">
        <f>IFERROR(__xludf.DUMMYFUNCTION("""COMPUTED_VALUE"""),25100.0)</f>
        <v>25100</v>
      </c>
      <c r="C346" s="1">
        <f>IFERROR(__xludf.DUMMYFUNCTION("""COMPUTED_VALUE"""),25100.0)</f>
        <v>25100</v>
      </c>
      <c r="D346" s="1">
        <f>IFERROR(__xludf.DUMMYFUNCTION("""COMPUTED_VALUE"""),24540.0)</f>
        <v>24540</v>
      </c>
      <c r="E346" s="1">
        <f>IFERROR(__xludf.DUMMYFUNCTION("""COMPUTED_VALUE"""),24800.0)</f>
        <v>24800</v>
      </c>
      <c r="F346" s="1">
        <f>IFERROR(__xludf.DUMMYFUNCTION("""COMPUTED_VALUE"""),476611.0)</f>
        <v>476611</v>
      </c>
    </row>
    <row r="347">
      <c r="A347" s="2">
        <f>IFERROR(__xludf.DUMMYFUNCTION("""COMPUTED_VALUE"""),41052.645833333336)</f>
        <v>41052.64583</v>
      </c>
      <c r="B347" s="1">
        <f>IFERROR(__xludf.DUMMYFUNCTION("""COMPUTED_VALUE"""),24800.0)</f>
        <v>24800</v>
      </c>
      <c r="C347" s="1">
        <f>IFERROR(__xludf.DUMMYFUNCTION("""COMPUTED_VALUE"""),24800.0)</f>
        <v>24800</v>
      </c>
      <c r="D347" s="1">
        <f>IFERROR(__xludf.DUMMYFUNCTION("""COMPUTED_VALUE"""),23900.0)</f>
        <v>23900</v>
      </c>
      <c r="E347" s="1">
        <f>IFERROR(__xludf.DUMMYFUNCTION("""COMPUTED_VALUE"""),24420.0)</f>
        <v>24420</v>
      </c>
      <c r="F347" s="1">
        <f>IFERROR(__xludf.DUMMYFUNCTION("""COMPUTED_VALUE"""),323142.0)</f>
        <v>323142</v>
      </c>
    </row>
    <row r="348">
      <c r="A348" s="2">
        <f>IFERROR(__xludf.DUMMYFUNCTION("""COMPUTED_VALUE"""),41053.645833333336)</f>
        <v>41053.64583</v>
      </c>
      <c r="B348" s="1">
        <f>IFERROR(__xludf.DUMMYFUNCTION("""COMPUTED_VALUE"""),24260.0)</f>
        <v>24260</v>
      </c>
      <c r="C348" s="1">
        <f>IFERROR(__xludf.DUMMYFUNCTION("""COMPUTED_VALUE"""),24500.0)</f>
        <v>24500</v>
      </c>
      <c r="D348" s="1">
        <f>IFERROR(__xludf.DUMMYFUNCTION("""COMPUTED_VALUE"""),23960.0)</f>
        <v>23960</v>
      </c>
      <c r="E348" s="1">
        <f>IFERROR(__xludf.DUMMYFUNCTION("""COMPUTED_VALUE"""),24500.0)</f>
        <v>24500</v>
      </c>
      <c r="F348" s="1">
        <f>IFERROR(__xludf.DUMMYFUNCTION("""COMPUTED_VALUE"""),305025.0)</f>
        <v>305025</v>
      </c>
    </row>
    <row r="349">
      <c r="A349" s="2">
        <f>IFERROR(__xludf.DUMMYFUNCTION("""COMPUTED_VALUE"""),41054.645833333336)</f>
        <v>41054.64583</v>
      </c>
      <c r="B349" s="1">
        <f>IFERROR(__xludf.DUMMYFUNCTION("""COMPUTED_VALUE"""),24660.0)</f>
        <v>24660</v>
      </c>
      <c r="C349" s="1">
        <f>IFERROR(__xludf.DUMMYFUNCTION("""COMPUTED_VALUE"""),24920.0)</f>
        <v>24920</v>
      </c>
      <c r="D349" s="1">
        <f>IFERROR(__xludf.DUMMYFUNCTION("""COMPUTED_VALUE"""),24460.0)</f>
        <v>24460</v>
      </c>
      <c r="E349" s="1">
        <f>IFERROR(__xludf.DUMMYFUNCTION("""COMPUTED_VALUE"""),24500.0)</f>
        <v>24500</v>
      </c>
      <c r="F349" s="1">
        <f>IFERROR(__xludf.DUMMYFUNCTION("""COMPUTED_VALUE"""),203285.0)</f>
        <v>203285</v>
      </c>
    </row>
    <row r="350">
      <c r="A350" s="2">
        <f>IFERROR(__xludf.DUMMYFUNCTION("""COMPUTED_VALUE"""),41058.645833333336)</f>
        <v>41058.64583</v>
      </c>
      <c r="B350" s="1">
        <f>IFERROR(__xludf.DUMMYFUNCTION("""COMPUTED_VALUE"""),24240.0)</f>
        <v>24240</v>
      </c>
      <c r="C350" s="1">
        <f>IFERROR(__xludf.DUMMYFUNCTION("""COMPUTED_VALUE"""),24760.0)</f>
        <v>24760</v>
      </c>
      <c r="D350" s="1">
        <f>IFERROR(__xludf.DUMMYFUNCTION("""COMPUTED_VALUE"""),24120.0)</f>
        <v>24120</v>
      </c>
      <c r="E350" s="1">
        <f>IFERROR(__xludf.DUMMYFUNCTION("""COMPUTED_VALUE"""),24760.0)</f>
        <v>24760</v>
      </c>
      <c r="F350" s="1">
        <f>IFERROR(__xludf.DUMMYFUNCTION("""COMPUTED_VALUE"""),216307.0)</f>
        <v>216307</v>
      </c>
    </row>
    <row r="351">
      <c r="A351" s="2">
        <f>IFERROR(__xludf.DUMMYFUNCTION("""COMPUTED_VALUE"""),41059.645833333336)</f>
        <v>41059.64583</v>
      </c>
      <c r="B351" s="1">
        <f>IFERROR(__xludf.DUMMYFUNCTION("""COMPUTED_VALUE"""),24760.0)</f>
        <v>24760</v>
      </c>
      <c r="C351" s="1">
        <f>IFERROR(__xludf.DUMMYFUNCTION("""COMPUTED_VALUE"""),24800.0)</f>
        <v>24800</v>
      </c>
      <c r="D351" s="1">
        <f>IFERROR(__xludf.DUMMYFUNCTION("""COMPUTED_VALUE"""),24300.0)</f>
        <v>24300</v>
      </c>
      <c r="E351" s="1">
        <f>IFERROR(__xludf.DUMMYFUNCTION("""COMPUTED_VALUE"""),24520.0)</f>
        <v>24520</v>
      </c>
      <c r="F351" s="1">
        <f>IFERROR(__xludf.DUMMYFUNCTION("""COMPUTED_VALUE"""),253065.0)</f>
        <v>253065</v>
      </c>
    </row>
    <row r="352">
      <c r="A352" s="2">
        <f>IFERROR(__xludf.DUMMYFUNCTION("""COMPUTED_VALUE"""),41060.645833333336)</f>
        <v>41060.64583</v>
      </c>
      <c r="B352" s="1">
        <f>IFERROR(__xludf.DUMMYFUNCTION("""COMPUTED_VALUE"""),24260.0)</f>
        <v>24260</v>
      </c>
      <c r="C352" s="1">
        <f>IFERROR(__xludf.DUMMYFUNCTION("""COMPUTED_VALUE"""),24260.0)</f>
        <v>24260</v>
      </c>
      <c r="D352" s="1">
        <f>IFERROR(__xludf.DUMMYFUNCTION("""COMPUTED_VALUE"""),23840.0)</f>
        <v>23840</v>
      </c>
      <c r="E352" s="1">
        <f>IFERROR(__xludf.DUMMYFUNCTION("""COMPUTED_VALUE"""),24220.0)</f>
        <v>24220</v>
      </c>
      <c r="F352" s="1">
        <f>IFERROR(__xludf.DUMMYFUNCTION("""COMPUTED_VALUE"""),442138.0)</f>
        <v>442138</v>
      </c>
    </row>
    <row r="353">
      <c r="A353" s="2">
        <f>IFERROR(__xludf.DUMMYFUNCTION("""COMPUTED_VALUE"""),41061.645833333336)</f>
        <v>41061.64583</v>
      </c>
      <c r="B353" s="1">
        <f>IFERROR(__xludf.DUMMYFUNCTION("""COMPUTED_VALUE"""),24260.0)</f>
        <v>24260</v>
      </c>
      <c r="C353" s="1">
        <f>IFERROR(__xludf.DUMMYFUNCTION("""COMPUTED_VALUE"""),24740.0)</f>
        <v>24740</v>
      </c>
      <c r="D353" s="1">
        <f>IFERROR(__xludf.DUMMYFUNCTION("""COMPUTED_VALUE"""),23980.0)</f>
        <v>23980</v>
      </c>
      <c r="E353" s="1">
        <f>IFERROR(__xludf.DUMMYFUNCTION("""COMPUTED_VALUE"""),24660.0)</f>
        <v>24660</v>
      </c>
      <c r="F353" s="1">
        <f>IFERROR(__xludf.DUMMYFUNCTION("""COMPUTED_VALUE"""),271089.0)</f>
        <v>271089</v>
      </c>
    </row>
    <row r="354">
      <c r="A354" s="2">
        <f>IFERROR(__xludf.DUMMYFUNCTION("""COMPUTED_VALUE"""),41064.645833333336)</f>
        <v>41064.64583</v>
      </c>
      <c r="B354" s="1">
        <f>IFERROR(__xludf.DUMMYFUNCTION("""COMPUTED_VALUE"""),23960.0)</f>
        <v>23960</v>
      </c>
      <c r="C354" s="1">
        <f>IFERROR(__xludf.DUMMYFUNCTION("""COMPUTED_VALUE"""),24100.0)</f>
        <v>24100</v>
      </c>
      <c r="D354" s="1">
        <f>IFERROR(__xludf.DUMMYFUNCTION("""COMPUTED_VALUE"""),23840.0)</f>
        <v>23840</v>
      </c>
      <c r="E354" s="1">
        <f>IFERROR(__xludf.DUMMYFUNCTION("""COMPUTED_VALUE"""),23920.0)</f>
        <v>23920</v>
      </c>
      <c r="F354" s="1">
        <f>IFERROR(__xludf.DUMMYFUNCTION("""COMPUTED_VALUE"""),361375.0)</f>
        <v>361375</v>
      </c>
    </row>
    <row r="355">
      <c r="A355" s="2">
        <f>IFERROR(__xludf.DUMMYFUNCTION("""COMPUTED_VALUE"""),41065.645833333336)</f>
        <v>41065.64583</v>
      </c>
      <c r="B355" s="1">
        <f>IFERROR(__xludf.DUMMYFUNCTION("""COMPUTED_VALUE"""),24020.0)</f>
        <v>24020</v>
      </c>
      <c r="C355" s="1">
        <f>IFERROR(__xludf.DUMMYFUNCTION("""COMPUTED_VALUE"""),24180.0)</f>
        <v>24180</v>
      </c>
      <c r="D355" s="1">
        <f>IFERROR(__xludf.DUMMYFUNCTION("""COMPUTED_VALUE"""),23860.0)</f>
        <v>23860</v>
      </c>
      <c r="E355" s="1">
        <f>IFERROR(__xludf.DUMMYFUNCTION("""COMPUTED_VALUE"""),24060.0)</f>
        <v>24060</v>
      </c>
      <c r="F355" s="1">
        <f>IFERROR(__xludf.DUMMYFUNCTION("""COMPUTED_VALUE"""),256978.0)</f>
        <v>256978</v>
      </c>
    </row>
    <row r="356">
      <c r="A356" s="2">
        <f>IFERROR(__xludf.DUMMYFUNCTION("""COMPUTED_VALUE"""),41067.645833333336)</f>
        <v>41067.64583</v>
      </c>
      <c r="B356" s="1">
        <f>IFERROR(__xludf.DUMMYFUNCTION("""COMPUTED_VALUE"""),24780.0)</f>
        <v>24780</v>
      </c>
      <c r="C356" s="1">
        <f>IFERROR(__xludf.DUMMYFUNCTION("""COMPUTED_VALUE"""),25300.0)</f>
        <v>25300</v>
      </c>
      <c r="D356" s="1">
        <f>IFERROR(__xludf.DUMMYFUNCTION("""COMPUTED_VALUE"""),24660.0)</f>
        <v>24660</v>
      </c>
      <c r="E356" s="1">
        <f>IFERROR(__xludf.DUMMYFUNCTION("""COMPUTED_VALUE"""),25300.0)</f>
        <v>25300</v>
      </c>
      <c r="F356" s="1">
        <f>IFERROR(__xludf.DUMMYFUNCTION("""COMPUTED_VALUE"""),418567.0)</f>
        <v>418567</v>
      </c>
    </row>
    <row r="357">
      <c r="A357" s="2">
        <f>IFERROR(__xludf.DUMMYFUNCTION("""COMPUTED_VALUE"""),41068.645833333336)</f>
        <v>41068.64583</v>
      </c>
      <c r="B357" s="1">
        <f>IFERROR(__xludf.DUMMYFUNCTION("""COMPUTED_VALUE"""),25500.0)</f>
        <v>25500</v>
      </c>
      <c r="C357" s="1">
        <f>IFERROR(__xludf.DUMMYFUNCTION("""COMPUTED_VALUE"""),25500.0)</f>
        <v>25500</v>
      </c>
      <c r="D357" s="1">
        <f>IFERROR(__xludf.DUMMYFUNCTION("""COMPUTED_VALUE"""),24900.0)</f>
        <v>24900</v>
      </c>
      <c r="E357" s="1">
        <f>IFERROR(__xludf.DUMMYFUNCTION("""COMPUTED_VALUE"""),24940.0)</f>
        <v>24940</v>
      </c>
      <c r="F357" s="1">
        <f>IFERROR(__xludf.DUMMYFUNCTION("""COMPUTED_VALUE"""),199127.0)</f>
        <v>199127</v>
      </c>
    </row>
    <row r="358">
      <c r="A358" s="2">
        <f>IFERROR(__xludf.DUMMYFUNCTION("""COMPUTED_VALUE"""),41071.645833333336)</f>
        <v>41071.64583</v>
      </c>
      <c r="B358" s="1">
        <f>IFERROR(__xludf.DUMMYFUNCTION("""COMPUTED_VALUE"""),25440.0)</f>
        <v>25440</v>
      </c>
      <c r="C358" s="1">
        <f>IFERROR(__xludf.DUMMYFUNCTION("""COMPUTED_VALUE"""),25500.0)</f>
        <v>25500</v>
      </c>
      <c r="D358" s="1">
        <f>IFERROR(__xludf.DUMMYFUNCTION("""COMPUTED_VALUE"""),25320.0)</f>
        <v>25320</v>
      </c>
      <c r="E358" s="1">
        <f>IFERROR(__xludf.DUMMYFUNCTION("""COMPUTED_VALUE"""),25360.0)</f>
        <v>25360</v>
      </c>
      <c r="F358" s="1">
        <f>IFERROR(__xludf.DUMMYFUNCTION("""COMPUTED_VALUE"""),198124.0)</f>
        <v>198124</v>
      </c>
    </row>
    <row r="359">
      <c r="A359" s="2">
        <f>IFERROR(__xludf.DUMMYFUNCTION("""COMPUTED_VALUE"""),41072.645833333336)</f>
        <v>41072.64583</v>
      </c>
      <c r="B359" s="1">
        <f>IFERROR(__xludf.DUMMYFUNCTION("""COMPUTED_VALUE"""),24920.0)</f>
        <v>24920</v>
      </c>
      <c r="C359" s="1">
        <f>IFERROR(__xludf.DUMMYFUNCTION("""COMPUTED_VALUE"""),25200.0)</f>
        <v>25200</v>
      </c>
      <c r="D359" s="1">
        <f>IFERROR(__xludf.DUMMYFUNCTION("""COMPUTED_VALUE"""),24900.0)</f>
        <v>24900</v>
      </c>
      <c r="E359" s="1">
        <f>IFERROR(__xludf.DUMMYFUNCTION("""COMPUTED_VALUE"""),25100.0)</f>
        <v>25100</v>
      </c>
      <c r="F359" s="1">
        <f>IFERROR(__xludf.DUMMYFUNCTION("""COMPUTED_VALUE"""),176104.0)</f>
        <v>176104</v>
      </c>
    </row>
    <row r="360">
      <c r="A360" s="2">
        <f>IFERROR(__xludf.DUMMYFUNCTION("""COMPUTED_VALUE"""),41073.645833333336)</f>
        <v>41073.64583</v>
      </c>
      <c r="B360" s="1">
        <f>IFERROR(__xludf.DUMMYFUNCTION("""COMPUTED_VALUE"""),25320.0)</f>
        <v>25320</v>
      </c>
      <c r="C360" s="1">
        <f>IFERROR(__xludf.DUMMYFUNCTION("""COMPUTED_VALUE"""),25480.0)</f>
        <v>25480</v>
      </c>
      <c r="D360" s="1">
        <f>IFERROR(__xludf.DUMMYFUNCTION("""COMPUTED_VALUE"""),25120.0)</f>
        <v>25120</v>
      </c>
      <c r="E360" s="1">
        <f>IFERROR(__xludf.DUMMYFUNCTION("""COMPUTED_VALUE"""),25420.0)</f>
        <v>25420</v>
      </c>
      <c r="F360" s="1">
        <f>IFERROR(__xludf.DUMMYFUNCTION("""COMPUTED_VALUE"""),191452.0)</f>
        <v>191452</v>
      </c>
    </row>
    <row r="361">
      <c r="A361" s="2">
        <f>IFERROR(__xludf.DUMMYFUNCTION("""COMPUTED_VALUE"""),41074.645833333336)</f>
        <v>41074.64583</v>
      </c>
      <c r="B361" s="1">
        <f>IFERROR(__xludf.DUMMYFUNCTION("""COMPUTED_VALUE"""),25380.0)</f>
        <v>25380</v>
      </c>
      <c r="C361" s="1">
        <f>IFERROR(__xludf.DUMMYFUNCTION("""COMPUTED_VALUE"""),25420.0)</f>
        <v>25420</v>
      </c>
      <c r="D361" s="1">
        <f>IFERROR(__xludf.DUMMYFUNCTION("""COMPUTED_VALUE"""),25120.0)</f>
        <v>25120</v>
      </c>
      <c r="E361" s="1">
        <f>IFERROR(__xludf.DUMMYFUNCTION("""COMPUTED_VALUE"""),25220.0)</f>
        <v>25220</v>
      </c>
      <c r="F361" s="1">
        <f>IFERROR(__xludf.DUMMYFUNCTION("""COMPUTED_VALUE"""),439901.0)</f>
        <v>439901</v>
      </c>
    </row>
    <row r="362">
      <c r="A362" s="2">
        <f>IFERROR(__xludf.DUMMYFUNCTION("""COMPUTED_VALUE"""),41075.645833333336)</f>
        <v>41075.64583</v>
      </c>
      <c r="B362" s="1">
        <f>IFERROR(__xludf.DUMMYFUNCTION("""COMPUTED_VALUE"""),25000.0)</f>
        <v>25000</v>
      </c>
      <c r="C362" s="1">
        <f>IFERROR(__xludf.DUMMYFUNCTION("""COMPUTED_VALUE"""),25200.0)</f>
        <v>25200</v>
      </c>
      <c r="D362" s="1">
        <f>IFERROR(__xludf.DUMMYFUNCTION("""COMPUTED_VALUE"""),24280.0)</f>
        <v>24280</v>
      </c>
      <c r="E362" s="1">
        <f>IFERROR(__xludf.DUMMYFUNCTION("""COMPUTED_VALUE"""),24340.0)</f>
        <v>24340</v>
      </c>
      <c r="F362" s="1">
        <f>IFERROR(__xludf.DUMMYFUNCTION("""COMPUTED_VALUE"""),608084.0)</f>
        <v>608084</v>
      </c>
    </row>
    <row r="363">
      <c r="A363" s="2">
        <f>IFERROR(__xludf.DUMMYFUNCTION("""COMPUTED_VALUE"""),41078.645833333336)</f>
        <v>41078.64583</v>
      </c>
      <c r="B363" s="1">
        <f>IFERROR(__xludf.DUMMYFUNCTION("""COMPUTED_VALUE"""),24800.0)</f>
        <v>24800</v>
      </c>
      <c r="C363" s="1">
        <f>IFERROR(__xludf.DUMMYFUNCTION("""COMPUTED_VALUE"""),25140.0)</f>
        <v>25140</v>
      </c>
      <c r="D363" s="1">
        <f>IFERROR(__xludf.DUMMYFUNCTION("""COMPUTED_VALUE"""),24680.0)</f>
        <v>24680</v>
      </c>
      <c r="E363" s="1">
        <f>IFERROR(__xludf.DUMMYFUNCTION("""COMPUTED_VALUE"""),24860.0)</f>
        <v>24860</v>
      </c>
      <c r="F363" s="1">
        <f>IFERROR(__xludf.DUMMYFUNCTION("""COMPUTED_VALUE"""),352163.0)</f>
        <v>352163</v>
      </c>
    </row>
    <row r="364">
      <c r="A364" s="2">
        <f>IFERROR(__xludf.DUMMYFUNCTION("""COMPUTED_VALUE"""),41079.645833333336)</f>
        <v>41079.64583</v>
      </c>
      <c r="B364" s="1">
        <f>IFERROR(__xludf.DUMMYFUNCTION("""COMPUTED_VALUE"""),24900.0)</f>
        <v>24900</v>
      </c>
      <c r="C364" s="1">
        <f>IFERROR(__xludf.DUMMYFUNCTION("""COMPUTED_VALUE"""),24940.0)</f>
        <v>24940</v>
      </c>
      <c r="D364" s="1">
        <f>IFERROR(__xludf.DUMMYFUNCTION("""COMPUTED_VALUE"""),24440.0)</f>
        <v>24440</v>
      </c>
      <c r="E364" s="1">
        <f>IFERROR(__xludf.DUMMYFUNCTION("""COMPUTED_VALUE"""),24880.0)</f>
        <v>24880</v>
      </c>
      <c r="F364" s="1">
        <f>IFERROR(__xludf.DUMMYFUNCTION("""COMPUTED_VALUE"""),296788.0)</f>
        <v>296788</v>
      </c>
    </row>
    <row r="365">
      <c r="A365" s="2">
        <f>IFERROR(__xludf.DUMMYFUNCTION("""COMPUTED_VALUE"""),41080.645833333336)</f>
        <v>41080.64583</v>
      </c>
      <c r="B365" s="1">
        <f>IFERROR(__xludf.DUMMYFUNCTION("""COMPUTED_VALUE"""),24980.0)</f>
        <v>24980</v>
      </c>
      <c r="C365" s="1">
        <f>IFERROR(__xludf.DUMMYFUNCTION("""COMPUTED_VALUE"""),25300.0)</f>
        <v>25300</v>
      </c>
      <c r="D365" s="1">
        <f>IFERROR(__xludf.DUMMYFUNCTION("""COMPUTED_VALUE"""),24900.0)</f>
        <v>24900</v>
      </c>
      <c r="E365" s="1">
        <f>IFERROR(__xludf.DUMMYFUNCTION("""COMPUTED_VALUE"""),25040.0)</f>
        <v>25040</v>
      </c>
      <c r="F365" s="1">
        <f>IFERROR(__xludf.DUMMYFUNCTION("""COMPUTED_VALUE"""),264754.0)</f>
        <v>264754</v>
      </c>
    </row>
    <row r="366">
      <c r="A366" s="2">
        <f>IFERROR(__xludf.DUMMYFUNCTION("""COMPUTED_VALUE"""),41081.645833333336)</f>
        <v>41081.64583</v>
      </c>
      <c r="B366" s="1">
        <f>IFERROR(__xludf.DUMMYFUNCTION("""COMPUTED_VALUE"""),24680.0)</f>
        <v>24680</v>
      </c>
      <c r="C366" s="1">
        <f>IFERROR(__xludf.DUMMYFUNCTION("""COMPUTED_VALUE"""),24840.0)</f>
        <v>24840</v>
      </c>
      <c r="D366" s="1">
        <f>IFERROR(__xludf.DUMMYFUNCTION("""COMPUTED_VALUE"""),24520.0)</f>
        <v>24520</v>
      </c>
      <c r="E366" s="1">
        <f>IFERROR(__xludf.DUMMYFUNCTION("""COMPUTED_VALUE"""),24540.0)</f>
        <v>24540</v>
      </c>
      <c r="F366" s="1">
        <f>IFERROR(__xludf.DUMMYFUNCTION("""COMPUTED_VALUE"""),255075.0)</f>
        <v>255075</v>
      </c>
    </row>
    <row r="367">
      <c r="A367" s="2">
        <f>IFERROR(__xludf.DUMMYFUNCTION("""COMPUTED_VALUE"""),41082.645833333336)</f>
        <v>41082.64583</v>
      </c>
      <c r="B367" s="1">
        <f>IFERROR(__xludf.DUMMYFUNCTION("""COMPUTED_VALUE"""),23780.0)</f>
        <v>23780</v>
      </c>
      <c r="C367" s="1">
        <f>IFERROR(__xludf.DUMMYFUNCTION("""COMPUTED_VALUE"""),24040.0)</f>
        <v>24040</v>
      </c>
      <c r="D367" s="1">
        <f>IFERROR(__xludf.DUMMYFUNCTION("""COMPUTED_VALUE"""),23600.0)</f>
        <v>23600</v>
      </c>
      <c r="E367" s="1">
        <f>IFERROR(__xludf.DUMMYFUNCTION("""COMPUTED_VALUE"""),23640.0)</f>
        <v>23640</v>
      </c>
      <c r="F367" s="1">
        <f>IFERROR(__xludf.DUMMYFUNCTION("""COMPUTED_VALUE"""),625887.0)</f>
        <v>625887</v>
      </c>
    </row>
    <row r="368">
      <c r="A368" s="2">
        <f>IFERROR(__xludf.DUMMYFUNCTION("""COMPUTED_VALUE"""),41085.645833333336)</f>
        <v>41085.64583</v>
      </c>
      <c r="B368" s="1">
        <f>IFERROR(__xludf.DUMMYFUNCTION("""COMPUTED_VALUE"""),23420.0)</f>
        <v>23420</v>
      </c>
      <c r="C368" s="1">
        <f>IFERROR(__xludf.DUMMYFUNCTION("""COMPUTED_VALUE"""),23560.0)</f>
        <v>23560</v>
      </c>
      <c r="D368" s="1">
        <f>IFERROR(__xludf.DUMMYFUNCTION("""COMPUTED_VALUE"""),22560.0)</f>
        <v>22560</v>
      </c>
      <c r="E368" s="1">
        <f>IFERROR(__xludf.DUMMYFUNCTION("""COMPUTED_VALUE"""),22640.0)</f>
        <v>22640</v>
      </c>
      <c r="F368" s="1">
        <f>IFERROR(__xludf.DUMMYFUNCTION("""COMPUTED_VALUE"""),826362.0)</f>
        <v>826362</v>
      </c>
    </row>
    <row r="369">
      <c r="A369" s="2">
        <f>IFERROR(__xludf.DUMMYFUNCTION("""COMPUTED_VALUE"""),41086.645833333336)</f>
        <v>41086.64583</v>
      </c>
      <c r="B369" s="1">
        <f>IFERROR(__xludf.DUMMYFUNCTION("""COMPUTED_VALUE"""),22660.0)</f>
        <v>22660</v>
      </c>
      <c r="C369" s="1">
        <f>IFERROR(__xludf.DUMMYFUNCTION("""COMPUTED_VALUE"""),22980.0)</f>
        <v>22980</v>
      </c>
      <c r="D369" s="1">
        <f>IFERROR(__xludf.DUMMYFUNCTION("""COMPUTED_VALUE"""),22580.0)</f>
        <v>22580</v>
      </c>
      <c r="E369" s="1">
        <f>IFERROR(__xludf.DUMMYFUNCTION("""COMPUTED_VALUE"""),22780.0)</f>
        <v>22780</v>
      </c>
      <c r="F369" s="1">
        <f>IFERROR(__xludf.DUMMYFUNCTION("""COMPUTED_VALUE"""),505670.0)</f>
        <v>505670</v>
      </c>
    </row>
    <row r="370">
      <c r="A370" s="2">
        <f>IFERROR(__xludf.DUMMYFUNCTION("""COMPUTED_VALUE"""),41087.645833333336)</f>
        <v>41087.64583</v>
      </c>
      <c r="B370" s="1">
        <f>IFERROR(__xludf.DUMMYFUNCTION("""COMPUTED_VALUE"""),22800.0)</f>
        <v>22800</v>
      </c>
      <c r="C370" s="1">
        <f>IFERROR(__xludf.DUMMYFUNCTION("""COMPUTED_VALUE"""),23540.0)</f>
        <v>23540</v>
      </c>
      <c r="D370" s="1">
        <f>IFERROR(__xludf.DUMMYFUNCTION("""COMPUTED_VALUE"""),22600.0)</f>
        <v>22600</v>
      </c>
      <c r="E370" s="1">
        <f>IFERROR(__xludf.DUMMYFUNCTION("""COMPUTED_VALUE"""),23340.0)</f>
        <v>23340</v>
      </c>
      <c r="F370" s="1">
        <f>IFERROR(__xludf.DUMMYFUNCTION("""COMPUTED_VALUE"""),470840.0)</f>
        <v>470840</v>
      </c>
    </row>
    <row r="371">
      <c r="A371" s="2">
        <f>IFERROR(__xludf.DUMMYFUNCTION("""COMPUTED_VALUE"""),41088.645833333336)</f>
        <v>41088.64583</v>
      </c>
      <c r="B371" s="1">
        <f>IFERROR(__xludf.DUMMYFUNCTION("""COMPUTED_VALUE"""),23340.0)</f>
        <v>23340</v>
      </c>
      <c r="C371" s="1">
        <f>IFERROR(__xludf.DUMMYFUNCTION("""COMPUTED_VALUE"""),23600.0)</f>
        <v>23600</v>
      </c>
      <c r="D371" s="1">
        <f>IFERROR(__xludf.DUMMYFUNCTION("""COMPUTED_VALUE"""),23060.0)</f>
        <v>23060</v>
      </c>
      <c r="E371" s="1">
        <f>IFERROR(__xludf.DUMMYFUNCTION("""COMPUTED_VALUE"""),23360.0)</f>
        <v>23360</v>
      </c>
      <c r="F371" s="1">
        <f>IFERROR(__xludf.DUMMYFUNCTION("""COMPUTED_VALUE"""),207967.0)</f>
        <v>207967</v>
      </c>
    </row>
    <row r="372">
      <c r="A372" s="2">
        <f>IFERROR(__xludf.DUMMYFUNCTION("""COMPUTED_VALUE"""),41089.645833333336)</f>
        <v>41089.64583</v>
      </c>
      <c r="B372" s="1">
        <f>IFERROR(__xludf.DUMMYFUNCTION("""COMPUTED_VALUE"""),23340.0)</f>
        <v>23340</v>
      </c>
      <c r="C372" s="1">
        <f>IFERROR(__xludf.DUMMYFUNCTION("""COMPUTED_VALUE"""),24020.0)</f>
        <v>24020</v>
      </c>
      <c r="D372" s="1">
        <f>IFERROR(__xludf.DUMMYFUNCTION("""COMPUTED_VALUE"""),23060.0)</f>
        <v>23060</v>
      </c>
      <c r="E372" s="1">
        <f>IFERROR(__xludf.DUMMYFUNCTION("""COMPUTED_VALUE"""),24020.0)</f>
        <v>24020</v>
      </c>
      <c r="F372" s="1">
        <f>IFERROR(__xludf.DUMMYFUNCTION("""COMPUTED_VALUE"""),372089.0)</f>
        <v>372089</v>
      </c>
    </row>
    <row r="373">
      <c r="A373" s="2">
        <f>IFERROR(__xludf.DUMMYFUNCTION("""COMPUTED_VALUE"""),41092.645833333336)</f>
        <v>41092.64583</v>
      </c>
      <c r="B373" s="1">
        <f>IFERROR(__xludf.DUMMYFUNCTION("""COMPUTED_VALUE"""),24160.0)</f>
        <v>24160</v>
      </c>
      <c r="C373" s="1">
        <f>IFERROR(__xludf.DUMMYFUNCTION("""COMPUTED_VALUE"""),24180.0)</f>
        <v>24180</v>
      </c>
      <c r="D373" s="1">
        <f>IFERROR(__xludf.DUMMYFUNCTION("""COMPUTED_VALUE"""),23420.0)</f>
        <v>23420</v>
      </c>
      <c r="E373" s="1">
        <f>IFERROR(__xludf.DUMMYFUNCTION("""COMPUTED_VALUE"""),23480.0)</f>
        <v>23480</v>
      </c>
      <c r="F373" s="1">
        <f>IFERROR(__xludf.DUMMYFUNCTION("""COMPUTED_VALUE"""),382135.0)</f>
        <v>382135</v>
      </c>
    </row>
    <row r="374">
      <c r="A374" s="2">
        <f>IFERROR(__xludf.DUMMYFUNCTION("""COMPUTED_VALUE"""),41093.645833333336)</f>
        <v>41093.64583</v>
      </c>
      <c r="B374" s="1">
        <f>IFERROR(__xludf.DUMMYFUNCTION("""COMPUTED_VALUE"""),23640.0)</f>
        <v>23640</v>
      </c>
      <c r="C374" s="1">
        <f>IFERROR(__xludf.DUMMYFUNCTION("""COMPUTED_VALUE"""),23860.0)</f>
        <v>23860</v>
      </c>
      <c r="D374" s="1">
        <f>IFERROR(__xludf.DUMMYFUNCTION("""COMPUTED_VALUE"""),23400.0)</f>
        <v>23400</v>
      </c>
      <c r="E374" s="1">
        <f>IFERROR(__xludf.DUMMYFUNCTION("""COMPUTED_VALUE"""),23500.0)</f>
        <v>23500</v>
      </c>
      <c r="F374" s="1">
        <f>IFERROR(__xludf.DUMMYFUNCTION("""COMPUTED_VALUE"""),316031.0)</f>
        <v>316031</v>
      </c>
    </row>
    <row r="375">
      <c r="A375" s="2">
        <f>IFERROR(__xludf.DUMMYFUNCTION("""COMPUTED_VALUE"""),41094.645833333336)</f>
        <v>41094.64583</v>
      </c>
      <c r="B375" s="1">
        <f>IFERROR(__xludf.DUMMYFUNCTION("""COMPUTED_VALUE"""),23640.0)</f>
        <v>23640</v>
      </c>
      <c r="C375" s="1">
        <f>IFERROR(__xludf.DUMMYFUNCTION("""COMPUTED_VALUE"""),23940.0)</f>
        <v>23940</v>
      </c>
      <c r="D375" s="1">
        <f>IFERROR(__xludf.DUMMYFUNCTION("""COMPUTED_VALUE"""),23560.0)</f>
        <v>23560</v>
      </c>
      <c r="E375" s="1">
        <f>IFERROR(__xludf.DUMMYFUNCTION("""COMPUTED_VALUE"""),23820.0)</f>
        <v>23820</v>
      </c>
      <c r="F375" s="1">
        <f>IFERROR(__xludf.DUMMYFUNCTION("""COMPUTED_VALUE"""),383175.0)</f>
        <v>383175</v>
      </c>
    </row>
    <row r="376">
      <c r="A376" s="2">
        <f>IFERROR(__xludf.DUMMYFUNCTION("""COMPUTED_VALUE"""),41095.645833333336)</f>
        <v>41095.64583</v>
      </c>
      <c r="B376" s="1">
        <f>IFERROR(__xludf.DUMMYFUNCTION("""COMPUTED_VALUE"""),23740.0)</f>
        <v>23740</v>
      </c>
      <c r="C376" s="1">
        <f>IFERROR(__xludf.DUMMYFUNCTION("""COMPUTED_VALUE"""),23880.0)</f>
        <v>23880</v>
      </c>
      <c r="D376" s="1">
        <f>IFERROR(__xludf.DUMMYFUNCTION("""COMPUTED_VALUE"""),23540.0)</f>
        <v>23540</v>
      </c>
      <c r="E376" s="1">
        <f>IFERROR(__xludf.DUMMYFUNCTION("""COMPUTED_VALUE"""),23700.0)</f>
        <v>23700</v>
      </c>
      <c r="F376" s="1">
        <f>IFERROR(__xludf.DUMMYFUNCTION("""COMPUTED_VALUE"""),181371.0)</f>
        <v>181371</v>
      </c>
    </row>
    <row r="377">
      <c r="A377" s="2">
        <f>IFERROR(__xludf.DUMMYFUNCTION("""COMPUTED_VALUE"""),41096.645833333336)</f>
        <v>41096.64583</v>
      </c>
      <c r="B377" s="1">
        <f>IFERROR(__xludf.DUMMYFUNCTION("""COMPUTED_VALUE"""),23880.0)</f>
        <v>23880</v>
      </c>
      <c r="C377" s="1">
        <f>IFERROR(__xludf.DUMMYFUNCTION("""COMPUTED_VALUE"""),23880.0)</f>
        <v>23880</v>
      </c>
      <c r="D377" s="1">
        <f>IFERROR(__xludf.DUMMYFUNCTION("""COMPUTED_VALUE"""),23060.0)</f>
        <v>23060</v>
      </c>
      <c r="E377" s="1">
        <f>IFERROR(__xludf.DUMMYFUNCTION("""COMPUTED_VALUE"""),23220.0)</f>
        <v>23220</v>
      </c>
      <c r="F377" s="1">
        <f>IFERROR(__xludf.DUMMYFUNCTION("""COMPUTED_VALUE"""),423178.0)</f>
        <v>423178</v>
      </c>
    </row>
    <row r="378">
      <c r="A378" s="2">
        <f>IFERROR(__xludf.DUMMYFUNCTION("""COMPUTED_VALUE"""),41099.645833333336)</f>
        <v>41099.64583</v>
      </c>
      <c r="B378" s="1">
        <f>IFERROR(__xludf.DUMMYFUNCTION("""COMPUTED_VALUE"""),22700.0)</f>
        <v>22700</v>
      </c>
      <c r="C378" s="1">
        <f>IFERROR(__xludf.DUMMYFUNCTION("""COMPUTED_VALUE"""),22760.0)</f>
        <v>22760</v>
      </c>
      <c r="D378" s="1">
        <f>IFERROR(__xludf.DUMMYFUNCTION("""COMPUTED_VALUE"""),22520.0)</f>
        <v>22520</v>
      </c>
      <c r="E378" s="1">
        <f>IFERROR(__xludf.DUMMYFUNCTION("""COMPUTED_VALUE"""),22520.0)</f>
        <v>22520</v>
      </c>
      <c r="F378" s="1">
        <f>IFERROR(__xludf.DUMMYFUNCTION("""COMPUTED_VALUE"""),425646.0)</f>
        <v>425646</v>
      </c>
    </row>
    <row r="379">
      <c r="A379" s="2">
        <f>IFERROR(__xludf.DUMMYFUNCTION("""COMPUTED_VALUE"""),41100.645833333336)</f>
        <v>41100.64583</v>
      </c>
      <c r="B379" s="1">
        <f>IFERROR(__xludf.DUMMYFUNCTION("""COMPUTED_VALUE"""),22700.0)</f>
        <v>22700</v>
      </c>
      <c r="C379" s="1">
        <f>IFERROR(__xludf.DUMMYFUNCTION("""COMPUTED_VALUE"""),22840.0)</f>
        <v>22840</v>
      </c>
      <c r="D379" s="1">
        <f>IFERROR(__xludf.DUMMYFUNCTION("""COMPUTED_VALUE"""),22420.0)</f>
        <v>22420</v>
      </c>
      <c r="E379" s="1">
        <f>IFERROR(__xludf.DUMMYFUNCTION("""COMPUTED_VALUE"""),22540.0)</f>
        <v>22540</v>
      </c>
      <c r="F379" s="1">
        <f>IFERROR(__xludf.DUMMYFUNCTION("""COMPUTED_VALUE"""),354414.0)</f>
        <v>354414</v>
      </c>
    </row>
    <row r="380">
      <c r="A380" s="2">
        <f>IFERROR(__xludf.DUMMYFUNCTION("""COMPUTED_VALUE"""),41101.645833333336)</f>
        <v>41101.64583</v>
      </c>
      <c r="B380" s="1">
        <f>IFERROR(__xludf.DUMMYFUNCTION("""COMPUTED_VALUE"""),22580.0)</f>
        <v>22580</v>
      </c>
      <c r="C380" s="1">
        <f>IFERROR(__xludf.DUMMYFUNCTION("""COMPUTED_VALUE"""),22660.0)</f>
        <v>22660</v>
      </c>
      <c r="D380" s="1">
        <f>IFERROR(__xludf.DUMMYFUNCTION("""COMPUTED_VALUE"""),22160.0)</f>
        <v>22160</v>
      </c>
      <c r="E380" s="1">
        <f>IFERROR(__xludf.DUMMYFUNCTION("""COMPUTED_VALUE"""),22360.0)</f>
        <v>22360</v>
      </c>
      <c r="F380" s="1">
        <f>IFERROR(__xludf.DUMMYFUNCTION("""COMPUTED_VALUE"""),360026.0)</f>
        <v>360026</v>
      </c>
    </row>
    <row r="381">
      <c r="A381" s="2">
        <f>IFERROR(__xludf.DUMMYFUNCTION("""COMPUTED_VALUE"""),41102.645833333336)</f>
        <v>41102.64583</v>
      </c>
      <c r="B381" s="1">
        <f>IFERROR(__xludf.DUMMYFUNCTION("""COMPUTED_VALUE"""),22420.0)</f>
        <v>22420</v>
      </c>
      <c r="C381" s="1">
        <f>IFERROR(__xludf.DUMMYFUNCTION("""COMPUTED_VALUE"""),22520.0)</f>
        <v>22520</v>
      </c>
      <c r="D381" s="1">
        <f>IFERROR(__xludf.DUMMYFUNCTION("""COMPUTED_VALUE"""),21820.0)</f>
        <v>21820</v>
      </c>
      <c r="E381" s="1">
        <f>IFERROR(__xludf.DUMMYFUNCTION("""COMPUTED_VALUE"""),21820.0)</f>
        <v>21820</v>
      </c>
      <c r="F381" s="1">
        <f>IFERROR(__xludf.DUMMYFUNCTION("""COMPUTED_VALUE"""),497172.0)</f>
        <v>497172</v>
      </c>
    </row>
    <row r="382">
      <c r="A382" s="2">
        <f>IFERROR(__xludf.DUMMYFUNCTION("""COMPUTED_VALUE"""),41103.645833333336)</f>
        <v>41103.64583</v>
      </c>
      <c r="B382" s="1">
        <f>IFERROR(__xludf.DUMMYFUNCTION("""COMPUTED_VALUE"""),21920.0)</f>
        <v>21920</v>
      </c>
      <c r="C382" s="1">
        <f>IFERROR(__xludf.DUMMYFUNCTION("""COMPUTED_VALUE"""),22880.0)</f>
        <v>22880</v>
      </c>
      <c r="D382" s="1">
        <f>IFERROR(__xludf.DUMMYFUNCTION("""COMPUTED_VALUE"""),21820.0)</f>
        <v>21820</v>
      </c>
      <c r="E382" s="1">
        <f>IFERROR(__xludf.DUMMYFUNCTION("""COMPUTED_VALUE"""),22780.0)</f>
        <v>22780</v>
      </c>
      <c r="F382" s="1">
        <f>IFERROR(__xludf.DUMMYFUNCTION("""COMPUTED_VALUE"""),541415.0)</f>
        <v>541415</v>
      </c>
    </row>
    <row r="383">
      <c r="A383" s="2">
        <f>IFERROR(__xludf.DUMMYFUNCTION("""COMPUTED_VALUE"""),41106.645833333336)</f>
        <v>41106.64583</v>
      </c>
      <c r="B383" s="1">
        <f>IFERROR(__xludf.DUMMYFUNCTION("""COMPUTED_VALUE"""),22900.0)</f>
        <v>22900</v>
      </c>
      <c r="C383" s="1">
        <f>IFERROR(__xludf.DUMMYFUNCTION("""COMPUTED_VALUE"""),23100.0)</f>
        <v>23100</v>
      </c>
      <c r="D383" s="1">
        <f>IFERROR(__xludf.DUMMYFUNCTION("""COMPUTED_VALUE"""),22660.0)</f>
        <v>22660</v>
      </c>
      <c r="E383" s="1">
        <f>IFERROR(__xludf.DUMMYFUNCTION("""COMPUTED_VALUE"""),23040.0)</f>
        <v>23040</v>
      </c>
      <c r="F383" s="1">
        <f>IFERROR(__xludf.DUMMYFUNCTION("""COMPUTED_VALUE"""),305239.0)</f>
        <v>305239</v>
      </c>
    </row>
    <row r="384">
      <c r="A384" s="2">
        <f>IFERROR(__xludf.DUMMYFUNCTION("""COMPUTED_VALUE"""),41107.645833333336)</f>
        <v>41107.64583</v>
      </c>
      <c r="B384" s="1">
        <f>IFERROR(__xludf.DUMMYFUNCTION("""COMPUTED_VALUE"""),22960.0)</f>
        <v>22960</v>
      </c>
      <c r="C384" s="1">
        <f>IFERROR(__xludf.DUMMYFUNCTION("""COMPUTED_VALUE"""),23560.0)</f>
        <v>23560</v>
      </c>
      <c r="D384" s="1">
        <f>IFERROR(__xludf.DUMMYFUNCTION("""COMPUTED_VALUE"""),22720.0)</f>
        <v>22720</v>
      </c>
      <c r="E384" s="1">
        <f>IFERROR(__xludf.DUMMYFUNCTION("""COMPUTED_VALUE"""),23360.0)</f>
        <v>23360</v>
      </c>
      <c r="F384" s="1">
        <f>IFERROR(__xludf.DUMMYFUNCTION("""COMPUTED_VALUE"""),317706.0)</f>
        <v>317706</v>
      </c>
    </row>
    <row r="385">
      <c r="A385" s="2">
        <f>IFERROR(__xludf.DUMMYFUNCTION("""COMPUTED_VALUE"""),41108.645833333336)</f>
        <v>41108.64583</v>
      </c>
      <c r="B385" s="1">
        <f>IFERROR(__xludf.DUMMYFUNCTION("""COMPUTED_VALUE"""),23580.0)</f>
        <v>23580</v>
      </c>
      <c r="C385" s="1">
        <f>IFERROR(__xludf.DUMMYFUNCTION("""COMPUTED_VALUE"""),23700.0)</f>
        <v>23700</v>
      </c>
      <c r="D385" s="1">
        <f>IFERROR(__xludf.DUMMYFUNCTION("""COMPUTED_VALUE"""),22760.0)</f>
        <v>22760</v>
      </c>
      <c r="E385" s="1">
        <f>IFERROR(__xludf.DUMMYFUNCTION("""COMPUTED_VALUE"""),23080.0)</f>
        <v>23080</v>
      </c>
      <c r="F385" s="1">
        <f>IFERROR(__xludf.DUMMYFUNCTION("""COMPUTED_VALUE"""),292361.0)</f>
        <v>292361</v>
      </c>
    </row>
    <row r="386">
      <c r="A386" s="2">
        <f>IFERROR(__xludf.DUMMYFUNCTION("""COMPUTED_VALUE"""),41109.645833333336)</f>
        <v>41109.64583</v>
      </c>
      <c r="B386" s="1">
        <f>IFERROR(__xludf.DUMMYFUNCTION("""COMPUTED_VALUE"""),23600.0)</f>
        <v>23600</v>
      </c>
      <c r="C386" s="1">
        <f>IFERROR(__xludf.DUMMYFUNCTION("""COMPUTED_VALUE"""),24040.0)</f>
        <v>24040</v>
      </c>
      <c r="D386" s="1">
        <f>IFERROR(__xludf.DUMMYFUNCTION("""COMPUTED_VALUE"""),23440.0)</f>
        <v>23440</v>
      </c>
      <c r="E386" s="1">
        <f>IFERROR(__xludf.DUMMYFUNCTION("""COMPUTED_VALUE"""),23900.0)</f>
        <v>23900</v>
      </c>
      <c r="F386" s="1">
        <f>IFERROR(__xludf.DUMMYFUNCTION("""COMPUTED_VALUE"""),496942.0)</f>
        <v>496942</v>
      </c>
    </row>
    <row r="387">
      <c r="A387" s="2">
        <f>IFERROR(__xludf.DUMMYFUNCTION("""COMPUTED_VALUE"""),41110.645833333336)</f>
        <v>41110.64583</v>
      </c>
      <c r="B387" s="1">
        <f>IFERROR(__xludf.DUMMYFUNCTION("""COMPUTED_VALUE"""),24040.0)</f>
        <v>24040</v>
      </c>
      <c r="C387" s="1">
        <f>IFERROR(__xludf.DUMMYFUNCTION("""COMPUTED_VALUE"""),24060.0)</f>
        <v>24060</v>
      </c>
      <c r="D387" s="1">
        <f>IFERROR(__xludf.DUMMYFUNCTION("""COMPUTED_VALUE"""),23820.0)</f>
        <v>23820</v>
      </c>
      <c r="E387" s="1">
        <f>IFERROR(__xludf.DUMMYFUNCTION("""COMPUTED_VALUE"""),23820.0)</f>
        <v>23820</v>
      </c>
      <c r="F387" s="1">
        <f>IFERROR(__xludf.DUMMYFUNCTION("""COMPUTED_VALUE"""),239842.0)</f>
        <v>239842</v>
      </c>
    </row>
    <row r="388">
      <c r="A388" s="2">
        <f>IFERROR(__xludf.DUMMYFUNCTION("""COMPUTED_VALUE"""),41113.645833333336)</f>
        <v>41113.64583</v>
      </c>
      <c r="B388" s="1">
        <f>IFERROR(__xludf.DUMMYFUNCTION("""COMPUTED_VALUE"""),23300.0)</f>
        <v>23300</v>
      </c>
      <c r="C388" s="1">
        <f>IFERROR(__xludf.DUMMYFUNCTION("""COMPUTED_VALUE"""),23400.0)</f>
        <v>23400</v>
      </c>
      <c r="D388" s="1">
        <f>IFERROR(__xludf.DUMMYFUNCTION("""COMPUTED_VALUE"""),23100.0)</f>
        <v>23100</v>
      </c>
      <c r="E388" s="1">
        <f>IFERROR(__xludf.DUMMYFUNCTION("""COMPUTED_VALUE"""),23240.0)</f>
        <v>23240</v>
      </c>
      <c r="F388" s="1">
        <f>IFERROR(__xludf.DUMMYFUNCTION("""COMPUTED_VALUE"""),256887.0)</f>
        <v>256887</v>
      </c>
    </row>
    <row r="389">
      <c r="A389" s="2">
        <f>IFERROR(__xludf.DUMMYFUNCTION("""COMPUTED_VALUE"""),41114.645833333336)</f>
        <v>41114.64583</v>
      </c>
      <c r="B389" s="1">
        <f>IFERROR(__xludf.DUMMYFUNCTION("""COMPUTED_VALUE"""),23300.0)</f>
        <v>23300</v>
      </c>
      <c r="C389" s="1">
        <f>IFERROR(__xludf.DUMMYFUNCTION("""COMPUTED_VALUE"""),23500.0)</f>
        <v>23500</v>
      </c>
      <c r="D389" s="1">
        <f>IFERROR(__xludf.DUMMYFUNCTION("""COMPUTED_VALUE"""),23180.0)</f>
        <v>23180</v>
      </c>
      <c r="E389" s="1">
        <f>IFERROR(__xludf.DUMMYFUNCTION("""COMPUTED_VALUE"""),23400.0)</f>
        <v>23400</v>
      </c>
      <c r="F389" s="1">
        <f>IFERROR(__xludf.DUMMYFUNCTION("""COMPUTED_VALUE"""),291961.0)</f>
        <v>291961</v>
      </c>
    </row>
    <row r="390">
      <c r="A390" s="2">
        <f>IFERROR(__xludf.DUMMYFUNCTION("""COMPUTED_VALUE"""),41115.645833333336)</f>
        <v>41115.64583</v>
      </c>
      <c r="B390" s="1">
        <f>IFERROR(__xludf.DUMMYFUNCTION("""COMPUTED_VALUE"""),23060.0)</f>
        <v>23060</v>
      </c>
      <c r="C390" s="1">
        <f>IFERROR(__xludf.DUMMYFUNCTION("""COMPUTED_VALUE"""),23440.0)</f>
        <v>23440</v>
      </c>
      <c r="D390" s="1">
        <f>IFERROR(__xludf.DUMMYFUNCTION("""COMPUTED_VALUE"""),22780.0)</f>
        <v>22780</v>
      </c>
      <c r="E390" s="1">
        <f>IFERROR(__xludf.DUMMYFUNCTION("""COMPUTED_VALUE"""),23160.0)</f>
        <v>23160</v>
      </c>
      <c r="F390" s="1">
        <f>IFERROR(__xludf.DUMMYFUNCTION("""COMPUTED_VALUE"""),272197.0)</f>
        <v>272197</v>
      </c>
    </row>
    <row r="391">
      <c r="A391" s="2">
        <f>IFERROR(__xludf.DUMMYFUNCTION("""COMPUTED_VALUE"""),41116.645833333336)</f>
        <v>41116.64583</v>
      </c>
      <c r="B391" s="1">
        <f>IFERROR(__xludf.DUMMYFUNCTION("""COMPUTED_VALUE"""),23380.0)</f>
        <v>23380</v>
      </c>
      <c r="C391" s="1">
        <f>IFERROR(__xludf.DUMMYFUNCTION("""COMPUTED_VALUE"""),23480.0)</f>
        <v>23480</v>
      </c>
      <c r="D391" s="1">
        <f>IFERROR(__xludf.DUMMYFUNCTION("""COMPUTED_VALUE"""),23200.0)</f>
        <v>23200</v>
      </c>
      <c r="E391" s="1">
        <f>IFERROR(__xludf.DUMMYFUNCTION("""COMPUTED_VALUE"""),23440.0)</f>
        <v>23440</v>
      </c>
      <c r="F391" s="1">
        <f>IFERROR(__xludf.DUMMYFUNCTION("""COMPUTED_VALUE"""),273095.0)</f>
        <v>273095</v>
      </c>
    </row>
    <row r="392">
      <c r="A392" s="2">
        <f>IFERROR(__xludf.DUMMYFUNCTION("""COMPUTED_VALUE"""),41117.645833333336)</f>
        <v>41117.64583</v>
      </c>
      <c r="B392" s="1">
        <f>IFERROR(__xludf.DUMMYFUNCTION("""COMPUTED_VALUE"""),23900.0)</f>
        <v>23900</v>
      </c>
      <c r="C392" s="1">
        <f>IFERROR(__xludf.DUMMYFUNCTION("""COMPUTED_VALUE"""),24660.0)</f>
        <v>24660</v>
      </c>
      <c r="D392" s="1">
        <f>IFERROR(__xludf.DUMMYFUNCTION("""COMPUTED_VALUE"""),23820.0)</f>
        <v>23820</v>
      </c>
      <c r="E392" s="1">
        <f>IFERROR(__xludf.DUMMYFUNCTION("""COMPUTED_VALUE"""),24660.0)</f>
        <v>24660</v>
      </c>
      <c r="F392" s="1">
        <f>IFERROR(__xludf.DUMMYFUNCTION("""COMPUTED_VALUE"""),533724.0)</f>
        <v>533724</v>
      </c>
    </row>
    <row r="393">
      <c r="A393" s="2">
        <f>IFERROR(__xludf.DUMMYFUNCTION("""COMPUTED_VALUE"""),41120.645833333336)</f>
        <v>41120.64583</v>
      </c>
      <c r="B393" s="1">
        <f>IFERROR(__xludf.DUMMYFUNCTION("""COMPUTED_VALUE"""),25200.0)</f>
        <v>25200</v>
      </c>
      <c r="C393" s="1">
        <f>IFERROR(__xludf.DUMMYFUNCTION("""COMPUTED_VALUE"""),25560.0)</f>
        <v>25560</v>
      </c>
      <c r="D393" s="1">
        <f>IFERROR(__xludf.DUMMYFUNCTION("""COMPUTED_VALUE"""),25020.0)</f>
        <v>25020</v>
      </c>
      <c r="E393" s="1">
        <f>IFERROR(__xludf.DUMMYFUNCTION("""COMPUTED_VALUE"""),25500.0)</f>
        <v>25500</v>
      </c>
      <c r="F393" s="1">
        <f>IFERROR(__xludf.DUMMYFUNCTION("""COMPUTED_VALUE"""),382267.0)</f>
        <v>382267</v>
      </c>
    </row>
    <row r="394">
      <c r="A394" s="2">
        <f>IFERROR(__xludf.DUMMYFUNCTION("""COMPUTED_VALUE"""),41121.645833333336)</f>
        <v>41121.64583</v>
      </c>
      <c r="B394" s="1">
        <f>IFERROR(__xludf.DUMMYFUNCTION("""COMPUTED_VALUE"""),25600.0)</f>
        <v>25600</v>
      </c>
      <c r="C394" s="1">
        <f>IFERROR(__xludf.DUMMYFUNCTION("""COMPUTED_VALUE"""),26680.0)</f>
        <v>26680</v>
      </c>
      <c r="D394" s="1">
        <f>IFERROR(__xludf.DUMMYFUNCTION("""COMPUTED_VALUE"""),25500.0)</f>
        <v>25500</v>
      </c>
      <c r="E394" s="1">
        <f>IFERROR(__xludf.DUMMYFUNCTION("""COMPUTED_VALUE"""),26180.0)</f>
        <v>26180</v>
      </c>
      <c r="F394" s="1">
        <f>IFERROR(__xludf.DUMMYFUNCTION("""COMPUTED_VALUE"""),674713.0)</f>
        <v>674713</v>
      </c>
    </row>
    <row r="395">
      <c r="A395" s="2">
        <f>IFERROR(__xludf.DUMMYFUNCTION("""COMPUTED_VALUE"""),41122.645833333336)</f>
        <v>41122.64583</v>
      </c>
      <c r="B395" s="1">
        <f>IFERROR(__xludf.DUMMYFUNCTION("""COMPUTED_VALUE"""),25840.0)</f>
        <v>25840</v>
      </c>
      <c r="C395" s="1">
        <f>IFERROR(__xludf.DUMMYFUNCTION("""COMPUTED_VALUE"""),26300.0)</f>
        <v>26300</v>
      </c>
      <c r="D395" s="1">
        <f>IFERROR(__xludf.DUMMYFUNCTION("""COMPUTED_VALUE"""),25660.0)</f>
        <v>25660</v>
      </c>
      <c r="E395" s="1">
        <f>IFERROR(__xludf.DUMMYFUNCTION("""COMPUTED_VALUE"""),26000.0)</f>
        <v>26000</v>
      </c>
      <c r="F395" s="1">
        <f>IFERROR(__xludf.DUMMYFUNCTION("""COMPUTED_VALUE"""),380782.0)</f>
        <v>380782</v>
      </c>
    </row>
    <row r="396">
      <c r="A396" s="2">
        <f>IFERROR(__xludf.DUMMYFUNCTION("""COMPUTED_VALUE"""),41123.645833333336)</f>
        <v>41123.64583</v>
      </c>
      <c r="B396" s="1">
        <f>IFERROR(__xludf.DUMMYFUNCTION("""COMPUTED_VALUE"""),26000.0)</f>
        <v>26000</v>
      </c>
      <c r="C396" s="1">
        <f>IFERROR(__xludf.DUMMYFUNCTION("""COMPUTED_VALUE"""),26080.0)</f>
        <v>26080</v>
      </c>
      <c r="D396" s="1">
        <f>IFERROR(__xludf.DUMMYFUNCTION("""COMPUTED_VALUE"""),25220.0)</f>
        <v>25220</v>
      </c>
      <c r="E396" s="1">
        <f>IFERROR(__xludf.DUMMYFUNCTION("""COMPUTED_VALUE"""),25260.0)</f>
        <v>25260</v>
      </c>
      <c r="F396" s="1">
        <f>IFERROR(__xludf.DUMMYFUNCTION("""COMPUTED_VALUE"""),319025.0)</f>
        <v>319025</v>
      </c>
    </row>
    <row r="397">
      <c r="A397" s="2">
        <f>IFERROR(__xludf.DUMMYFUNCTION("""COMPUTED_VALUE"""),41124.645833333336)</f>
        <v>41124.64583</v>
      </c>
      <c r="B397" s="1">
        <f>IFERROR(__xludf.DUMMYFUNCTION("""COMPUTED_VALUE"""),24800.0)</f>
        <v>24800</v>
      </c>
      <c r="C397" s="1">
        <f>IFERROR(__xludf.DUMMYFUNCTION("""COMPUTED_VALUE"""),25340.0)</f>
        <v>25340</v>
      </c>
      <c r="D397" s="1">
        <f>IFERROR(__xludf.DUMMYFUNCTION("""COMPUTED_VALUE"""),24760.0)</f>
        <v>24760</v>
      </c>
      <c r="E397" s="1">
        <f>IFERROR(__xludf.DUMMYFUNCTION("""COMPUTED_VALUE"""),24860.0)</f>
        <v>24860</v>
      </c>
      <c r="F397" s="1">
        <f>IFERROR(__xludf.DUMMYFUNCTION("""COMPUTED_VALUE"""),311653.0)</f>
        <v>311653</v>
      </c>
    </row>
    <row r="398">
      <c r="A398" s="2">
        <f>IFERROR(__xludf.DUMMYFUNCTION("""COMPUTED_VALUE"""),41127.645833333336)</f>
        <v>41127.64583</v>
      </c>
      <c r="B398" s="1">
        <f>IFERROR(__xludf.DUMMYFUNCTION("""COMPUTED_VALUE"""),25700.0)</f>
        <v>25700</v>
      </c>
      <c r="C398" s="1">
        <f>IFERROR(__xludf.DUMMYFUNCTION("""COMPUTED_VALUE"""),26100.0)</f>
        <v>26100</v>
      </c>
      <c r="D398" s="1">
        <f>IFERROR(__xludf.DUMMYFUNCTION("""COMPUTED_VALUE"""),25640.0)</f>
        <v>25640</v>
      </c>
      <c r="E398" s="1">
        <f>IFERROR(__xludf.DUMMYFUNCTION("""COMPUTED_VALUE"""),25960.0)</f>
        <v>25960</v>
      </c>
      <c r="F398" s="1">
        <f>IFERROR(__xludf.DUMMYFUNCTION("""COMPUTED_VALUE"""),245783.0)</f>
        <v>245783</v>
      </c>
    </row>
    <row r="399">
      <c r="A399" s="2">
        <f>IFERROR(__xludf.DUMMYFUNCTION("""COMPUTED_VALUE"""),41128.645833333336)</f>
        <v>41128.64583</v>
      </c>
      <c r="B399" s="1">
        <f>IFERROR(__xludf.DUMMYFUNCTION("""COMPUTED_VALUE"""),26060.0)</f>
        <v>26060</v>
      </c>
      <c r="C399" s="1">
        <f>IFERROR(__xludf.DUMMYFUNCTION("""COMPUTED_VALUE"""),26080.0)</f>
        <v>26080</v>
      </c>
      <c r="D399" s="1">
        <f>IFERROR(__xludf.DUMMYFUNCTION("""COMPUTED_VALUE"""),25680.0)</f>
        <v>25680</v>
      </c>
      <c r="E399" s="1">
        <f>IFERROR(__xludf.DUMMYFUNCTION("""COMPUTED_VALUE"""),25880.0)</f>
        <v>25880</v>
      </c>
      <c r="F399" s="1">
        <f>IFERROR(__xludf.DUMMYFUNCTION("""COMPUTED_VALUE"""),205168.0)</f>
        <v>205168</v>
      </c>
    </row>
    <row r="400">
      <c r="A400" s="2">
        <f>IFERROR(__xludf.DUMMYFUNCTION("""COMPUTED_VALUE"""),41129.645833333336)</f>
        <v>41129.64583</v>
      </c>
      <c r="B400" s="1">
        <f>IFERROR(__xludf.DUMMYFUNCTION("""COMPUTED_VALUE"""),26120.0)</f>
        <v>26120</v>
      </c>
      <c r="C400" s="1">
        <f>IFERROR(__xludf.DUMMYFUNCTION("""COMPUTED_VALUE"""),26560.0)</f>
        <v>26560</v>
      </c>
      <c r="D400" s="1">
        <f>IFERROR(__xludf.DUMMYFUNCTION("""COMPUTED_VALUE"""),26020.0)</f>
        <v>26020</v>
      </c>
      <c r="E400" s="1">
        <f>IFERROR(__xludf.DUMMYFUNCTION("""COMPUTED_VALUE"""),26400.0)</f>
        <v>26400</v>
      </c>
      <c r="F400" s="1">
        <f>IFERROR(__xludf.DUMMYFUNCTION("""COMPUTED_VALUE"""),389183.0)</f>
        <v>389183</v>
      </c>
    </row>
    <row r="401">
      <c r="A401" s="2">
        <f>IFERROR(__xludf.DUMMYFUNCTION("""COMPUTED_VALUE"""),41130.645833333336)</f>
        <v>41130.64583</v>
      </c>
      <c r="B401" s="1">
        <f>IFERROR(__xludf.DUMMYFUNCTION("""COMPUTED_VALUE"""),26420.0)</f>
        <v>26420</v>
      </c>
      <c r="C401" s="1">
        <f>IFERROR(__xludf.DUMMYFUNCTION("""COMPUTED_VALUE"""),26960.0)</f>
        <v>26960</v>
      </c>
      <c r="D401" s="1">
        <f>IFERROR(__xludf.DUMMYFUNCTION("""COMPUTED_VALUE"""),26360.0)</f>
        <v>26360</v>
      </c>
      <c r="E401" s="1">
        <f>IFERROR(__xludf.DUMMYFUNCTION("""COMPUTED_VALUE"""),26800.0)</f>
        <v>26800</v>
      </c>
      <c r="F401" s="1">
        <f>IFERROR(__xludf.DUMMYFUNCTION("""COMPUTED_VALUE"""),612253.0)</f>
        <v>612253</v>
      </c>
    </row>
    <row r="402">
      <c r="A402" s="2">
        <f>IFERROR(__xludf.DUMMYFUNCTION("""COMPUTED_VALUE"""),41131.645833333336)</f>
        <v>41131.64583</v>
      </c>
      <c r="B402" s="1">
        <f>IFERROR(__xludf.DUMMYFUNCTION("""COMPUTED_VALUE"""),26700.0)</f>
        <v>26700</v>
      </c>
      <c r="C402" s="1">
        <f>IFERROR(__xludf.DUMMYFUNCTION("""COMPUTED_VALUE"""),26960.0)</f>
        <v>26960</v>
      </c>
      <c r="D402" s="1">
        <f>IFERROR(__xludf.DUMMYFUNCTION("""COMPUTED_VALUE"""),26600.0)</f>
        <v>26600</v>
      </c>
      <c r="E402" s="1">
        <f>IFERROR(__xludf.DUMMYFUNCTION("""COMPUTED_VALUE"""),26960.0)</f>
        <v>26960</v>
      </c>
      <c r="F402" s="1">
        <f>IFERROR(__xludf.DUMMYFUNCTION("""COMPUTED_VALUE"""),294665.0)</f>
        <v>294665</v>
      </c>
    </row>
    <row r="403">
      <c r="A403" s="2">
        <f>IFERROR(__xludf.DUMMYFUNCTION("""COMPUTED_VALUE"""),41134.645833333336)</f>
        <v>41134.64583</v>
      </c>
      <c r="B403" s="1">
        <f>IFERROR(__xludf.DUMMYFUNCTION("""COMPUTED_VALUE"""),26840.0)</f>
        <v>26840</v>
      </c>
      <c r="C403" s="1">
        <f>IFERROR(__xludf.DUMMYFUNCTION("""COMPUTED_VALUE"""),26940.0)</f>
        <v>26940</v>
      </c>
      <c r="D403" s="1">
        <f>IFERROR(__xludf.DUMMYFUNCTION("""COMPUTED_VALUE"""),26460.0)</f>
        <v>26460</v>
      </c>
      <c r="E403" s="1">
        <f>IFERROR(__xludf.DUMMYFUNCTION("""COMPUTED_VALUE"""),26500.0)</f>
        <v>26500</v>
      </c>
      <c r="F403" s="1">
        <f>IFERROR(__xludf.DUMMYFUNCTION("""COMPUTED_VALUE"""),197821.0)</f>
        <v>197821</v>
      </c>
    </row>
    <row r="404">
      <c r="A404" s="2">
        <f>IFERROR(__xludf.DUMMYFUNCTION("""COMPUTED_VALUE"""),41135.645833333336)</f>
        <v>41135.64583</v>
      </c>
      <c r="B404" s="1">
        <f>IFERROR(__xludf.DUMMYFUNCTION("""COMPUTED_VALUE"""),26520.0)</f>
        <v>26520</v>
      </c>
      <c r="C404" s="1">
        <f>IFERROR(__xludf.DUMMYFUNCTION("""COMPUTED_VALUE"""),27000.0)</f>
        <v>27000</v>
      </c>
      <c r="D404" s="1">
        <f>IFERROR(__xludf.DUMMYFUNCTION("""COMPUTED_VALUE"""),26520.0)</f>
        <v>26520</v>
      </c>
      <c r="E404" s="1">
        <f>IFERROR(__xludf.DUMMYFUNCTION("""COMPUTED_VALUE"""),26900.0)</f>
        <v>26900</v>
      </c>
      <c r="F404" s="1">
        <f>IFERROR(__xludf.DUMMYFUNCTION("""COMPUTED_VALUE"""),287937.0)</f>
        <v>287937</v>
      </c>
    </row>
    <row r="405">
      <c r="A405" s="2">
        <f>IFERROR(__xludf.DUMMYFUNCTION("""COMPUTED_VALUE"""),41137.645833333336)</f>
        <v>41137.64583</v>
      </c>
      <c r="B405" s="1">
        <f>IFERROR(__xludf.DUMMYFUNCTION("""COMPUTED_VALUE"""),27080.0)</f>
        <v>27080</v>
      </c>
      <c r="C405" s="1">
        <f>IFERROR(__xludf.DUMMYFUNCTION("""COMPUTED_VALUE"""),27100.0)</f>
        <v>27100</v>
      </c>
      <c r="D405" s="1">
        <f>IFERROR(__xludf.DUMMYFUNCTION("""COMPUTED_VALUE"""),26760.0)</f>
        <v>26760</v>
      </c>
      <c r="E405" s="1">
        <f>IFERROR(__xludf.DUMMYFUNCTION("""COMPUTED_VALUE"""),26900.0)</f>
        <v>26900</v>
      </c>
      <c r="F405" s="1">
        <f>IFERROR(__xludf.DUMMYFUNCTION("""COMPUTED_VALUE"""),296483.0)</f>
        <v>296483</v>
      </c>
    </row>
    <row r="406">
      <c r="A406" s="2">
        <f>IFERROR(__xludf.DUMMYFUNCTION("""COMPUTED_VALUE"""),41138.645833333336)</f>
        <v>41138.64583</v>
      </c>
      <c r="B406" s="1">
        <f>IFERROR(__xludf.DUMMYFUNCTION("""COMPUTED_VALUE"""),26880.0)</f>
        <v>26880</v>
      </c>
      <c r="C406" s="1">
        <f>IFERROR(__xludf.DUMMYFUNCTION("""COMPUTED_VALUE"""),26900.0)</f>
        <v>26900</v>
      </c>
      <c r="D406" s="1">
        <f>IFERROR(__xludf.DUMMYFUNCTION("""COMPUTED_VALUE"""),25720.0)</f>
        <v>25720</v>
      </c>
      <c r="E406" s="1">
        <f>IFERROR(__xludf.DUMMYFUNCTION("""COMPUTED_VALUE"""),25900.0)</f>
        <v>25900</v>
      </c>
      <c r="F406" s="1">
        <f>IFERROR(__xludf.DUMMYFUNCTION("""COMPUTED_VALUE"""),552856.0)</f>
        <v>552856</v>
      </c>
    </row>
    <row r="407">
      <c r="A407" s="2">
        <f>IFERROR(__xludf.DUMMYFUNCTION("""COMPUTED_VALUE"""),41141.645833333336)</f>
        <v>41141.64583</v>
      </c>
      <c r="B407" s="1">
        <f>IFERROR(__xludf.DUMMYFUNCTION("""COMPUTED_VALUE"""),25400.0)</f>
        <v>25400</v>
      </c>
      <c r="C407" s="1">
        <f>IFERROR(__xludf.DUMMYFUNCTION("""COMPUTED_VALUE"""),25660.0)</f>
        <v>25660</v>
      </c>
      <c r="D407" s="1">
        <f>IFERROR(__xludf.DUMMYFUNCTION("""COMPUTED_VALUE"""),25100.0)</f>
        <v>25100</v>
      </c>
      <c r="E407" s="1">
        <f>IFERROR(__xludf.DUMMYFUNCTION("""COMPUTED_VALUE"""),25660.0)</f>
        <v>25660</v>
      </c>
      <c r="F407" s="1">
        <f>IFERROR(__xludf.DUMMYFUNCTION("""COMPUTED_VALUE"""),398896.0)</f>
        <v>398896</v>
      </c>
    </row>
    <row r="408">
      <c r="A408" s="2">
        <f>IFERROR(__xludf.DUMMYFUNCTION("""COMPUTED_VALUE"""),41142.645833333336)</f>
        <v>41142.64583</v>
      </c>
      <c r="B408" s="1">
        <f>IFERROR(__xludf.DUMMYFUNCTION("""COMPUTED_VALUE"""),25840.0)</f>
        <v>25840</v>
      </c>
      <c r="C408" s="1">
        <f>IFERROR(__xludf.DUMMYFUNCTION("""COMPUTED_VALUE"""),26040.0)</f>
        <v>26040</v>
      </c>
      <c r="D408" s="1">
        <f>IFERROR(__xludf.DUMMYFUNCTION("""COMPUTED_VALUE"""),25640.0)</f>
        <v>25640</v>
      </c>
      <c r="E408" s="1">
        <f>IFERROR(__xludf.DUMMYFUNCTION("""COMPUTED_VALUE"""),25640.0)</f>
        <v>25640</v>
      </c>
      <c r="F408" s="1">
        <f>IFERROR(__xludf.DUMMYFUNCTION("""COMPUTED_VALUE"""),306304.0)</f>
        <v>306304</v>
      </c>
    </row>
    <row r="409">
      <c r="A409" s="2">
        <f>IFERROR(__xludf.DUMMYFUNCTION("""COMPUTED_VALUE"""),41143.645833333336)</f>
        <v>41143.64583</v>
      </c>
      <c r="B409" s="1">
        <f>IFERROR(__xludf.DUMMYFUNCTION("""COMPUTED_VALUE"""),25380.0)</f>
        <v>25380</v>
      </c>
      <c r="C409" s="1">
        <f>IFERROR(__xludf.DUMMYFUNCTION("""COMPUTED_VALUE"""),25620.0)</f>
        <v>25620</v>
      </c>
      <c r="D409" s="1">
        <f>IFERROR(__xludf.DUMMYFUNCTION("""COMPUTED_VALUE"""),25140.0)</f>
        <v>25140</v>
      </c>
      <c r="E409" s="1">
        <f>IFERROR(__xludf.DUMMYFUNCTION("""COMPUTED_VALUE"""),25280.0)</f>
        <v>25280</v>
      </c>
      <c r="F409" s="1">
        <f>IFERROR(__xludf.DUMMYFUNCTION("""COMPUTED_VALUE"""),320624.0)</f>
        <v>320624</v>
      </c>
    </row>
    <row r="410">
      <c r="A410" s="2">
        <f>IFERROR(__xludf.DUMMYFUNCTION("""COMPUTED_VALUE"""),41144.645833333336)</f>
        <v>41144.64583</v>
      </c>
      <c r="B410" s="1">
        <f>IFERROR(__xludf.DUMMYFUNCTION("""COMPUTED_VALUE"""),25220.0)</f>
        <v>25220</v>
      </c>
      <c r="C410" s="1">
        <f>IFERROR(__xludf.DUMMYFUNCTION("""COMPUTED_VALUE"""),25740.0)</f>
        <v>25740</v>
      </c>
      <c r="D410" s="1">
        <f>IFERROR(__xludf.DUMMYFUNCTION("""COMPUTED_VALUE"""),24980.0)</f>
        <v>24980</v>
      </c>
      <c r="E410" s="1">
        <f>IFERROR(__xludf.DUMMYFUNCTION("""COMPUTED_VALUE"""),25740.0)</f>
        <v>25740</v>
      </c>
      <c r="F410" s="1">
        <f>IFERROR(__xludf.DUMMYFUNCTION("""COMPUTED_VALUE"""),277155.0)</f>
        <v>277155</v>
      </c>
    </row>
    <row r="411">
      <c r="A411" s="2">
        <f>IFERROR(__xludf.DUMMYFUNCTION("""COMPUTED_VALUE"""),41145.645833333336)</f>
        <v>41145.64583</v>
      </c>
      <c r="B411" s="1">
        <f>IFERROR(__xludf.DUMMYFUNCTION("""COMPUTED_VALUE"""),25400.0)</f>
        <v>25400</v>
      </c>
      <c r="C411" s="1">
        <f>IFERROR(__xludf.DUMMYFUNCTION("""COMPUTED_VALUE"""),25740.0)</f>
        <v>25740</v>
      </c>
      <c r="D411" s="1">
        <f>IFERROR(__xludf.DUMMYFUNCTION("""COMPUTED_VALUE"""),25280.0)</f>
        <v>25280</v>
      </c>
      <c r="E411" s="1">
        <f>IFERROR(__xludf.DUMMYFUNCTION("""COMPUTED_VALUE"""),25500.0)</f>
        <v>25500</v>
      </c>
      <c r="F411" s="1">
        <f>IFERROR(__xludf.DUMMYFUNCTION("""COMPUTED_VALUE"""),281544.0)</f>
        <v>281544</v>
      </c>
    </row>
    <row r="412">
      <c r="A412" s="2">
        <f>IFERROR(__xludf.DUMMYFUNCTION("""COMPUTED_VALUE"""),41148.645833333336)</f>
        <v>41148.64583</v>
      </c>
      <c r="B412" s="1">
        <f>IFERROR(__xludf.DUMMYFUNCTION("""COMPUTED_VALUE"""),23780.0)</f>
        <v>23780</v>
      </c>
      <c r="C412" s="1">
        <f>IFERROR(__xludf.DUMMYFUNCTION("""COMPUTED_VALUE"""),24060.0)</f>
        <v>24060</v>
      </c>
      <c r="D412" s="1">
        <f>IFERROR(__xludf.DUMMYFUNCTION("""COMPUTED_VALUE"""),23460.0)</f>
        <v>23460</v>
      </c>
      <c r="E412" s="1">
        <f>IFERROR(__xludf.DUMMYFUNCTION("""COMPUTED_VALUE"""),23600.0)</f>
        <v>23600</v>
      </c>
      <c r="F412" s="1">
        <f>IFERROR(__xludf.DUMMYFUNCTION("""COMPUTED_VALUE"""),1276069.0)</f>
        <v>1276069</v>
      </c>
    </row>
    <row r="413">
      <c r="A413" s="2">
        <f>IFERROR(__xludf.DUMMYFUNCTION("""COMPUTED_VALUE"""),41149.645833333336)</f>
        <v>41149.64583</v>
      </c>
      <c r="B413" s="1">
        <f>IFERROR(__xludf.DUMMYFUNCTION("""COMPUTED_VALUE"""),23720.0)</f>
        <v>23720</v>
      </c>
      <c r="C413" s="1">
        <f>IFERROR(__xludf.DUMMYFUNCTION("""COMPUTED_VALUE"""),24180.0)</f>
        <v>24180</v>
      </c>
      <c r="D413" s="1">
        <f>IFERROR(__xludf.DUMMYFUNCTION("""COMPUTED_VALUE"""),23600.0)</f>
        <v>23600</v>
      </c>
      <c r="E413" s="1">
        <f>IFERROR(__xludf.DUMMYFUNCTION("""COMPUTED_VALUE"""),23900.0)</f>
        <v>23900</v>
      </c>
      <c r="F413" s="1">
        <f>IFERROR(__xludf.DUMMYFUNCTION("""COMPUTED_VALUE"""),555348.0)</f>
        <v>555348</v>
      </c>
    </row>
    <row r="414">
      <c r="A414" s="2">
        <f>IFERROR(__xludf.DUMMYFUNCTION("""COMPUTED_VALUE"""),41150.645833333336)</f>
        <v>41150.64583</v>
      </c>
      <c r="B414" s="1">
        <f>IFERROR(__xludf.DUMMYFUNCTION("""COMPUTED_VALUE"""),24180.0)</f>
        <v>24180</v>
      </c>
      <c r="C414" s="1">
        <f>IFERROR(__xludf.DUMMYFUNCTION("""COMPUTED_VALUE"""),24700.0)</f>
        <v>24700</v>
      </c>
      <c r="D414" s="1">
        <f>IFERROR(__xludf.DUMMYFUNCTION("""COMPUTED_VALUE"""),24140.0)</f>
        <v>24140</v>
      </c>
      <c r="E414" s="1">
        <f>IFERROR(__xludf.DUMMYFUNCTION("""COMPUTED_VALUE"""),24600.0)</f>
        <v>24600</v>
      </c>
      <c r="F414" s="1">
        <f>IFERROR(__xludf.DUMMYFUNCTION("""COMPUTED_VALUE"""),468311.0)</f>
        <v>468311</v>
      </c>
    </row>
    <row r="415">
      <c r="A415" s="2">
        <f>IFERROR(__xludf.DUMMYFUNCTION("""COMPUTED_VALUE"""),41151.645833333336)</f>
        <v>41151.64583</v>
      </c>
      <c r="B415" s="1">
        <f>IFERROR(__xludf.DUMMYFUNCTION("""COMPUTED_VALUE"""),24560.0)</f>
        <v>24560</v>
      </c>
      <c r="C415" s="1">
        <f>IFERROR(__xludf.DUMMYFUNCTION("""COMPUTED_VALUE"""),24580.0)</f>
        <v>24580</v>
      </c>
      <c r="D415" s="1">
        <f>IFERROR(__xludf.DUMMYFUNCTION("""COMPUTED_VALUE"""),24040.0)</f>
        <v>24040</v>
      </c>
      <c r="E415" s="1">
        <f>IFERROR(__xludf.DUMMYFUNCTION("""COMPUTED_VALUE"""),24300.0)</f>
        <v>24300</v>
      </c>
      <c r="F415" s="1">
        <f>IFERROR(__xludf.DUMMYFUNCTION("""COMPUTED_VALUE"""),324228.0)</f>
        <v>324228</v>
      </c>
    </row>
    <row r="416">
      <c r="A416" s="2">
        <f>IFERROR(__xludf.DUMMYFUNCTION("""COMPUTED_VALUE"""),41152.645833333336)</f>
        <v>41152.64583</v>
      </c>
      <c r="B416" s="1">
        <f>IFERROR(__xludf.DUMMYFUNCTION("""COMPUTED_VALUE"""),24220.0)</f>
        <v>24220</v>
      </c>
      <c r="C416" s="1">
        <f>IFERROR(__xludf.DUMMYFUNCTION("""COMPUTED_VALUE"""),24680.0)</f>
        <v>24680</v>
      </c>
      <c r="D416" s="1">
        <f>IFERROR(__xludf.DUMMYFUNCTION("""COMPUTED_VALUE"""),24140.0)</f>
        <v>24140</v>
      </c>
      <c r="E416" s="1">
        <f>IFERROR(__xludf.DUMMYFUNCTION("""COMPUTED_VALUE"""),24660.0)</f>
        <v>24660</v>
      </c>
      <c r="F416" s="1">
        <f>IFERROR(__xludf.DUMMYFUNCTION("""COMPUTED_VALUE"""),406026.0)</f>
        <v>406026</v>
      </c>
    </row>
    <row r="417">
      <c r="A417" s="2">
        <f>IFERROR(__xludf.DUMMYFUNCTION("""COMPUTED_VALUE"""),41155.645833333336)</f>
        <v>41155.64583</v>
      </c>
      <c r="B417" s="1">
        <f>IFERROR(__xludf.DUMMYFUNCTION("""COMPUTED_VALUE"""),24400.0)</f>
        <v>24400</v>
      </c>
      <c r="C417" s="1">
        <f>IFERROR(__xludf.DUMMYFUNCTION("""COMPUTED_VALUE"""),24700.0)</f>
        <v>24700</v>
      </c>
      <c r="D417" s="1">
        <f>IFERROR(__xludf.DUMMYFUNCTION("""COMPUTED_VALUE"""),24020.0)</f>
        <v>24020</v>
      </c>
      <c r="E417" s="1">
        <f>IFERROR(__xludf.DUMMYFUNCTION("""COMPUTED_VALUE"""),24360.0)</f>
        <v>24360</v>
      </c>
      <c r="F417" s="1">
        <f>IFERROR(__xludf.DUMMYFUNCTION("""COMPUTED_VALUE"""),278076.0)</f>
        <v>278076</v>
      </c>
    </row>
    <row r="418">
      <c r="A418" s="2">
        <f>IFERROR(__xludf.DUMMYFUNCTION("""COMPUTED_VALUE"""),41156.645833333336)</f>
        <v>41156.64583</v>
      </c>
      <c r="B418" s="1">
        <f>IFERROR(__xludf.DUMMYFUNCTION("""COMPUTED_VALUE"""),24380.0)</f>
        <v>24380</v>
      </c>
      <c r="C418" s="1">
        <f>IFERROR(__xludf.DUMMYFUNCTION("""COMPUTED_VALUE"""),24560.0)</f>
        <v>24560</v>
      </c>
      <c r="D418" s="1">
        <f>IFERROR(__xludf.DUMMYFUNCTION("""COMPUTED_VALUE"""),24200.0)</f>
        <v>24200</v>
      </c>
      <c r="E418" s="1">
        <f>IFERROR(__xludf.DUMMYFUNCTION("""COMPUTED_VALUE"""),24360.0)</f>
        <v>24360</v>
      </c>
      <c r="F418" s="1">
        <f>IFERROR(__xludf.DUMMYFUNCTION("""COMPUTED_VALUE"""),198331.0)</f>
        <v>198331</v>
      </c>
    </row>
    <row r="419">
      <c r="A419" s="2">
        <f>IFERROR(__xludf.DUMMYFUNCTION("""COMPUTED_VALUE"""),41157.645833333336)</f>
        <v>41157.64583</v>
      </c>
      <c r="B419" s="1">
        <f>IFERROR(__xludf.DUMMYFUNCTION("""COMPUTED_VALUE"""),24100.0)</f>
        <v>24100</v>
      </c>
      <c r="C419" s="1">
        <f>IFERROR(__xludf.DUMMYFUNCTION("""COMPUTED_VALUE"""),24240.0)</f>
        <v>24240</v>
      </c>
      <c r="D419" s="1">
        <f>IFERROR(__xludf.DUMMYFUNCTION("""COMPUTED_VALUE"""),23780.0)</f>
        <v>23780</v>
      </c>
      <c r="E419" s="1">
        <f>IFERROR(__xludf.DUMMYFUNCTION("""COMPUTED_VALUE"""),23780.0)</f>
        <v>23780</v>
      </c>
      <c r="F419" s="1">
        <f>IFERROR(__xludf.DUMMYFUNCTION("""COMPUTED_VALUE"""),347639.0)</f>
        <v>347639</v>
      </c>
    </row>
    <row r="420">
      <c r="A420" s="2">
        <f>IFERROR(__xludf.DUMMYFUNCTION("""COMPUTED_VALUE"""),41158.645833333336)</f>
        <v>41158.64583</v>
      </c>
      <c r="B420" s="1">
        <f>IFERROR(__xludf.DUMMYFUNCTION("""COMPUTED_VALUE"""),24000.0)</f>
        <v>24000</v>
      </c>
      <c r="C420" s="1">
        <f>IFERROR(__xludf.DUMMYFUNCTION("""COMPUTED_VALUE"""),24060.0)</f>
        <v>24060</v>
      </c>
      <c r="D420" s="1">
        <f>IFERROR(__xludf.DUMMYFUNCTION("""COMPUTED_VALUE"""),23860.0)</f>
        <v>23860</v>
      </c>
      <c r="E420" s="1">
        <f>IFERROR(__xludf.DUMMYFUNCTION("""COMPUTED_VALUE"""),23920.0)</f>
        <v>23920</v>
      </c>
      <c r="F420" s="1">
        <f>IFERROR(__xludf.DUMMYFUNCTION("""COMPUTED_VALUE"""),247475.0)</f>
        <v>247475</v>
      </c>
    </row>
    <row r="421">
      <c r="A421" s="2">
        <f>IFERROR(__xludf.DUMMYFUNCTION("""COMPUTED_VALUE"""),41159.645833333336)</f>
        <v>41159.64583</v>
      </c>
      <c r="B421" s="1">
        <f>IFERROR(__xludf.DUMMYFUNCTION("""COMPUTED_VALUE"""),24600.0)</f>
        <v>24600</v>
      </c>
      <c r="C421" s="1">
        <f>IFERROR(__xludf.DUMMYFUNCTION("""COMPUTED_VALUE"""),25020.0)</f>
        <v>25020</v>
      </c>
      <c r="D421" s="1">
        <f>IFERROR(__xludf.DUMMYFUNCTION("""COMPUTED_VALUE"""),24400.0)</f>
        <v>24400</v>
      </c>
      <c r="E421" s="1">
        <f>IFERROR(__xludf.DUMMYFUNCTION("""COMPUTED_VALUE"""),25000.0)</f>
        <v>25000</v>
      </c>
      <c r="F421" s="1">
        <f>IFERROR(__xludf.DUMMYFUNCTION("""COMPUTED_VALUE"""),510248.0)</f>
        <v>510248</v>
      </c>
    </row>
    <row r="422">
      <c r="A422" s="2">
        <f>IFERROR(__xludf.DUMMYFUNCTION("""COMPUTED_VALUE"""),41162.645833333336)</f>
        <v>41162.64583</v>
      </c>
      <c r="B422" s="1">
        <f>IFERROR(__xludf.DUMMYFUNCTION("""COMPUTED_VALUE"""),25200.0)</f>
        <v>25200</v>
      </c>
      <c r="C422" s="1">
        <f>IFERROR(__xludf.DUMMYFUNCTION("""COMPUTED_VALUE"""),25280.0)</f>
        <v>25280</v>
      </c>
      <c r="D422" s="1">
        <f>IFERROR(__xludf.DUMMYFUNCTION("""COMPUTED_VALUE"""),25000.0)</f>
        <v>25000</v>
      </c>
      <c r="E422" s="1">
        <f>IFERROR(__xludf.DUMMYFUNCTION("""COMPUTED_VALUE"""),25000.0)</f>
        <v>25000</v>
      </c>
      <c r="F422" s="1">
        <f>IFERROR(__xludf.DUMMYFUNCTION("""COMPUTED_VALUE"""),317674.0)</f>
        <v>317674</v>
      </c>
    </row>
    <row r="423">
      <c r="A423" s="2">
        <f>IFERROR(__xludf.DUMMYFUNCTION("""COMPUTED_VALUE"""),41163.645833333336)</f>
        <v>41163.64583</v>
      </c>
      <c r="B423" s="1">
        <f>IFERROR(__xludf.DUMMYFUNCTION("""COMPUTED_VALUE"""),24800.0)</f>
        <v>24800</v>
      </c>
      <c r="C423" s="1">
        <f>IFERROR(__xludf.DUMMYFUNCTION("""COMPUTED_VALUE"""),25300.0)</f>
        <v>25300</v>
      </c>
      <c r="D423" s="1">
        <f>IFERROR(__xludf.DUMMYFUNCTION("""COMPUTED_VALUE"""),24640.0)</f>
        <v>24640</v>
      </c>
      <c r="E423" s="1">
        <f>IFERROR(__xludf.DUMMYFUNCTION("""COMPUTED_VALUE"""),25120.0)</f>
        <v>25120</v>
      </c>
      <c r="F423" s="1">
        <f>IFERROR(__xludf.DUMMYFUNCTION("""COMPUTED_VALUE"""),197816.0)</f>
        <v>197816</v>
      </c>
    </row>
    <row r="424">
      <c r="A424" s="2">
        <f>IFERROR(__xludf.DUMMYFUNCTION("""COMPUTED_VALUE"""),41164.645833333336)</f>
        <v>41164.64583</v>
      </c>
      <c r="B424" s="1">
        <f>IFERROR(__xludf.DUMMYFUNCTION("""COMPUTED_VALUE"""),25360.0)</f>
        <v>25360</v>
      </c>
      <c r="C424" s="1">
        <f>IFERROR(__xludf.DUMMYFUNCTION("""COMPUTED_VALUE"""),25900.0)</f>
        <v>25900</v>
      </c>
      <c r="D424" s="1">
        <f>IFERROR(__xludf.DUMMYFUNCTION("""COMPUTED_VALUE"""),25180.0)</f>
        <v>25180</v>
      </c>
      <c r="E424" s="1">
        <f>IFERROR(__xludf.DUMMYFUNCTION("""COMPUTED_VALUE"""),25880.0)</f>
        <v>25880</v>
      </c>
      <c r="F424" s="1">
        <f>IFERROR(__xludf.DUMMYFUNCTION("""COMPUTED_VALUE"""),369465.0)</f>
        <v>369465</v>
      </c>
    </row>
    <row r="425">
      <c r="A425" s="2">
        <f>IFERROR(__xludf.DUMMYFUNCTION("""COMPUTED_VALUE"""),41165.645833333336)</f>
        <v>41165.64583</v>
      </c>
      <c r="B425" s="1">
        <f>IFERROR(__xludf.DUMMYFUNCTION("""COMPUTED_VALUE"""),25980.0)</f>
        <v>25980</v>
      </c>
      <c r="C425" s="1">
        <f>IFERROR(__xludf.DUMMYFUNCTION("""COMPUTED_VALUE"""),26100.0)</f>
        <v>26100</v>
      </c>
      <c r="D425" s="1">
        <f>IFERROR(__xludf.DUMMYFUNCTION("""COMPUTED_VALUE"""),25620.0)</f>
        <v>25620</v>
      </c>
      <c r="E425" s="1">
        <f>IFERROR(__xludf.DUMMYFUNCTION("""COMPUTED_VALUE"""),26020.0)</f>
        <v>26020</v>
      </c>
      <c r="F425" s="1">
        <f>IFERROR(__xludf.DUMMYFUNCTION("""COMPUTED_VALUE"""),389799.0)</f>
        <v>389799</v>
      </c>
    </row>
    <row r="426">
      <c r="A426" s="2">
        <f>IFERROR(__xludf.DUMMYFUNCTION("""COMPUTED_VALUE"""),41166.645833333336)</f>
        <v>41166.64583</v>
      </c>
      <c r="B426" s="1">
        <f>IFERROR(__xludf.DUMMYFUNCTION("""COMPUTED_VALUE"""),26600.0)</f>
        <v>26600</v>
      </c>
      <c r="C426" s="1">
        <f>IFERROR(__xludf.DUMMYFUNCTION("""COMPUTED_VALUE"""),26780.0)</f>
        <v>26780</v>
      </c>
      <c r="D426" s="1">
        <f>IFERROR(__xludf.DUMMYFUNCTION("""COMPUTED_VALUE"""),26540.0)</f>
        <v>26540</v>
      </c>
      <c r="E426" s="1">
        <f>IFERROR(__xludf.DUMMYFUNCTION("""COMPUTED_VALUE"""),26720.0)</f>
        <v>26720</v>
      </c>
      <c r="F426" s="1">
        <f>IFERROR(__xludf.DUMMYFUNCTION("""COMPUTED_VALUE"""),497450.0)</f>
        <v>497450</v>
      </c>
    </row>
    <row r="427">
      <c r="A427" s="2">
        <f>IFERROR(__xludf.DUMMYFUNCTION("""COMPUTED_VALUE"""),41169.645833333336)</f>
        <v>41169.64583</v>
      </c>
      <c r="B427" s="1">
        <f>IFERROR(__xludf.DUMMYFUNCTION("""COMPUTED_VALUE"""),26720.0)</f>
        <v>26720</v>
      </c>
      <c r="C427" s="1">
        <f>IFERROR(__xludf.DUMMYFUNCTION("""COMPUTED_VALUE"""),26720.0)</f>
        <v>26720</v>
      </c>
      <c r="D427" s="1">
        <f>IFERROR(__xludf.DUMMYFUNCTION("""COMPUTED_VALUE"""),26240.0)</f>
        <v>26240</v>
      </c>
      <c r="E427" s="1">
        <f>IFERROR(__xludf.DUMMYFUNCTION("""COMPUTED_VALUE"""),26300.0)</f>
        <v>26300</v>
      </c>
      <c r="F427" s="1">
        <f>IFERROR(__xludf.DUMMYFUNCTION("""COMPUTED_VALUE"""),297920.0)</f>
        <v>297920</v>
      </c>
    </row>
    <row r="428">
      <c r="A428" s="2">
        <f>IFERROR(__xludf.DUMMYFUNCTION("""COMPUTED_VALUE"""),41170.645833333336)</f>
        <v>41170.64583</v>
      </c>
      <c r="B428" s="1">
        <f>IFERROR(__xludf.DUMMYFUNCTION("""COMPUTED_VALUE"""),26280.0)</f>
        <v>26280</v>
      </c>
      <c r="C428" s="1">
        <f>IFERROR(__xludf.DUMMYFUNCTION("""COMPUTED_VALUE"""),26720.0)</f>
        <v>26720</v>
      </c>
      <c r="D428" s="1">
        <f>IFERROR(__xludf.DUMMYFUNCTION("""COMPUTED_VALUE"""),26160.0)</f>
        <v>26160</v>
      </c>
      <c r="E428" s="1">
        <f>IFERROR(__xludf.DUMMYFUNCTION("""COMPUTED_VALUE"""),26300.0)</f>
        <v>26300</v>
      </c>
      <c r="F428" s="1">
        <f>IFERROR(__xludf.DUMMYFUNCTION("""COMPUTED_VALUE"""),224646.0)</f>
        <v>224646</v>
      </c>
    </row>
    <row r="429">
      <c r="A429" s="2">
        <f>IFERROR(__xludf.DUMMYFUNCTION("""COMPUTED_VALUE"""),41171.645833333336)</f>
        <v>41171.64583</v>
      </c>
      <c r="B429" s="1">
        <f>IFERROR(__xludf.DUMMYFUNCTION("""COMPUTED_VALUE"""),26120.0)</f>
        <v>26120</v>
      </c>
      <c r="C429" s="1">
        <f>IFERROR(__xludf.DUMMYFUNCTION("""COMPUTED_VALUE"""),26460.0)</f>
        <v>26460</v>
      </c>
      <c r="D429" s="1">
        <f>IFERROR(__xludf.DUMMYFUNCTION("""COMPUTED_VALUE"""),25960.0)</f>
        <v>25960</v>
      </c>
      <c r="E429" s="1">
        <f>IFERROR(__xludf.DUMMYFUNCTION("""COMPUTED_VALUE"""),26280.0)</f>
        <v>26280</v>
      </c>
      <c r="F429" s="1">
        <f>IFERROR(__xludf.DUMMYFUNCTION("""COMPUTED_VALUE"""),242291.0)</f>
        <v>242291</v>
      </c>
    </row>
    <row r="430">
      <c r="A430" s="2">
        <f>IFERROR(__xludf.DUMMYFUNCTION("""COMPUTED_VALUE"""),41172.645833333336)</f>
        <v>41172.64583</v>
      </c>
      <c r="B430" s="1">
        <f>IFERROR(__xludf.DUMMYFUNCTION("""COMPUTED_VALUE"""),25860.0)</f>
        <v>25860</v>
      </c>
      <c r="C430" s="1">
        <f>IFERROR(__xludf.DUMMYFUNCTION("""COMPUTED_VALUE"""),26100.0)</f>
        <v>26100</v>
      </c>
      <c r="D430" s="1">
        <f>IFERROR(__xludf.DUMMYFUNCTION("""COMPUTED_VALUE"""),25680.0)</f>
        <v>25680</v>
      </c>
      <c r="E430" s="1">
        <f>IFERROR(__xludf.DUMMYFUNCTION("""COMPUTED_VALUE"""),25740.0)</f>
        <v>25740</v>
      </c>
      <c r="F430" s="1">
        <f>IFERROR(__xludf.DUMMYFUNCTION("""COMPUTED_VALUE"""),283996.0)</f>
        <v>283996</v>
      </c>
    </row>
    <row r="431">
      <c r="A431" s="2">
        <f>IFERROR(__xludf.DUMMYFUNCTION("""COMPUTED_VALUE"""),41173.645833333336)</f>
        <v>41173.64583</v>
      </c>
      <c r="B431" s="1">
        <f>IFERROR(__xludf.DUMMYFUNCTION("""COMPUTED_VALUE"""),26000.0)</f>
        <v>26000</v>
      </c>
      <c r="C431" s="1">
        <f>IFERROR(__xludf.DUMMYFUNCTION("""COMPUTED_VALUE"""),26140.0)</f>
        <v>26140</v>
      </c>
      <c r="D431" s="1">
        <f>IFERROR(__xludf.DUMMYFUNCTION("""COMPUTED_VALUE"""),25900.0)</f>
        <v>25900</v>
      </c>
      <c r="E431" s="1">
        <f>IFERROR(__xludf.DUMMYFUNCTION("""COMPUTED_VALUE"""),26040.0)</f>
        <v>26040</v>
      </c>
      <c r="F431" s="1">
        <f>IFERROR(__xludf.DUMMYFUNCTION("""COMPUTED_VALUE"""),298268.0)</f>
        <v>298268</v>
      </c>
    </row>
    <row r="432">
      <c r="A432" s="2">
        <f>IFERROR(__xludf.DUMMYFUNCTION("""COMPUTED_VALUE"""),41176.645833333336)</f>
        <v>41176.64583</v>
      </c>
      <c r="B432" s="1">
        <f>IFERROR(__xludf.DUMMYFUNCTION("""COMPUTED_VALUE"""),26000.0)</f>
        <v>26000</v>
      </c>
      <c r="C432" s="1">
        <f>IFERROR(__xludf.DUMMYFUNCTION("""COMPUTED_VALUE"""),26560.0)</f>
        <v>26560</v>
      </c>
      <c r="D432" s="1">
        <f>IFERROR(__xludf.DUMMYFUNCTION("""COMPUTED_VALUE"""),25840.0)</f>
        <v>25840</v>
      </c>
      <c r="E432" s="1">
        <f>IFERROR(__xludf.DUMMYFUNCTION("""COMPUTED_VALUE"""),26540.0)</f>
        <v>26540</v>
      </c>
      <c r="F432" s="1">
        <f>IFERROR(__xludf.DUMMYFUNCTION("""COMPUTED_VALUE"""),263909.0)</f>
        <v>263909</v>
      </c>
    </row>
    <row r="433">
      <c r="A433" s="2">
        <f>IFERROR(__xludf.DUMMYFUNCTION("""COMPUTED_VALUE"""),41177.645833333336)</f>
        <v>41177.64583</v>
      </c>
      <c r="B433" s="1">
        <f>IFERROR(__xludf.DUMMYFUNCTION("""COMPUTED_VALUE"""),26200.0)</f>
        <v>26200</v>
      </c>
      <c r="C433" s="1">
        <f>IFERROR(__xludf.DUMMYFUNCTION("""COMPUTED_VALUE"""),26680.0)</f>
        <v>26680</v>
      </c>
      <c r="D433" s="1">
        <f>IFERROR(__xludf.DUMMYFUNCTION("""COMPUTED_VALUE"""),26200.0)</f>
        <v>26200</v>
      </c>
      <c r="E433" s="1">
        <f>IFERROR(__xludf.DUMMYFUNCTION("""COMPUTED_VALUE"""),26540.0)</f>
        <v>26540</v>
      </c>
      <c r="F433" s="1">
        <f>IFERROR(__xludf.DUMMYFUNCTION("""COMPUTED_VALUE"""),226960.0)</f>
        <v>226960</v>
      </c>
    </row>
    <row r="434">
      <c r="A434" s="2">
        <f>IFERROR(__xludf.DUMMYFUNCTION("""COMPUTED_VALUE"""),41178.645833333336)</f>
        <v>41178.64583</v>
      </c>
      <c r="B434" s="1">
        <f>IFERROR(__xludf.DUMMYFUNCTION("""COMPUTED_VALUE"""),26260.0)</f>
        <v>26260</v>
      </c>
      <c r="C434" s="1">
        <f>IFERROR(__xludf.DUMMYFUNCTION("""COMPUTED_VALUE"""),26500.0)</f>
        <v>26500</v>
      </c>
      <c r="D434" s="1">
        <f>IFERROR(__xludf.DUMMYFUNCTION("""COMPUTED_VALUE"""),26120.0)</f>
        <v>26120</v>
      </c>
      <c r="E434" s="1">
        <f>IFERROR(__xludf.DUMMYFUNCTION("""COMPUTED_VALUE"""),26500.0)</f>
        <v>26500</v>
      </c>
      <c r="F434" s="1">
        <f>IFERROR(__xludf.DUMMYFUNCTION("""COMPUTED_VALUE"""),241091.0)</f>
        <v>241091</v>
      </c>
    </row>
    <row r="435">
      <c r="A435" s="2">
        <f>IFERROR(__xludf.DUMMYFUNCTION("""COMPUTED_VALUE"""),41179.645833333336)</f>
        <v>41179.64583</v>
      </c>
      <c r="B435" s="1">
        <f>IFERROR(__xludf.DUMMYFUNCTION("""COMPUTED_VALUE"""),26540.0)</f>
        <v>26540</v>
      </c>
      <c r="C435" s="1">
        <f>IFERROR(__xludf.DUMMYFUNCTION("""COMPUTED_VALUE"""),26840.0)</f>
        <v>26840</v>
      </c>
      <c r="D435" s="1">
        <f>IFERROR(__xludf.DUMMYFUNCTION("""COMPUTED_VALUE"""),26460.0)</f>
        <v>26460</v>
      </c>
      <c r="E435" s="1">
        <f>IFERROR(__xludf.DUMMYFUNCTION("""COMPUTED_VALUE"""),26760.0)</f>
        <v>26760</v>
      </c>
      <c r="F435" s="1">
        <f>IFERROR(__xludf.DUMMYFUNCTION("""COMPUTED_VALUE"""),290832.0)</f>
        <v>290832</v>
      </c>
    </row>
    <row r="436">
      <c r="A436" s="2">
        <f>IFERROR(__xludf.DUMMYFUNCTION("""COMPUTED_VALUE"""),41180.645833333336)</f>
        <v>41180.64583</v>
      </c>
      <c r="B436" s="1">
        <f>IFERROR(__xludf.DUMMYFUNCTION("""COMPUTED_VALUE"""),27180.0)</f>
        <v>27180</v>
      </c>
      <c r="C436" s="1">
        <f>IFERROR(__xludf.DUMMYFUNCTION("""COMPUTED_VALUE"""),27200.0)</f>
        <v>27200</v>
      </c>
      <c r="D436" s="1">
        <f>IFERROR(__xludf.DUMMYFUNCTION("""COMPUTED_VALUE"""),26780.0)</f>
        <v>26780</v>
      </c>
      <c r="E436" s="1">
        <f>IFERROR(__xludf.DUMMYFUNCTION("""COMPUTED_VALUE"""),26920.0)</f>
        <v>26920</v>
      </c>
      <c r="F436" s="1">
        <f>IFERROR(__xludf.DUMMYFUNCTION("""COMPUTED_VALUE"""),358127.0)</f>
        <v>358127</v>
      </c>
    </row>
    <row r="437">
      <c r="A437" s="2">
        <f>IFERROR(__xludf.DUMMYFUNCTION("""COMPUTED_VALUE"""),41184.645833333336)</f>
        <v>41184.64583</v>
      </c>
      <c r="B437" s="1">
        <f>IFERROR(__xludf.DUMMYFUNCTION("""COMPUTED_VALUE"""),27080.0)</f>
        <v>27080</v>
      </c>
      <c r="C437" s="1">
        <f>IFERROR(__xludf.DUMMYFUNCTION("""COMPUTED_VALUE"""),27420.0)</f>
        <v>27420</v>
      </c>
      <c r="D437" s="1">
        <f>IFERROR(__xludf.DUMMYFUNCTION("""COMPUTED_VALUE"""),27040.0)</f>
        <v>27040</v>
      </c>
      <c r="E437" s="1">
        <f>IFERROR(__xludf.DUMMYFUNCTION("""COMPUTED_VALUE"""),27380.0)</f>
        <v>27380</v>
      </c>
      <c r="F437" s="1">
        <f>IFERROR(__xludf.DUMMYFUNCTION("""COMPUTED_VALUE"""),267525.0)</f>
        <v>267525</v>
      </c>
    </row>
    <row r="438">
      <c r="A438" s="2">
        <f>IFERROR(__xludf.DUMMYFUNCTION("""COMPUTED_VALUE"""),41186.645833333336)</f>
        <v>41186.64583</v>
      </c>
      <c r="B438" s="1">
        <f>IFERROR(__xludf.DUMMYFUNCTION("""COMPUTED_VALUE"""),27020.0)</f>
        <v>27020</v>
      </c>
      <c r="C438" s="1">
        <f>IFERROR(__xludf.DUMMYFUNCTION("""COMPUTED_VALUE"""),27460.0)</f>
        <v>27460</v>
      </c>
      <c r="D438" s="1">
        <f>IFERROR(__xludf.DUMMYFUNCTION("""COMPUTED_VALUE"""),26780.0)</f>
        <v>26780</v>
      </c>
      <c r="E438" s="1">
        <f>IFERROR(__xludf.DUMMYFUNCTION("""COMPUTED_VALUE"""),27340.0)</f>
        <v>27340</v>
      </c>
      <c r="F438" s="1">
        <f>IFERROR(__xludf.DUMMYFUNCTION("""COMPUTED_VALUE"""),382544.0)</f>
        <v>382544</v>
      </c>
    </row>
    <row r="439">
      <c r="A439" s="2">
        <f>IFERROR(__xludf.DUMMYFUNCTION("""COMPUTED_VALUE"""),41187.645833333336)</f>
        <v>41187.64583</v>
      </c>
      <c r="B439" s="1">
        <f>IFERROR(__xludf.DUMMYFUNCTION("""COMPUTED_VALUE"""),27740.0)</f>
        <v>27740</v>
      </c>
      <c r="C439" s="1">
        <f>IFERROR(__xludf.DUMMYFUNCTION("""COMPUTED_VALUE"""),27800.0)</f>
        <v>27800</v>
      </c>
      <c r="D439" s="1">
        <f>IFERROR(__xludf.DUMMYFUNCTION("""COMPUTED_VALUE"""),27040.0)</f>
        <v>27040</v>
      </c>
      <c r="E439" s="1">
        <f>IFERROR(__xludf.DUMMYFUNCTION("""COMPUTED_VALUE"""),27400.0)</f>
        <v>27400</v>
      </c>
      <c r="F439" s="1">
        <f>IFERROR(__xludf.DUMMYFUNCTION("""COMPUTED_VALUE"""),356576.0)</f>
        <v>356576</v>
      </c>
    </row>
    <row r="440">
      <c r="A440" s="2">
        <f>IFERROR(__xludf.DUMMYFUNCTION("""COMPUTED_VALUE"""),41190.645833333336)</f>
        <v>41190.64583</v>
      </c>
      <c r="B440" s="1">
        <f>IFERROR(__xludf.DUMMYFUNCTION("""COMPUTED_VALUE"""),27500.0)</f>
        <v>27500</v>
      </c>
      <c r="C440" s="1">
        <f>IFERROR(__xludf.DUMMYFUNCTION("""COMPUTED_VALUE"""),27580.0)</f>
        <v>27580</v>
      </c>
      <c r="D440" s="1">
        <f>IFERROR(__xludf.DUMMYFUNCTION("""COMPUTED_VALUE"""),27200.0)</f>
        <v>27200</v>
      </c>
      <c r="E440" s="1">
        <f>IFERROR(__xludf.DUMMYFUNCTION("""COMPUTED_VALUE"""),27460.0)</f>
        <v>27460</v>
      </c>
      <c r="F440" s="1">
        <f>IFERROR(__xludf.DUMMYFUNCTION("""COMPUTED_VALUE"""),240752.0)</f>
        <v>240752</v>
      </c>
    </row>
    <row r="441">
      <c r="A441" s="2">
        <f>IFERROR(__xludf.DUMMYFUNCTION("""COMPUTED_VALUE"""),41191.645833333336)</f>
        <v>41191.64583</v>
      </c>
      <c r="B441" s="1">
        <f>IFERROR(__xludf.DUMMYFUNCTION("""COMPUTED_VALUE"""),27260.0)</f>
        <v>27260</v>
      </c>
      <c r="C441" s="1">
        <f>IFERROR(__xludf.DUMMYFUNCTION("""COMPUTED_VALUE"""),27620.0)</f>
        <v>27620</v>
      </c>
      <c r="D441" s="1">
        <f>IFERROR(__xludf.DUMMYFUNCTION("""COMPUTED_VALUE"""),27260.0)</f>
        <v>27260</v>
      </c>
      <c r="E441" s="1">
        <f>IFERROR(__xludf.DUMMYFUNCTION("""COMPUTED_VALUE"""),27440.0)</f>
        <v>27440</v>
      </c>
      <c r="F441" s="1">
        <f>IFERROR(__xludf.DUMMYFUNCTION("""COMPUTED_VALUE"""),175773.0)</f>
        <v>175773</v>
      </c>
    </row>
    <row r="442">
      <c r="A442" s="2">
        <f>IFERROR(__xludf.DUMMYFUNCTION("""COMPUTED_VALUE"""),41192.645833333336)</f>
        <v>41192.64583</v>
      </c>
      <c r="B442" s="1">
        <f>IFERROR(__xludf.DUMMYFUNCTION("""COMPUTED_VALUE"""),27060.0)</f>
        <v>27060</v>
      </c>
      <c r="C442" s="1">
        <f>IFERROR(__xludf.DUMMYFUNCTION("""COMPUTED_VALUE"""),27200.0)</f>
        <v>27200</v>
      </c>
      <c r="D442" s="1">
        <f>IFERROR(__xludf.DUMMYFUNCTION("""COMPUTED_VALUE"""),26500.0)</f>
        <v>26500</v>
      </c>
      <c r="E442" s="1">
        <f>IFERROR(__xludf.DUMMYFUNCTION("""COMPUTED_VALUE"""),26500.0)</f>
        <v>26500</v>
      </c>
      <c r="F442" s="1">
        <f>IFERROR(__xludf.DUMMYFUNCTION("""COMPUTED_VALUE"""),259534.0)</f>
        <v>259534</v>
      </c>
    </row>
    <row r="443">
      <c r="A443" s="2">
        <f>IFERROR(__xludf.DUMMYFUNCTION("""COMPUTED_VALUE"""),41193.645833333336)</f>
        <v>41193.64583</v>
      </c>
      <c r="B443" s="1">
        <f>IFERROR(__xludf.DUMMYFUNCTION("""COMPUTED_VALUE"""),26200.0)</f>
        <v>26200</v>
      </c>
      <c r="C443" s="1">
        <f>IFERROR(__xludf.DUMMYFUNCTION("""COMPUTED_VALUE"""),26400.0)</f>
        <v>26400</v>
      </c>
      <c r="D443" s="1">
        <f>IFERROR(__xludf.DUMMYFUNCTION("""COMPUTED_VALUE"""),25740.0)</f>
        <v>25740</v>
      </c>
      <c r="E443" s="1">
        <f>IFERROR(__xludf.DUMMYFUNCTION("""COMPUTED_VALUE"""),26080.0)</f>
        <v>26080</v>
      </c>
      <c r="F443" s="1">
        <f>IFERROR(__xludf.DUMMYFUNCTION("""COMPUTED_VALUE"""),475597.0)</f>
        <v>475597</v>
      </c>
    </row>
    <row r="444">
      <c r="A444" s="2">
        <f>IFERROR(__xludf.DUMMYFUNCTION("""COMPUTED_VALUE"""),41194.645833333336)</f>
        <v>41194.64583</v>
      </c>
      <c r="B444" s="1">
        <f>IFERROR(__xludf.DUMMYFUNCTION("""COMPUTED_VALUE"""),26100.0)</f>
        <v>26100</v>
      </c>
      <c r="C444" s="1">
        <f>IFERROR(__xludf.DUMMYFUNCTION("""COMPUTED_VALUE"""),26240.0)</f>
        <v>26240</v>
      </c>
      <c r="D444" s="1">
        <f>IFERROR(__xludf.DUMMYFUNCTION("""COMPUTED_VALUE"""),25760.0)</f>
        <v>25760</v>
      </c>
      <c r="E444" s="1">
        <f>IFERROR(__xludf.DUMMYFUNCTION("""COMPUTED_VALUE"""),25920.0)</f>
        <v>25920</v>
      </c>
      <c r="F444" s="1">
        <f>IFERROR(__xludf.DUMMYFUNCTION("""COMPUTED_VALUE"""),299545.0)</f>
        <v>299545</v>
      </c>
    </row>
    <row r="445">
      <c r="A445" s="2">
        <f>IFERROR(__xludf.DUMMYFUNCTION("""COMPUTED_VALUE"""),41197.645833333336)</f>
        <v>41197.64583</v>
      </c>
      <c r="B445" s="1">
        <f>IFERROR(__xludf.DUMMYFUNCTION("""COMPUTED_VALUE"""),25920.0)</f>
        <v>25920</v>
      </c>
      <c r="C445" s="1">
        <f>IFERROR(__xludf.DUMMYFUNCTION("""COMPUTED_VALUE"""),26240.0)</f>
        <v>26240</v>
      </c>
      <c r="D445" s="1">
        <f>IFERROR(__xludf.DUMMYFUNCTION("""COMPUTED_VALUE"""),25740.0)</f>
        <v>25740</v>
      </c>
      <c r="E445" s="1">
        <f>IFERROR(__xludf.DUMMYFUNCTION("""COMPUTED_VALUE"""),26000.0)</f>
        <v>26000</v>
      </c>
      <c r="F445" s="1">
        <f>IFERROR(__xludf.DUMMYFUNCTION("""COMPUTED_VALUE"""),206680.0)</f>
        <v>206680</v>
      </c>
    </row>
    <row r="446">
      <c r="A446" s="2">
        <f>IFERROR(__xludf.DUMMYFUNCTION("""COMPUTED_VALUE"""),41198.645833333336)</f>
        <v>41198.64583</v>
      </c>
      <c r="B446" s="1">
        <f>IFERROR(__xludf.DUMMYFUNCTION("""COMPUTED_VALUE"""),26520.0)</f>
        <v>26520</v>
      </c>
      <c r="C446" s="1">
        <f>IFERROR(__xludf.DUMMYFUNCTION("""COMPUTED_VALUE"""),26620.0)</f>
        <v>26620</v>
      </c>
      <c r="D446" s="1">
        <f>IFERROR(__xludf.DUMMYFUNCTION("""COMPUTED_VALUE"""),26300.0)</f>
        <v>26300</v>
      </c>
      <c r="E446" s="1">
        <f>IFERROR(__xludf.DUMMYFUNCTION("""COMPUTED_VALUE"""),26600.0)</f>
        <v>26600</v>
      </c>
      <c r="F446" s="1">
        <f>IFERROR(__xludf.DUMMYFUNCTION("""COMPUTED_VALUE"""),213426.0)</f>
        <v>213426</v>
      </c>
    </row>
    <row r="447">
      <c r="A447" s="2">
        <f>IFERROR(__xludf.DUMMYFUNCTION("""COMPUTED_VALUE"""),41199.645833333336)</f>
        <v>41199.64583</v>
      </c>
      <c r="B447" s="1">
        <f>IFERROR(__xludf.DUMMYFUNCTION("""COMPUTED_VALUE"""),26840.0)</f>
        <v>26840</v>
      </c>
      <c r="C447" s="1">
        <f>IFERROR(__xludf.DUMMYFUNCTION("""COMPUTED_VALUE"""),26920.0)</f>
        <v>26920</v>
      </c>
      <c r="D447" s="1">
        <f>IFERROR(__xludf.DUMMYFUNCTION("""COMPUTED_VALUE"""),26320.0)</f>
        <v>26320</v>
      </c>
      <c r="E447" s="1">
        <f>IFERROR(__xludf.DUMMYFUNCTION("""COMPUTED_VALUE"""),26720.0)</f>
        <v>26720</v>
      </c>
      <c r="F447" s="1">
        <f>IFERROR(__xludf.DUMMYFUNCTION("""COMPUTED_VALUE"""),179691.0)</f>
        <v>179691</v>
      </c>
    </row>
    <row r="448">
      <c r="A448" s="2">
        <f>IFERROR(__xludf.DUMMYFUNCTION("""COMPUTED_VALUE"""),41200.645833333336)</f>
        <v>41200.64583</v>
      </c>
      <c r="B448" s="1">
        <f>IFERROR(__xludf.DUMMYFUNCTION("""COMPUTED_VALUE"""),26720.0)</f>
        <v>26720</v>
      </c>
      <c r="C448" s="1">
        <f>IFERROR(__xludf.DUMMYFUNCTION("""COMPUTED_VALUE"""),26820.0)</f>
        <v>26820</v>
      </c>
      <c r="D448" s="1">
        <f>IFERROR(__xludf.DUMMYFUNCTION("""COMPUTED_VALUE"""),26560.0)</f>
        <v>26560</v>
      </c>
      <c r="E448" s="1">
        <f>IFERROR(__xludf.DUMMYFUNCTION("""COMPUTED_VALUE"""),26740.0)</f>
        <v>26740</v>
      </c>
      <c r="F448" s="1">
        <f>IFERROR(__xludf.DUMMYFUNCTION("""COMPUTED_VALUE"""),209969.0)</f>
        <v>209969</v>
      </c>
    </row>
    <row r="449">
      <c r="A449" s="2">
        <f>IFERROR(__xludf.DUMMYFUNCTION("""COMPUTED_VALUE"""),41201.645833333336)</f>
        <v>41201.64583</v>
      </c>
      <c r="B449" s="1">
        <f>IFERROR(__xludf.DUMMYFUNCTION("""COMPUTED_VALUE"""),26460.0)</f>
        <v>26460</v>
      </c>
      <c r="C449" s="1">
        <f>IFERROR(__xludf.DUMMYFUNCTION("""COMPUTED_VALUE"""),26500.0)</f>
        <v>26500</v>
      </c>
      <c r="D449" s="1">
        <f>IFERROR(__xludf.DUMMYFUNCTION("""COMPUTED_VALUE"""),25980.0)</f>
        <v>25980</v>
      </c>
      <c r="E449" s="1">
        <f>IFERROR(__xludf.DUMMYFUNCTION("""COMPUTED_VALUE"""),26040.0)</f>
        <v>26040</v>
      </c>
      <c r="F449" s="1">
        <f>IFERROR(__xludf.DUMMYFUNCTION("""COMPUTED_VALUE"""),279399.0)</f>
        <v>279399</v>
      </c>
    </row>
    <row r="450">
      <c r="A450" s="2">
        <f>IFERROR(__xludf.DUMMYFUNCTION("""COMPUTED_VALUE"""),41204.645833333336)</f>
        <v>41204.64583</v>
      </c>
      <c r="B450" s="1">
        <f>IFERROR(__xludf.DUMMYFUNCTION("""COMPUTED_VALUE"""),25540.0)</f>
        <v>25540</v>
      </c>
      <c r="C450" s="1">
        <f>IFERROR(__xludf.DUMMYFUNCTION("""COMPUTED_VALUE"""),26340.0)</f>
        <v>26340</v>
      </c>
      <c r="D450" s="1">
        <f>IFERROR(__xludf.DUMMYFUNCTION("""COMPUTED_VALUE"""),25520.0)</f>
        <v>25520</v>
      </c>
      <c r="E450" s="1">
        <f>IFERROR(__xludf.DUMMYFUNCTION("""COMPUTED_VALUE"""),26300.0)</f>
        <v>26300</v>
      </c>
      <c r="F450" s="1">
        <f>IFERROR(__xludf.DUMMYFUNCTION("""COMPUTED_VALUE"""),234823.0)</f>
        <v>234823</v>
      </c>
    </row>
    <row r="451">
      <c r="A451" s="2">
        <f>IFERROR(__xludf.DUMMYFUNCTION("""COMPUTED_VALUE"""),41205.645833333336)</f>
        <v>41205.64583</v>
      </c>
      <c r="B451" s="1">
        <f>IFERROR(__xludf.DUMMYFUNCTION("""COMPUTED_VALUE"""),26380.0)</f>
        <v>26380</v>
      </c>
      <c r="C451" s="1">
        <f>IFERROR(__xludf.DUMMYFUNCTION("""COMPUTED_VALUE"""),26440.0)</f>
        <v>26440</v>
      </c>
      <c r="D451" s="1">
        <f>IFERROR(__xludf.DUMMYFUNCTION("""COMPUTED_VALUE"""),26040.0)</f>
        <v>26040</v>
      </c>
      <c r="E451" s="1">
        <f>IFERROR(__xludf.DUMMYFUNCTION("""COMPUTED_VALUE"""),26260.0)</f>
        <v>26260</v>
      </c>
      <c r="F451" s="1">
        <f>IFERROR(__xludf.DUMMYFUNCTION("""COMPUTED_VALUE"""),185071.0)</f>
        <v>185071</v>
      </c>
    </row>
    <row r="452">
      <c r="A452" s="2">
        <f>IFERROR(__xludf.DUMMYFUNCTION("""COMPUTED_VALUE"""),41206.645833333336)</f>
        <v>41206.64583</v>
      </c>
      <c r="B452" s="1">
        <f>IFERROR(__xludf.DUMMYFUNCTION("""COMPUTED_VALUE"""),25940.0)</f>
        <v>25940</v>
      </c>
      <c r="C452" s="1">
        <f>IFERROR(__xludf.DUMMYFUNCTION("""COMPUTED_VALUE"""),26180.0)</f>
        <v>26180</v>
      </c>
      <c r="D452" s="1">
        <f>IFERROR(__xludf.DUMMYFUNCTION("""COMPUTED_VALUE"""),25780.0)</f>
        <v>25780</v>
      </c>
      <c r="E452" s="1">
        <f>IFERROR(__xludf.DUMMYFUNCTION("""COMPUTED_VALUE"""),26000.0)</f>
        <v>26000</v>
      </c>
      <c r="F452" s="1">
        <f>IFERROR(__xludf.DUMMYFUNCTION("""COMPUTED_VALUE"""),269090.0)</f>
        <v>269090</v>
      </c>
    </row>
    <row r="453">
      <c r="A453" s="2">
        <f>IFERROR(__xludf.DUMMYFUNCTION("""COMPUTED_VALUE"""),41207.645833333336)</f>
        <v>41207.64583</v>
      </c>
      <c r="B453" s="1">
        <f>IFERROR(__xludf.DUMMYFUNCTION("""COMPUTED_VALUE"""),25920.0)</f>
        <v>25920</v>
      </c>
      <c r="C453" s="1">
        <f>IFERROR(__xludf.DUMMYFUNCTION("""COMPUTED_VALUE"""),26440.0)</f>
        <v>26440</v>
      </c>
      <c r="D453" s="1">
        <f>IFERROR(__xludf.DUMMYFUNCTION("""COMPUTED_VALUE"""),25820.0)</f>
        <v>25820</v>
      </c>
      <c r="E453" s="1">
        <f>IFERROR(__xludf.DUMMYFUNCTION("""COMPUTED_VALUE"""),26440.0)</f>
        <v>26440</v>
      </c>
      <c r="F453" s="1">
        <f>IFERROR(__xludf.DUMMYFUNCTION("""COMPUTED_VALUE"""),237622.0)</f>
        <v>237622</v>
      </c>
    </row>
    <row r="454">
      <c r="A454" s="2">
        <f>IFERROR(__xludf.DUMMYFUNCTION("""COMPUTED_VALUE"""),41208.645833333336)</f>
        <v>41208.64583</v>
      </c>
      <c r="B454" s="1">
        <f>IFERROR(__xludf.DUMMYFUNCTION("""COMPUTED_VALUE"""),26120.0)</f>
        <v>26120</v>
      </c>
      <c r="C454" s="1">
        <f>IFERROR(__xludf.DUMMYFUNCTION("""COMPUTED_VALUE"""),26240.0)</f>
        <v>26240</v>
      </c>
      <c r="D454" s="1">
        <f>IFERROR(__xludf.DUMMYFUNCTION("""COMPUTED_VALUE"""),25740.0)</f>
        <v>25740</v>
      </c>
      <c r="E454" s="1">
        <f>IFERROR(__xludf.DUMMYFUNCTION("""COMPUTED_VALUE"""),25740.0)</f>
        <v>25740</v>
      </c>
      <c r="F454" s="1">
        <f>IFERROR(__xludf.DUMMYFUNCTION("""COMPUTED_VALUE"""),275877.0)</f>
        <v>275877</v>
      </c>
    </row>
    <row r="455">
      <c r="A455" s="2">
        <f>IFERROR(__xludf.DUMMYFUNCTION("""COMPUTED_VALUE"""),41211.645833333336)</f>
        <v>41211.64583</v>
      </c>
      <c r="B455" s="1">
        <f>IFERROR(__xludf.DUMMYFUNCTION("""COMPUTED_VALUE"""),25960.0)</f>
        <v>25960</v>
      </c>
      <c r="C455" s="1">
        <f>IFERROR(__xludf.DUMMYFUNCTION("""COMPUTED_VALUE"""),25980.0)</f>
        <v>25980</v>
      </c>
      <c r="D455" s="1">
        <f>IFERROR(__xludf.DUMMYFUNCTION("""COMPUTED_VALUE"""),25580.0)</f>
        <v>25580</v>
      </c>
      <c r="E455" s="1">
        <f>IFERROR(__xludf.DUMMYFUNCTION("""COMPUTED_VALUE"""),25980.0)</f>
        <v>25980</v>
      </c>
      <c r="F455" s="1">
        <f>IFERROR(__xludf.DUMMYFUNCTION("""COMPUTED_VALUE"""),228961.0)</f>
        <v>228961</v>
      </c>
    </row>
    <row r="456">
      <c r="A456" s="2">
        <f>IFERROR(__xludf.DUMMYFUNCTION("""COMPUTED_VALUE"""),41212.645833333336)</f>
        <v>41212.64583</v>
      </c>
      <c r="B456" s="1">
        <f>IFERROR(__xludf.DUMMYFUNCTION("""COMPUTED_VALUE"""),25980.0)</f>
        <v>25980</v>
      </c>
      <c r="C456" s="1">
        <f>IFERROR(__xludf.DUMMYFUNCTION("""COMPUTED_VALUE"""),26080.0)</f>
        <v>26080</v>
      </c>
      <c r="D456" s="1">
        <f>IFERROR(__xludf.DUMMYFUNCTION("""COMPUTED_VALUE"""),25840.0)</f>
        <v>25840</v>
      </c>
      <c r="E456" s="1">
        <f>IFERROR(__xludf.DUMMYFUNCTION("""COMPUTED_VALUE"""),25960.0)</f>
        <v>25960</v>
      </c>
      <c r="F456" s="1">
        <f>IFERROR(__xludf.DUMMYFUNCTION("""COMPUTED_VALUE"""),132877.0)</f>
        <v>132877</v>
      </c>
    </row>
    <row r="457">
      <c r="A457" s="2">
        <f>IFERROR(__xludf.DUMMYFUNCTION("""COMPUTED_VALUE"""),41213.645833333336)</f>
        <v>41213.64583</v>
      </c>
      <c r="B457" s="1">
        <f>IFERROR(__xludf.DUMMYFUNCTION("""COMPUTED_VALUE"""),26120.0)</f>
        <v>26120</v>
      </c>
      <c r="C457" s="1">
        <f>IFERROR(__xludf.DUMMYFUNCTION("""COMPUTED_VALUE"""),26240.0)</f>
        <v>26240</v>
      </c>
      <c r="D457" s="1">
        <f>IFERROR(__xludf.DUMMYFUNCTION("""COMPUTED_VALUE"""),25980.0)</f>
        <v>25980</v>
      </c>
      <c r="E457" s="1">
        <f>IFERROR(__xludf.DUMMYFUNCTION("""COMPUTED_VALUE"""),26200.0)</f>
        <v>26200</v>
      </c>
      <c r="F457" s="1">
        <f>IFERROR(__xludf.DUMMYFUNCTION("""COMPUTED_VALUE"""),212097.0)</f>
        <v>212097</v>
      </c>
    </row>
    <row r="458">
      <c r="A458" s="2">
        <f>IFERROR(__xludf.DUMMYFUNCTION("""COMPUTED_VALUE"""),41214.645833333336)</f>
        <v>41214.64583</v>
      </c>
      <c r="B458" s="1">
        <f>IFERROR(__xludf.DUMMYFUNCTION("""COMPUTED_VALUE"""),25900.0)</f>
        <v>25900</v>
      </c>
      <c r="C458" s="1">
        <f>IFERROR(__xludf.DUMMYFUNCTION("""COMPUTED_VALUE"""),26040.0)</f>
        <v>26040</v>
      </c>
      <c r="D458" s="1">
        <f>IFERROR(__xludf.DUMMYFUNCTION("""COMPUTED_VALUE"""),25800.0)</f>
        <v>25800</v>
      </c>
      <c r="E458" s="1">
        <f>IFERROR(__xludf.DUMMYFUNCTION("""COMPUTED_VALUE"""),25940.0)</f>
        <v>25940</v>
      </c>
      <c r="F458" s="1">
        <f>IFERROR(__xludf.DUMMYFUNCTION("""COMPUTED_VALUE"""),209112.0)</f>
        <v>209112</v>
      </c>
    </row>
    <row r="459">
      <c r="A459" s="2">
        <f>IFERROR(__xludf.DUMMYFUNCTION("""COMPUTED_VALUE"""),41215.645833333336)</f>
        <v>41215.64583</v>
      </c>
      <c r="B459" s="1">
        <f>IFERROR(__xludf.DUMMYFUNCTION("""COMPUTED_VALUE"""),26380.0)</f>
        <v>26380</v>
      </c>
      <c r="C459" s="1">
        <f>IFERROR(__xludf.DUMMYFUNCTION("""COMPUTED_VALUE"""),26660.0)</f>
        <v>26660</v>
      </c>
      <c r="D459" s="1">
        <f>IFERROR(__xludf.DUMMYFUNCTION("""COMPUTED_VALUE"""),26260.0)</f>
        <v>26260</v>
      </c>
      <c r="E459" s="1">
        <f>IFERROR(__xludf.DUMMYFUNCTION("""COMPUTED_VALUE"""),26540.0)</f>
        <v>26540</v>
      </c>
      <c r="F459" s="1">
        <f>IFERROR(__xludf.DUMMYFUNCTION("""COMPUTED_VALUE"""),370428.0)</f>
        <v>370428</v>
      </c>
    </row>
    <row r="460">
      <c r="A460" s="2">
        <f>IFERROR(__xludf.DUMMYFUNCTION("""COMPUTED_VALUE"""),41218.645833333336)</f>
        <v>41218.64583</v>
      </c>
      <c r="B460" s="1">
        <f>IFERROR(__xludf.DUMMYFUNCTION("""COMPUTED_VALUE"""),26560.0)</f>
        <v>26560</v>
      </c>
      <c r="C460" s="1">
        <f>IFERROR(__xludf.DUMMYFUNCTION("""COMPUTED_VALUE"""),26980.0)</f>
        <v>26980</v>
      </c>
      <c r="D460" s="1">
        <f>IFERROR(__xludf.DUMMYFUNCTION("""COMPUTED_VALUE"""),26400.0)</f>
        <v>26400</v>
      </c>
      <c r="E460" s="1">
        <f>IFERROR(__xludf.DUMMYFUNCTION("""COMPUTED_VALUE"""),26820.0)</f>
        <v>26820</v>
      </c>
      <c r="F460" s="1">
        <f>IFERROR(__xludf.DUMMYFUNCTION("""COMPUTED_VALUE"""),261241.0)</f>
        <v>261241</v>
      </c>
    </row>
    <row r="461">
      <c r="A461" s="2">
        <f>IFERROR(__xludf.DUMMYFUNCTION("""COMPUTED_VALUE"""),41219.645833333336)</f>
        <v>41219.64583</v>
      </c>
      <c r="B461" s="1">
        <f>IFERROR(__xludf.DUMMYFUNCTION("""COMPUTED_VALUE"""),26980.0)</f>
        <v>26980</v>
      </c>
      <c r="C461" s="1">
        <f>IFERROR(__xludf.DUMMYFUNCTION("""COMPUTED_VALUE"""),26980.0)</f>
        <v>26980</v>
      </c>
      <c r="D461" s="1">
        <f>IFERROR(__xludf.DUMMYFUNCTION("""COMPUTED_VALUE"""),26640.0)</f>
        <v>26640</v>
      </c>
      <c r="E461" s="1">
        <f>IFERROR(__xludf.DUMMYFUNCTION("""COMPUTED_VALUE"""),26980.0)</f>
        <v>26980</v>
      </c>
      <c r="F461" s="1">
        <f>IFERROR(__xludf.DUMMYFUNCTION("""COMPUTED_VALUE"""),179636.0)</f>
        <v>179636</v>
      </c>
    </row>
    <row r="462">
      <c r="A462" s="2">
        <f>IFERROR(__xludf.DUMMYFUNCTION("""COMPUTED_VALUE"""),41220.645833333336)</f>
        <v>41220.64583</v>
      </c>
      <c r="B462" s="1">
        <f>IFERROR(__xludf.DUMMYFUNCTION("""COMPUTED_VALUE"""),26860.0)</f>
        <v>26860</v>
      </c>
      <c r="C462" s="1">
        <f>IFERROR(__xludf.DUMMYFUNCTION("""COMPUTED_VALUE"""),27240.0)</f>
        <v>27240</v>
      </c>
      <c r="D462" s="1">
        <f>IFERROR(__xludf.DUMMYFUNCTION("""COMPUTED_VALUE"""),26700.0)</f>
        <v>26700</v>
      </c>
      <c r="E462" s="1">
        <f>IFERROR(__xludf.DUMMYFUNCTION("""COMPUTED_VALUE"""),27240.0)</f>
        <v>27240</v>
      </c>
      <c r="F462" s="1">
        <f>IFERROR(__xludf.DUMMYFUNCTION("""COMPUTED_VALUE"""),193528.0)</f>
        <v>193528</v>
      </c>
    </row>
    <row r="463">
      <c r="A463" s="2">
        <f>IFERROR(__xludf.DUMMYFUNCTION("""COMPUTED_VALUE"""),41221.645833333336)</f>
        <v>41221.64583</v>
      </c>
      <c r="B463" s="1">
        <f>IFERROR(__xludf.DUMMYFUNCTION("""COMPUTED_VALUE"""),26960.0)</f>
        <v>26960</v>
      </c>
      <c r="C463" s="1">
        <f>IFERROR(__xludf.DUMMYFUNCTION("""COMPUTED_VALUE"""),27140.0)</f>
        <v>27140</v>
      </c>
      <c r="D463" s="1">
        <f>IFERROR(__xludf.DUMMYFUNCTION("""COMPUTED_VALUE"""),26820.0)</f>
        <v>26820</v>
      </c>
      <c r="E463" s="1">
        <f>IFERROR(__xludf.DUMMYFUNCTION("""COMPUTED_VALUE"""),27000.0)</f>
        <v>27000</v>
      </c>
      <c r="F463" s="1">
        <f>IFERROR(__xludf.DUMMYFUNCTION("""COMPUTED_VALUE"""),306532.0)</f>
        <v>306532</v>
      </c>
    </row>
    <row r="464">
      <c r="A464" s="2">
        <f>IFERROR(__xludf.DUMMYFUNCTION("""COMPUTED_VALUE"""),41222.645833333336)</f>
        <v>41222.64583</v>
      </c>
      <c r="B464" s="1">
        <f>IFERROR(__xludf.DUMMYFUNCTION("""COMPUTED_VALUE"""),26700.0)</f>
        <v>26700</v>
      </c>
      <c r="C464" s="1">
        <f>IFERROR(__xludf.DUMMYFUNCTION("""COMPUTED_VALUE"""),27020.0)</f>
        <v>27020</v>
      </c>
      <c r="D464" s="1">
        <f>IFERROR(__xludf.DUMMYFUNCTION("""COMPUTED_VALUE"""),26520.0)</f>
        <v>26520</v>
      </c>
      <c r="E464" s="1">
        <f>IFERROR(__xludf.DUMMYFUNCTION("""COMPUTED_VALUE"""),26820.0)</f>
        <v>26820</v>
      </c>
      <c r="F464" s="1">
        <f>IFERROR(__xludf.DUMMYFUNCTION("""COMPUTED_VALUE"""),291006.0)</f>
        <v>291006</v>
      </c>
    </row>
    <row r="465">
      <c r="A465" s="2">
        <f>IFERROR(__xludf.DUMMYFUNCTION("""COMPUTED_VALUE"""),41225.645833333336)</f>
        <v>41225.64583</v>
      </c>
      <c r="B465" s="1">
        <f>IFERROR(__xludf.DUMMYFUNCTION("""COMPUTED_VALUE"""),26620.0)</f>
        <v>26620</v>
      </c>
      <c r="C465" s="1">
        <f>IFERROR(__xludf.DUMMYFUNCTION("""COMPUTED_VALUE"""),26940.0)</f>
        <v>26940</v>
      </c>
      <c r="D465" s="1">
        <f>IFERROR(__xludf.DUMMYFUNCTION("""COMPUTED_VALUE"""),26620.0)</f>
        <v>26620</v>
      </c>
      <c r="E465" s="1">
        <f>IFERROR(__xludf.DUMMYFUNCTION("""COMPUTED_VALUE"""),26900.0)</f>
        <v>26900</v>
      </c>
      <c r="F465" s="1">
        <f>IFERROR(__xludf.DUMMYFUNCTION("""COMPUTED_VALUE"""),139185.0)</f>
        <v>139185</v>
      </c>
    </row>
    <row r="466">
      <c r="A466" s="2">
        <f>IFERROR(__xludf.DUMMYFUNCTION("""COMPUTED_VALUE"""),41226.645833333336)</f>
        <v>41226.64583</v>
      </c>
      <c r="B466" s="1">
        <f>IFERROR(__xludf.DUMMYFUNCTION("""COMPUTED_VALUE"""),26940.0)</f>
        <v>26940</v>
      </c>
      <c r="C466" s="1">
        <f>IFERROR(__xludf.DUMMYFUNCTION("""COMPUTED_VALUE"""),26980.0)</f>
        <v>26980</v>
      </c>
      <c r="D466" s="1">
        <f>IFERROR(__xludf.DUMMYFUNCTION("""COMPUTED_VALUE"""),26520.0)</f>
        <v>26520</v>
      </c>
      <c r="E466" s="1">
        <f>IFERROR(__xludf.DUMMYFUNCTION("""COMPUTED_VALUE"""),26980.0)</f>
        <v>26980</v>
      </c>
      <c r="F466" s="1">
        <f>IFERROR(__xludf.DUMMYFUNCTION("""COMPUTED_VALUE"""),146517.0)</f>
        <v>146517</v>
      </c>
    </row>
    <row r="467">
      <c r="A467" s="2">
        <f>IFERROR(__xludf.DUMMYFUNCTION("""COMPUTED_VALUE"""),41227.645833333336)</f>
        <v>41227.64583</v>
      </c>
      <c r="B467" s="1">
        <f>IFERROR(__xludf.DUMMYFUNCTION("""COMPUTED_VALUE"""),27140.0)</f>
        <v>27140</v>
      </c>
      <c r="C467" s="1">
        <f>IFERROR(__xludf.DUMMYFUNCTION("""COMPUTED_VALUE"""),27140.0)</f>
        <v>27140</v>
      </c>
      <c r="D467" s="1">
        <f>IFERROR(__xludf.DUMMYFUNCTION("""COMPUTED_VALUE"""),26920.0)</f>
        <v>26920</v>
      </c>
      <c r="E467" s="1">
        <f>IFERROR(__xludf.DUMMYFUNCTION("""COMPUTED_VALUE"""),27100.0)</f>
        <v>27100</v>
      </c>
      <c r="F467" s="1">
        <f>IFERROR(__xludf.DUMMYFUNCTION("""COMPUTED_VALUE"""),208720.0)</f>
        <v>208720</v>
      </c>
    </row>
    <row r="468">
      <c r="A468" s="2">
        <f>IFERROR(__xludf.DUMMYFUNCTION("""COMPUTED_VALUE"""),41228.645833333336)</f>
        <v>41228.64583</v>
      </c>
      <c r="B468" s="1">
        <f>IFERROR(__xludf.DUMMYFUNCTION("""COMPUTED_VALUE"""),26700.0)</f>
        <v>26700</v>
      </c>
      <c r="C468" s="1">
        <f>IFERROR(__xludf.DUMMYFUNCTION("""COMPUTED_VALUE"""),26760.0)</f>
        <v>26760</v>
      </c>
      <c r="D468" s="1">
        <f>IFERROR(__xludf.DUMMYFUNCTION("""COMPUTED_VALUE"""),26520.0)</f>
        <v>26520</v>
      </c>
      <c r="E468" s="1">
        <f>IFERROR(__xludf.DUMMYFUNCTION("""COMPUTED_VALUE"""),26620.0)</f>
        <v>26620</v>
      </c>
      <c r="F468" s="1">
        <f>IFERROR(__xludf.DUMMYFUNCTION("""COMPUTED_VALUE"""),199182.0)</f>
        <v>199182</v>
      </c>
    </row>
    <row r="469">
      <c r="A469" s="2">
        <f>IFERROR(__xludf.DUMMYFUNCTION("""COMPUTED_VALUE"""),41229.645833333336)</f>
        <v>41229.64583</v>
      </c>
      <c r="B469" s="1">
        <f>IFERROR(__xludf.DUMMYFUNCTION("""COMPUTED_VALUE"""),26440.0)</f>
        <v>26440</v>
      </c>
      <c r="C469" s="1">
        <f>IFERROR(__xludf.DUMMYFUNCTION("""COMPUTED_VALUE"""),26520.0)</f>
        <v>26520</v>
      </c>
      <c r="D469" s="1">
        <f>IFERROR(__xludf.DUMMYFUNCTION("""COMPUTED_VALUE"""),26020.0)</f>
        <v>26020</v>
      </c>
      <c r="E469" s="1">
        <f>IFERROR(__xludf.DUMMYFUNCTION("""COMPUTED_VALUE"""),26140.0)</f>
        <v>26140</v>
      </c>
      <c r="F469" s="1">
        <f>IFERROR(__xludf.DUMMYFUNCTION("""COMPUTED_VALUE"""),243451.0)</f>
        <v>243451</v>
      </c>
    </row>
    <row r="470">
      <c r="A470" s="2">
        <f>IFERROR(__xludf.DUMMYFUNCTION("""COMPUTED_VALUE"""),41232.645833333336)</f>
        <v>41232.64583</v>
      </c>
      <c r="B470" s="1">
        <f>IFERROR(__xludf.DUMMYFUNCTION("""COMPUTED_VALUE"""),26300.0)</f>
        <v>26300</v>
      </c>
      <c r="C470" s="1">
        <f>IFERROR(__xludf.DUMMYFUNCTION("""COMPUTED_VALUE"""),26840.0)</f>
        <v>26840</v>
      </c>
      <c r="D470" s="1">
        <f>IFERROR(__xludf.DUMMYFUNCTION("""COMPUTED_VALUE"""),26260.0)</f>
        <v>26260</v>
      </c>
      <c r="E470" s="1">
        <f>IFERROR(__xludf.DUMMYFUNCTION("""COMPUTED_VALUE"""),26640.0)</f>
        <v>26640</v>
      </c>
      <c r="F470" s="1">
        <f>IFERROR(__xludf.DUMMYFUNCTION("""COMPUTED_VALUE"""),202750.0)</f>
        <v>202750</v>
      </c>
    </row>
    <row r="471">
      <c r="A471" s="2">
        <f>IFERROR(__xludf.DUMMYFUNCTION("""COMPUTED_VALUE"""),41233.645833333336)</f>
        <v>41233.64583</v>
      </c>
      <c r="B471" s="1">
        <f>IFERROR(__xludf.DUMMYFUNCTION("""COMPUTED_VALUE"""),27060.0)</f>
        <v>27060</v>
      </c>
      <c r="C471" s="1">
        <f>IFERROR(__xludf.DUMMYFUNCTION("""COMPUTED_VALUE"""),27300.0)</f>
        <v>27300</v>
      </c>
      <c r="D471" s="1">
        <f>IFERROR(__xludf.DUMMYFUNCTION("""COMPUTED_VALUE"""),26920.0)</f>
        <v>26920</v>
      </c>
      <c r="E471" s="1">
        <f>IFERROR(__xludf.DUMMYFUNCTION("""COMPUTED_VALUE"""),27280.0)</f>
        <v>27280</v>
      </c>
      <c r="F471" s="1">
        <f>IFERROR(__xludf.DUMMYFUNCTION("""COMPUTED_VALUE"""),268406.0)</f>
        <v>268406</v>
      </c>
    </row>
    <row r="472">
      <c r="A472" s="2">
        <f>IFERROR(__xludf.DUMMYFUNCTION("""COMPUTED_VALUE"""),41234.645833333336)</f>
        <v>41234.64583</v>
      </c>
      <c r="B472" s="1">
        <f>IFERROR(__xludf.DUMMYFUNCTION("""COMPUTED_VALUE"""),27520.0)</f>
        <v>27520</v>
      </c>
      <c r="C472" s="1">
        <f>IFERROR(__xludf.DUMMYFUNCTION("""COMPUTED_VALUE"""),27940.0)</f>
        <v>27940</v>
      </c>
      <c r="D472" s="1">
        <f>IFERROR(__xludf.DUMMYFUNCTION("""COMPUTED_VALUE"""),27440.0)</f>
        <v>27440</v>
      </c>
      <c r="E472" s="1">
        <f>IFERROR(__xludf.DUMMYFUNCTION("""COMPUTED_VALUE"""),27680.0)</f>
        <v>27680</v>
      </c>
      <c r="F472" s="1">
        <f>IFERROR(__xludf.DUMMYFUNCTION("""COMPUTED_VALUE"""),355608.0)</f>
        <v>355608</v>
      </c>
    </row>
    <row r="473">
      <c r="A473" s="2">
        <f>IFERROR(__xludf.DUMMYFUNCTION("""COMPUTED_VALUE"""),41235.645833333336)</f>
        <v>41235.64583</v>
      </c>
      <c r="B473" s="1">
        <f>IFERROR(__xludf.DUMMYFUNCTION("""COMPUTED_VALUE"""),27880.0)</f>
        <v>27880</v>
      </c>
      <c r="C473" s="1">
        <f>IFERROR(__xludf.DUMMYFUNCTION("""COMPUTED_VALUE"""),28380.0)</f>
        <v>28380</v>
      </c>
      <c r="D473" s="1">
        <f>IFERROR(__xludf.DUMMYFUNCTION("""COMPUTED_VALUE"""),27820.0)</f>
        <v>27820</v>
      </c>
      <c r="E473" s="1">
        <f>IFERROR(__xludf.DUMMYFUNCTION("""COMPUTED_VALUE"""),28340.0)</f>
        <v>28340</v>
      </c>
      <c r="F473" s="1">
        <f>IFERROR(__xludf.DUMMYFUNCTION("""COMPUTED_VALUE"""),298619.0)</f>
        <v>298619</v>
      </c>
    </row>
    <row r="474">
      <c r="A474" s="2">
        <f>IFERROR(__xludf.DUMMYFUNCTION("""COMPUTED_VALUE"""),41236.645833333336)</f>
        <v>41236.64583</v>
      </c>
      <c r="B474" s="1">
        <f>IFERROR(__xludf.DUMMYFUNCTION("""COMPUTED_VALUE"""),28440.0)</f>
        <v>28440</v>
      </c>
      <c r="C474" s="1">
        <f>IFERROR(__xludf.DUMMYFUNCTION("""COMPUTED_VALUE"""),28840.0)</f>
        <v>28840</v>
      </c>
      <c r="D474" s="1">
        <f>IFERROR(__xludf.DUMMYFUNCTION("""COMPUTED_VALUE"""),28340.0)</f>
        <v>28340</v>
      </c>
      <c r="E474" s="1">
        <f>IFERROR(__xludf.DUMMYFUNCTION("""COMPUTED_VALUE"""),28740.0)</f>
        <v>28740</v>
      </c>
      <c r="F474" s="1">
        <f>IFERROR(__xludf.DUMMYFUNCTION("""COMPUTED_VALUE"""),246441.0)</f>
        <v>246441</v>
      </c>
    </row>
    <row r="475">
      <c r="A475" s="2">
        <f>IFERROR(__xludf.DUMMYFUNCTION("""COMPUTED_VALUE"""),41239.645833333336)</f>
        <v>41239.64583</v>
      </c>
      <c r="B475" s="1">
        <f>IFERROR(__xludf.DUMMYFUNCTION("""COMPUTED_VALUE"""),28840.0)</f>
        <v>28840</v>
      </c>
      <c r="C475" s="1">
        <f>IFERROR(__xludf.DUMMYFUNCTION("""COMPUTED_VALUE"""),28860.0)</f>
        <v>28860</v>
      </c>
      <c r="D475" s="1">
        <f>IFERROR(__xludf.DUMMYFUNCTION("""COMPUTED_VALUE"""),27980.0)</f>
        <v>27980</v>
      </c>
      <c r="E475" s="1">
        <f>IFERROR(__xludf.DUMMYFUNCTION("""COMPUTED_VALUE"""),28080.0)</f>
        <v>28080</v>
      </c>
      <c r="F475" s="1">
        <f>IFERROR(__xludf.DUMMYFUNCTION("""COMPUTED_VALUE"""),274997.0)</f>
        <v>274997</v>
      </c>
    </row>
    <row r="476">
      <c r="A476" s="2">
        <f>IFERROR(__xludf.DUMMYFUNCTION("""COMPUTED_VALUE"""),41240.645833333336)</f>
        <v>41240.64583</v>
      </c>
      <c r="B476" s="1">
        <f>IFERROR(__xludf.DUMMYFUNCTION("""COMPUTED_VALUE"""),28100.0)</f>
        <v>28100</v>
      </c>
      <c r="C476" s="1">
        <f>IFERROR(__xludf.DUMMYFUNCTION("""COMPUTED_VALUE"""),28560.0)</f>
        <v>28560</v>
      </c>
      <c r="D476" s="1">
        <f>IFERROR(__xludf.DUMMYFUNCTION("""COMPUTED_VALUE"""),28080.0)</f>
        <v>28080</v>
      </c>
      <c r="E476" s="1">
        <f>IFERROR(__xludf.DUMMYFUNCTION("""COMPUTED_VALUE"""),28320.0)</f>
        <v>28320</v>
      </c>
      <c r="F476" s="1">
        <f>IFERROR(__xludf.DUMMYFUNCTION("""COMPUTED_VALUE"""),236724.0)</f>
        <v>236724</v>
      </c>
    </row>
    <row r="477">
      <c r="A477" s="2">
        <f>IFERROR(__xludf.DUMMYFUNCTION("""COMPUTED_VALUE"""),41241.645833333336)</f>
        <v>41241.64583</v>
      </c>
      <c r="B477" s="1">
        <f>IFERROR(__xludf.DUMMYFUNCTION("""COMPUTED_VALUE"""),28000.0)</f>
        <v>28000</v>
      </c>
      <c r="C477" s="1">
        <f>IFERROR(__xludf.DUMMYFUNCTION("""COMPUTED_VALUE"""),28760.0)</f>
        <v>28760</v>
      </c>
      <c r="D477" s="1">
        <f>IFERROR(__xludf.DUMMYFUNCTION("""COMPUTED_VALUE"""),27920.0)</f>
        <v>27920</v>
      </c>
      <c r="E477" s="1">
        <f>IFERROR(__xludf.DUMMYFUNCTION("""COMPUTED_VALUE"""),28260.0)</f>
        <v>28260</v>
      </c>
      <c r="F477" s="1">
        <f>IFERROR(__xludf.DUMMYFUNCTION("""COMPUTED_VALUE"""),281116.0)</f>
        <v>281116</v>
      </c>
    </row>
    <row r="478">
      <c r="A478" s="2">
        <f>IFERROR(__xludf.DUMMYFUNCTION("""COMPUTED_VALUE"""),41242.645833333336)</f>
        <v>41242.64583</v>
      </c>
      <c r="B478" s="1">
        <f>IFERROR(__xludf.DUMMYFUNCTION("""COMPUTED_VALUE"""),28040.0)</f>
        <v>28040</v>
      </c>
      <c r="C478" s="1">
        <f>IFERROR(__xludf.DUMMYFUNCTION("""COMPUTED_VALUE"""),28440.0)</f>
        <v>28440</v>
      </c>
      <c r="D478" s="1">
        <f>IFERROR(__xludf.DUMMYFUNCTION("""COMPUTED_VALUE"""),28040.0)</f>
        <v>28040</v>
      </c>
      <c r="E478" s="1">
        <f>IFERROR(__xludf.DUMMYFUNCTION("""COMPUTED_VALUE"""),28280.0)</f>
        <v>28280</v>
      </c>
      <c r="F478" s="1">
        <f>IFERROR(__xludf.DUMMYFUNCTION("""COMPUTED_VALUE"""),261466.0)</f>
        <v>261466</v>
      </c>
    </row>
    <row r="479">
      <c r="A479" s="2">
        <f>IFERROR(__xludf.DUMMYFUNCTION("""COMPUTED_VALUE"""),41243.645833333336)</f>
        <v>41243.64583</v>
      </c>
      <c r="B479" s="1">
        <f>IFERROR(__xludf.DUMMYFUNCTION("""COMPUTED_VALUE"""),28460.0)</f>
        <v>28460</v>
      </c>
      <c r="C479" s="1">
        <f>IFERROR(__xludf.DUMMYFUNCTION("""COMPUTED_VALUE"""),28500.0)</f>
        <v>28500</v>
      </c>
      <c r="D479" s="1">
        <f>IFERROR(__xludf.DUMMYFUNCTION("""COMPUTED_VALUE"""),27980.0)</f>
        <v>27980</v>
      </c>
      <c r="E479" s="1">
        <f>IFERROR(__xludf.DUMMYFUNCTION("""COMPUTED_VALUE"""),28120.0)</f>
        <v>28120</v>
      </c>
      <c r="F479" s="1">
        <f>IFERROR(__xludf.DUMMYFUNCTION("""COMPUTED_VALUE"""),328552.0)</f>
        <v>328552</v>
      </c>
    </row>
    <row r="480">
      <c r="A480" s="2">
        <f>IFERROR(__xludf.DUMMYFUNCTION("""COMPUTED_VALUE"""),41246.645833333336)</f>
        <v>41246.64583</v>
      </c>
      <c r="B480" s="1">
        <f>IFERROR(__xludf.DUMMYFUNCTION("""COMPUTED_VALUE"""),28400.0)</f>
        <v>28400</v>
      </c>
      <c r="C480" s="1">
        <f>IFERROR(__xludf.DUMMYFUNCTION("""COMPUTED_VALUE"""),28720.0)</f>
        <v>28720</v>
      </c>
      <c r="D480" s="1">
        <f>IFERROR(__xludf.DUMMYFUNCTION("""COMPUTED_VALUE"""),28160.0)</f>
        <v>28160</v>
      </c>
      <c r="E480" s="1">
        <f>IFERROR(__xludf.DUMMYFUNCTION("""COMPUTED_VALUE"""),28600.0)</f>
        <v>28600</v>
      </c>
      <c r="F480" s="1">
        <f>IFERROR(__xludf.DUMMYFUNCTION("""COMPUTED_VALUE"""),204417.0)</f>
        <v>204417</v>
      </c>
    </row>
    <row r="481">
      <c r="A481" s="2">
        <f>IFERROR(__xludf.DUMMYFUNCTION("""COMPUTED_VALUE"""),41247.645833333336)</f>
        <v>41247.64583</v>
      </c>
      <c r="B481" s="1">
        <f>IFERROR(__xludf.DUMMYFUNCTION("""COMPUTED_VALUE"""),28640.0)</f>
        <v>28640</v>
      </c>
      <c r="C481" s="1">
        <f>IFERROR(__xludf.DUMMYFUNCTION("""COMPUTED_VALUE"""),28680.0)</f>
        <v>28680</v>
      </c>
      <c r="D481" s="1">
        <f>IFERROR(__xludf.DUMMYFUNCTION("""COMPUTED_VALUE"""),28400.0)</f>
        <v>28400</v>
      </c>
      <c r="E481" s="1">
        <f>IFERROR(__xludf.DUMMYFUNCTION("""COMPUTED_VALUE"""),28600.0)</f>
        <v>28600</v>
      </c>
      <c r="F481" s="1">
        <f>IFERROR(__xludf.DUMMYFUNCTION("""COMPUTED_VALUE"""),190098.0)</f>
        <v>190098</v>
      </c>
    </row>
    <row r="482">
      <c r="A482" s="2">
        <f>IFERROR(__xludf.DUMMYFUNCTION("""COMPUTED_VALUE"""),41248.645833333336)</f>
        <v>41248.64583</v>
      </c>
      <c r="B482" s="1">
        <f>IFERROR(__xludf.DUMMYFUNCTION("""COMPUTED_VALUE"""),28600.0)</f>
        <v>28600</v>
      </c>
      <c r="C482" s="1">
        <f>IFERROR(__xludf.DUMMYFUNCTION("""COMPUTED_VALUE"""),29100.0)</f>
        <v>29100</v>
      </c>
      <c r="D482" s="1">
        <f>IFERROR(__xludf.DUMMYFUNCTION("""COMPUTED_VALUE"""),28540.0)</f>
        <v>28540</v>
      </c>
      <c r="E482" s="1">
        <f>IFERROR(__xludf.DUMMYFUNCTION("""COMPUTED_VALUE"""),29100.0)</f>
        <v>29100</v>
      </c>
      <c r="F482" s="1">
        <f>IFERROR(__xludf.DUMMYFUNCTION("""COMPUTED_VALUE"""),248728.0)</f>
        <v>248728</v>
      </c>
    </row>
    <row r="483">
      <c r="A483" s="2">
        <f>IFERROR(__xludf.DUMMYFUNCTION("""COMPUTED_VALUE"""),41249.645833333336)</f>
        <v>41249.64583</v>
      </c>
      <c r="B483" s="1">
        <f>IFERROR(__xludf.DUMMYFUNCTION("""COMPUTED_VALUE"""),29360.0)</f>
        <v>29360</v>
      </c>
      <c r="C483" s="1">
        <f>IFERROR(__xludf.DUMMYFUNCTION("""COMPUTED_VALUE"""),29420.0)</f>
        <v>29420</v>
      </c>
      <c r="D483" s="1">
        <f>IFERROR(__xludf.DUMMYFUNCTION("""COMPUTED_VALUE"""),28680.0)</f>
        <v>28680</v>
      </c>
      <c r="E483" s="1">
        <f>IFERROR(__xludf.DUMMYFUNCTION("""COMPUTED_VALUE"""),29080.0)</f>
        <v>29080</v>
      </c>
      <c r="F483" s="1">
        <f>IFERROR(__xludf.DUMMYFUNCTION("""COMPUTED_VALUE"""),284974.0)</f>
        <v>284974</v>
      </c>
    </row>
    <row r="484">
      <c r="A484" s="2">
        <f>IFERROR(__xludf.DUMMYFUNCTION("""COMPUTED_VALUE"""),41250.645833333336)</f>
        <v>41250.64583</v>
      </c>
      <c r="B484" s="1">
        <f>IFERROR(__xludf.DUMMYFUNCTION("""COMPUTED_VALUE"""),29000.0)</f>
        <v>29000</v>
      </c>
      <c r="C484" s="1">
        <f>IFERROR(__xludf.DUMMYFUNCTION("""COMPUTED_VALUE"""),29960.0)</f>
        <v>29960</v>
      </c>
      <c r="D484" s="1">
        <f>IFERROR(__xludf.DUMMYFUNCTION("""COMPUTED_VALUE"""),29000.0)</f>
        <v>29000</v>
      </c>
      <c r="E484" s="1">
        <f>IFERROR(__xludf.DUMMYFUNCTION("""COMPUTED_VALUE"""),29600.0)</f>
        <v>29600</v>
      </c>
      <c r="F484" s="1">
        <f>IFERROR(__xludf.DUMMYFUNCTION("""COMPUTED_VALUE"""),317649.0)</f>
        <v>317649</v>
      </c>
    </row>
    <row r="485">
      <c r="A485" s="2">
        <f>IFERROR(__xludf.DUMMYFUNCTION("""COMPUTED_VALUE"""),41253.645833333336)</f>
        <v>41253.64583</v>
      </c>
      <c r="B485" s="1">
        <f>IFERROR(__xludf.DUMMYFUNCTION("""COMPUTED_VALUE"""),30120.0)</f>
        <v>30120</v>
      </c>
      <c r="C485" s="1">
        <f>IFERROR(__xludf.DUMMYFUNCTION("""COMPUTED_VALUE"""),30120.0)</f>
        <v>30120</v>
      </c>
      <c r="D485" s="1">
        <f>IFERROR(__xludf.DUMMYFUNCTION("""COMPUTED_VALUE"""),29700.0)</f>
        <v>29700</v>
      </c>
      <c r="E485" s="1">
        <f>IFERROR(__xludf.DUMMYFUNCTION("""COMPUTED_VALUE"""),29820.0)</f>
        <v>29820</v>
      </c>
      <c r="F485" s="1">
        <f>IFERROR(__xludf.DUMMYFUNCTION("""COMPUTED_VALUE"""),261122.0)</f>
        <v>261122</v>
      </c>
    </row>
    <row r="486">
      <c r="A486" s="2">
        <f>IFERROR(__xludf.DUMMYFUNCTION("""COMPUTED_VALUE"""),41254.645833333336)</f>
        <v>41254.64583</v>
      </c>
      <c r="B486" s="1">
        <f>IFERROR(__xludf.DUMMYFUNCTION("""COMPUTED_VALUE"""),29960.0)</f>
        <v>29960</v>
      </c>
      <c r="C486" s="1">
        <f>IFERROR(__xludf.DUMMYFUNCTION("""COMPUTED_VALUE"""),29960.0)</f>
        <v>29960</v>
      </c>
      <c r="D486" s="1">
        <f>IFERROR(__xludf.DUMMYFUNCTION("""COMPUTED_VALUE"""),29380.0)</f>
        <v>29380</v>
      </c>
      <c r="E486" s="1">
        <f>IFERROR(__xludf.DUMMYFUNCTION("""COMPUTED_VALUE"""),29520.0)</f>
        <v>29520</v>
      </c>
      <c r="F486" s="1">
        <f>IFERROR(__xludf.DUMMYFUNCTION("""COMPUTED_VALUE"""),253147.0)</f>
        <v>253147</v>
      </c>
    </row>
    <row r="487">
      <c r="A487" s="2">
        <f>IFERROR(__xludf.DUMMYFUNCTION("""COMPUTED_VALUE"""),41255.645833333336)</f>
        <v>41255.64583</v>
      </c>
      <c r="B487" s="1">
        <f>IFERROR(__xludf.DUMMYFUNCTION("""COMPUTED_VALUE"""),29460.0)</f>
        <v>29460</v>
      </c>
      <c r="C487" s="1">
        <f>IFERROR(__xludf.DUMMYFUNCTION("""COMPUTED_VALUE"""),29920.0)</f>
        <v>29920</v>
      </c>
      <c r="D487" s="1">
        <f>IFERROR(__xludf.DUMMYFUNCTION("""COMPUTED_VALUE"""),29460.0)</f>
        <v>29460</v>
      </c>
      <c r="E487" s="1">
        <f>IFERROR(__xludf.DUMMYFUNCTION("""COMPUTED_VALUE"""),29800.0)</f>
        <v>29800</v>
      </c>
      <c r="F487" s="1">
        <f>IFERROR(__xludf.DUMMYFUNCTION("""COMPUTED_VALUE"""),304889.0)</f>
        <v>304889</v>
      </c>
    </row>
    <row r="488">
      <c r="A488" s="2">
        <f>IFERROR(__xludf.DUMMYFUNCTION("""COMPUTED_VALUE"""),41256.645833333336)</f>
        <v>41256.64583</v>
      </c>
      <c r="B488" s="1">
        <f>IFERROR(__xludf.DUMMYFUNCTION("""COMPUTED_VALUE"""),30000.0)</f>
        <v>30000</v>
      </c>
      <c r="C488" s="1">
        <f>IFERROR(__xludf.DUMMYFUNCTION("""COMPUTED_VALUE"""),30660.0)</f>
        <v>30660</v>
      </c>
      <c r="D488" s="1">
        <f>IFERROR(__xludf.DUMMYFUNCTION("""COMPUTED_VALUE"""),29860.0)</f>
        <v>29860</v>
      </c>
      <c r="E488" s="1">
        <f>IFERROR(__xludf.DUMMYFUNCTION("""COMPUTED_VALUE"""),30660.0)</f>
        <v>30660</v>
      </c>
      <c r="F488" s="1">
        <f>IFERROR(__xludf.DUMMYFUNCTION("""COMPUTED_VALUE"""),613610.0)</f>
        <v>613610</v>
      </c>
    </row>
    <row r="489">
      <c r="A489" s="2">
        <f>IFERROR(__xludf.DUMMYFUNCTION("""COMPUTED_VALUE"""),41257.645833333336)</f>
        <v>41257.64583</v>
      </c>
      <c r="B489" s="1">
        <f>IFERROR(__xludf.DUMMYFUNCTION("""COMPUTED_VALUE"""),30320.0)</f>
        <v>30320</v>
      </c>
      <c r="C489" s="1">
        <f>IFERROR(__xludf.DUMMYFUNCTION("""COMPUTED_VALUE"""),30720.0)</f>
        <v>30720</v>
      </c>
      <c r="D489" s="1">
        <f>IFERROR(__xludf.DUMMYFUNCTION("""COMPUTED_VALUE"""),30160.0)</f>
        <v>30160</v>
      </c>
      <c r="E489" s="1">
        <f>IFERROR(__xludf.DUMMYFUNCTION("""COMPUTED_VALUE"""),30300.0)</f>
        <v>30300</v>
      </c>
      <c r="F489" s="1">
        <f>IFERROR(__xludf.DUMMYFUNCTION("""COMPUTED_VALUE"""),278105.0)</f>
        <v>278105</v>
      </c>
    </row>
    <row r="490">
      <c r="A490" s="2">
        <f>IFERROR(__xludf.DUMMYFUNCTION("""COMPUTED_VALUE"""),41260.645833333336)</f>
        <v>41260.64583</v>
      </c>
      <c r="B490" s="1">
        <f>IFERROR(__xludf.DUMMYFUNCTION("""COMPUTED_VALUE"""),30020.0)</f>
        <v>30020</v>
      </c>
      <c r="C490" s="1">
        <f>IFERROR(__xludf.DUMMYFUNCTION("""COMPUTED_VALUE"""),30480.0)</f>
        <v>30480</v>
      </c>
      <c r="D490" s="1">
        <f>IFERROR(__xludf.DUMMYFUNCTION("""COMPUTED_VALUE"""),29940.0)</f>
        <v>29940</v>
      </c>
      <c r="E490" s="1">
        <f>IFERROR(__xludf.DUMMYFUNCTION("""COMPUTED_VALUE"""),30060.0)</f>
        <v>30060</v>
      </c>
      <c r="F490" s="1">
        <f>IFERROR(__xludf.DUMMYFUNCTION("""COMPUTED_VALUE"""),310222.0)</f>
        <v>310222</v>
      </c>
    </row>
    <row r="491">
      <c r="A491" s="2">
        <f>IFERROR(__xludf.DUMMYFUNCTION("""COMPUTED_VALUE"""),41261.645833333336)</f>
        <v>41261.64583</v>
      </c>
      <c r="B491" s="1">
        <f>IFERROR(__xludf.DUMMYFUNCTION("""COMPUTED_VALUE"""),30000.0)</f>
        <v>30000</v>
      </c>
      <c r="C491" s="1">
        <f>IFERROR(__xludf.DUMMYFUNCTION("""COMPUTED_VALUE"""),30320.0)</f>
        <v>30320</v>
      </c>
      <c r="D491" s="1">
        <f>IFERROR(__xludf.DUMMYFUNCTION("""COMPUTED_VALUE"""),29900.0)</f>
        <v>29900</v>
      </c>
      <c r="E491" s="1">
        <f>IFERROR(__xludf.DUMMYFUNCTION("""COMPUTED_VALUE"""),30300.0)</f>
        <v>30300</v>
      </c>
      <c r="F491" s="1">
        <f>IFERROR(__xludf.DUMMYFUNCTION("""COMPUTED_VALUE"""),270769.0)</f>
        <v>270769</v>
      </c>
    </row>
    <row r="492">
      <c r="A492" s="2">
        <f>IFERROR(__xludf.DUMMYFUNCTION("""COMPUTED_VALUE"""),41263.645833333336)</f>
        <v>41263.64583</v>
      </c>
      <c r="B492" s="1">
        <f>IFERROR(__xludf.DUMMYFUNCTION("""COMPUTED_VALUE"""),30300.0)</f>
        <v>30300</v>
      </c>
      <c r="C492" s="1">
        <f>IFERROR(__xludf.DUMMYFUNCTION("""COMPUTED_VALUE"""),30580.0)</f>
        <v>30580</v>
      </c>
      <c r="D492" s="1">
        <f>IFERROR(__xludf.DUMMYFUNCTION("""COMPUTED_VALUE"""),29900.0)</f>
        <v>29900</v>
      </c>
      <c r="E492" s="1">
        <f>IFERROR(__xludf.DUMMYFUNCTION("""COMPUTED_VALUE"""),30060.0)</f>
        <v>30060</v>
      </c>
      <c r="F492" s="1">
        <f>IFERROR(__xludf.DUMMYFUNCTION("""COMPUTED_VALUE"""),402570.0)</f>
        <v>402570</v>
      </c>
    </row>
    <row r="493">
      <c r="A493" s="2">
        <f>IFERROR(__xludf.DUMMYFUNCTION("""COMPUTED_VALUE"""),41264.645833333336)</f>
        <v>41264.64583</v>
      </c>
      <c r="B493" s="1">
        <f>IFERROR(__xludf.DUMMYFUNCTION("""COMPUTED_VALUE"""),29860.0)</f>
        <v>29860</v>
      </c>
      <c r="C493" s="1">
        <f>IFERROR(__xludf.DUMMYFUNCTION("""COMPUTED_VALUE"""),29920.0)</f>
        <v>29920</v>
      </c>
      <c r="D493" s="1">
        <f>IFERROR(__xludf.DUMMYFUNCTION("""COMPUTED_VALUE"""),28800.0)</f>
        <v>28800</v>
      </c>
      <c r="E493" s="1">
        <f>IFERROR(__xludf.DUMMYFUNCTION("""COMPUTED_VALUE"""),28840.0)</f>
        <v>28840</v>
      </c>
      <c r="F493" s="1">
        <f>IFERROR(__xludf.DUMMYFUNCTION("""COMPUTED_VALUE"""),551524.0)</f>
        <v>551524</v>
      </c>
    </row>
    <row r="494">
      <c r="A494" s="2">
        <f>IFERROR(__xludf.DUMMYFUNCTION("""COMPUTED_VALUE"""),41267.645833333336)</f>
        <v>41267.64583</v>
      </c>
      <c r="B494" s="1">
        <f>IFERROR(__xludf.DUMMYFUNCTION("""COMPUTED_VALUE"""),28960.0)</f>
        <v>28960</v>
      </c>
      <c r="C494" s="1">
        <f>IFERROR(__xludf.DUMMYFUNCTION("""COMPUTED_VALUE"""),29520.0)</f>
        <v>29520</v>
      </c>
      <c r="D494" s="1">
        <f>IFERROR(__xludf.DUMMYFUNCTION("""COMPUTED_VALUE"""),28840.0)</f>
        <v>28840</v>
      </c>
      <c r="E494" s="1">
        <f>IFERROR(__xludf.DUMMYFUNCTION("""COMPUTED_VALUE"""),29480.0)</f>
        <v>29480</v>
      </c>
      <c r="F494" s="1">
        <f>IFERROR(__xludf.DUMMYFUNCTION("""COMPUTED_VALUE"""),289771.0)</f>
        <v>289771</v>
      </c>
    </row>
    <row r="495">
      <c r="A495" s="2">
        <f>IFERROR(__xludf.DUMMYFUNCTION("""COMPUTED_VALUE"""),41269.645833333336)</f>
        <v>41269.64583</v>
      </c>
      <c r="B495" s="1">
        <f>IFERROR(__xludf.DUMMYFUNCTION("""COMPUTED_VALUE"""),29600.0)</f>
        <v>29600</v>
      </c>
      <c r="C495" s="1">
        <f>IFERROR(__xludf.DUMMYFUNCTION("""COMPUTED_VALUE"""),30060.0)</f>
        <v>30060</v>
      </c>
      <c r="D495" s="1">
        <f>IFERROR(__xludf.DUMMYFUNCTION("""COMPUTED_VALUE"""),29400.0)</f>
        <v>29400</v>
      </c>
      <c r="E495" s="1">
        <f>IFERROR(__xludf.DUMMYFUNCTION("""COMPUTED_VALUE"""),29400.0)</f>
        <v>29400</v>
      </c>
      <c r="F495" s="1">
        <f>IFERROR(__xludf.DUMMYFUNCTION("""COMPUTED_VALUE"""),280774.0)</f>
        <v>280774</v>
      </c>
    </row>
    <row r="496">
      <c r="A496" s="2">
        <f>IFERROR(__xludf.DUMMYFUNCTION("""COMPUTED_VALUE"""),41270.645833333336)</f>
        <v>41270.64583</v>
      </c>
      <c r="B496" s="1">
        <f>IFERROR(__xludf.DUMMYFUNCTION("""COMPUTED_VALUE"""),29400.0)</f>
        <v>29400</v>
      </c>
      <c r="C496" s="1">
        <f>IFERROR(__xludf.DUMMYFUNCTION("""COMPUTED_VALUE"""),30000.0)</f>
        <v>30000</v>
      </c>
      <c r="D496" s="1">
        <f>IFERROR(__xludf.DUMMYFUNCTION("""COMPUTED_VALUE"""),29400.0)</f>
        <v>29400</v>
      </c>
      <c r="E496" s="1">
        <f>IFERROR(__xludf.DUMMYFUNCTION("""COMPUTED_VALUE"""),29920.0)</f>
        <v>29920</v>
      </c>
      <c r="F496" s="1">
        <f>IFERROR(__xludf.DUMMYFUNCTION("""COMPUTED_VALUE"""),182878.0)</f>
        <v>182878</v>
      </c>
    </row>
    <row r="497">
      <c r="A497" s="2">
        <f>IFERROR(__xludf.DUMMYFUNCTION("""COMPUTED_VALUE"""),41271.645833333336)</f>
        <v>41271.64583</v>
      </c>
      <c r="B497" s="1">
        <f>IFERROR(__xludf.DUMMYFUNCTION("""COMPUTED_VALUE"""),29760.0)</f>
        <v>29760</v>
      </c>
      <c r="C497" s="1">
        <f>IFERROR(__xludf.DUMMYFUNCTION("""COMPUTED_VALUE"""),30600.0)</f>
        <v>30600</v>
      </c>
      <c r="D497" s="1">
        <f>IFERROR(__xludf.DUMMYFUNCTION("""COMPUTED_VALUE"""),29740.0)</f>
        <v>29740</v>
      </c>
      <c r="E497" s="1">
        <f>IFERROR(__xludf.DUMMYFUNCTION("""COMPUTED_VALUE"""),30440.0)</f>
        <v>30440</v>
      </c>
      <c r="F497" s="1">
        <f>IFERROR(__xludf.DUMMYFUNCTION("""COMPUTED_VALUE"""),211255.0)</f>
        <v>211255</v>
      </c>
    </row>
    <row r="498">
      <c r="A498" s="2">
        <f>IFERROR(__xludf.DUMMYFUNCTION("""COMPUTED_VALUE"""),41276.645833333336)</f>
        <v>41276.64583</v>
      </c>
      <c r="B498" s="1">
        <f>IFERROR(__xludf.DUMMYFUNCTION("""COMPUTED_VALUE"""),30660.0)</f>
        <v>30660</v>
      </c>
      <c r="C498" s="1">
        <f>IFERROR(__xludf.DUMMYFUNCTION("""COMPUTED_VALUE"""),31520.0)</f>
        <v>31520</v>
      </c>
      <c r="D498" s="1">
        <f>IFERROR(__xludf.DUMMYFUNCTION("""COMPUTED_VALUE"""),30540.0)</f>
        <v>30540</v>
      </c>
      <c r="E498" s="1">
        <f>IFERROR(__xludf.DUMMYFUNCTION("""COMPUTED_VALUE"""),31520.0)</f>
        <v>31520</v>
      </c>
      <c r="F498" s="1">
        <f>IFERROR(__xludf.DUMMYFUNCTION("""COMPUTED_VALUE"""),228993.0)</f>
        <v>228993</v>
      </c>
    </row>
    <row r="499">
      <c r="A499" s="2">
        <f>IFERROR(__xludf.DUMMYFUNCTION("""COMPUTED_VALUE"""),41277.645833333336)</f>
        <v>41277.64583</v>
      </c>
      <c r="B499" s="1">
        <f>IFERROR(__xludf.DUMMYFUNCTION("""COMPUTED_VALUE"""),31640.0)</f>
        <v>31640</v>
      </c>
      <c r="C499" s="1">
        <f>IFERROR(__xludf.DUMMYFUNCTION("""COMPUTED_VALUE"""),31680.0)</f>
        <v>31680</v>
      </c>
      <c r="D499" s="1">
        <f>IFERROR(__xludf.DUMMYFUNCTION("""COMPUTED_VALUE"""),30860.0)</f>
        <v>30860</v>
      </c>
      <c r="E499" s="1">
        <f>IFERROR(__xludf.DUMMYFUNCTION("""COMPUTED_VALUE"""),30860.0)</f>
        <v>30860</v>
      </c>
      <c r="F499" s="1">
        <f>IFERROR(__xludf.DUMMYFUNCTION("""COMPUTED_VALUE"""),284548.0)</f>
        <v>284548</v>
      </c>
    </row>
    <row r="500">
      <c r="A500" s="2">
        <f>IFERROR(__xludf.DUMMYFUNCTION("""COMPUTED_VALUE"""),41278.645833333336)</f>
        <v>41278.64583</v>
      </c>
      <c r="B500" s="1">
        <f>IFERROR(__xludf.DUMMYFUNCTION("""COMPUTED_VALUE"""),30800.0)</f>
        <v>30800</v>
      </c>
      <c r="C500" s="1">
        <f>IFERROR(__xludf.DUMMYFUNCTION("""COMPUTED_VALUE"""),30840.0)</f>
        <v>30840</v>
      </c>
      <c r="D500" s="1">
        <f>IFERROR(__xludf.DUMMYFUNCTION("""COMPUTED_VALUE"""),30200.0)</f>
        <v>30200</v>
      </c>
      <c r="E500" s="1">
        <f>IFERROR(__xludf.DUMMYFUNCTION("""COMPUTED_VALUE"""),30500.0)</f>
        <v>30500</v>
      </c>
      <c r="F500" s="1">
        <f>IFERROR(__xludf.DUMMYFUNCTION("""COMPUTED_VALUE"""),259996.0)</f>
        <v>259996</v>
      </c>
    </row>
    <row r="501">
      <c r="A501" s="2">
        <f>IFERROR(__xludf.DUMMYFUNCTION("""COMPUTED_VALUE"""),41281.645833333336)</f>
        <v>41281.64583</v>
      </c>
      <c r="B501" s="1">
        <f>IFERROR(__xludf.DUMMYFUNCTION("""COMPUTED_VALUE"""),30300.0)</f>
        <v>30300</v>
      </c>
      <c r="C501" s="1">
        <f>IFERROR(__xludf.DUMMYFUNCTION("""COMPUTED_VALUE"""),30560.0)</f>
        <v>30560</v>
      </c>
      <c r="D501" s="1">
        <f>IFERROR(__xludf.DUMMYFUNCTION("""COMPUTED_VALUE"""),30000.0)</f>
        <v>30000</v>
      </c>
      <c r="E501" s="1">
        <f>IFERROR(__xludf.DUMMYFUNCTION("""COMPUTED_VALUE"""),30400.0)</f>
        <v>30400</v>
      </c>
      <c r="F501" s="1">
        <f>IFERROR(__xludf.DUMMYFUNCTION("""COMPUTED_VALUE"""),252219.0)</f>
        <v>252219</v>
      </c>
    </row>
    <row r="502">
      <c r="A502" s="2">
        <f>IFERROR(__xludf.DUMMYFUNCTION("""COMPUTED_VALUE"""),41282.645833333336)</f>
        <v>41282.64583</v>
      </c>
      <c r="B502" s="1">
        <f>IFERROR(__xludf.DUMMYFUNCTION("""COMPUTED_VALUE"""),30260.0)</f>
        <v>30260</v>
      </c>
      <c r="C502" s="1">
        <f>IFERROR(__xludf.DUMMYFUNCTION("""COMPUTED_VALUE"""),30340.0)</f>
        <v>30340</v>
      </c>
      <c r="D502" s="1">
        <f>IFERROR(__xludf.DUMMYFUNCTION("""COMPUTED_VALUE"""),29960.0)</f>
        <v>29960</v>
      </c>
      <c r="E502" s="1">
        <f>IFERROR(__xludf.DUMMYFUNCTION("""COMPUTED_VALUE"""),30000.0)</f>
        <v>30000</v>
      </c>
      <c r="F502" s="1">
        <f>IFERROR(__xludf.DUMMYFUNCTION("""COMPUTED_VALUE"""),276445.0)</f>
        <v>276445</v>
      </c>
    </row>
    <row r="503">
      <c r="A503" s="2">
        <f>IFERROR(__xludf.DUMMYFUNCTION("""COMPUTED_VALUE"""),41283.645833333336)</f>
        <v>41283.64583</v>
      </c>
      <c r="B503" s="1">
        <f>IFERROR(__xludf.DUMMYFUNCTION("""COMPUTED_VALUE"""),30000.0)</f>
        <v>30000</v>
      </c>
      <c r="C503" s="1">
        <f>IFERROR(__xludf.DUMMYFUNCTION("""COMPUTED_VALUE"""),30260.0)</f>
        <v>30260</v>
      </c>
      <c r="D503" s="1">
        <f>IFERROR(__xludf.DUMMYFUNCTION("""COMPUTED_VALUE"""),29820.0)</f>
        <v>29820</v>
      </c>
      <c r="E503" s="1">
        <f>IFERROR(__xludf.DUMMYFUNCTION("""COMPUTED_VALUE"""),30000.0)</f>
        <v>30000</v>
      </c>
      <c r="F503" s="1">
        <f>IFERROR(__xludf.DUMMYFUNCTION("""COMPUTED_VALUE"""),253199.0)</f>
        <v>253199</v>
      </c>
    </row>
    <row r="504">
      <c r="A504" s="2">
        <f>IFERROR(__xludf.DUMMYFUNCTION("""COMPUTED_VALUE"""),41284.645833333336)</f>
        <v>41284.64583</v>
      </c>
      <c r="B504" s="1">
        <f>IFERROR(__xludf.DUMMYFUNCTION("""COMPUTED_VALUE"""),30300.0)</f>
        <v>30300</v>
      </c>
      <c r="C504" s="1">
        <f>IFERROR(__xludf.DUMMYFUNCTION("""COMPUTED_VALUE"""),30680.0)</f>
        <v>30680</v>
      </c>
      <c r="D504" s="1">
        <f>IFERROR(__xludf.DUMMYFUNCTION("""COMPUTED_VALUE"""),30000.0)</f>
        <v>30000</v>
      </c>
      <c r="E504" s="1">
        <f>IFERROR(__xludf.DUMMYFUNCTION("""COMPUTED_VALUE"""),30600.0)</f>
        <v>30600</v>
      </c>
      <c r="F504" s="1">
        <f>IFERROR(__xludf.DUMMYFUNCTION("""COMPUTED_VALUE"""),293272.0)</f>
        <v>293272</v>
      </c>
    </row>
    <row r="505">
      <c r="A505" s="2">
        <f>IFERROR(__xludf.DUMMYFUNCTION("""COMPUTED_VALUE"""),41285.645833333336)</f>
        <v>41285.64583</v>
      </c>
      <c r="B505" s="1">
        <f>IFERROR(__xludf.DUMMYFUNCTION("""COMPUTED_VALUE"""),30960.0)</f>
        <v>30960</v>
      </c>
      <c r="C505" s="1">
        <f>IFERROR(__xludf.DUMMYFUNCTION("""COMPUTED_VALUE"""),30960.0)</f>
        <v>30960</v>
      </c>
      <c r="D505" s="1">
        <f>IFERROR(__xludf.DUMMYFUNCTION("""COMPUTED_VALUE"""),30140.0)</f>
        <v>30140</v>
      </c>
      <c r="E505" s="1">
        <f>IFERROR(__xludf.DUMMYFUNCTION("""COMPUTED_VALUE"""),30660.0)</f>
        <v>30660</v>
      </c>
      <c r="F505" s="1">
        <f>IFERROR(__xludf.DUMMYFUNCTION("""COMPUTED_VALUE"""),238271.0)</f>
        <v>238271</v>
      </c>
    </row>
    <row r="506">
      <c r="A506" s="2">
        <f>IFERROR(__xludf.DUMMYFUNCTION("""COMPUTED_VALUE"""),41288.645833333336)</f>
        <v>41288.64583</v>
      </c>
      <c r="B506" s="1">
        <f>IFERROR(__xludf.DUMMYFUNCTION("""COMPUTED_VALUE"""),30780.0)</f>
        <v>30780</v>
      </c>
      <c r="C506" s="1">
        <f>IFERROR(__xludf.DUMMYFUNCTION("""COMPUTED_VALUE"""),31040.0)</f>
        <v>31040</v>
      </c>
      <c r="D506" s="1">
        <f>IFERROR(__xludf.DUMMYFUNCTION("""COMPUTED_VALUE"""),30560.0)</f>
        <v>30560</v>
      </c>
      <c r="E506" s="1">
        <f>IFERROR(__xludf.DUMMYFUNCTION("""COMPUTED_VALUE"""),31040.0)</f>
        <v>31040</v>
      </c>
      <c r="F506" s="1">
        <f>IFERROR(__xludf.DUMMYFUNCTION("""COMPUTED_VALUE"""),159999.0)</f>
        <v>159999</v>
      </c>
    </row>
    <row r="507">
      <c r="A507" s="2">
        <f>IFERROR(__xludf.DUMMYFUNCTION("""COMPUTED_VALUE"""),41289.645833333336)</f>
        <v>41289.64583</v>
      </c>
      <c r="B507" s="1">
        <f>IFERROR(__xludf.DUMMYFUNCTION("""COMPUTED_VALUE"""),31200.0)</f>
        <v>31200</v>
      </c>
      <c r="C507" s="1">
        <f>IFERROR(__xludf.DUMMYFUNCTION("""COMPUTED_VALUE"""),31200.0)</f>
        <v>31200</v>
      </c>
      <c r="D507" s="1">
        <f>IFERROR(__xludf.DUMMYFUNCTION("""COMPUTED_VALUE"""),30240.0)</f>
        <v>30240</v>
      </c>
      <c r="E507" s="1">
        <f>IFERROR(__xludf.DUMMYFUNCTION("""COMPUTED_VALUE"""),30240.0)</f>
        <v>30240</v>
      </c>
      <c r="F507" s="1">
        <f>IFERROR(__xludf.DUMMYFUNCTION("""COMPUTED_VALUE"""),214543.0)</f>
        <v>214543</v>
      </c>
    </row>
    <row r="508">
      <c r="A508" s="2">
        <f>IFERROR(__xludf.DUMMYFUNCTION("""COMPUTED_VALUE"""),41290.645833333336)</f>
        <v>41290.64583</v>
      </c>
      <c r="B508" s="1">
        <f>IFERROR(__xludf.DUMMYFUNCTION("""COMPUTED_VALUE"""),30280.0)</f>
        <v>30280</v>
      </c>
      <c r="C508" s="1">
        <f>IFERROR(__xludf.DUMMYFUNCTION("""COMPUTED_VALUE"""),30520.0)</f>
        <v>30520</v>
      </c>
      <c r="D508" s="1">
        <f>IFERROR(__xludf.DUMMYFUNCTION("""COMPUTED_VALUE"""),29660.0)</f>
        <v>29660</v>
      </c>
      <c r="E508" s="1">
        <f>IFERROR(__xludf.DUMMYFUNCTION("""COMPUTED_VALUE"""),29840.0)</f>
        <v>29840</v>
      </c>
      <c r="F508" s="1">
        <f>IFERROR(__xludf.DUMMYFUNCTION("""COMPUTED_VALUE"""),324420.0)</f>
        <v>324420</v>
      </c>
    </row>
    <row r="509">
      <c r="A509" s="2">
        <f>IFERROR(__xludf.DUMMYFUNCTION("""COMPUTED_VALUE"""),41291.645833333336)</f>
        <v>41291.64583</v>
      </c>
      <c r="B509" s="1">
        <f>IFERROR(__xludf.DUMMYFUNCTION("""COMPUTED_VALUE"""),30040.0)</f>
        <v>30040</v>
      </c>
      <c r="C509" s="1">
        <f>IFERROR(__xludf.DUMMYFUNCTION("""COMPUTED_VALUE"""),30040.0)</f>
        <v>30040</v>
      </c>
      <c r="D509" s="1">
        <f>IFERROR(__xludf.DUMMYFUNCTION("""COMPUTED_VALUE"""),29000.0)</f>
        <v>29000</v>
      </c>
      <c r="E509" s="1">
        <f>IFERROR(__xludf.DUMMYFUNCTION("""COMPUTED_VALUE"""),29380.0)</f>
        <v>29380</v>
      </c>
      <c r="F509" s="1">
        <f>IFERROR(__xludf.DUMMYFUNCTION("""COMPUTED_VALUE"""),404734.0)</f>
        <v>404734</v>
      </c>
    </row>
    <row r="510">
      <c r="A510" s="2">
        <f>IFERROR(__xludf.DUMMYFUNCTION("""COMPUTED_VALUE"""),41292.645833333336)</f>
        <v>41292.64583</v>
      </c>
      <c r="B510" s="1">
        <f>IFERROR(__xludf.DUMMYFUNCTION("""COMPUTED_VALUE"""),29600.0)</f>
        <v>29600</v>
      </c>
      <c r="C510" s="1">
        <f>IFERROR(__xludf.DUMMYFUNCTION("""COMPUTED_VALUE"""),29740.0)</f>
        <v>29740</v>
      </c>
      <c r="D510" s="1">
        <f>IFERROR(__xludf.DUMMYFUNCTION("""COMPUTED_VALUE"""),29100.0)</f>
        <v>29100</v>
      </c>
      <c r="E510" s="1">
        <f>IFERROR(__xludf.DUMMYFUNCTION("""COMPUTED_VALUE"""),29600.0)</f>
        <v>29600</v>
      </c>
      <c r="F510" s="1">
        <f>IFERROR(__xludf.DUMMYFUNCTION("""COMPUTED_VALUE"""),250332.0)</f>
        <v>250332</v>
      </c>
    </row>
    <row r="511">
      <c r="A511" s="2">
        <f>IFERROR(__xludf.DUMMYFUNCTION("""COMPUTED_VALUE"""),41295.645833333336)</f>
        <v>41295.64583</v>
      </c>
      <c r="B511" s="1">
        <f>IFERROR(__xludf.DUMMYFUNCTION("""COMPUTED_VALUE"""),29280.0)</f>
        <v>29280</v>
      </c>
      <c r="C511" s="1">
        <f>IFERROR(__xludf.DUMMYFUNCTION("""COMPUTED_VALUE"""),29500.0)</f>
        <v>29500</v>
      </c>
      <c r="D511" s="1">
        <f>IFERROR(__xludf.DUMMYFUNCTION("""COMPUTED_VALUE"""),28960.0)</f>
        <v>28960</v>
      </c>
      <c r="E511" s="1">
        <f>IFERROR(__xludf.DUMMYFUNCTION("""COMPUTED_VALUE"""),29080.0)</f>
        <v>29080</v>
      </c>
      <c r="F511" s="1">
        <f>IFERROR(__xludf.DUMMYFUNCTION("""COMPUTED_VALUE"""),290393.0)</f>
        <v>290393</v>
      </c>
    </row>
    <row r="512">
      <c r="A512" s="2">
        <f>IFERROR(__xludf.DUMMYFUNCTION("""COMPUTED_VALUE"""),41296.645833333336)</f>
        <v>41296.64583</v>
      </c>
      <c r="B512" s="1">
        <f>IFERROR(__xludf.DUMMYFUNCTION("""COMPUTED_VALUE"""),28900.0)</f>
        <v>28900</v>
      </c>
      <c r="C512" s="1">
        <f>IFERROR(__xludf.DUMMYFUNCTION("""COMPUTED_VALUE"""),29740.0)</f>
        <v>29740</v>
      </c>
      <c r="D512" s="1">
        <f>IFERROR(__xludf.DUMMYFUNCTION("""COMPUTED_VALUE"""),28900.0)</f>
        <v>28900</v>
      </c>
      <c r="E512" s="1">
        <f>IFERROR(__xludf.DUMMYFUNCTION("""COMPUTED_VALUE"""),29600.0)</f>
        <v>29600</v>
      </c>
      <c r="F512" s="1">
        <f>IFERROR(__xludf.DUMMYFUNCTION("""COMPUTED_VALUE"""),238948.0)</f>
        <v>238948</v>
      </c>
    </row>
    <row r="513">
      <c r="A513" s="2">
        <f>IFERROR(__xludf.DUMMYFUNCTION("""COMPUTED_VALUE"""),41297.645833333336)</f>
        <v>41297.64583</v>
      </c>
      <c r="B513" s="1">
        <f>IFERROR(__xludf.DUMMYFUNCTION("""COMPUTED_VALUE"""),30000.0)</f>
        <v>30000</v>
      </c>
      <c r="C513" s="1">
        <f>IFERROR(__xludf.DUMMYFUNCTION("""COMPUTED_VALUE"""),30040.0)</f>
        <v>30040</v>
      </c>
      <c r="D513" s="1">
        <f>IFERROR(__xludf.DUMMYFUNCTION("""COMPUTED_VALUE"""),29460.0)</f>
        <v>29460</v>
      </c>
      <c r="E513" s="1">
        <f>IFERROR(__xludf.DUMMYFUNCTION("""COMPUTED_VALUE"""),29460.0)</f>
        <v>29460</v>
      </c>
      <c r="F513" s="1">
        <f>IFERROR(__xludf.DUMMYFUNCTION("""COMPUTED_VALUE"""),185871.0)</f>
        <v>185871</v>
      </c>
    </row>
    <row r="514">
      <c r="A514" s="2">
        <f>IFERROR(__xludf.DUMMYFUNCTION("""COMPUTED_VALUE"""),41298.645833333336)</f>
        <v>41298.64583</v>
      </c>
      <c r="B514" s="1">
        <f>IFERROR(__xludf.DUMMYFUNCTION("""COMPUTED_VALUE"""),29360.0)</f>
        <v>29360</v>
      </c>
      <c r="C514" s="1">
        <f>IFERROR(__xludf.DUMMYFUNCTION("""COMPUTED_VALUE"""),29380.0)</f>
        <v>29380</v>
      </c>
      <c r="D514" s="1">
        <f>IFERROR(__xludf.DUMMYFUNCTION("""COMPUTED_VALUE"""),28820.0)</f>
        <v>28820</v>
      </c>
      <c r="E514" s="1">
        <f>IFERROR(__xludf.DUMMYFUNCTION("""COMPUTED_VALUE"""),29060.0)</f>
        <v>29060</v>
      </c>
      <c r="F514" s="1">
        <f>IFERROR(__xludf.DUMMYFUNCTION("""COMPUTED_VALUE"""),319981.0)</f>
        <v>319981</v>
      </c>
    </row>
    <row r="515">
      <c r="A515" s="2">
        <f>IFERROR(__xludf.DUMMYFUNCTION("""COMPUTED_VALUE"""),41299.645833333336)</f>
        <v>41299.64583</v>
      </c>
      <c r="B515" s="1">
        <f>IFERROR(__xludf.DUMMYFUNCTION("""COMPUTED_VALUE"""),29200.0)</f>
        <v>29200</v>
      </c>
      <c r="C515" s="1">
        <f>IFERROR(__xludf.DUMMYFUNCTION("""COMPUTED_VALUE"""),29220.0)</f>
        <v>29220</v>
      </c>
      <c r="D515" s="1">
        <f>IFERROR(__xludf.DUMMYFUNCTION("""COMPUTED_VALUE"""),28100.0)</f>
        <v>28100</v>
      </c>
      <c r="E515" s="1">
        <f>IFERROR(__xludf.DUMMYFUNCTION("""COMPUTED_VALUE"""),28340.0)</f>
        <v>28340</v>
      </c>
      <c r="F515" s="1">
        <f>IFERROR(__xludf.DUMMYFUNCTION("""COMPUTED_VALUE"""),435905.0)</f>
        <v>435905</v>
      </c>
    </row>
    <row r="516">
      <c r="A516" s="2">
        <f>IFERROR(__xludf.DUMMYFUNCTION("""COMPUTED_VALUE"""),41302.645833333336)</f>
        <v>41302.64583</v>
      </c>
      <c r="B516" s="1">
        <f>IFERROR(__xludf.DUMMYFUNCTION("""COMPUTED_VALUE"""),27920.0)</f>
        <v>27920</v>
      </c>
      <c r="C516" s="1">
        <f>IFERROR(__xludf.DUMMYFUNCTION("""COMPUTED_VALUE"""),28020.0)</f>
        <v>28020</v>
      </c>
      <c r="D516" s="1">
        <f>IFERROR(__xludf.DUMMYFUNCTION("""COMPUTED_VALUE"""),27420.0)</f>
        <v>27420</v>
      </c>
      <c r="E516" s="1">
        <f>IFERROR(__xludf.DUMMYFUNCTION("""COMPUTED_VALUE"""),27440.0)</f>
        <v>27440</v>
      </c>
      <c r="F516" s="1">
        <f>IFERROR(__xludf.DUMMYFUNCTION("""COMPUTED_VALUE"""),617043.0)</f>
        <v>617043</v>
      </c>
    </row>
    <row r="517">
      <c r="A517" s="2">
        <f>IFERROR(__xludf.DUMMYFUNCTION("""COMPUTED_VALUE"""),41303.645833333336)</f>
        <v>41303.64583</v>
      </c>
      <c r="B517" s="1">
        <f>IFERROR(__xludf.DUMMYFUNCTION("""COMPUTED_VALUE"""),27800.0)</f>
        <v>27800</v>
      </c>
      <c r="C517" s="1">
        <f>IFERROR(__xludf.DUMMYFUNCTION("""COMPUTED_VALUE"""),28360.0)</f>
        <v>28360</v>
      </c>
      <c r="D517" s="1">
        <f>IFERROR(__xludf.DUMMYFUNCTION("""COMPUTED_VALUE"""),27600.0)</f>
        <v>27600</v>
      </c>
      <c r="E517" s="1">
        <f>IFERROR(__xludf.DUMMYFUNCTION("""COMPUTED_VALUE"""),28180.0)</f>
        <v>28180</v>
      </c>
      <c r="F517" s="1">
        <f>IFERROR(__xludf.DUMMYFUNCTION("""COMPUTED_VALUE"""),432331.0)</f>
        <v>432331</v>
      </c>
    </row>
    <row r="518">
      <c r="A518" s="2">
        <f>IFERROR(__xludf.DUMMYFUNCTION("""COMPUTED_VALUE"""),41304.645833333336)</f>
        <v>41304.64583</v>
      </c>
      <c r="B518" s="1">
        <f>IFERROR(__xludf.DUMMYFUNCTION("""COMPUTED_VALUE"""),28520.0)</f>
        <v>28520</v>
      </c>
      <c r="C518" s="1">
        <f>IFERROR(__xludf.DUMMYFUNCTION("""COMPUTED_VALUE"""),28800.0)</f>
        <v>28800</v>
      </c>
      <c r="D518" s="1">
        <f>IFERROR(__xludf.DUMMYFUNCTION("""COMPUTED_VALUE"""),28240.0)</f>
        <v>28240</v>
      </c>
      <c r="E518" s="1">
        <f>IFERROR(__xludf.DUMMYFUNCTION("""COMPUTED_VALUE"""),28800.0)</f>
        <v>28800</v>
      </c>
      <c r="F518" s="1">
        <f>IFERROR(__xludf.DUMMYFUNCTION("""COMPUTED_VALUE"""),323402.0)</f>
        <v>323402</v>
      </c>
    </row>
    <row r="519">
      <c r="A519" s="2">
        <f>IFERROR(__xludf.DUMMYFUNCTION("""COMPUTED_VALUE"""),41305.645833333336)</f>
        <v>41305.64583</v>
      </c>
      <c r="B519" s="1">
        <f>IFERROR(__xludf.DUMMYFUNCTION("""COMPUTED_VALUE"""),28600.0)</f>
        <v>28600</v>
      </c>
      <c r="C519" s="1">
        <f>IFERROR(__xludf.DUMMYFUNCTION("""COMPUTED_VALUE"""),28960.0)</f>
        <v>28960</v>
      </c>
      <c r="D519" s="1">
        <f>IFERROR(__xludf.DUMMYFUNCTION("""COMPUTED_VALUE"""),28440.0)</f>
        <v>28440</v>
      </c>
      <c r="E519" s="1">
        <f>IFERROR(__xludf.DUMMYFUNCTION("""COMPUTED_VALUE"""),28960.0)</f>
        <v>28960</v>
      </c>
      <c r="F519" s="1">
        <f>IFERROR(__xludf.DUMMYFUNCTION("""COMPUTED_VALUE"""),321056.0)</f>
        <v>321056</v>
      </c>
    </row>
    <row r="520">
      <c r="A520" s="2">
        <f>IFERROR(__xludf.DUMMYFUNCTION("""COMPUTED_VALUE"""),41306.645833333336)</f>
        <v>41306.64583</v>
      </c>
      <c r="B520" s="1">
        <f>IFERROR(__xludf.DUMMYFUNCTION("""COMPUTED_VALUE"""),29200.0)</f>
        <v>29200</v>
      </c>
      <c r="C520" s="1">
        <f>IFERROR(__xludf.DUMMYFUNCTION("""COMPUTED_VALUE"""),29200.0)</f>
        <v>29200</v>
      </c>
      <c r="D520" s="1">
        <f>IFERROR(__xludf.DUMMYFUNCTION("""COMPUTED_VALUE"""),28440.0)</f>
        <v>28440</v>
      </c>
      <c r="E520" s="1">
        <f>IFERROR(__xludf.DUMMYFUNCTION("""COMPUTED_VALUE"""),28820.0)</f>
        <v>28820</v>
      </c>
      <c r="F520" s="1">
        <f>IFERROR(__xludf.DUMMYFUNCTION("""COMPUTED_VALUE"""),231524.0)</f>
        <v>231524</v>
      </c>
    </row>
    <row r="521">
      <c r="A521" s="2">
        <f>IFERROR(__xludf.DUMMYFUNCTION("""COMPUTED_VALUE"""),41309.645833333336)</f>
        <v>41309.64583</v>
      </c>
      <c r="B521" s="1">
        <f>IFERROR(__xludf.DUMMYFUNCTION("""COMPUTED_VALUE"""),29000.0)</f>
        <v>29000</v>
      </c>
      <c r="C521" s="1">
        <f>IFERROR(__xludf.DUMMYFUNCTION("""COMPUTED_VALUE"""),29060.0)</f>
        <v>29060</v>
      </c>
      <c r="D521" s="1">
        <f>IFERROR(__xludf.DUMMYFUNCTION("""COMPUTED_VALUE"""),28340.0)</f>
        <v>28340</v>
      </c>
      <c r="E521" s="1">
        <f>IFERROR(__xludf.DUMMYFUNCTION("""COMPUTED_VALUE"""),28740.0)</f>
        <v>28740</v>
      </c>
      <c r="F521" s="1">
        <f>IFERROR(__xludf.DUMMYFUNCTION("""COMPUTED_VALUE"""),257238.0)</f>
        <v>257238</v>
      </c>
    </row>
    <row r="522">
      <c r="A522" s="2">
        <f>IFERROR(__xludf.DUMMYFUNCTION("""COMPUTED_VALUE"""),41310.645833333336)</f>
        <v>41310.64583</v>
      </c>
      <c r="B522" s="1">
        <f>IFERROR(__xludf.DUMMYFUNCTION("""COMPUTED_VALUE"""),28300.0)</f>
        <v>28300</v>
      </c>
      <c r="C522" s="1">
        <f>IFERROR(__xludf.DUMMYFUNCTION("""COMPUTED_VALUE"""),28860.0)</f>
        <v>28860</v>
      </c>
      <c r="D522" s="1">
        <f>IFERROR(__xludf.DUMMYFUNCTION("""COMPUTED_VALUE"""),28280.0)</f>
        <v>28280</v>
      </c>
      <c r="E522" s="1">
        <f>IFERROR(__xludf.DUMMYFUNCTION("""COMPUTED_VALUE"""),28700.0)</f>
        <v>28700</v>
      </c>
      <c r="F522" s="1">
        <f>IFERROR(__xludf.DUMMYFUNCTION("""COMPUTED_VALUE"""),227762.0)</f>
        <v>227762</v>
      </c>
    </row>
    <row r="523">
      <c r="A523" s="2">
        <f>IFERROR(__xludf.DUMMYFUNCTION("""COMPUTED_VALUE"""),41311.645833333336)</f>
        <v>41311.64583</v>
      </c>
      <c r="B523" s="1">
        <f>IFERROR(__xludf.DUMMYFUNCTION("""COMPUTED_VALUE"""),28800.0)</f>
        <v>28800</v>
      </c>
      <c r="C523" s="1">
        <f>IFERROR(__xludf.DUMMYFUNCTION("""COMPUTED_VALUE"""),28860.0)</f>
        <v>28860</v>
      </c>
      <c r="D523" s="1">
        <f>IFERROR(__xludf.DUMMYFUNCTION("""COMPUTED_VALUE"""),28540.0)</f>
        <v>28540</v>
      </c>
      <c r="E523" s="1">
        <f>IFERROR(__xludf.DUMMYFUNCTION("""COMPUTED_VALUE"""),28540.0)</f>
        <v>28540</v>
      </c>
      <c r="F523" s="1">
        <f>IFERROR(__xludf.DUMMYFUNCTION("""COMPUTED_VALUE"""),137943.0)</f>
        <v>137943</v>
      </c>
    </row>
    <row r="524">
      <c r="A524" s="2">
        <f>IFERROR(__xludf.DUMMYFUNCTION("""COMPUTED_VALUE"""),41312.645833333336)</f>
        <v>41312.64583</v>
      </c>
      <c r="B524" s="1">
        <f>IFERROR(__xludf.DUMMYFUNCTION("""COMPUTED_VALUE"""),28780.0)</f>
        <v>28780</v>
      </c>
      <c r="C524" s="1">
        <f>IFERROR(__xludf.DUMMYFUNCTION("""COMPUTED_VALUE"""),28780.0)</f>
        <v>28780</v>
      </c>
      <c r="D524" s="1">
        <f>IFERROR(__xludf.DUMMYFUNCTION("""COMPUTED_VALUE"""),28400.0)</f>
        <v>28400</v>
      </c>
      <c r="E524" s="1">
        <f>IFERROR(__xludf.DUMMYFUNCTION("""COMPUTED_VALUE"""),28400.0)</f>
        <v>28400</v>
      </c>
      <c r="F524" s="1">
        <f>IFERROR(__xludf.DUMMYFUNCTION("""COMPUTED_VALUE"""),194422.0)</f>
        <v>194422</v>
      </c>
    </row>
    <row r="525">
      <c r="A525" s="2">
        <f>IFERROR(__xludf.DUMMYFUNCTION("""COMPUTED_VALUE"""),41313.645833333336)</f>
        <v>41313.64583</v>
      </c>
      <c r="B525" s="1">
        <f>IFERROR(__xludf.DUMMYFUNCTION("""COMPUTED_VALUE"""),28360.0)</f>
        <v>28360</v>
      </c>
      <c r="C525" s="1">
        <f>IFERROR(__xludf.DUMMYFUNCTION("""COMPUTED_VALUE"""),29400.0)</f>
        <v>29400</v>
      </c>
      <c r="D525" s="1">
        <f>IFERROR(__xludf.DUMMYFUNCTION("""COMPUTED_VALUE"""),28300.0)</f>
        <v>28300</v>
      </c>
      <c r="E525" s="1">
        <f>IFERROR(__xludf.DUMMYFUNCTION("""COMPUTED_VALUE"""),29240.0)</f>
        <v>29240</v>
      </c>
      <c r="F525" s="1">
        <f>IFERROR(__xludf.DUMMYFUNCTION("""COMPUTED_VALUE"""),268477.0)</f>
        <v>268477</v>
      </c>
    </row>
    <row r="526">
      <c r="A526" s="2">
        <f>IFERROR(__xludf.DUMMYFUNCTION("""COMPUTED_VALUE"""),41317.645833333336)</f>
        <v>41317.64583</v>
      </c>
      <c r="B526" s="1">
        <f>IFERROR(__xludf.DUMMYFUNCTION("""COMPUTED_VALUE"""),29680.0)</f>
        <v>29680</v>
      </c>
      <c r="C526" s="1">
        <f>IFERROR(__xludf.DUMMYFUNCTION("""COMPUTED_VALUE"""),29680.0)</f>
        <v>29680</v>
      </c>
      <c r="D526" s="1">
        <f>IFERROR(__xludf.DUMMYFUNCTION("""COMPUTED_VALUE"""),29180.0)</f>
        <v>29180</v>
      </c>
      <c r="E526" s="1">
        <f>IFERROR(__xludf.DUMMYFUNCTION("""COMPUTED_VALUE"""),29360.0)</f>
        <v>29360</v>
      </c>
      <c r="F526" s="1">
        <f>IFERROR(__xludf.DUMMYFUNCTION("""COMPUTED_VALUE"""),168395.0)</f>
        <v>168395</v>
      </c>
    </row>
    <row r="527">
      <c r="A527" s="2">
        <f>IFERROR(__xludf.DUMMYFUNCTION("""COMPUTED_VALUE"""),41318.645833333336)</f>
        <v>41318.64583</v>
      </c>
      <c r="B527" s="1">
        <f>IFERROR(__xludf.DUMMYFUNCTION("""COMPUTED_VALUE"""),29480.0)</f>
        <v>29480</v>
      </c>
      <c r="C527" s="1">
        <f>IFERROR(__xludf.DUMMYFUNCTION("""COMPUTED_VALUE"""),29780.0)</f>
        <v>29780</v>
      </c>
      <c r="D527" s="1">
        <f>IFERROR(__xludf.DUMMYFUNCTION("""COMPUTED_VALUE"""),29120.0)</f>
        <v>29120</v>
      </c>
      <c r="E527" s="1">
        <f>IFERROR(__xludf.DUMMYFUNCTION("""COMPUTED_VALUE"""),29740.0)</f>
        <v>29740</v>
      </c>
      <c r="F527" s="1">
        <f>IFERROR(__xludf.DUMMYFUNCTION("""COMPUTED_VALUE"""),184181.0)</f>
        <v>184181</v>
      </c>
    </row>
    <row r="528">
      <c r="A528" s="2">
        <f>IFERROR(__xludf.DUMMYFUNCTION("""COMPUTED_VALUE"""),41319.645833333336)</f>
        <v>41319.64583</v>
      </c>
      <c r="B528" s="1">
        <f>IFERROR(__xludf.DUMMYFUNCTION("""COMPUTED_VALUE"""),29800.0)</f>
        <v>29800</v>
      </c>
      <c r="C528" s="1">
        <f>IFERROR(__xludf.DUMMYFUNCTION("""COMPUTED_VALUE"""),29880.0)</f>
        <v>29880</v>
      </c>
      <c r="D528" s="1">
        <f>IFERROR(__xludf.DUMMYFUNCTION("""COMPUTED_VALUE"""),29540.0)</f>
        <v>29540</v>
      </c>
      <c r="E528" s="1">
        <f>IFERROR(__xludf.DUMMYFUNCTION("""COMPUTED_VALUE"""),29800.0)</f>
        <v>29800</v>
      </c>
      <c r="F528" s="1">
        <f>IFERROR(__xludf.DUMMYFUNCTION("""COMPUTED_VALUE"""),150682.0)</f>
        <v>150682</v>
      </c>
    </row>
    <row r="529">
      <c r="A529" s="2">
        <f>IFERROR(__xludf.DUMMYFUNCTION("""COMPUTED_VALUE"""),41320.645833333336)</f>
        <v>41320.64583</v>
      </c>
      <c r="B529" s="1">
        <f>IFERROR(__xludf.DUMMYFUNCTION("""COMPUTED_VALUE"""),29800.0)</f>
        <v>29800</v>
      </c>
      <c r="C529" s="1">
        <f>IFERROR(__xludf.DUMMYFUNCTION("""COMPUTED_VALUE"""),29960.0)</f>
        <v>29960</v>
      </c>
      <c r="D529" s="1">
        <f>IFERROR(__xludf.DUMMYFUNCTION("""COMPUTED_VALUE"""),29540.0)</f>
        <v>29540</v>
      </c>
      <c r="E529" s="1">
        <f>IFERROR(__xludf.DUMMYFUNCTION("""COMPUTED_VALUE"""),29960.0)</f>
        <v>29960</v>
      </c>
      <c r="F529" s="1">
        <f>IFERROR(__xludf.DUMMYFUNCTION("""COMPUTED_VALUE"""),151999.0)</f>
        <v>151999</v>
      </c>
    </row>
    <row r="530">
      <c r="A530" s="2">
        <f>IFERROR(__xludf.DUMMYFUNCTION("""COMPUTED_VALUE"""),41323.645833333336)</f>
        <v>41323.64583</v>
      </c>
      <c r="B530" s="1">
        <f>IFERROR(__xludf.DUMMYFUNCTION("""COMPUTED_VALUE"""),29800.0)</f>
        <v>29800</v>
      </c>
      <c r="C530" s="1">
        <f>IFERROR(__xludf.DUMMYFUNCTION("""COMPUTED_VALUE"""),30020.0)</f>
        <v>30020</v>
      </c>
      <c r="D530" s="1">
        <f>IFERROR(__xludf.DUMMYFUNCTION("""COMPUTED_VALUE"""),29620.0)</f>
        <v>29620</v>
      </c>
      <c r="E530" s="1">
        <f>IFERROR(__xludf.DUMMYFUNCTION("""COMPUTED_VALUE"""),29800.0)</f>
        <v>29800</v>
      </c>
      <c r="F530" s="1">
        <f>IFERROR(__xludf.DUMMYFUNCTION("""COMPUTED_VALUE"""),142199.0)</f>
        <v>142199</v>
      </c>
    </row>
    <row r="531">
      <c r="A531" s="2">
        <f>IFERROR(__xludf.DUMMYFUNCTION("""COMPUTED_VALUE"""),41324.645833333336)</f>
        <v>41324.64583</v>
      </c>
      <c r="B531" s="1">
        <f>IFERROR(__xludf.DUMMYFUNCTION("""COMPUTED_VALUE"""),29600.0)</f>
        <v>29600</v>
      </c>
      <c r="C531" s="1">
        <f>IFERROR(__xludf.DUMMYFUNCTION("""COMPUTED_VALUE"""),29980.0)</f>
        <v>29980</v>
      </c>
      <c r="D531" s="1">
        <f>IFERROR(__xludf.DUMMYFUNCTION("""COMPUTED_VALUE"""),29580.0)</f>
        <v>29580</v>
      </c>
      <c r="E531" s="1">
        <f>IFERROR(__xludf.DUMMYFUNCTION("""COMPUTED_VALUE"""),29840.0)</f>
        <v>29840</v>
      </c>
      <c r="F531" s="1">
        <f>IFERROR(__xludf.DUMMYFUNCTION("""COMPUTED_VALUE"""),122645.0)</f>
        <v>122645</v>
      </c>
    </row>
    <row r="532">
      <c r="A532" s="2">
        <f>IFERROR(__xludf.DUMMYFUNCTION("""COMPUTED_VALUE"""),41325.645833333336)</f>
        <v>41325.64583</v>
      </c>
      <c r="B532" s="1">
        <f>IFERROR(__xludf.DUMMYFUNCTION("""COMPUTED_VALUE"""),30040.0)</f>
        <v>30040</v>
      </c>
      <c r="C532" s="1">
        <f>IFERROR(__xludf.DUMMYFUNCTION("""COMPUTED_VALUE"""),30900.0)</f>
        <v>30900</v>
      </c>
      <c r="D532" s="1">
        <f>IFERROR(__xludf.DUMMYFUNCTION("""COMPUTED_VALUE"""),29940.0)</f>
        <v>29940</v>
      </c>
      <c r="E532" s="1">
        <f>IFERROR(__xludf.DUMMYFUNCTION("""COMPUTED_VALUE"""),30900.0)</f>
        <v>30900</v>
      </c>
      <c r="F532" s="1">
        <f>IFERROR(__xludf.DUMMYFUNCTION("""COMPUTED_VALUE"""),360787.0)</f>
        <v>360787</v>
      </c>
    </row>
    <row r="533">
      <c r="A533" s="2">
        <f>IFERROR(__xludf.DUMMYFUNCTION("""COMPUTED_VALUE"""),41326.645833333336)</f>
        <v>41326.64583</v>
      </c>
      <c r="B533" s="1">
        <f>IFERROR(__xludf.DUMMYFUNCTION("""COMPUTED_VALUE"""),30800.0)</f>
        <v>30800</v>
      </c>
      <c r="C533" s="1">
        <f>IFERROR(__xludf.DUMMYFUNCTION("""COMPUTED_VALUE"""),31160.0)</f>
        <v>31160</v>
      </c>
      <c r="D533" s="1">
        <f>IFERROR(__xludf.DUMMYFUNCTION("""COMPUTED_VALUE"""),30700.0)</f>
        <v>30700</v>
      </c>
      <c r="E533" s="1">
        <f>IFERROR(__xludf.DUMMYFUNCTION("""COMPUTED_VALUE"""),31000.0)</f>
        <v>31000</v>
      </c>
      <c r="F533" s="1">
        <f>IFERROR(__xludf.DUMMYFUNCTION("""COMPUTED_VALUE"""),262473.0)</f>
        <v>262473</v>
      </c>
    </row>
    <row r="534">
      <c r="A534" s="2">
        <f>IFERROR(__xludf.DUMMYFUNCTION("""COMPUTED_VALUE"""),41327.645833333336)</f>
        <v>41327.64583</v>
      </c>
      <c r="B534" s="1">
        <f>IFERROR(__xludf.DUMMYFUNCTION("""COMPUTED_VALUE"""),30600.0)</f>
        <v>30600</v>
      </c>
      <c r="C534" s="1">
        <f>IFERROR(__xludf.DUMMYFUNCTION("""COMPUTED_VALUE"""),30960.0)</f>
        <v>30960</v>
      </c>
      <c r="D534" s="1">
        <f>IFERROR(__xludf.DUMMYFUNCTION("""COMPUTED_VALUE"""),30400.0)</f>
        <v>30400</v>
      </c>
      <c r="E534" s="1">
        <f>IFERROR(__xludf.DUMMYFUNCTION("""COMPUTED_VALUE"""),30600.0)</f>
        <v>30600</v>
      </c>
      <c r="F534" s="1">
        <f>IFERROR(__xludf.DUMMYFUNCTION("""COMPUTED_VALUE"""),277053.0)</f>
        <v>277053</v>
      </c>
    </row>
    <row r="535">
      <c r="A535" s="2">
        <f>IFERROR(__xludf.DUMMYFUNCTION("""COMPUTED_VALUE"""),41330.645833333336)</f>
        <v>41330.64583</v>
      </c>
      <c r="B535" s="1">
        <f>IFERROR(__xludf.DUMMYFUNCTION("""COMPUTED_VALUE"""),30980.0)</f>
        <v>30980</v>
      </c>
      <c r="C535" s="1">
        <f>IFERROR(__xludf.DUMMYFUNCTION("""COMPUTED_VALUE"""),30980.0)</f>
        <v>30980</v>
      </c>
      <c r="D535" s="1">
        <f>IFERROR(__xludf.DUMMYFUNCTION("""COMPUTED_VALUE"""),30600.0)</f>
        <v>30600</v>
      </c>
      <c r="E535" s="1">
        <f>IFERROR(__xludf.DUMMYFUNCTION("""COMPUTED_VALUE"""),30600.0)</f>
        <v>30600</v>
      </c>
      <c r="F535" s="1">
        <f>IFERROR(__xludf.DUMMYFUNCTION("""COMPUTED_VALUE"""),177951.0)</f>
        <v>177951</v>
      </c>
    </row>
    <row r="536">
      <c r="A536" s="2">
        <f>IFERROR(__xludf.DUMMYFUNCTION("""COMPUTED_VALUE"""),41331.645833333336)</f>
        <v>41331.64583</v>
      </c>
      <c r="B536" s="1">
        <f>IFERROR(__xludf.DUMMYFUNCTION("""COMPUTED_VALUE"""),30300.0)</f>
        <v>30300</v>
      </c>
      <c r="C536" s="1">
        <f>IFERROR(__xludf.DUMMYFUNCTION("""COMPUTED_VALUE"""),30760.0)</f>
        <v>30760</v>
      </c>
      <c r="D536" s="1">
        <f>IFERROR(__xludf.DUMMYFUNCTION("""COMPUTED_VALUE"""),30160.0)</f>
        <v>30160</v>
      </c>
      <c r="E536" s="1">
        <f>IFERROR(__xludf.DUMMYFUNCTION("""COMPUTED_VALUE"""),30540.0)</f>
        <v>30540</v>
      </c>
      <c r="F536" s="1">
        <f>IFERROR(__xludf.DUMMYFUNCTION("""COMPUTED_VALUE"""),184895.0)</f>
        <v>184895</v>
      </c>
    </row>
    <row r="537">
      <c r="A537" s="2">
        <f>IFERROR(__xludf.DUMMYFUNCTION("""COMPUTED_VALUE"""),41332.645833333336)</f>
        <v>41332.64583</v>
      </c>
      <c r="B537" s="1">
        <f>IFERROR(__xludf.DUMMYFUNCTION("""COMPUTED_VALUE"""),31180.0)</f>
        <v>31180</v>
      </c>
      <c r="C537" s="1">
        <f>IFERROR(__xludf.DUMMYFUNCTION("""COMPUTED_VALUE"""),31180.0)</f>
        <v>31180</v>
      </c>
      <c r="D537" s="1">
        <f>IFERROR(__xludf.DUMMYFUNCTION("""COMPUTED_VALUE"""),30380.0)</f>
        <v>30380</v>
      </c>
      <c r="E537" s="1">
        <f>IFERROR(__xludf.DUMMYFUNCTION("""COMPUTED_VALUE"""),30540.0)</f>
        <v>30540</v>
      </c>
      <c r="F537" s="1">
        <f>IFERROR(__xludf.DUMMYFUNCTION("""COMPUTED_VALUE"""),178764.0)</f>
        <v>178764</v>
      </c>
    </row>
    <row r="538">
      <c r="A538" s="2">
        <f>IFERROR(__xludf.DUMMYFUNCTION("""COMPUTED_VALUE"""),41333.645833333336)</f>
        <v>41333.64583</v>
      </c>
      <c r="B538" s="1">
        <f>IFERROR(__xludf.DUMMYFUNCTION("""COMPUTED_VALUE"""),30600.0)</f>
        <v>30600</v>
      </c>
      <c r="C538" s="1">
        <f>IFERROR(__xludf.DUMMYFUNCTION("""COMPUTED_VALUE"""),31080.0)</f>
        <v>31080</v>
      </c>
      <c r="D538" s="1">
        <f>IFERROR(__xludf.DUMMYFUNCTION("""COMPUTED_VALUE"""),30600.0)</f>
        <v>30600</v>
      </c>
      <c r="E538" s="1">
        <f>IFERROR(__xludf.DUMMYFUNCTION("""COMPUTED_VALUE"""),30880.0)</f>
        <v>30880</v>
      </c>
      <c r="F538" s="1">
        <f>IFERROR(__xludf.DUMMYFUNCTION("""COMPUTED_VALUE"""),255684.0)</f>
        <v>255684</v>
      </c>
    </row>
    <row r="539">
      <c r="A539" s="2">
        <f>IFERROR(__xludf.DUMMYFUNCTION("""COMPUTED_VALUE"""),41337.645833333336)</f>
        <v>41337.64583</v>
      </c>
      <c r="B539" s="1">
        <f>IFERROR(__xludf.DUMMYFUNCTION("""COMPUTED_VALUE"""),31260.0)</f>
        <v>31260</v>
      </c>
      <c r="C539" s="1">
        <f>IFERROR(__xludf.DUMMYFUNCTION("""COMPUTED_VALUE"""),31260.0)</f>
        <v>31260</v>
      </c>
      <c r="D539" s="1">
        <f>IFERROR(__xludf.DUMMYFUNCTION("""COMPUTED_VALUE"""),30600.0)</f>
        <v>30600</v>
      </c>
      <c r="E539" s="1">
        <f>IFERROR(__xludf.DUMMYFUNCTION("""COMPUTED_VALUE"""),30780.0)</f>
        <v>30780</v>
      </c>
      <c r="F539" s="1">
        <f>IFERROR(__xludf.DUMMYFUNCTION("""COMPUTED_VALUE"""),265537.0)</f>
        <v>265537</v>
      </c>
    </row>
    <row r="540">
      <c r="A540" s="2">
        <f>IFERROR(__xludf.DUMMYFUNCTION("""COMPUTED_VALUE"""),41338.645833333336)</f>
        <v>41338.64583</v>
      </c>
      <c r="B540" s="1">
        <f>IFERROR(__xludf.DUMMYFUNCTION("""COMPUTED_VALUE"""),31120.0)</f>
        <v>31120</v>
      </c>
      <c r="C540" s="1">
        <f>IFERROR(__xludf.DUMMYFUNCTION("""COMPUTED_VALUE"""),31280.0)</f>
        <v>31280</v>
      </c>
      <c r="D540" s="1">
        <f>IFERROR(__xludf.DUMMYFUNCTION("""COMPUTED_VALUE"""),30960.0)</f>
        <v>30960</v>
      </c>
      <c r="E540" s="1">
        <f>IFERROR(__xludf.DUMMYFUNCTION("""COMPUTED_VALUE"""),31000.0)</f>
        <v>31000</v>
      </c>
      <c r="F540" s="1">
        <f>IFERROR(__xludf.DUMMYFUNCTION("""COMPUTED_VALUE"""),185892.0)</f>
        <v>185892</v>
      </c>
    </row>
    <row r="541">
      <c r="A541" s="2">
        <f>IFERROR(__xludf.DUMMYFUNCTION("""COMPUTED_VALUE"""),41339.645833333336)</f>
        <v>41339.64583</v>
      </c>
      <c r="B541" s="1">
        <f>IFERROR(__xludf.DUMMYFUNCTION("""COMPUTED_VALUE"""),31440.0)</f>
        <v>31440</v>
      </c>
      <c r="C541" s="1">
        <f>IFERROR(__xludf.DUMMYFUNCTION("""COMPUTED_VALUE"""),31500.0)</f>
        <v>31500</v>
      </c>
      <c r="D541" s="1">
        <f>IFERROR(__xludf.DUMMYFUNCTION("""COMPUTED_VALUE"""),30940.0)</f>
        <v>30940</v>
      </c>
      <c r="E541" s="1">
        <f>IFERROR(__xludf.DUMMYFUNCTION("""COMPUTED_VALUE"""),31200.0)</f>
        <v>31200</v>
      </c>
      <c r="F541" s="1">
        <f>IFERROR(__xludf.DUMMYFUNCTION("""COMPUTED_VALUE"""),202973.0)</f>
        <v>202973</v>
      </c>
    </row>
    <row r="542">
      <c r="A542" s="2">
        <f>IFERROR(__xludf.DUMMYFUNCTION("""COMPUTED_VALUE"""),41340.645833333336)</f>
        <v>41340.64583</v>
      </c>
      <c r="B542" s="1">
        <f>IFERROR(__xludf.DUMMYFUNCTION("""COMPUTED_VALUE"""),30960.0)</f>
        <v>30960</v>
      </c>
      <c r="C542" s="1">
        <f>IFERROR(__xludf.DUMMYFUNCTION("""COMPUTED_VALUE"""),31000.0)</f>
        <v>31000</v>
      </c>
      <c r="D542" s="1">
        <f>IFERROR(__xludf.DUMMYFUNCTION("""COMPUTED_VALUE"""),30240.0)</f>
        <v>30240</v>
      </c>
      <c r="E542" s="1">
        <f>IFERROR(__xludf.DUMMYFUNCTION("""COMPUTED_VALUE"""),30400.0)</f>
        <v>30400</v>
      </c>
      <c r="F542" s="1">
        <f>IFERROR(__xludf.DUMMYFUNCTION("""COMPUTED_VALUE"""),269654.0)</f>
        <v>269654</v>
      </c>
    </row>
    <row r="543">
      <c r="A543" s="2">
        <f>IFERROR(__xludf.DUMMYFUNCTION("""COMPUTED_VALUE"""),41341.645833333336)</f>
        <v>41341.64583</v>
      </c>
      <c r="B543" s="1">
        <f>IFERROR(__xludf.DUMMYFUNCTION("""COMPUTED_VALUE"""),30300.0)</f>
        <v>30300</v>
      </c>
      <c r="C543" s="1">
        <f>IFERROR(__xludf.DUMMYFUNCTION("""COMPUTED_VALUE"""),30340.0)</f>
        <v>30340</v>
      </c>
      <c r="D543" s="1">
        <f>IFERROR(__xludf.DUMMYFUNCTION("""COMPUTED_VALUE"""),29780.0)</f>
        <v>29780</v>
      </c>
      <c r="E543" s="1">
        <f>IFERROR(__xludf.DUMMYFUNCTION("""COMPUTED_VALUE"""),29980.0)</f>
        <v>29980</v>
      </c>
      <c r="F543" s="1">
        <f>IFERROR(__xludf.DUMMYFUNCTION("""COMPUTED_VALUE"""),378820.0)</f>
        <v>378820</v>
      </c>
    </row>
    <row r="544">
      <c r="A544" s="2">
        <f>IFERROR(__xludf.DUMMYFUNCTION("""COMPUTED_VALUE"""),41344.645833333336)</f>
        <v>41344.64583</v>
      </c>
      <c r="B544" s="1">
        <f>IFERROR(__xludf.DUMMYFUNCTION("""COMPUTED_VALUE"""),29860.0)</f>
        <v>29860</v>
      </c>
      <c r="C544" s="1">
        <f>IFERROR(__xludf.DUMMYFUNCTION("""COMPUTED_VALUE"""),30240.0)</f>
        <v>30240</v>
      </c>
      <c r="D544" s="1">
        <f>IFERROR(__xludf.DUMMYFUNCTION("""COMPUTED_VALUE"""),29700.0)</f>
        <v>29700</v>
      </c>
      <c r="E544" s="1">
        <f>IFERROR(__xludf.DUMMYFUNCTION("""COMPUTED_VALUE"""),30160.0)</f>
        <v>30160</v>
      </c>
      <c r="F544" s="1">
        <f>IFERROR(__xludf.DUMMYFUNCTION("""COMPUTED_VALUE"""),274965.0)</f>
        <v>274965</v>
      </c>
    </row>
    <row r="545">
      <c r="A545" s="2">
        <f>IFERROR(__xludf.DUMMYFUNCTION("""COMPUTED_VALUE"""),41345.645833333336)</f>
        <v>41345.64583</v>
      </c>
      <c r="B545" s="1">
        <f>IFERROR(__xludf.DUMMYFUNCTION("""COMPUTED_VALUE"""),30080.0)</f>
        <v>30080</v>
      </c>
      <c r="C545" s="1">
        <f>IFERROR(__xludf.DUMMYFUNCTION("""COMPUTED_VALUE"""),30240.0)</f>
        <v>30240</v>
      </c>
      <c r="D545" s="1">
        <f>IFERROR(__xludf.DUMMYFUNCTION("""COMPUTED_VALUE"""),29800.0)</f>
        <v>29800</v>
      </c>
      <c r="E545" s="1">
        <f>IFERROR(__xludf.DUMMYFUNCTION("""COMPUTED_VALUE"""),29880.0)</f>
        <v>29880</v>
      </c>
      <c r="F545" s="1">
        <f>IFERROR(__xludf.DUMMYFUNCTION("""COMPUTED_VALUE"""),174931.0)</f>
        <v>174931</v>
      </c>
    </row>
    <row r="546">
      <c r="A546" s="2">
        <f>IFERROR(__xludf.DUMMYFUNCTION("""COMPUTED_VALUE"""),41346.645833333336)</f>
        <v>41346.64583</v>
      </c>
      <c r="B546" s="1">
        <f>IFERROR(__xludf.DUMMYFUNCTION("""COMPUTED_VALUE"""),30120.0)</f>
        <v>30120</v>
      </c>
      <c r="C546" s="1">
        <f>IFERROR(__xludf.DUMMYFUNCTION("""COMPUTED_VALUE"""),30580.0)</f>
        <v>30580</v>
      </c>
      <c r="D546" s="1">
        <f>IFERROR(__xludf.DUMMYFUNCTION("""COMPUTED_VALUE"""),30020.0)</f>
        <v>30020</v>
      </c>
      <c r="E546" s="1">
        <f>IFERROR(__xludf.DUMMYFUNCTION("""COMPUTED_VALUE"""),30540.0)</f>
        <v>30540</v>
      </c>
      <c r="F546" s="1">
        <f>IFERROR(__xludf.DUMMYFUNCTION("""COMPUTED_VALUE"""),226071.0)</f>
        <v>226071</v>
      </c>
    </row>
    <row r="547">
      <c r="A547" s="2">
        <f>IFERROR(__xludf.DUMMYFUNCTION("""COMPUTED_VALUE"""),41347.645833333336)</f>
        <v>41347.64583</v>
      </c>
      <c r="B547" s="1">
        <f>IFERROR(__xludf.DUMMYFUNCTION("""COMPUTED_VALUE"""),30560.0)</f>
        <v>30560</v>
      </c>
      <c r="C547" s="1">
        <f>IFERROR(__xludf.DUMMYFUNCTION("""COMPUTED_VALUE"""),30680.0)</f>
        <v>30680</v>
      </c>
      <c r="D547" s="1">
        <f>IFERROR(__xludf.DUMMYFUNCTION("""COMPUTED_VALUE"""),29980.0)</f>
        <v>29980</v>
      </c>
      <c r="E547" s="1">
        <f>IFERROR(__xludf.DUMMYFUNCTION("""COMPUTED_VALUE"""),30400.0)</f>
        <v>30400</v>
      </c>
      <c r="F547" s="1">
        <f>IFERROR(__xludf.DUMMYFUNCTION("""COMPUTED_VALUE"""),251156.0)</f>
        <v>251156</v>
      </c>
    </row>
    <row r="548">
      <c r="A548" s="2">
        <f>IFERROR(__xludf.DUMMYFUNCTION("""COMPUTED_VALUE"""),41348.645833333336)</f>
        <v>41348.64583</v>
      </c>
      <c r="B548" s="1">
        <f>IFERROR(__xludf.DUMMYFUNCTION("""COMPUTED_VALUE"""),30580.0)</f>
        <v>30580</v>
      </c>
      <c r="C548" s="1">
        <f>IFERROR(__xludf.DUMMYFUNCTION("""COMPUTED_VALUE"""),30580.0)</f>
        <v>30580</v>
      </c>
      <c r="D548" s="1">
        <f>IFERROR(__xludf.DUMMYFUNCTION("""COMPUTED_VALUE"""),29600.0)</f>
        <v>29600</v>
      </c>
      <c r="E548" s="1">
        <f>IFERROR(__xludf.DUMMYFUNCTION("""COMPUTED_VALUE"""),29600.0)</f>
        <v>29600</v>
      </c>
      <c r="F548" s="1">
        <f>IFERROR(__xludf.DUMMYFUNCTION("""COMPUTED_VALUE"""),732367.0)</f>
        <v>732367</v>
      </c>
    </row>
    <row r="549">
      <c r="A549" s="2">
        <f>IFERROR(__xludf.DUMMYFUNCTION("""COMPUTED_VALUE"""),41351.645833333336)</f>
        <v>41351.64583</v>
      </c>
      <c r="B549" s="1">
        <f>IFERROR(__xludf.DUMMYFUNCTION("""COMPUTED_VALUE"""),29200.0)</f>
        <v>29200</v>
      </c>
      <c r="C549" s="1">
        <f>IFERROR(__xludf.DUMMYFUNCTION("""COMPUTED_VALUE"""),29200.0)</f>
        <v>29200</v>
      </c>
      <c r="D549" s="1">
        <f>IFERROR(__xludf.DUMMYFUNCTION("""COMPUTED_VALUE"""),28680.0)</f>
        <v>28680</v>
      </c>
      <c r="E549" s="1">
        <f>IFERROR(__xludf.DUMMYFUNCTION("""COMPUTED_VALUE"""),28900.0)</f>
        <v>28900</v>
      </c>
      <c r="F549" s="1">
        <f>IFERROR(__xludf.DUMMYFUNCTION("""COMPUTED_VALUE"""),528791.0)</f>
        <v>528791</v>
      </c>
    </row>
    <row r="550">
      <c r="A550" s="2">
        <f>IFERROR(__xludf.DUMMYFUNCTION("""COMPUTED_VALUE"""),41352.645833333336)</f>
        <v>41352.64583</v>
      </c>
      <c r="B550" s="1">
        <f>IFERROR(__xludf.DUMMYFUNCTION("""COMPUTED_VALUE"""),29000.0)</f>
        <v>29000</v>
      </c>
      <c r="C550" s="1">
        <f>IFERROR(__xludf.DUMMYFUNCTION("""COMPUTED_VALUE"""),29840.0)</f>
        <v>29840</v>
      </c>
      <c r="D550" s="1">
        <f>IFERROR(__xludf.DUMMYFUNCTION("""COMPUTED_VALUE"""),28960.0)</f>
        <v>28960</v>
      </c>
      <c r="E550" s="1">
        <f>IFERROR(__xludf.DUMMYFUNCTION("""COMPUTED_VALUE"""),29500.0)</f>
        <v>29500</v>
      </c>
      <c r="F550" s="1">
        <f>IFERROR(__xludf.DUMMYFUNCTION("""COMPUTED_VALUE"""),279542.0)</f>
        <v>279542</v>
      </c>
    </row>
    <row r="551">
      <c r="A551" s="2">
        <f>IFERROR(__xludf.DUMMYFUNCTION("""COMPUTED_VALUE"""),41353.645833333336)</f>
        <v>41353.64583</v>
      </c>
      <c r="B551" s="1">
        <f>IFERROR(__xludf.DUMMYFUNCTION("""COMPUTED_VALUE"""),29200.0)</f>
        <v>29200</v>
      </c>
      <c r="C551" s="1">
        <f>IFERROR(__xludf.DUMMYFUNCTION("""COMPUTED_VALUE"""),29700.0)</f>
        <v>29700</v>
      </c>
      <c r="D551" s="1">
        <f>IFERROR(__xludf.DUMMYFUNCTION("""COMPUTED_VALUE"""),29120.0)</f>
        <v>29120</v>
      </c>
      <c r="E551" s="1">
        <f>IFERROR(__xludf.DUMMYFUNCTION("""COMPUTED_VALUE"""),29200.0)</f>
        <v>29200</v>
      </c>
      <c r="F551" s="1">
        <f>IFERROR(__xludf.DUMMYFUNCTION("""COMPUTED_VALUE"""),270315.0)</f>
        <v>270315</v>
      </c>
    </row>
    <row r="552">
      <c r="A552" s="2">
        <f>IFERROR(__xludf.DUMMYFUNCTION("""COMPUTED_VALUE"""),41354.645833333336)</f>
        <v>41354.64583</v>
      </c>
      <c r="B552" s="1">
        <f>IFERROR(__xludf.DUMMYFUNCTION("""COMPUTED_VALUE"""),29220.0)</f>
        <v>29220</v>
      </c>
      <c r="C552" s="1">
        <f>IFERROR(__xludf.DUMMYFUNCTION("""COMPUTED_VALUE"""),29480.0)</f>
        <v>29480</v>
      </c>
      <c r="D552" s="1">
        <f>IFERROR(__xludf.DUMMYFUNCTION("""COMPUTED_VALUE"""),29120.0)</f>
        <v>29120</v>
      </c>
      <c r="E552" s="1">
        <f>IFERROR(__xludf.DUMMYFUNCTION("""COMPUTED_VALUE"""),29140.0)</f>
        <v>29140</v>
      </c>
      <c r="F552" s="1">
        <f>IFERROR(__xludf.DUMMYFUNCTION("""COMPUTED_VALUE"""),235371.0)</f>
        <v>235371</v>
      </c>
    </row>
    <row r="553">
      <c r="A553" s="2">
        <f>IFERROR(__xludf.DUMMYFUNCTION("""COMPUTED_VALUE"""),41355.645833333336)</f>
        <v>41355.64583</v>
      </c>
      <c r="B553" s="1">
        <f>IFERROR(__xludf.DUMMYFUNCTION("""COMPUTED_VALUE"""),29160.0)</f>
        <v>29160</v>
      </c>
      <c r="C553" s="1">
        <f>IFERROR(__xludf.DUMMYFUNCTION("""COMPUTED_VALUE"""),29360.0)</f>
        <v>29360</v>
      </c>
      <c r="D553" s="1">
        <f>IFERROR(__xludf.DUMMYFUNCTION("""COMPUTED_VALUE"""),29040.0)</f>
        <v>29040</v>
      </c>
      <c r="E553" s="1">
        <f>IFERROR(__xludf.DUMMYFUNCTION("""COMPUTED_VALUE"""),29100.0)</f>
        <v>29100</v>
      </c>
      <c r="F553" s="1">
        <f>IFERROR(__xludf.DUMMYFUNCTION("""COMPUTED_VALUE"""),213742.0)</f>
        <v>213742</v>
      </c>
    </row>
    <row r="554">
      <c r="A554" s="2">
        <f>IFERROR(__xludf.DUMMYFUNCTION("""COMPUTED_VALUE"""),41358.645833333336)</f>
        <v>41358.64583</v>
      </c>
      <c r="B554" s="1">
        <f>IFERROR(__xludf.DUMMYFUNCTION("""COMPUTED_VALUE"""),29600.0)</f>
        <v>29600</v>
      </c>
      <c r="C554" s="1">
        <f>IFERROR(__xludf.DUMMYFUNCTION("""COMPUTED_VALUE"""),29900.0)</f>
        <v>29900</v>
      </c>
      <c r="D554" s="1">
        <f>IFERROR(__xludf.DUMMYFUNCTION("""COMPUTED_VALUE"""),29400.0)</f>
        <v>29400</v>
      </c>
      <c r="E554" s="1">
        <f>IFERROR(__xludf.DUMMYFUNCTION("""COMPUTED_VALUE"""),29900.0)</f>
        <v>29900</v>
      </c>
      <c r="F554" s="1">
        <f>IFERROR(__xludf.DUMMYFUNCTION("""COMPUTED_VALUE"""),205441.0)</f>
        <v>205441</v>
      </c>
    </row>
    <row r="555">
      <c r="A555" s="2">
        <f>IFERROR(__xludf.DUMMYFUNCTION("""COMPUTED_VALUE"""),41359.645833333336)</f>
        <v>41359.64583</v>
      </c>
      <c r="B555" s="1">
        <f>IFERROR(__xludf.DUMMYFUNCTION("""COMPUTED_VALUE"""),29900.0)</f>
        <v>29900</v>
      </c>
      <c r="C555" s="1">
        <f>IFERROR(__xludf.DUMMYFUNCTION("""COMPUTED_VALUE"""),30440.0)</f>
        <v>30440</v>
      </c>
      <c r="D555" s="1">
        <f>IFERROR(__xludf.DUMMYFUNCTION("""COMPUTED_VALUE"""),29820.0)</f>
        <v>29820</v>
      </c>
      <c r="E555" s="1">
        <f>IFERROR(__xludf.DUMMYFUNCTION("""COMPUTED_VALUE"""),30180.0)</f>
        <v>30180</v>
      </c>
      <c r="F555" s="1">
        <f>IFERROR(__xludf.DUMMYFUNCTION("""COMPUTED_VALUE"""),336600.0)</f>
        <v>336600</v>
      </c>
    </row>
    <row r="556">
      <c r="A556" s="2">
        <f>IFERROR(__xludf.DUMMYFUNCTION("""COMPUTED_VALUE"""),41360.645833333336)</f>
        <v>41360.64583</v>
      </c>
      <c r="B556" s="1">
        <f>IFERROR(__xludf.DUMMYFUNCTION("""COMPUTED_VALUE"""),30300.0)</f>
        <v>30300</v>
      </c>
      <c r="C556" s="1">
        <f>IFERROR(__xludf.DUMMYFUNCTION("""COMPUTED_VALUE"""),30320.0)</f>
        <v>30320</v>
      </c>
      <c r="D556" s="1">
        <f>IFERROR(__xludf.DUMMYFUNCTION("""COMPUTED_VALUE"""),29740.0)</f>
        <v>29740</v>
      </c>
      <c r="E556" s="1">
        <f>IFERROR(__xludf.DUMMYFUNCTION("""COMPUTED_VALUE"""),30080.0)</f>
        <v>30080</v>
      </c>
      <c r="F556" s="1">
        <f>IFERROR(__xludf.DUMMYFUNCTION("""COMPUTED_VALUE"""),257628.0)</f>
        <v>257628</v>
      </c>
    </row>
    <row r="557">
      <c r="A557" s="2">
        <f>IFERROR(__xludf.DUMMYFUNCTION("""COMPUTED_VALUE"""),41361.645833333336)</f>
        <v>41361.64583</v>
      </c>
      <c r="B557" s="1">
        <f>IFERROR(__xludf.DUMMYFUNCTION("""COMPUTED_VALUE"""),30060.0)</f>
        <v>30060</v>
      </c>
      <c r="C557" s="1">
        <f>IFERROR(__xludf.DUMMYFUNCTION("""COMPUTED_VALUE"""),30200.0)</f>
        <v>30200</v>
      </c>
      <c r="D557" s="1">
        <f>IFERROR(__xludf.DUMMYFUNCTION("""COMPUTED_VALUE"""),29940.0)</f>
        <v>29940</v>
      </c>
      <c r="E557" s="1">
        <f>IFERROR(__xludf.DUMMYFUNCTION("""COMPUTED_VALUE"""),30200.0)</f>
        <v>30200</v>
      </c>
      <c r="F557" s="1">
        <f>IFERROR(__xludf.DUMMYFUNCTION("""COMPUTED_VALUE"""),159792.0)</f>
        <v>159792</v>
      </c>
    </row>
    <row r="558">
      <c r="A558" s="2">
        <f>IFERROR(__xludf.DUMMYFUNCTION("""COMPUTED_VALUE"""),41362.645833333336)</f>
        <v>41362.64583</v>
      </c>
      <c r="B558" s="1">
        <f>IFERROR(__xludf.DUMMYFUNCTION("""COMPUTED_VALUE"""),30480.0)</f>
        <v>30480</v>
      </c>
      <c r="C558" s="1">
        <f>IFERROR(__xludf.DUMMYFUNCTION("""COMPUTED_VALUE"""),30640.0)</f>
        <v>30640</v>
      </c>
      <c r="D558" s="1">
        <f>IFERROR(__xludf.DUMMYFUNCTION("""COMPUTED_VALUE"""),30340.0)</f>
        <v>30340</v>
      </c>
      <c r="E558" s="1">
        <f>IFERROR(__xludf.DUMMYFUNCTION("""COMPUTED_VALUE"""),30540.0)</f>
        <v>30540</v>
      </c>
      <c r="F558" s="1">
        <f>IFERROR(__xludf.DUMMYFUNCTION("""COMPUTED_VALUE"""),190674.0)</f>
        <v>190674</v>
      </c>
    </row>
    <row r="559">
      <c r="A559" s="2">
        <f>IFERROR(__xludf.DUMMYFUNCTION("""COMPUTED_VALUE"""),41365.645833333336)</f>
        <v>41365.64583</v>
      </c>
      <c r="B559" s="1">
        <f>IFERROR(__xludf.DUMMYFUNCTION("""COMPUTED_VALUE"""),30700.0)</f>
        <v>30700</v>
      </c>
      <c r="C559" s="1">
        <f>IFERROR(__xludf.DUMMYFUNCTION("""COMPUTED_VALUE"""),30700.0)</f>
        <v>30700</v>
      </c>
      <c r="D559" s="1">
        <f>IFERROR(__xludf.DUMMYFUNCTION("""COMPUTED_VALUE"""),30240.0)</f>
        <v>30240</v>
      </c>
      <c r="E559" s="1">
        <f>IFERROR(__xludf.DUMMYFUNCTION("""COMPUTED_VALUE"""),30240.0)</f>
        <v>30240</v>
      </c>
      <c r="F559" s="1">
        <f>IFERROR(__xludf.DUMMYFUNCTION("""COMPUTED_VALUE"""),105910.0)</f>
        <v>105910</v>
      </c>
    </row>
    <row r="560">
      <c r="A560" s="2">
        <f>IFERROR(__xludf.DUMMYFUNCTION("""COMPUTED_VALUE"""),41366.645833333336)</f>
        <v>41366.64583</v>
      </c>
      <c r="B560" s="1">
        <f>IFERROR(__xludf.DUMMYFUNCTION("""COMPUTED_VALUE"""),30200.0)</f>
        <v>30200</v>
      </c>
      <c r="C560" s="1">
        <f>IFERROR(__xludf.DUMMYFUNCTION("""COMPUTED_VALUE"""),30640.0)</f>
        <v>30640</v>
      </c>
      <c r="D560" s="1">
        <f>IFERROR(__xludf.DUMMYFUNCTION("""COMPUTED_VALUE"""),30200.0)</f>
        <v>30200</v>
      </c>
      <c r="E560" s="1">
        <f>IFERROR(__xludf.DUMMYFUNCTION("""COMPUTED_VALUE"""),30500.0)</f>
        <v>30500</v>
      </c>
      <c r="F560" s="1">
        <f>IFERROR(__xludf.DUMMYFUNCTION("""COMPUTED_VALUE"""),171497.0)</f>
        <v>171497</v>
      </c>
    </row>
    <row r="561">
      <c r="A561" s="2">
        <f>IFERROR(__xludf.DUMMYFUNCTION("""COMPUTED_VALUE"""),41367.645833333336)</f>
        <v>41367.64583</v>
      </c>
      <c r="B561" s="1">
        <f>IFERROR(__xludf.DUMMYFUNCTION("""COMPUTED_VALUE"""),30520.0)</f>
        <v>30520</v>
      </c>
      <c r="C561" s="1">
        <f>IFERROR(__xludf.DUMMYFUNCTION("""COMPUTED_VALUE"""),30560.0)</f>
        <v>30560</v>
      </c>
      <c r="D561" s="1">
        <f>IFERROR(__xludf.DUMMYFUNCTION("""COMPUTED_VALUE"""),30180.0)</f>
        <v>30180</v>
      </c>
      <c r="E561" s="1">
        <f>IFERROR(__xludf.DUMMYFUNCTION("""COMPUTED_VALUE"""),30420.0)</f>
        <v>30420</v>
      </c>
      <c r="F561" s="1">
        <f>IFERROR(__xludf.DUMMYFUNCTION("""COMPUTED_VALUE"""),217654.0)</f>
        <v>217654</v>
      </c>
    </row>
    <row r="562">
      <c r="A562" s="2">
        <f>IFERROR(__xludf.DUMMYFUNCTION("""COMPUTED_VALUE"""),41368.645833333336)</f>
        <v>41368.64583</v>
      </c>
      <c r="B562" s="1">
        <f>IFERROR(__xludf.DUMMYFUNCTION("""COMPUTED_VALUE"""),30340.0)</f>
        <v>30340</v>
      </c>
      <c r="C562" s="1">
        <f>IFERROR(__xludf.DUMMYFUNCTION("""COMPUTED_VALUE"""),30380.0)</f>
        <v>30380</v>
      </c>
      <c r="D562" s="1">
        <f>IFERROR(__xludf.DUMMYFUNCTION("""COMPUTED_VALUE"""),29980.0)</f>
        <v>29980</v>
      </c>
      <c r="E562" s="1">
        <f>IFERROR(__xludf.DUMMYFUNCTION("""COMPUTED_VALUE"""),30120.0)</f>
        <v>30120</v>
      </c>
      <c r="F562" s="1">
        <f>IFERROR(__xludf.DUMMYFUNCTION("""COMPUTED_VALUE"""),214009.0)</f>
        <v>214009</v>
      </c>
    </row>
    <row r="563">
      <c r="A563" s="2">
        <f>IFERROR(__xludf.DUMMYFUNCTION("""COMPUTED_VALUE"""),41369.645833333336)</f>
        <v>41369.64583</v>
      </c>
      <c r="B563" s="1">
        <f>IFERROR(__xludf.DUMMYFUNCTION("""COMPUTED_VALUE"""),30100.0)</f>
        <v>30100</v>
      </c>
      <c r="C563" s="1">
        <f>IFERROR(__xludf.DUMMYFUNCTION("""COMPUTED_VALUE"""),30320.0)</f>
        <v>30320</v>
      </c>
      <c r="D563" s="1">
        <f>IFERROR(__xludf.DUMMYFUNCTION("""COMPUTED_VALUE"""),29860.0)</f>
        <v>29860</v>
      </c>
      <c r="E563" s="1">
        <f>IFERROR(__xludf.DUMMYFUNCTION("""COMPUTED_VALUE"""),30100.0)</f>
        <v>30100</v>
      </c>
      <c r="F563" s="1">
        <f>IFERROR(__xludf.DUMMYFUNCTION("""COMPUTED_VALUE"""),299547.0)</f>
        <v>299547</v>
      </c>
    </row>
    <row r="564">
      <c r="A564" s="2">
        <f>IFERROR(__xludf.DUMMYFUNCTION("""COMPUTED_VALUE"""),41372.645833333336)</f>
        <v>41372.64583</v>
      </c>
      <c r="B564" s="1">
        <f>IFERROR(__xludf.DUMMYFUNCTION("""COMPUTED_VALUE"""),30100.0)</f>
        <v>30100</v>
      </c>
      <c r="C564" s="1">
        <f>IFERROR(__xludf.DUMMYFUNCTION("""COMPUTED_VALUE"""),30620.0)</f>
        <v>30620</v>
      </c>
      <c r="D564" s="1">
        <f>IFERROR(__xludf.DUMMYFUNCTION("""COMPUTED_VALUE"""),29940.0)</f>
        <v>29940</v>
      </c>
      <c r="E564" s="1">
        <f>IFERROR(__xludf.DUMMYFUNCTION("""COMPUTED_VALUE"""),30400.0)</f>
        <v>30400</v>
      </c>
      <c r="F564" s="1">
        <f>IFERROR(__xludf.DUMMYFUNCTION("""COMPUTED_VALUE"""),259190.0)</f>
        <v>259190</v>
      </c>
    </row>
    <row r="565">
      <c r="A565" s="2">
        <f>IFERROR(__xludf.DUMMYFUNCTION("""COMPUTED_VALUE"""),41373.645833333336)</f>
        <v>41373.64583</v>
      </c>
      <c r="B565" s="1">
        <f>IFERROR(__xludf.DUMMYFUNCTION("""COMPUTED_VALUE"""),30540.0)</f>
        <v>30540</v>
      </c>
      <c r="C565" s="1">
        <f>IFERROR(__xludf.DUMMYFUNCTION("""COMPUTED_VALUE"""),30600.0)</f>
        <v>30600</v>
      </c>
      <c r="D565" s="1">
        <f>IFERROR(__xludf.DUMMYFUNCTION("""COMPUTED_VALUE"""),30200.0)</f>
        <v>30200</v>
      </c>
      <c r="E565" s="1">
        <f>IFERROR(__xludf.DUMMYFUNCTION("""COMPUTED_VALUE"""),30560.0)</f>
        <v>30560</v>
      </c>
      <c r="F565" s="1">
        <f>IFERROR(__xludf.DUMMYFUNCTION("""COMPUTED_VALUE"""),184880.0)</f>
        <v>184880</v>
      </c>
    </row>
    <row r="566">
      <c r="A566" s="2">
        <f>IFERROR(__xludf.DUMMYFUNCTION("""COMPUTED_VALUE"""),41374.645833333336)</f>
        <v>41374.64583</v>
      </c>
      <c r="B566" s="1">
        <f>IFERROR(__xludf.DUMMYFUNCTION("""COMPUTED_VALUE"""),30800.0)</f>
        <v>30800</v>
      </c>
      <c r="C566" s="1">
        <f>IFERROR(__xludf.DUMMYFUNCTION("""COMPUTED_VALUE"""),30800.0)</f>
        <v>30800</v>
      </c>
      <c r="D566" s="1">
        <f>IFERROR(__xludf.DUMMYFUNCTION("""COMPUTED_VALUE"""),30260.0)</f>
        <v>30260</v>
      </c>
      <c r="E566" s="1">
        <f>IFERROR(__xludf.DUMMYFUNCTION("""COMPUTED_VALUE"""),30420.0)</f>
        <v>30420</v>
      </c>
      <c r="F566" s="1">
        <f>IFERROR(__xludf.DUMMYFUNCTION("""COMPUTED_VALUE"""),235594.0)</f>
        <v>235594</v>
      </c>
    </row>
    <row r="567">
      <c r="A567" s="2">
        <f>IFERROR(__xludf.DUMMYFUNCTION("""COMPUTED_VALUE"""),41375.645833333336)</f>
        <v>41375.64583</v>
      </c>
      <c r="B567" s="1">
        <f>IFERROR(__xludf.DUMMYFUNCTION("""COMPUTED_VALUE"""),30420.0)</f>
        <v>30420</v>
      </c>
      <c r="C567" s="1">
        <f>IFERROR(__xludf.DUMMYFUNCTION("""COMPUTED_VALUE"""),30800.0)</f>
        <v>30800</v>
      </c>
      <c r="D567" s="1">
        <f>IFERROR(__xludf.DUMMYFUNCTION("""COMPUTED_VALUE"""),30360.0)</f>
        <v>30360</v>
      </c>
      <c r="E567" s="1">
        <f>IFERROR(__xludf.DUMMYFUNCTION("""COMPUTED_VALUE"""),30800.0)</f>
        <v>30800</v>
      </c>
      <c r="F567" s="1">
        <f>IFERROR(__xludf.DUMMYFUNCTION("""COMPUTED_VALUE"""),225830.0)</f>
        <v>225830</v>
      </c>
    </row>
    <row r="568">
      <c r="A568" s="2">
        <f>IFERROR(__xludf.DUMMYFUNCTION("""COMPUTED_VALUE"""),41376.645833333336)</f>
        <v>41376.64583</v>
      </c>
      <c r="B568" s="1">
        <f>IFERROR(__xludf.DUMMYFUNCTION("""COMPUTED_VALUE"""),30800.0)</f>
        <v>30800</v>
      </c>
      <c r="C568" s="1">
        <f>IFERROR(__xludf.DUMMYFUNCTION("""COMPUTED_VALUE"""),31000.0)</f>
        <v>31000</v>
      </c>
      <c r="D568" s="1">
        <f>IFERROR(__xludf.DUMMYFUNCTION("""COMPUTED_VALUE"""),30260.0)</f>
        <v>30260</v>
      </c>
      <c r="E568" s="1">
        <f>IFERROR(__xludf.DUMMYFUNCTION("""COMPUTED_VALUE"""),30340.0)</f>
        <v>30340</v>
      </c>
      <c r="F568" s="1">
        <f>IFERROR(__xludf.DUMMYFUNCTION("""COMPUTED_VALUE"""),214881.0)</f>
        <v>214881</v>
      </c>
    </row>
    <row r="569">
      <c r="A569" s="2">
        <f>IFERROR(__xludf.DUMMYFUNCTION("""COMPUTED_VALUE"""),41379.645833333336)</f>
        <v>41379.64583</v>
      </c>
      <c r="B569" s="1">
        <f>IFERROR(__xludf.DUMMYFUNCTION("""COMPUTED_VALUE"""),30060.0)</f>
        <v>30060</v>
      </c>
      <c r="C569" s="1">
        <f>IFERROR(__xludf.DUMMYFUNCTION("""COMPUTED_VALUE"""),30700.0)</f>
        <v>30700</v>
      </c>
      <c r="D569" s="1">
        <f>IFERROR(__xludf.DUMMYFUNCTION("""COMPUTED_VALUE"""),30060.0)</f>
        <v>30060</v>
      </c>
      <c r="E569" s="1">
        <f>IFERROR(__xludf.DUMMYFUNCTION("""COMPUTED_VALUE"""),30460.0)</f>
        <v>30460</v>
      </c>
      <c r="F569" s="1">
        <f>IFERROR(__xludf.DUMMYFUNCTION("""COMPUTED_VALUE"""),215346.0)</f>
        <v>215346</v>
      </c>
    </row>
    <row r="570">
      <c r="A570" s="2">
        <f>IFERROR(__xludf.DUMMYFUNCTION("""COMPUTED_VALUE"""),41380.645833333336)</f>
        <v>41380.64583</v>
      </c>
      <c r="B570" s="1">
        <f>IFERROR(__xludf.DUMMYFUNCTION("""COMPUTED_VALUE"""),30100.0)</f>
        <v>30100</v>
      </c>
      <c r="C570" s="1">
        <f>IFERROR(__xludf.DUMMYFUNCTION("""COMPUTED_VALUE"""),30640.0)</f>
        <v>30640</v>
      </c>
      <c r="D570" s="1">
        <f>IFERROR(__xludf.DUMMYFUNCTION("""COMPUTED_VALUE"""),30020.0)</f>
        <v>30020</v>
      </c>
      <c r="E570" s="1">
        <f>IFERROR(__xludf.DUMMYFUNCTION("""COMPUTED_VALUE"""),30560.0)</f>
        <v>30560</v>
      </c>
      <c r="F570" s="1">
        <f>IFERROR(__xludf.DUMMYFUNCTION("""COMPUTED_VALUE"""),371037.0)</f>
        <v>371037</v>
      </c>
    </row>
    <row r="571">
      <c r="A571" s="2">
        <f>IFERROR(__xludf.DUMMYFUNCTION("""COMPUTED_VALUE"""),41381.645833333336)</f>
        <v>41381.64583</v>
      </c>
      <c r="B571" s="1">
        <f>IFERROR(__xludf.DUMMYFUNCTION("""COMPUTED_VALUE"""),31320.0)</f>
        <v>31320</v>
      </c>
      <c r="C571" s="1">
        <f>IFERROR(__xludf.DUMMYFUNCTION("""COMPUTED_VALUE"""),31320.0)</f>
        <v>31320</v>
      </c>
      <c r="D571" s="1">
        <f>IFERROR(__xludf.DUMMYFUNCTION("""COMPUTED_VALUE"""),30280.0)</f>
        <v>30280</v>
      </c>
      <c r="E571" s="1">
        <f>IFERROR(__xludf.DUMMYFUNCTION("""COMPUTED_VALUE"""),30360.0)</f>
        <v>30360</v>
      </c>
      <c r="F571" s="1">
        <f>IFERROR(__xludf.DUMMYFUNCTION("""COMPUTED_VALUE"""),209822.0)</f>
        <v>209822</v>
      </c>
    </row>
    <row r="572">
      <c r="A572" s="2">
        <f>IFERROR(__xludf.DUMMYFUNCTION("""COMPUTED_VALUE"""),41382.645833333336)</f>
        <v>41382.64583</v>
      </c>
      <c r="B572" s="1">
        <f>IFERROR(__xludf.DUMMYFUNCTION("""COMPUTED_VALUE"""),30400.0)</f>
        <v>30400</v>
      </c>
      <c r="C572" s="1">
        <f>IFERROR(__xludf.DUMMYFUNCTION("""COMPUTED_VALUE"""),30440.0)</f>
        <v>30440</v>
      </c>
      <c r="D572" s="1">
        <f>IFERROR(__xludf.DUMMYFUNCTION("""COMPUTED_VALUE"""),29620.0)</f>
        <v>29620</v>
      </c>
      <c r="E572" s="1">
        <f>IFERROR(__xludf.DUMMYFUNCTION("""COMPUTED_VALUE"""),29660.0)</f>
        <v>29660</v>
      </c>
      <c r="F572" s="1">
        <f>IFERROR(__xludf.DUMMYFUNCTION("""COMPUTED_VALUE"""),267168.0)</f>
        <v>267168</v>
      </c>
    </row>
    <row r="573">
      <c r="A573" s="2">
        <f>IFERROR(__xludf.DUMMYFUNCTION("""COMPUTED_VALUE"""),41383.645833333336)</f>
        <v>41383.64583</v>
      </c>
      <c r="B573" s="1">
        <f>IFERROR(__xludf.DUMMYFUNCTION("""COMPUTED_VALUE"""),29300.0)</f>
        <v>29300</v>
      </c>
      <c r="C573" s="1">
        <f>IFERROR(__xludf.DUMMYFUNCTION("""COMPUTED_VALUE"""),29840.0)</f>
        <v>29840</v>
      </c>
      <c r="D573" s="1">
        <f>IFERROR(__xludf.DUMMYFUNCTION("""COMPUTED_VALUE"""),29100.0)</f>
        <v>29100</v>
      </c>
      <c r="E573" s="1">
        <f>IFERROR(__xludf.DUMMYFUNCTION("""COMPUTED_VALUE"""),29500.0)</f>
        <v>29500</v>
      </c>
      <c r="F573" s="1">
        <f>IFERROR(__xludf.DUMMYFUNCTION("""COMPUTED_VALUE"""),314080.0)</f>
        <v>314080</v>
      </c>
    </row>
    <row r="574">
      <c r="A574" s="2">
        <f>IFERROR(__xludf.DUMMYFUNCTION("""COMPUTED_VALUE"""),41386.645833333336)</f>
        <v>41386.64583</v>
      </c>
      <c r="B574" s="1">
        <f>IFERROR(__xludf.DUMMYFUNCTION("""COMPUTED_VALUE"""),29800.0)</f>
        <v>29800</v>
      </c>
      <c r="C574" s="1">
        <f>IFERROR(__xludf.DUMMYFUNCTION("""COMPUTED_VALUE"""),30060.0)</f>
        <v>30060</v>
      </c>
      <c r="D574" s="1">
        <f>IFERROR(__xludf.DUMMYFUNCTION("""COMPUTED_VALUE"""),29300.0)</f>
        <v>29300</v>
      </c>
      <c r="E574" s="1">
        <f>IFERROR(__xludf.DUMMYFUNCTION("""COMPUTED_VALUE"""),30060.0)</f>
        <v>30060</v>
      </c>
      <c r="F574" s="1">
        <f>IFERROR(__xludf.DUMMYFUNCTION("""COMPUTED_VALUE"""),186717.0)</f>
        <v>186717</v>
      </c>
    </row>
    <row r="575">
      <c r="A575" s="2">
        <f>IFERROR(__xludf.DUMMYFUNCTION("""COMPUTED_VALUE"""),41387.645833333336)</f>
        <v>41387.64583</v>
      </c>
      <c r="B575" s="1">
        <f>IFERROR(__xludf.DUMMYFUNCTION("""COMPUTED_VALUE"""),30000.0)</f>
        <v>30000</v>
      </c>
      <c r="C575" s="1">
        <f>IFERROR(__xludf.DUMMYFUNCTION("""COMPUTED_VALUE"""),30060.0)</f>
        <v>30060</v>
      </c>
      <c r="D575" s="1">
        <f>IFERROR(__xludf.DUMMYFUNCTION("""COMPUTED_VALUE"""),29480.0)</f>
        <v>29480</v>
      </c>
      <c r="E575" s="1">
        <f>IFERROR(__xludf.DUMMYFUNCTION("""COMPUTED_VALUE"""),29660.0)</f>
        <v>29660</v>
      </c>
      <c r="F575" s="1">
        <f>IFERROR(__xludf.DUMMYFUNCTION("""COMPUTED_VALUE"""),177297.0)</f>
        <v>177297</v>
      </c>
    </row>
    <row r="576">
      <c r="A576" s="2">
        <f>IFERROR(__xludf.DUMMYFUNCTION("""COMPUTED_VALUE"""),41388.645833333336)</f>
        <v>41388.64583</v>
      </c>
      <c r="B576" s="1">
        <f>IFERROR(__xludf.DUMMYFUNCTION("""COMPUTED_VALUE"""),29700.0)</f>
        <v>29700</v>
      </c>
      <c r="C576" s="1">
        <f>IFERROR(__xludf.DUMMYFUNCTION("""COMPUTED_VALUE"""),29880.0)</f>
        <v>29880</v>
      </c>
      <c r="D576" s="1">
        <f>IFERROR(__xludf.DUMMYFUNCTION("""COMPUTED_VALUE"""),29480.0)</f>
        <v>29480</v>
      </c>
      <c r="E576" s="1">
        <f>IFERROR(__xludf.DUMMYFUNCTION("""COMPUTED_VALUE"""),29720.0)</f>
        <v>29720</v>
      </c>
      <c r="F576" s="1">
        <f>IFERROR(__xludf.DUMMYFUNCTION("""COMPUTED_VALUE"""),201731.0)</f>
        <v>201731</v>
      </c>
    </row>
    <row r="577">
      <c r="A577" s="2">
        <f>IFERROR(__xludf.DUMMYFUNCTION("""COMPUTED_VALUE"""),41389.645833333336)</f>
        <v>41389.64583</v>
      </c>
      <c r="B577" s="1">
        <f>IFERROR(__xludf.DUMMYFUNCTION("""COMPUTED_VALUE"""),29400.0)</f>
        <v>29400</v>
      </c>
      <c r="C577" s="1">
        <f>IFERROR(__xludf.DUMMYFUNCTION("""COMPUTED_VALUE"""),29880.0)</f>
        <v>29880</v>
      </c>
      <c r="D577" s="1">
        <f>IFERROR(__xludf.DUMMYFUNCTION("""COMPUTED_VALUE"""),29400.0)</f>
        <v>29400</v>
      </c>
      <c r="E577" s="1">
        <f>IFERROR(__xludf.DUMMYFUNCTION("""COMPUTED_VALUE"""),29880.0)</f>
        <v>29880</v>
      </c>
      <c r="F577" s="1">
        <f>IFERROR(__xludf.DUMMYFUNCTION("""COMPUTED_VALUE"""),209278.0)</f>
        <v>209278</v>
      </c>
    </row>
    <row r="578">
      <c r="A578" s="2">
        <f>IFERROR(__xludf.DUMMYFUNCTION("""COMPUTED_VALUE"""),41390.645833333336)</f>
        <v>41390.64583</v>
      </c>
      <c r="B578" s="1">
        <f>IFERROR(__xludf.DUMMYFUNCTION("""COMPUTED_VALUE"""),29900.0)</f>
        <v>29900</v>
      </c>
      <c r="C578" s="1">
        <f>IFERROR(__xludf.DUMMYFUNCTION("""COMPUTED_VALUE"""),29940.0)</f>
        <v>29940</v>
      </c>
      <c r="D578" s="1">
        <f>IFERROR(__xludf.DUMMYFUNCTION("""COMPUTED_VALUE"""),29440.0)</f>
        <v>29440</v>
      </c>
      <c r="E578" s="1">
        <f>IFERROR(__xludf.DUMMYFUNCTION("""COMPUTED_VALUE"""),29720.0)</f>
        <v>29720</v>
      </c>
      <c r="F578" s="1">
        <f>IFERROR(__xludf.DUMMYFUNCTION("""COMPUTED_VALUE"""),233032.0)</f>
        <v>233032</v>
      </c>
    </row>
    <row r="579">
      <c r="A579" s="2">
        <f>IFERROR(__xludf.DUMMYFUNCTION("""COMPUTED_VALUE"""),41393.645833333336)</f>
        <v>41393.64583</v>
      </c>
      <c r="B579" s="1">
        <f>IFERROR(__xludf.DUMMYFUNCTION("""COMPUTED_VALUE"""),29820.0)</f>
        <v>29820</v>
      </c>
      <c r="C579" s="1">
        <f>IFERROR(__xludf.DUMMYFUNCTION("""COMPUTED_VALUE"""),29840.0)</f>
        <v>29840</v>
      </c>
      <c r="D579" s="1">
        <f>IFERROR(__xludf.DUMMYFUNCTION("""COMPUTED_VALUE"""),29500.0)</f>
        <v>29500</v>
      </c>
      <c r="E579" s="1">
        <f>IFERROR(__xludf.DUMMYFUNCTION("""COMPUTED_VALUE"""),29620.0)</f>
        <v>29620</v>
      </c>
      <c r="F579" s="1">
        <f>IFERROR(__xludf.DUMMYFUNCTION("""COMPUTED_VALUE"""),170003.0)</f>
        <v>170003</v>
      </c>
    </row>
    <row r="580">
      <c r="A580" s="2">
        <f>IFERROR(__xludf.DUMMYFUNCTION("""COMPUTED_VALUE"""),41394.645833333336)</f>
        <v>41394.64583</v>
      </c>
      <c r="B580" s="1">
        <f>IFERROR(__xludf.DUMMYFUNCTION("""COMPUTED_VALUE"""),29800.0)</f>
        <v>29800</v>
      </c>
      <c r="C580" s="1">
        <f>IFERROR(__xludf.DUMMYFUNCTION("""COMPUTED_VALUE"""),30600.0)</f>
        <v>30600</v>
      </c>
      <c r="D580" s="1">
        <f>IFERROR(__xludf.DUMMYFUNCTION("""COMPUTED_VALUE"""),29760.0)</f>
        <v>29760</v>
      </c>
      <c r="E580" s="1">
        <f>IFERROR(__xludf.DUMMYFUNCTION("""COMPUTED_VALUE"""),30400.0)</f>
        <v>30400</v>
      </c>
      <c r="F580" s="1">
        <f>IFERROR(__xludf.DUMMYFUNCTION("""COMPUTED_VALUE"""),374100.0)</f>
        <v>374100</v>
      </c>
    </row>
    <row r="581">
      <c r="A581" s="2">
        <f>IFERROR(__xludf.DUMMYFUNCTION("""COMPUTED_VALUE"""),41396.645833333336)</f>
        <v>41396.64583</v>
      </c>
      <c r="B581" s="1">
        <f>IFERROR(__xludf.DUMMYFUNCTION("""COMPUTED_VALUE"""),30520.0)</f>
        <v>30520</v>
      </c>
      <c r="C581" s="1">
        <f>IFERROR(__xludf.DUMMYFUNCTION("""COMPUTED_VALUE"""),30640.0)</f>
        <v>30640</v>
      </c>
      <c r="D581" s="1">
        <f>IFERROR(__xludf.DUMMYFUNCTION("""COMPUTED_VALUE"""),30340.0)</f>
        <v>30340</v>
      </c>
      <c r="E581" s="1">
        <f>IFERROR(__xludf.DUMMYFUNCTION("""COMPUTED_VALUE"""),30560.0)</f>
        <v>30560</v>
      </c>
      <c r="F581" s="1">
        <f>IFERROR(__xludf.DUMMYFUNCTION("""COMPUTED_VALUE"""),200979.0)</f>
        <v>200979</v>
      </c>
    </row>
    <row r="582">
      <c r="A582" s="2">
        <f>IFERROR(__xludf.DUMMYFUNCTION("""COMPUTED_VALUE"""),41397.645833333336)</f>
        <v>41397.64583</v>
      </c>
      <c r="B582" s="1">
        <f>IFERROR(__xludf.DUMMYFUNCTION("""COMPUTED_VALUE"""),30700.0)</f>
        <v>30700</v>
      </c>
      <c r="C582" s="1">
        <f>IFERROR(__xludf.DUMMYFUNCTION("""COMPUTED_VALUE"""),30740.0)</f>
        <v>30740</v>
      </c>
      <c r="D582" s="1">
        <f>IFERROR(__xludf.DUMMYFUNCTION("""COMPUTED_VALUE"""),30420.0)</f>
        <v>30420</v>
      </c>
      <c r="E582" s="1">
        <f>IFERROR(__xludf.DUMMYFUNCTION("""COMPUTED_VALUE"""),30700.0)</f>
        <v>30700</v>
      </c>
      <c r="F582" s="1">
        <f>IFERROR(__xludf.DUMMYFUNCTION("""COMPUTED_VALUE"""),131181.0)</f>
        <v>131181</v>
      </c>
    </row>
    <row r="583">
      <c r="A583" s="2">
        <f>IFERROR(__xludf.DUMMYFUNCTION("""COMPUTED_VALUE"""),41400.645833333336)</f>
        <v>41400.64583</v>
      </c>
      <c r="B583" s="1">
        <f>IFERROR(__xludf.DUMMYFUNCTION("""COMPUTED_VALUE"""),30800.0)</f>
        <v>30800</v>
      </c>
      <c r="C583" s="1">
        <f>IFERROR(__xludf.DUMMYFUNCTION("""COMPUTED_VALUE"""),30800.0)</f>
        <v>30800</v>
      </c>
      <c r="D583" s="1">
        <f>IFERROR(__xludf.DUMMYFUNCTION("""COMPUTED_VALUE"""),30240.0)</f>
        <v>30240</v>
      </c>
      <c r="E583" s="1">
        <f>IFERROR(__xludf.DUMMYFUNCTION("""COMPUTED_VALUE"""),30280.0)</f>
        <v>30280</v>
      </c>
      <c r="F583" s="1">
        <f>IFERROR(__xludf.DUMMYFUNCTION("""COMPUTED_VALUE"""),173086.0)</f>
        <v>173086</v>
      </c>
    </row>
    <row r="584">
      <c r="A584" s="2">
        <f>IFERROR(__xludf.DUMMYFUNCTION("""COMPUTED_VALUE"""),41401.645833333336)</f>
        <v>41401.64583</v>
      </c>
      <c r="B584" s="1">
        <f>IFERROR(__xludf.DUMMYFUNCTION("""COMPUTED_VALUE"""),30160.0)</f>
        <v>30160</v>
      </c>
      <c r="C584" s="1">
        <f>IFERROR(__xludf.DUMMYFUNCTION("""COMPUTED_VALUE"""),30160.0)</f>
        <v>30160</v>
      </c>
      <c r="D584" s="1">
        <f>IFERROR(__xludf.DUMMYFUNCTION("""COMPUTED_VALUE"""),29820.0)</f>
        <v>29820</v>
      </c>
      <c r="E584" s="1">
        <f>IFERROR(__xludf.DUMMYFUNCTION("""COMPUTED_VALUE"""),29860.0)</f>
        <v>29860</v>
      </c>
      <c r="F584" s="1">
        <f>IFERROR(__xludf.DUMMYFUNCTION("""COMPUTED_VALUE"""),228690.0)</f>
        <v>228690</v>
      </c>
    </row>
    <row r="585">
      <c r="A585" s="2">
        <f>IFERROR(__xludf.DUMMYFUNCTION("""COMPUTED_VALUE"""),41402.645833333336)</f>
        <v>41402.64583</v>
      </c>
      <c r="B585" s="1">
        <f>IFERROR(__xludf.DUMMYFUNCTION("""COMPUTED_VALUE"""),29860.0)</f>
        <v>29860</v>
      </c>
      <c r="C585" s="1">
        <f>IFERROR(__xludf.DUMMYFUNCTION("""COMPUTED_VALUE"""),29960.0)</f>
        <v>29960</v>
      </c>
      <c r="D585" s="1">
        <f>IFERROR(__xludf.DUMMYFUNCTION("""COMPUTED_VALUE"""),29580.0)</f>
        <v>29580</v>
      </c>
      <c r="E585" s="1">
        <f>IFERROR(__xludf.DUMMYFUNCTION("""COMPUTED_VALUE"""),29760.0)</f>
        <v>29760</v>
      </c>
      <c r="F585" s="1">
        <f>IFERROR(__xludf.DUMMYFUNCTION("""COMPUTED_VALUE"""),298439.0)</f>
        <v>298439</v>
      </c>
    </row>
    <row r="586">
      <c r="A586" s="2">
        <f>IFERROR(__xludf.DUMMYFUNCTION("""COMPUTED_VALUE"""),41403.645833333336)</f>
        <v>41403.64583</v>
      </c>
      <c r="B586" s="1">
        <f>IFERROR(__xludf.DUMMYFUNCTION("""COMPUTED_VALUE"""),29800.0)</f>
        <v>29800</v>
      </c>
      <c r="C586" s="1">
        <f>IFERROR(__xludf.DUMMYFUNCTION("""COMPUTED_VALUE"""),30400.0)</f>
        <v>30400</v>
      </c>
      <c r="D586" s="1">
        <f>IFERROR(__xludf.DUMMYFUNCTION("""COMPUTED_VALUE"""),29780.0)</f>
        <v>29780</v>
      </c>
      <c r="E586" s="1">
        <f>IFERROR(__xludf.DUMMYFUNCTION("""COMPUTED_VALUE"""),30300.0)</f>
        <v>30300</v>
      </c>
      <c r="F586" s="1">
        <f>IFERROR(__xludf.DUMMYFUNCTION("""COMPUTED_VALUE"""),216123.0)</f>
        <v>216123</v>
      </c>
    </row>
    <row r="587">
      <c r="A587" s="2">
        <f>IFERROR(__xludf.DUMMYFUNCTION("""COMPUTED_VALUE"""),41404.645833333336)</f>
        <v>41404.64583</v>
      </c>
      <c r="B587" s="1">
        <f>IFERROR(__xludf.DUMMYFUNCTION("""COMPUTED_VALUE"""),30280.0)</f>
        <v>30280</v>
      </c>
      <c r="C587" s="1">
        <f>IFERROR(__xludf.DUMMYFUNCTION("""COMPUTED_VALUE"""),30280.0)</f>
        <v>30280</v>
      </c>
      <c r="D587" s="1">
        <f>IFERROR(__xludf.DUMMYFUNCTION("""COMPUTED_VALUE"""),29520.0)</f>
        <v>29520</v>
      </c>
      <c r="E587" s="1">
        <f>IFERROR(__xludf.DUMMYFUNCTION("""COMPUTED_VALUE"""),29520.0)</f>
        <v>29520</v>
      </c>
      <c r="F587" s="1">
        <f>IFERROR(__xludf.DUMMYFUNCTION("""COMPUTED_VALUE"""),235897.0)</f>
        <v>235897</v>
      </c>
    </row>
    <row r="588">
      <c r="A588" s="2">
        <f>IFERROR(__xludf.DUMMYFUNCTION("""COMPUTED_VALUE"""),41407.645833333336)</f>
        <v>41407.64583</v>
      </c>
      <c r="B588" s="1">
        <f>IFERROR(__xludf.DUMMYFUNCTION("""COMPUTED_VALUE"""),29420.0)</f>
        <v>29420</v>
      </c>
      <c r="C588" s="1">
        <f>IFERROR(__xludf.DUMMYFUNCTION("""COMPUTED_VALUE"""),29600.0)</f>
        <v>29600</v>
      </c>
      <c r="D588" s="1">
        <f>IFERROR(__xludf.DUMMYFUNCTION("""COMPUTED_VALUE"""),29240.0)</f>
        <v>29240</v>
      </c>
      <c r="E588" s="1">
        <f>IFERROR(__xludf.DUMMYFUNCTION("""COMPUTED_VALUE"""),29540.0)</f>
        <v>29540</v>
      </c>
      <c r="F588" s="1">
        <f>IFERROR(__xludf.DUMMYFUNCTION("""COMPUTED_VALUE"""),175002.0)</f>
        <v>175002</v>
      </c>
    </row>
    <row r="589">
      <c r="A589" s="2">
        <f>IFERROR(__xludf.DUMMYFUNCTION("""COMPUTED_VALUE"""),41408.645833333336)</f>
        <v>41408.64583</v>
      </c>
      <c r="B589" s="1">
        <f>IFERROR(__xludf.DUMMYFUNCTION("""COMPUTED_VALUE"""),29740.0)</f>
        <v>29740</v>
      </c>
      <c r="C589" s="1">
        <f>IFERROR(__xludf.DUMMYFUNCTION("""COMPUTED_VALUE"""),30000.0)</f>
        <v>30000</v>
      </c>
      <c r="D589" s="1">
        <f>IFERROR(__xludf.DUMMYFUNCTION("""COMPUTED_VALUE"""),29660.0)</f>
        <v>29660</v>
      </c>
      <c r="E589" s="1">
        <f>IFERROR(__xludf.DUMMYFUNCTION("""COMPUTED_VALUE"""),30000.0)</f>
        <v>30000</v>
      </c>
      <c r="F589" s="1">
        <f>IFERROR(__xludf.DUMMYFUNCTION("""COMPUTED_VALUE"""),180053.0)</f>
        <v>180053</v>
      </c>
    </row>
    <row r="590">
      <c r="A590" s="2">
        <f>IFERROR(__xludf.DUMMYFUNCTION("""COMPUTED_VALUE"""),41409.645833333336)</f>
        <v>41409.64583</v>
      </c>
      <c r="B590" s="1">
        <f>IFERROR(__xludf.DUMMYFUNCTION("""COMPUTED_VALUE"""),29700.0)</f>
        <v>29700</v>
      </c>
      <c r="C590" s="1">
        <f>IFERROR(__xludf.DUMMYFUNCTION("""COMPUTED_VALUE"""),30000.0)</f>
        <v>30000</v>
      </c>
      <c r="D590" s="1">
        <f>IFERROR(__xludf.DUMMYFUNCTION("""COMPUTED_VALUE"""),29680.0)</f>
        <v>29680</v>
      </c>
      <c r="E590" s="1">
        <f>IFERROR(__xludf.DUMMYFUNCTION("""COMPUTED_VALUE"""),30000.0)</f>
        <v>30000</v>
      </c>
      <c r="F590" s="1">
        <f>IFERROR(__xludf.DUMMYFUNCTION("""COMPUTED_VALUE"""),211896.0)</f>
        <v>211896</v>
      </c>
    </row>
    <row r="591">
      <c r="A591" s="2">
        <f>IFERROR(__xludf.DUMMYFUNCTION("""COMPUTED_VALUE"""),41410.645833333336)</f>
        <v>41410.64583</v>
      </c>
      <c r="B591" s="1">
        <f>IFERROR(__xludf.DUMMYFUNCTION("""COMPUTED_VALUE"""),30020.0)</f>
        <v>30020</v>
      </c>
      <c r="C591" s="1">
        <f>IFERROR(__xludf.DUMMYFUNCTION("""COMPUTED_VALUE"""),30280.0)</f>
        <v>30280</v>
      </c>
      <c r="D591" s="1">
        <f>IFERROR(__xludf.DUMMYFUNCTION("""COMPUTED_VALUE"""),30000.0)</f>
        <v>30000</v>
      </c>
      <c r="E591" s="1">
        <f>IFERROR(__xludf.DUMMYFUNCTION("""COMPUTED_VALUE"""),30160.0)</f>
        <v>30160</v>
      </c>
      <c r="F591" s="1">
        <f>IFERROR(__xludf.DUMMYFUNCTION("""COMPUTED_VALUE"""),293151.0)</f>
        <v>293151</v>
      </c>
    </row>
    <row r="592">
      <c r="A592" s="2">
        <f>IFERROR(__xludf.DUMMYFUNCTION("""COMPUTED_VALUE"""),41414.645833333336)</f>
        <v>41414.64583</v>
      </c>
      <c r="B592" s="1">
        <f>IFERROR(__xludf.DUMMYFUNCTION("""COMPUTED_VALUE"""),30040.0)</f>
        <v>30040</v>
      </c>
      <c r="C592" s="1">
        <f>IFERROR(__xludf.DUMMYFUNCTION("""COMPUTED_VALUE"""),30240.0)</f>
        <v>30240</v>
      </c>
      <c r="D592" s="1">
        <f>IFERROR(__xludf.DUMMYFUNCTION("""COMPUTED_VALUE"""),29920.0)</f>
        <v>29920</v>
      </c>
      <c r="E592" s="1">
        <f>IFERROR(__xludf.DUMMYFUNCTION("""COMPUTED_VALUE"""),29940.0)</f>
        <v>29940</v>
      </c>
      <c r="F592" s="1">
        <f>IFERROR(__xludf.DUMMYFUNCTION("""COMPUTED_VALUE"""),245777.0)</f>
        <v>245777</v>
      </c>
    </row>
    <row r="593">
      <c r="A593" s="2">
        <f>IFERROR(__xludf.DUMMYFUNCTION("""COMPUTED_VALUE"""),41415.645833333336)</f>
        <v>41415.64583</v>
      </c>
      <c r="B593" s="1">
        <f>IFERROR(__xludf.DUMMYFUNCTION("""COMPUTED_VALUE"""),30200.0)</f>
        <v>30200</v>
      </c>
      <c r="C593" s="1">
        <f>IFERROR(__xludf.DUMMYFUNCTION("""COMPUTED_VALUE"""),30200.0)</f>
        <v>30200</v>
      </c>
      <c r="D593" s="1">
        <f>IFERROR(__xludf.DUMMYFUNCTION("""COMPUTED_VALUE"""),29700.0)</f>
        <v>29700</v>
      </c>
      <c r="E593" s="1">
        <f>IFERROR(__xludf.DUMMYFUNCTION("""COMPUTED_VALUE"""),29840.0)</f>
        <v>29840</v>
      </c>
      <c r="F593" s="1">
        <f>IFERROR(__xludf.DUMMYFUNCTION("""COMPUTED_VALUE"""),232008.0)</f>
        <v>232008</v>
      </c>
    </row>
    <row r="594">
      <c r="A594" s="2">
        <f>IFERROR(__xludf.DUMMYFUNCTION("""COMPUTED_VALUE"""),41416.645833333336)</f>
        <v>41416.64583</v>
      </c>
      <c r="B594" s="1">
        <f>IFERROR(__xludf.DUMMYFUNCTION("""COMPUTED_VALUE"""),30080.0)</f>
        <v>30080</v>
      </c>
      <c r="C594" s="1">
        <f>IFERROR(__xludf.DUMMYFUNCTION("""COMPUTED_VALUE"""),30200.0)</f>
        <v>30200</v>
      </c>
      <c r="D594" s="1">
        <f>IFERROR(__xludf.DUMMYFUNCTION("""COMPUTED_VALUE"""),29820.0)</f>
        <v>29820</v>
      </c>
      <c r="E594" s="1">
        <f>IFERROR(__xludf.DUMMYFUNCTION("""COMPUTED_VALUE"""),30180.0)</f>
        <v>30180</v>
      </c>
      <c r="F594" s="1">
        <f>IFERROR(__xludf.DUMMYFUNCTION("""COMPUTED_VALUE"""),198462.0)</f>
        <v>198462</v>
      </c>
    </row>
    <row r="595">
      <c r="A595" s="2">
        <f>IFERROR(__xludf.DUMMYFUNCTION("""COMPUTED_VALUE"""),41417.645833333336)</f>
        <v>41417.64583</v>
      </c>
      <c r="B595" s="1">
        <f>IFERROR(__xludf.DUMMYFUNCTION("""COMPUTED_VALUE"""),29840.0)</f>
        <v>29840</v>
      </c>
      <c r="C595" s="1">
        <f>IFERROR(__xludf.DUMMYFUNCTION("""COMPUTED_VALUE"""),30040.0)</f>
        <v>30040</v>
      </c>
      <c r="D595" s="1">
        <f>IFERROR(__xludf.DUMMYFUNCTION("""COMPUTED_VALUE"""),29680.0)</f>
        <v>29680</v>
      </c>
      <c r="E595" s="1">
        <f>IFERROR(__xludf.DUMMYFUNCTION("""COMPUTED_VALUE"""),29680.0)</f>
        <v>29680</v>
      </c>
      <c r="F595" s="1">
        <f>IFERROR(__xludf.DUMMYFUNCTION("""COMPUTED_VALUE"""),239883.0)</f>
        <v>239883</v>
      </c>
    </row>
    <row r="596">
      <c r="A596" s="2">
        <f>IFERROR(__xludf.DUMMYFUNCTION("""COMPUTED_VALUE"""),41418.645833333336)</f>
        <v>41418.64583</v>
      </c>
      <c r="B596" s="1">
        <f>IFERROR(__xludf.DUMMYFUNCTION("""COMPUTED_VALUE"""),29740.0)</f>
        <v>29740</v>
      </c>
      <c r="C596" s="1">
        <f>IFERROR(__xludf.DUMMYFUNCTION("""COMPUTED_VALUE"""),29880.0)</f>
        <v>29880</v>
      </c>
      <c r="D596" s="1">
        <f>IFERROR(__xludf.DUMMYFUNCTION("""COMPUTED_VALUE"""),29440.0)</f>
        <v>29440</v>
      </c>
      <c r="E596" s="1">
        <f>IFERROR(__xludf.DUMMYFUNCTION("""COMPUTED_VALUE"""),29720.0)</f>
        <v>29720</v>
      </c>
      <c r="F596" s="1">
        <f>IFERROR(__xludf.DUMMYFUNCTION("""COMPUTED_VALUE"""),203812.0)</f>
        <v>203812</v>
      </c>
    </row>
    <row r="597">
      <c r="A597" s="2">
        <f>IFERROR(__xludf.DUMMYFUNCTION("""COMPUTED_VALUE"""),41421.645833333336)</f>
        <v>41421.64583</v>
      </c>
      <c r="B597" s="1">
        <f>IFERROR(__xludf.DUMMYFUNCTION("""COMPUTED_VALUE"""),29800.0)</f>
        <v>29800</v>
      </c>
      <c r="C597" s="1">
        <f>IFERROR(__xludf.DUMMYFUNCTION("""COMPUTED_VALUE"""),29980.0)</f>
        <v>29980</v>
      </c>
      <c r="D597" s="1">
        <f>IFERROR(__xludf.DUMMYFUNCTION("""COMPUTED_VALUE"""),29740.0)</f>
        <v>29740</v>
      </c>
      <c r="E597" s="1">
        <f>IFERROR(__xludf.DUMMYFUNCTION("""COMPUTED_VALUE"""),29780.0)</f>
        <v>29780</v>
      </c>
      <c r="F597" s="1">
        <f>IFERROR(__xludf.DUMMYFUNCTION("""COMPUTED_VALUE"""),122928.0)</f>
        <v>122928</v>
      </c>
    </row>
    <row r="598">
      <c r="A598" s="2">
        <f>IFERROR(__xludf.DUMMYFUNCTION("""COMPUTED_VALUE"""),41422.645833333336)</f>
        <v>41422.64583</v>
      </c>
      <c r="B598" s="1">
        <f>IFERROR(__xludf.DUMMYFUNCTION("""COMPUTED_VALUE"""),29620.0)</f>
        <v>29620</v>
      </c>
      <c r="C598" s="1">
        <f>IFERROR(__xludf.DUMMYFUNCTION("""COMPUTED_VALUE"""),29920.0)</f>
        <v>29920</v>
      </c>
      <c r="D598" s="1">
        <f>IFERROR(__xludf.DUMMYFUNCTION("""COMPUTED_VALUE"""),29620.0)</f>
        <v>29620</v>
      </c>
      <c r="E598" s="1">
        <f>IFERROR(__xludf.DUMMYFUNCTION("""COMPUTED_VALUE"""),29680.0)</f>
        <v>29680</v>
      </c>
      <c r="F598" s="1">
        <f>IFERROR(__xludf.DUMMYFUNCTION("""COMPUTED_VALUE"""),231761.0)</f>
        <v>231761</v>
      </c>
    </row>
    <row r="599">
      <c r="A599" s="2">
        <f>IFERROR(__xludf.DUMMYFUNCTION("""COMPUTED_VALUE"""),41423.645833333336)</f>
        <v>41423.64583</v>
      </c>
      <c r="B599" s="1">
        <f>IFERROR(__xludf.DUMMYFUNCTION("""COMPUTED_VALUE"""),29680.0)</f>
        <v>29680</v>
      </c>
      <c r="C599" s="1">
        <f>IFERROR(__xludf.DUMMYFUNCTION("""COMPUTED_VALUE"""),30460.0)</f>
        <v>30460</v>
      </c>
      <c r="D599" s="1">
        <f>IFERROR(__xludf.DUMMYFUNCTION("""COMPUTED_VALUE"""),29660.0)</f>
        <v>29660</v>
      </c>
      <c r="E599" s="1">
        <f>IFERROR(__xludf.DUMMYFUNCTION("""COMPUTED_VALUE"""),30240.0)</f>
        <v>30240</v>
      </c>
      <c r="F599" s="1">
        <f>IFERROR(__xludf.DUMMYFUNCTION("""COMPUTED_VALUE"""),295211.0)</f>
        <v>295211</v>
      </c>
    </row>
    <row r="600">
      <c r="A600" s="2">
        <f>IFERROR(__xludf.DUMMYFUNCTION("""COMPUTED_VALUE"""),41424.645833333336)</f>
        <v>41424.64583</v>
      </c>
      <c r="B600" s="1">
        <f>IFERROR(__xludf.DUMMYFUNCTION("""COMPUTED_VALUE"""),30360.0)</f>
        <v>30360</v>
      </c>
      <c r="C600" s="1">
        <f>IFERROR(__xludf.DUMMYFUNCTION("""COMPUTED_VALUE"""),30980.0)</f>
        <v>30980</v>
      </c>
      <c r="D600" s="1">
        <f>IFERROR(__xludf.DUMMYFUNCTION("""COMPUTED_VALUE"""),30240.0)</f>
        <v>30240</v>
      </c>
      <c r="E600" s="1">
        <f>IFERROR(__xludf.DUMMYFUNCTION("""COMPUTED_VALUE"""),30880.0)</f>
        <v>30880</v>
      </c>
      <c r="F600" s="1">
        <f>IFERROR(__xludf.DUMMYFUNCTION("""COMPUTED_VALUE"""),455560.0)</f>
        <v>455560</v>
      </c>
    </row>
    <row r="601">
      <c r="A601" s="2">
        <f>IFERROR(__xludf.DUMMYFUNCTION("""COMPUTED_VALUE"""),41425.645833333336)</f>
        <v>41425.64583</v>
      </c>
      <c r="B601" s="1">
        <f>IFERROR(__xludf.DUMMYFUNCTION("""COMPUTED_VALUE"""),30920.0)</f>
        <v>30920</v>
      </c>
      <c r="C601" s="1">
        <f>IFERROR(__xludf.DUMMYFUNCTION("""COMPUTED_VALUE"""),31180.0)</f>
        <v>31180</v>
      </c>
      <c r="D601" s="1">
        <f>IFERROR(__xludf.DUMMYFUNCTION("""COMPUTED_VALUE"""),30740.0)</f>
        <v>30740</v>
      </c>
      <c r="E601" s="1">
        <f>IFERROR(__xludf.DUMMYFUNCTION("""COMPUTED_VALUE"""),30760.0)</f>
        <v>30760</v>
      </c>
      <c r="F601" s="1">
        <f>IFERROR(__xludf.DUMMYFUNCTION("""COMPUTED_VALUE"""),360501.0)</f>
        <v>360501</v>
      </c>
    </row>
    <row r="602">
      <c r="A602" s="2">
        <f>IFERROR(__xludf.DUMMYFUNCTION("""COMPUTED_VALUE"""),41428.645833333336)</f>
        <v>41428.64583</v>
      </c>
      <c r="B602" s="1">
        <f>IFERROR(__xludf.DUMMYFUNCTION("""COMPUTED_VALUE"""),30720.0)</f>
        <v>30720</v>
      </c>
      <c r="C602" s="1">
        <f>IFERROR(__xludf.DUMMYFUNCTION("""COMPUTED_VALUE"""),31180.0)</f>
        <v>31180</v>
      </c>
      <c r="D602" s="1">
        <f>IFERROR(__xludf.DUMMYFUNCTION("""COMPUTED_VALUE"""),30560.0)</f>
        <v>30560</v>
      </c>
      <c r="E602" s="1">
        <f>IFERROR(__xludf.DUMMYFUNCTION("""COMPUTED_VALUE"""),30640.0)</f>
        <v>30640</v>
      </c>
      <c r="F602" s="1">
        <f>IFERROR(__xludf.DUMMYFUNCTION("""COMPUTED_VALUE"""),206189.0)</f>
        <v>206189</v>
      </c>
    </row>
    <row r="603">
      <c r="A603" s="2">
        <f>IFERROR(__xludf.DUMMYFUNCTION("""COMPUTED_VALUE"""),41429.645833333336)</f>
        <v>41429.64583</v>
      </c>
      <c r="B603" s="1">
        <f>IFERROR(__xludf.DUMMYFUNCTION("""COMPUTED_VALUE"""),30660.0)</f>
        <v>30660</v>
      </c>
      <c r="C603" s="1">
        <f>IFERROR(__xludf.DUMMYFUNCTION("""COMPUTED_VALUE"""),30840.0)</f>
        <v>30840</v>
      </c>
      <c r="D603" s="1">
        <f>IFERROR(__xludf.DUMMYFUNCTION("""COMPUTED_VALUE"""),30420.0)</f>
        <v>30420</v>
      </c>
      <c r="E603" s="1">
        <f>IFERROR(__xludf.DUMMYFUNCTION("""COMPUTED_VALUE"""),30800.0)</f>
        <v>30800</v>
      </c>
      <c r="F603" s="1">
        <f>IFERROR(__xludf.DUMMYFUNCTION("""COMPUTED_VALUE"""),169932.0)</f>
        <v>169932</v>
      </c>
    </row>
    <row r="604">
      <c r="A604" s="2">
        <f>IFERROR(__xludf.DUMMYFUNCTION("""COMPUTED_VALUE"""),41430.645833333336)</f>
        <v>41430.64583</v>
      </c>
      <c r="B604" s="1">
        <f>IFERROR(__xludf.DUMMYFUNCTION("""COMPUTED_VALUE"""),30980.0)</f>
        <v>30980</v>
      </c>
      <c r="C604" s="1">
        <f>IFERROR(__xludf.DUMMYFUNCTION("""COMPUTED_VALUE"""),31060.0)</f>
        <v>31060</v>
      </c>
      <c r="D604" s="1">
        <f>IFERROR(__xludf.DUMMYFUNCTION("""COMPUTED_VALUE"""),30420.0)</f>
        <v>30420</v>
      </c>
      <c r="E604" s="1">
        <f>IFERROR(__xludf.DUMMYFUNCTION("""COMPUTED_VALUE"""),30420.0)</f>
        <v>30420</v>
      </c>
      <c r="F604" s="1">
        <f>IFERROR(__xludf.DUMMYFUNCTION("""COMPUTED_VALUE"""),271813.0)</f>
        <v>271813</v>
      </c>
    </row>
    <row r="605">
      <c r="A605" s="2">
        <f>IFERROR(__xludf.DUMMYFUNCTION("""COMPUTED_VALUE"""),41432.645833333336)</f>
        <v>41432.64583</v>
      </c>
      <c r="B605" s="1">
        <f>IFERROR(__xludf.DUMMYFUNCTION("""COMPUTED_VALUE"""),29500.0)</f>
        <v>29500</v>
      </c>
      <c r="C605" s="1">
        <f>IFERROR(__xludf.DUMMYFUNCTION("""COMPUTED_VALUE"""),29700.0)</f>
        <v>29700</v>
      </c>
      <c r="D605" s="1">
        <f>IFERROR(__xludf.DUMMYFUNCTION("""COMPUTED_VALUE"""),28480.0)</f>
        <v>28480</v>
      </c>
      <c r="E605" s="1">
        <f>IFERROR(__xludf.DUMMYFUNCTION("""COMPUTED_VALUE"""),28540.0)</f>
        <v>28540</v>
      </c>
      <c r="F605" s="1">
        <f>IFERROR(__xludf.DUMMYFUNCTION("""COMPUTED_VALUE"""),1085816.0)</f>
        <v>1085816</v>
      </c>
    </row>
    <row r="606">
      <c r="A606" s="2">
        <f>IFERROR(__xludf.DUMMYFUNCTION("""COMPUTED_VALUE"""),41435.645833333336)</f>
        <v>41435.64583</v>
      </c>
      <c r="B606" s="1">
        <f>IFERROR(__xludf.DUMMYFUNCTION("""COMPUTED_VALUE"""),28400.0)</f>
        <v>28400</v>
      </c>
      <c r="C606" s="1">
        <f>IFERROR(__xludf.DUMMYFUNCTION("""COMPUTED_VALUE"""),28860.0)</f>
        <v>28860</v>
      </c>
      <c r="D606" s="1">
        <f>IFERROR(__xludf.DUMMYFUNCTION("""COMPUTED_VALUE"""),28280.0)</f>
        <v>28280</v>
      </c>
      <c r="E606" s="1">
        <f>IFERROR(__xludf.DUMMYFUNCTION("""COMPUTED_VALUE"""),28500.0)</f>
        <v>28500</v>
      </c>
      <c r="F606" s="1">
        <f>IFERROR(__xludf.DUMMYFUNCTION("""COMPUTED_VALUE"""),533554.0)</f>
        <v>533554</v>
      </c>
    </row>
    <row r="607">
      <c r="A607" s="2">
        <f>IFERROR(__xludf.DUMMYFUNCTION("""COMPUTED_VALUE"""),41436.645833333336)</f>
        <v>41436.64583</v>
      </c>
      <c r="B607" s="1">
        <f>IFERROR(__xludf.DUMMYFUNCTION("""COMPUTED_VALUE"""),28220.0)</f>
        <v>28220</v>
      </c>
      <c r="C607" s="1">
        <f>IFERROR(__xludf.DUMMYFUNCTION("""COMPUTED_VALUE"""),28380.0)</f>
        <v>28380</v>
      </c>
      <c r="D607" s="1">
        <f>IFERROR(__xludf.DUMMYFUNCTION("""COMPUTED_VALUE"""),27560.0)</f>
        <v>27560</v>
      </c>
      <c r="E607" s="1">
        <f>IFERROR(__xludf.DUMMYFUNCTION("""COMPUTED_VALUE"""),27780.0)</f>
        <v>27780</v>
      </c>
      <c r="F607" s="1">
        <f>IFERROR(__xludf.DUMMYFUNCTION("""COMPUTED_VALUE"""),692260.0)</f>
        <v>692260</v>
      </c>
    </row>
    <row r="608">
      <c r="A608" s="2">
        <f>IFERROR(__xludf.DUMMYFUNCTION("""COMPUTED_VALUE"""),41437.645833333336)</f>
        <v>41437.64583</v>
      </c>
      <c r="B608" s="1">
        <f>IFERROR(__xludf.DUMMYFUNCTION("""COMPUTED_VALUE"""),27560.0)</f>
        <v>27560</v>
      </c>
      <c r="C608" s="1">
        <f>IFERROR(__xludf.DUMMYFUNCTION("""COMPUTED_VALUE"""),28060.0)</f>
        <v>28060</v>
      </c>
      <c r="D608" s="1">
        <f>IFERROR(__xludf.DUMMYFUNCTION("""COMPUTED_VALUE"""),27240.0)</f>
        <v>27240</v>
      </c>
      <c r="E608" s="1">
        <f>IFERROR(__xludf.DUMMYFUNCTION("""COMPUTED_VALUE"""),27700.0)</f>
        <v>27700</v>
      </c>
      <c r="F608" s="1">
        <f>IFERROR(__xludf.DUMMYFUNCTION("""COMPUTED_VALUE"""),457753.0)</f>
        <v>457753</v>
      </c>
    </row>
    <row r="609">
      <c r="A609" s="2">
        <f>IFERROR(__xludf.DUMMYFUNCTION("""COMPUTED_VALUE"""),41438.645833333336)</f>
        <v>41438.64583</v>
      </c>
      <c r="B609" s="1">
        <f>IFERROR(__xludf.DUMMYFUNCTION("""COMPUTED_VALUE"""),27600.0)</f>
        <v>27600</v>
      </c>
      <c r="C609" s="1">
        <f>IFERROR(__xludf.DUMMYFUNCTION("""COMPUTED_VALUE"""),27940.0)</f>
        <v>27940</v>
      </c>
      <c r="D609" s="1">
        <f>IFERROR(__xludf.DUMMYFUNCTION("""COMPUTED_VALUE"""),27140.0)</f>
        <v>27140</v>
      </c>
      <c r="E609" s="1">
        <f>IFERROR(__xludf.DUMMYFUNCTION("""COMPUTED_VALUE"""),27140.0)</f>
        <v>27140</v>
      </c>
      <c r="F609" s="1">
        <f>IFERROR(__xludf.DUMMYFUNCTION("""COMPUTED_VALUE"""),670197.0)</f>
        <v>670197</v>
      </c>
    </row>
    <row r="610">
      <c r="A610" s="2">
        <f>IFERROR(__xludf.DUMMYFUNCTION("""COMPUTED_VALUE"""),41439.645833333336)</f>
        <v>41439.64583</v>
      </c>
      <c r="B610" s="1">
        <f>IFERROR(__xludf.DUMMYFUNCTION("""COMPUTED_VALUE"""),27300.0)</f>
        <v>27300</v>
      </c>
      <c r="C610" s="1">
        <f>IFERROR(__xludf.DUMMYFUNCTION("""COMPUTED_VALUE"""),27540.0)</f>
        <v>27540</v>
      </c>
      <c r="D610" s="1">
        <f>IFERROR(__xludf.DUMMYFUNCTION("""COMPUTED_VALUE"""),27140.0)</f>
        <v>27140</v>
      </c>
      <c r="E610" s="1">
        <f>IFERROR(__xludf.DUMMYFUNCTION("""COMPUTED_VALUE"""),27380.0)</f>
        <v>27380</v>
      </c>
      <c r="F610" s="1">
        <f>IFERROR(__xludf.DUMMYFUNCTION("""COMPUTED_VALUE"""),351167.0)</f>
        <v>351167</v>
      </c>
    </row>
    <row r="611">
      <c r="A611" s="2">
        <f>IFERROR(__xludf.DUMMYFUNCTION("""COMPUTED_VALUE"""),41442.645833333336)</f>
        <v>41442.64583</v>
      </c>
      <c r="B611" s="1">
        <f>IFERROR(__xludf.DUMMYFUNCTION("""COMPUTED_VALUE"""),27400.0)</f>
        <v>27400</v>
      </c>
      <c r="C611" s="1">
        <f>IFERROR(__xludf.DUMMYFUNCTION("""COMPUTED_VALUE"""),27560.0)</f>
        <v>27560</v>
      </c>
      <c r="D611" s="1">
        <f>IFERROR(__xludf.DUMMYFUNCTION("""COMPUTED_VALUE"""),27300.0)</f>
        <v>27300</v>
      </c>
      <c r="E611" s="1">
        <f>IFERROR(__xludf.DUMMYFUNCTION("""COMPUTED_VALUE"""),27320.0)</f>
        <v>27320</v>
      </c>
      <c r="F611" s="1">
        <f>IFERROR(__xludf.DUMMYFUNCTION("""COMPUTED_VALUE"""),235169.0)</f>
        <v>235169</v>
      </c>
    </row>
    <row r="612">
      <c r="A612" s="2">
        <f>IFERROR(__xludf.DUMMYFUNCTION("""COMPUTED_VALUE"""),41443.645833333336)</f>
        <v>41443.64583</v>
      </c>
      <c r="B612" s="1">
        <f>IFERROR(__xludf.DUMMYFUNCTION("""COMPUTED_VALUE"""),27360.0)</f>
        <v>27360</v>
      </c>
      <c r="C612" s="1">
        <f>IFERROR(__xludf.DUMMYFUNCTION("""COMPUTED_VALUE"""),27740.0)</f>
        <v>27740</v>
      </c>
      <c r="D612" s="1">
        <f>IFERROR(__xludf.DUMMYFUNCTION("""COMPUTED_VALUE"""),27200.0)</f>
        <v>27200</v>
      </c>
      <c r="E612" s="1">
        <f>IFERROR(__xludf.DUMMYFUNCTION("""COMPUTED_VALUE"""),27740.0)</f>
        <v>27740</v>
      </c>
      <c r="F612" s="1">
        <f>IFERROR(__xludf.DUMMYFUNCTION("""COMPUTED_VALUE"""),220861.0)</f>
        <v>220861</v>
      </c>
    </row>
    <row r="613">
      <c r="A613" s="2">
        <f>IFERROR(__xludf.DUMMYFUNCTION("""COMPUTED_VALUE"""),41444.645833333336)</f>
        <v>41444.64583</v>
      </c>
      <c r="B613" s="1">
        <f>IFERROR(__xludf.DUMMYFUNCTION("""COMPUTED_VALUE"""),27640.0)</f>
        <v>27640</v>
      </c>
      <c r="C613" s="1">
        <f>IFERROR(__xludf.DUMMYFUNCTION("""COMPUTED_VALUE"""),27700.0)</f>
        <v>27700</v>
      </c>
      <c r="D613" s="1">
        <f>IFERROR(__xludf.DUMMYFUNCTION("""COMPUTED_VALUE"""),27280.0)</f>
        <v>27280</v>
      </c>
      <c r="E613" s="1">
        <f>IFERROR(__xludf.DUMMYFUNCTION("""COMPUTED_VALUE"""),27380.0)</f>
        <v>27380</v>
      </c>
      <c r="F613" s="1">
        <f>IFERROR(__xludf.DUMMYFUNCTION("""COMPUTED_VALUE"""),205405.0)</f>
        <v>205405</v>
      </c>
    </row>
    <row r="614">
      <c r="A614" s="2">
        <f>IFERROR(__xludf.DUMMYFUNCTION("""COMPUTED_VALUE"""),41445.645833333336)</f>
        <v>41445.64583</v>
      </c>
      <c r="B614" s="1">
        <f>IFERROR(__xludf.DUMMYFUNCTION("""COMPUTED_VALUE"""),26860.0)</f>
        <v>26860</v>
      </c>
      <c r="C614" s="1">
        <f>IFERROR(__xludf.DUMMYFUNCTION("""COMPUTED_VALUE"""),26960.0)</f>
        <v>26960</v>
      </c>
      <c r="D614" s="1">
        <f>IFERROR(__xludf.DUMMYFUNCTION("""COMPUTED_VALUE"""),26520.0)</f>
        <v>26520</v>
      </c>
      <c r="E614" s="1">
        <f>IFERROR(__xludf.DUMMYFUNCTION("""COMPUTED_VALUE"""),26580.0)</f>
        <v>26580</v>
      </c>
      <c r="F614" s="1">
        <f>IFERROR(__xludf.DUMMYFUNCTION("""COMPUTED_VALUE"""),356359.0)</f>
        <v>356359</v>
      </c>
    </row>
    <row r="615">
      <c r="A615" s="2">
        <f>IFERROR(__xludf.DUMMYFUNCTION("""COMPUTED_VALUE"""),41446.645833333336)</f>
        <v>41446.64583</v>
      </c>
      <c r="B615" s="1">
        <f>IFERROR(__xludf.DUMMYFUNCTION("""COMPUTED_VALUE"""),25880.0)</f>
        <v>25880</v>
      </c>
      <c r="C615" s="1">
        <f>IFERROR(__xludf.DUMMYFUNCTION("""COMPUTED_VALUE"""),26660.0)</f>
        <v>26660</v>
      </c>
      <c r="D615" s="1">
        <f>IFERROR(__xludf.DUMMYFUNCTION("""COMPUTED_VALUE"""),25800.0)</f>
        <v>25800</v>
      </c>
      <c r="E615" s="1">
        <f>IFERROR(__xludf.DUMMYFUNCTION("""COMPUTED_VALUE"""),26500.0)</f>
        <v>26500</v>
      </c>
      <c r="F615" s="1">
        <f>IFERROR(__xludf.DUMMYFUNCTION("""COMPUTED_VALUE"""),553556.0)</f>
        <v>553556</v>
      </c>
    </row>
    <row r="616">
      <c r="A616" s="2">
        <f>IFERROR(__xludf.DUMMYFUNCTION("""COMPUTED_VALUE"""),41449.645833333336)</f>
        <v>41449.64583</v>
      </c>
      <c r="B616" s="1">
        <f>IFERROR(__xludf.DUMMYFUNCTION("""COMPUTED_VALUE"""),27000.0)</f>
        <v>27000</v>
      </c>
      <c r="C616" s="1">
        <f>IFERROR(__xludf.DUMMYFUNCTION("""COMPUTED_VALUE"""),27000.0)</f>
        <v>27000</v>
      </c>
      <c r="D616" s="1">
        <f>IFERROR(__xludf.DUMMYFUNCTION("""COMPUTED_VALUE"""),26260.0)</f>
        <v>26260</v>
      </c>
      <c r="E616" s="1">
        <f>IFERROR(__xludf.DUMMYFUNCTION("""COMPUTED_VALUE"""),26260.0)</f>
        <v>26260</v>
      </c>
      <c r="F616" s="1">
        <f>IFERROR(__xludf.DUMMYFUNCTION("""COMPUTED_VALUE"""),316958.0)</f>
        <v>316958</v>
      </c>
    </row>
    <row r="617">
      <c r="A617" s="2">
        <f>IFERROR(__xludf.DUMMYFUNCTION("""COMPUTED_VALUE"""),41450.645833333336)</f>
        <v>41450.64583</v>
      </c>
      <c r="B617" s="1">
        <f>IFERROR(__xludf.DUMMYFUNCTION("""COMPUTED_VALUE"""),26020.0)</f>
        <v>26020</v>
      </c>
      <c r="C617" s="1">
        <f>IFERROR(__xludf.DUMMYFUNCTION("""COMPUTED_VALUE"""),26360.0)</f>
        <v>26360</v>
      </c>
      <c r="D617" s="1">
        <f>IFERROR(__xludf.DUMMYFUNCTION("""COMPUTED_VALUE"""),25760.0)</f>
        <v>25760</v>
      </c>
      <c r="E617" s="1">
        <f>IFERROR(__xludf.DUMMYFUNCTION("""COMPUTED_VALUE"""),25940.0)</f>
        <v>25940</v>
      </c>
      <c r="F617" s="1">
        <f>IFERROR(__xludf.DUMMYFUNCTION("""COMPUTED_VALUE"""),415499.0)</f>
        <v>415499</v>
      </c>
    </row>
    <row r="618">
      <c r="A618" s="2">
        <f>IFERROR(__xludf.DUMMYFUNCTION("""COMPUTED_VALUE"""),41451.645833333336)</f>
        <v>41451.64583</v>
      </c>
      <c r="B618" s="1">
        <f>IFERROR(__xludf.DUMMYFUNCTION("""COMPUTED_VALUE"""),26020.0)</f>
        <v>26020</v>
      </c>
      <c r="C618" s="1">
        <f>IFERROR(__xludf.DUMMYFUNCTION("""COMPUTED_VALUE"""),26100.0)</f>
        <v>26100</v>
      </c>
      <c r="D618" s="1">
        <f>IFERROR(__xludf.DUMMYFUNCTION("""COMPUTED_VALUE"""),24900.0)</f>
        <v>24900</v>
      </c>
      <c r="E618" s="1">
        <f>IFERROR(__xludf.DUMMYFUNCTION("""COMPUTED_VALUE"""),25220.0)</f>
        <v>25220</v>
      </c>
      <c r="F618" s="1">
        <f>IFERROR(__xludf.DUMMYFUNCTION("""COMPUTED_VALUE"""),635024.0)</f>
        <v>635024</v>
      </c>
    </row>
    <row r="619">
      <c r="A619" s="2">
        <f>IFERROR(__xludf.DUMMYFUNCTION("""COMPUTED_VALUE"""),41452.645833333336)</f>
        <v>41452.64583</v>
      </c>
      <c r="B619" s="1">
        <f>IFERROR(__xludf.DUMMYFUNCTION("""COMPUTED_VALUE"""),25900.0)</f>
        <v>25900</v>
      </c>
      <c r="C619" s="1">
        <f>IFERROR(__xludf.DUMMYFUNCTION("""COMPUTED_VALUE"""),26880.0)</f>
        <v>26880</v>
      </c>
      <c r="D619" s="1">
        <f>IFERROR(__xludf.DUMMYFUNCTION("""COMPUTED_VALUE"""),25720.0)</f>
        <v>25720</v>
      </c>
      <c r="E619" s="1">
        <f>IFERROR(__xludf.DUMMYFUNCTION("""COMPUTED_VALUE"""),26780.0)</f>
        <v>26780</v>
      </c>
      <c r="F619" s="1">
        <f>IFERROR(__xludf.DUMMYFUNCTION("""COMPUTED_VALUE"""),515123.0)</f>
        <v>515123</v>
      </c>
    </row>
    <row r="620">
      <c r="A620" s="2">
        <f>IFERROR(__xludf.DUMMYFUNCTION("""COMPUTED_VALUE"""),41453.645833333336)</f>
        <v>41453.64583</v>
      </c>
      <c r="B620" s="1">
        <f>IFERROR(__xludf.DUMMYFUNCTION("""COMPUTED_VALUE"""),27000.0)</f>
        <v>27000</v>
      </c>
      <c r="C620" s="1">
        <f>IFERROR(__xludf.DUMMYFUNCTION("""COMPUTED_VALUE"""),27000.0)</f>
        <v>27000</v>
      </c>
      <c r="D620" s="1">
        <f>IFERROR(__xludf.DUMMYFUNCTION("""COMPUTED_VALUE"""),26580.0)</f>
        <v>26580</v>
      </c>
      <c r="E620" s="1">
        <f>IFERROR(__xludf.DUMMYFUNCTION("""COMPUTED_VALUE"""),26840.0)</f>
        <v>26840</v>
      </c>
      <c r="F620" s="1">
        <f>IFERROR(__xludf.DUMMYFUNCTION("""COMPUTED_VALUE"""),419225.0)</f>
        <v>419225</v>
      </c>
    </row>
    <row r="621">
      <c r="A621" s="2">
        <f>IFERROR(__xludf.DUMMYFUNCTION("""COMPUTED_VALUE"""),41456.645833333336)</f>
        <v>41456.64583</v>
      </c>
      <c r="B621" s="1">
        <f>IFERROR(__xludf.DUMMYFUNCTION("""COMPUTED_VALUE"""),26680.0)</f>
        <v>26680</v>
      </c>
      <c r="C621" s="1">
        <f>IFERROR(__xludf.DUMMYFUNCTION("""COMPUTED_VALUE"""),26920.0)</f>
        <v>26920</v>
      </c>
      <c r="D621" s="1">
        <f>IFERROR(__xludf.DUMMYFUNCTION("""COMPUTED_VALUE"""),26440.0)</f>
        <v>26440</v>
      </c>
      <c r="E621" s="1">
        <f>IFERROR(__xludf.DUMMYFUNCTION("""COMPUTED_VALUE"""),26520.0)</f>
        <v>26520</v>
      </c>
      <c r="F621" s="1">
        <f>IFERROR(__xludf.DUMMYFUNCTION("""COMPUTED_VALUE"""),256519.0)</f>
        <v>256519</v>
      </c>
    </row>
    <row r="622">
      <c r="A622" s="2">
        <f>IFERROR(__xludf.DUMMYFUNCTION("""COMPUTED_VALUE"""),41457.645833333336)</f>
        <v>41457.64583</v>
      </c>
      <c r="B622" s="1">
        <f>IFERROR(__xludf.DUMMYFUNCTION("""COMPUTED_VALUE"""),26800.0)</f>
        <v>26800</v>
      </c>
      <c r="C622" s="1">
        <f>IFERROR(__xludf.DUMMYFUNCTION("""COMPUTED_VALUE"""),27040.0)</f>
        <v>27040</v>
      </c>
      <c r="D622" s="1">
        <f>IFERROR(__xludf.DUMMYFUNCTION("""COMPUTED_VALUE"""),26600.0)</f>
        <v>26600</v>
      </c>
      <c r="E622" s="1">
        <f>IFERROR(__xludf.DUMMYFUNCTION("""COMPUTED_VALUE"""),26700.0)</f>
        <v>26700</v>
      </c>
      <c r="F622" s="1">
        <f>IFERROR(__xludf.DUMMYFUNCTION("""COMPUTED_VALUE"""),204289.0)</f>
        <v>204289</v>
      </c>
    </row>
    <row r="623">
      <c r="A623" s="2">
        <f>IFERROR(__xludf.DUMMYFUNCTION("""COMPUTED_VALUE"""),41458.645833333336)</f>
        <v>41458.64583</v>
      </c>
      <c r="B623" s="1">
        <f>IFERROR(__xludf.DUMMYFUNCTION("""COMPUTED_VALUE"""),26680.0)</f>
        <v>26680</v>
      </c>
      <c r="C623" s="1">
        <f>IFERROR(__xludf.DUMMYFUNCTION("""COMPUTED_VALUE"""),26780.0)</f>
        <v>26780</v>
      </c>
      <c r="D623" s="1">
        <f>IFERROR(__xludf.DUMMYFUNCTION("""COMPUTED_VALUE"""),25900.0)</f>
        <v>25900</v>
      </c>
      <c r="E623" s="1">
        <f>IFERROR(__xludf.DUMMYFUNCTION("""COMPUTED_VALUE"""),26020.0)</f>
        <v>26020</v>
      </c>
      <c r="F623" s="1">
        <f>IFERROR(__xludf.DUMMYFUNCTION("""COMPUTED_VALUE"""),256441.0)</f>
        <v>256441</v>
      </c>
    </row>
    <row r="624">
      <c r="A624" s="2">
        <f>IFERROR(__xludf.DUMMYFUNCTION("""COMPUTED_VALUE"""),41459.645833333336)</f>
        <v>41459.64583</v>
      </c>
      <c r="B624" s="1">
        <f>IFERROR(__xludf.DUMMYFUNCTION("""COMPUTED_VALUE"""),26040.0)</f>
        <v>26040</v>
      </c>
      <c r="C624" s="1">
        <f>IFERROR(__xludf.DUMMYFUNCTION("""COMPUTED_VALUE"""),26340.0)</f>
        <v>26340</v>
      </c>
      <c r="D624" s="1">
        <f>IFERROR(__xludf.DUMMYFUNCTION("""COMPUTED_VALUE"""),25920.0)</f>
        <v>25920</v>
      </c>
      <c r="E624" s="1">
        <f>IFERROR(__xludf.DUMMYFUNCTION("""COMPUTED_VALUE"""),26340.0)</f>
        <v>26340</v>
      </c>
      <c r="F624" s="1">
        <f>IFERROR(__xludf.DUMMYFUNCTION("""COMPUTED_VALUE"""),180853.0)</f>
        <v>180853</v>
      </c>
    </row>
    <row r="625">
      <c r="A625" s="2">
        <f>IFERROR(__xludf.DUMMYFUNCTION("""COMPUTED_VALUE"""),41460.645833333336)</f>
        <v>41460.64583</v>
      </c>
      <c r="B625" s="1">
        <f>IFERROR(__xludf.DUMMYFUNCTION("""COMPUTED_VALUE"""),25720.0)</f>
        <v>25720</v>
      </c>
      <c r="C625" s="1">
        <f>IFERROR(__xludf.DUMMYFUNCTION("""COMPUTED_VALUE"""),26300.0)</f>
        <v>26300</v>
      </c>
      <c r="D625" s="1">
        <f>IFERROR(__xludf.DUMMYFUNCTION("""COMPUTED_VALUE"""),25200.0)</f>
        <v>25200</v>
      </c>
      <c r="E625" s="1">
        <f>IFERROR(__xludf.DUMMYFUNCTION("""COMPUTED_VALUE"""),25340.0)</f>
        <v>25340</v>
      </c>
      <c r="F625" s="1">
        <f>IFERROR(__xludf.DUMMYFUNCTION("""COMPUTED_VALUE"""),607656.0)</f>
        <v>607656</v>
      </c>
    </row>
    <row r="626">
      <c r="A626" s="2">
        <f>IFERROR(__xludf.DUMMYFUNCTION("""COMPUTED_VALUE"""),41463.645833333336)</f>
        <v>41463.64583</v>
      </c>
      <c r="B626" s="1">
        <f>IFERROR(__xludf.DUMMYFUNCTION("""COMPUTED_VALUE"""),25000.0)</f>
        <v>25000</v>
      </c>
      <c r="C626" s="1">
        <f>IFERROR(__xludf.DUMMYFUNCTION("""COMPUTED_VALUE"""),25160.0)</f>
        <v>25160</v>
      </c>
      <c r="D626" s="1">
        <f>IFERROR(__xludf.DUMMYFUNCTION("""COMPUTED_VALUE"""),24180.0)</f>
        <v>24180</v>
      </c>
      <c r="E626" s="1">
        <f>IFERROR(__xludf.DUMMYFUNCTION("""COMPUTED_VALUE"""),24520.0)</f>
        <v>24520</v>
      </c>
      <c r="F626" s="1">
        <f>IFERROR(__xludf.DUMMYFUNCTION("""COMPUTED_VALUE"""),529603.0)</f>
        <v>529603</v>
      </c>
    </row>
    <row r="627">
      <c r="A627" s="2">
        <f>IFERROR(__xludf.DUMMYFUNCTION("""COMPUTED_VALUE"""),41464.645833333336)</f>
        <v>41464.64583</v>
      </c>
      <c r="B627" s="1">
        <f>IFERROR(__xludf.DUMMYFUNCTION("""COMPUTED_VALUE"""),24600.0)</f>
        <v>24600</v>
      </c>
      <c r="C627" s="1">
        <f>IFERROR(__xludf.DUMMYFUNCTION("""COMPUTED_VALUE"""),25000.0)</f>
        <v>25000</v>
      </c>
      <c r="D627" s="1">
        <f>IFERROR(__xludf.DUMMYFUNCTION("""COMPUTED_VALUE"""),24580.0)</f>
        <v>24580</v>
      </c>
      <c r="E627" s="1">
        <f>IFERROR(__xludf.DUMMYFUNCTION("""COMPUTED_VALUE"""),24740.0)</f>
        <v>24740</v>
      </c>
      <c r="F627" s="1">
        <f>IFERROR(__xludf.DUMMYFUNCTION("""COMPUTED_VALUE"""),393899.0)</f>
        <v>393899</v>
      </c>
    </row>
    <row r="628">
      <c r="A628" s="2">
        <f>IFERROR(__xludf.DUMMYFUNCTION("""COMPUTED_VALUE"""),41465.645833333336)</f>
        <v>41465.64583</v>
      </c>
      <c r="B628" s="1">
        <f>IFERROR(__xludf.DUMMYFUNCTION("""COMPUTED_VALUE"""),24900.0)</f>
        <v>24900</v>
      </c>
      <c r="C628" s="1">
        <f>IFERROR(__xludf.DUMMYFUNCTION("""COMPUTED_VALUE"""),25040.0)</f>
        <v>25040</v>
      </c>
      <c r="D628" s="1">
        <f>IFERROR(__xludf.DUMMYFUNCTION("""COMPUTED_VALUE"""),24740.0)</f>
        <v>24740</v>
      </c>
      <c r="E628" s="1">
        <f>IFERROR(__xludf.DUMMYFUNCTION("""COMPUTED_VALUE"""),24960.0)</f>
        <v>24960</v>
      </c>
      <c r="F628" s="1">
        <f>IFERROR(__xludf.DUMMYFUNCTION("""COMPUTED_VALUE"""),346113.0)</f>
        <v>346113</v>
      </c>
    </row>
    <row r="629">
      <c r="A629" s="2">
        <f>IFERROR(__xludf.DUMMYFUNCTION("""COMPUTED_VALUE"""),41466.645833333336)</f>
        <v>41466.64583</v>
      </c>
      <c r="B629" s="1">
        <f>IFERROR(__xludf.DUMMYFUNCTION("""COMPUTED_VALUE"""),25020.0)</f>
        <v>25020</v>
      </c>
      <c r="C629" s="1">
        <f>IFERROR(__xludf.DUMMYFUNCTION("""COMPUTED_VALUE"""),26240.0)</f>
        <v>26240</v>
      </c>
      <c r="D629" s="1">
        <f>IFERROR(__xludf.DUMMYFUNCTION("""COMPUTED_VALUE"""),25020.0)</f>
        <v>25020</v>
      </c>
      <c r="E629" s="1">
        <f>IFERROR(__xludf.DUMMYFUNCTION("""COMPUTED_VALUE"""),26240.0)</f>
        <v>26240</v>
      </c>
      <c r="F629" s="1">
        <f>IFERROR(__xludf.DUMMYFUNCTION("""COMPUTED_VALUE"""),415767.0)</f>
        <v>415767</v>
      </c>
    </row>
    <row r="630">
      <c r="A630" s="2">
        <f>IFERROR(__xludf.DUMMYFUNCTION("""COMPUTED_VALUE"""),41467.645833333336)</f>
        <v>41467.64583</v>
      </c>
      <c r="B630" s="1">
        <f>IFERROR(__xludf.DUMMYFUNCTION("""COMPUTED_VALUE"""),26400.0)</f>
        <v>26400</v>
      </c>
      <c r="C630" s="1">
        <f>IFERROR(__xludf.DUMMYFUNCTION("""COMPUTED_VALUE"""),26480.0)</f>
        <v>26480</v>
      </c>
      <c r="D630" s="1">
        <f>IFERROR(__xludf.DUMMYFUNCTION("""COMPUTED_VALUE"""),26020.0)</f>
        <v>26020</v>
      </c>
      <c r="E630" s="1">
        <f>IFERROR(__xludf.DUMMYFUNCTION("""COMPUTED_VALUE"""),26240.0)</f>
        <v>26240</v>
      </c>
      <c r="F630" s="1">
        <f>IFERROR(__xludf.DUMMYFUNCTION("""COMPUTED_VALUE"""),227826.0)</f>
        <v>227826</v>
      </c>
    </row>
    <row r="631">
      <c r="A631" s="2">
        <f>IFERROR(__xludf.DUMMYFUNCTION("""COMPUTED_VALUE"""),41470.645833333336)</f>
        <v>41470.64583</v>
      </c>
      <c r="B631" s="1">
        <f>IFERROR(__xludf.DUMMYFUNCTION("""COMPUTED_VALUE"""),26300.0)</f>
        <v>26300</v>
      </c>
      <c r="C631" s="1">
        <f>IFERROR(__xludf.DUMMYFUNCTION("""COMPUTED_VALUE"""),26380.0)</f>
        <v>26380</v>
      </c>
      <c r="D631" s="1">
        <f>IFERROR(__xludf.DUMMYFUNCTION("""COMPUTED_VALUE"""),25700.0)</f>
        <v>25700</v>
      </c>
      <c r="E631" s="1">
        <f>IFERROR(__xludf.DUMMYFUNCTION("""COMPUTED_VALUE"""),26260.0)</f>
        <v>26260</v>
      </c>
      <c r="F631" s="1">
        <f>IFERROR(__xludf.DUMMYFUNCTION("""COMPUTED_VALUE"""),192592.0)</f>
        <v>192592</v>
      </c>
    </row>
    <row r="632">
      <c r="A632" s="2">
        <f>IFERROR(__xludf.DUMMYFUNCTION("""COMPUTED_VALUE"""),41471.645833333336)</f>
        <v>41471.64583</v>
      </c>
      <c r="B632" s="1">
        <f>IFERROR(__xludf.DUMMYFUNCTION("""COMPUTED_VALUE"""),26360.0)</f>
        <v>26360</v>
      </c>
      <c r="C632" s="1">
        <f>IFERROR(__xludf.DUMMYFUNCTION("""COMPUTED_VALUE"""),26420.0)</f>
        <v>26420</v>
      </c>
      <c r="D632" s="1">
        <f>IFERROR(__xludf.DUMMYFUNCTION("""COMPUTED_VALUE"""),25800.0)</f>
        <v>25800</v>
      </c>
      <c r="E632" s="1">
        <f>IFERROR(__xludf.DUMMYFUNCTION("""COMPUTED_VALUE"""),25960.0)</f>
        <v>25960</v>
      </c>
      <c r="F632" s="1">
        <f>IFERROR(__xludf.DUMMYFUNCTION("""COMPUTED_VALUE"""),186019.0)</f>
        <v>186019</v>
      </c>
    </row>
    <row r="633">
      <c r="A633" s="2">
        <f>IFERROR(__xludf.DUMMYFUNCTION("""COMPUTED_VALUE"""),41472.645833333336)</f>
        <v>41472.64583</v>
      </c>
      <c r="B633" s="1">
        <f>IFERROR(__xludf.DUMMYFUNCTION("""COMPUTED_VALUE"""),26020.0)</f>
        <v>26020</v>
      </c>
      <c r="C633" s="1">
        <f>IFERROR(__xludf.DUMMYFUNCTION("""COMPUTED_VALUE"""),26600.0)</f>
        <v>26600</v>
      </c>
      <c r="D633" s="1">
        <f>IFERROR(__xludf.DUMMYFUNCTION("""COMPUTED_VALUE"""),25720.0)</f>
        <v>25720</v>
      </c>
      <c r="E633" s="1">
        <f>IFERROR(__xludf.DUMMYFUNCTION("""COMPUTED_VALUE"""),26400.0)</f>
        <v>26400</v>
      </c>
      <c r="F633" s="1">
        <f>IFERROR(__xludf.DUMMYFUNCTION("""COMPUTED_VALUE"""),246046.0)</f>
        <v>246046</v>
      </c>
    </row>
    <row r="634">
      <c r="A634" s="2">
        <f>IFERROR(__xludf.DUMMYFUNCTION("""COMPUTED_VALUE"""),41473.645833333336)</f>
        <v>41473.64583</v>
      </c>
      <c r="B634" s="1">
        <f>IFERROR(__xludf.DUMMYFUNCTION("""COMPUTED_VALUE"""),26500.0)</f>
        <v>26500</v>
      </c>
      <c r="C634" s="1">
        <f>IFERROR(__xludf.DUMMYFUNCTION("""COMPUTED_VALUE"""),26500.0)</f>
        <v>26500</v>
      </c>
      <c r="D634" s="1">
        <f>IFERROR(__xludf.DUMMYFUNCTION("""COMPUTED_VALUE"""),25840.0)</f>
        <v>25840</v>
      </c>
      <c r="E634" s="1">
        <f>IFERROR(__xludf.DUMMYFUNCTION("""COMPUTED_VALUE"""),25840.0)</f>
        <v>25840</v>
      </c>
      <c r="F634" s="1">
        <f>IFERROR(__xludf.DUMMYFUNCTION("""COMPUTED_VALUE"""),314084.0)</f>
        <v>314084</v>
      </c>
    </row>
    <row r="635">
      <c r="A635" s="2">
        <f>IFERROR(__xludf.DUMMYFUNCTION("""COMPUTED_VALUE"""),41474.645833333336)</f>
        <v>41474.64583</v>
      </c>
      <c r="B635" s="1">
        <f>IFERROR(__xludf.DUMMYFUNCTION("""COMPUTED_VALUE"""),25760.0)</f>
        <v>25760</v>
      </c>
      <c r="C635" s="1">
        <f>IFERROR(__xludf.DUMMYFUNCTION("""COMPUTED_VALUE"""),25900.0)</f>
        <v>25900</v>
      </c>
      <c r="D635" s="1">
        <f>IFERROR(__xludf.DUMMYFUNCTION("""COMPUTED_VALUE"""),25280.0)</f>
        <v>25280</v>
      </c>
      <c r="E635" s="1">
        <f>IFERROR(__xludf.DUMMYFUNCTION("""COMPUTED_VALUE"""),25460.0)</f>
        <v>25460</v>
      </c>
      <c r="F635" s="1">
        <f>IFERROR(__xludf.DUMMYFUNCTION("""COMPUTED_VALUE"""),325426.0)</f>
        <v>325426</v>
      </c>
    </row>
    <row r="636">
      <c r="A636" s="2">
        <f>IFERROR(__xludf.DUMMYFUNCTION("""COMPUTED_VALUE"""),41477.645833333336)</f>
        <v>41477.64583</v>
      </c>
      <c r="B636" s="1">
        <f>IFERROR(__xludf.DUMMYFUNCTION("""COMPUTED_VALUE"""),25600.0)</f>
        <v>25600</v>
      </c>
      <c r="C636" s="1">
        <f>IFERROR(__xludf.DUMMYFUNCTION("""COMPUTED_VALUE"""),25780.0)</f>
        <v>25780</v>
      </c>
      <c r="D636" s="1">
        <f>IFERROR(__xludf.DUMMYFUNCTION("""COMPUTED_VALUE"""),25300.0)</f>
        <v>25300</v>
      </c>
      <c r="E636" s="1">
        <f>IFERROR(__xludf.DUMMYFUNCTION("""COMPUTED_VALUE"""),25460.0)</f>
        <v>25460</v>
      </c>
      <c r="F636" s="1">
        <f>IFERROR(__xludf.DUMMYFUNCTION("""COMPUTED_VALUE"""),207023.0)</f>
        <v>207023</v>
      </c>
    </row>
    <row r="637">
      <c r="A637" s="2">
        <f>IFERROR(__xludf.DUMMYFUNCTION("""COMPUTED_VALUE"""),41478.645833333336)</f>
        <v>41478.64583</v>
      </c>
      <c r="B637" s="1">
        <f>IFERROR(__xludf.DUMMYFUNCTION("""COMPUTED_VALUE"""),25460.0)</f>
        <v>25460</v>
      </c>
      <c r="C637" s="1">
        <f>IFERROR(__xludf.DUMMYFUNCTION("""COMPUTED_VALUE"""),26140.0)</f>
        <v>26140</v>
      </c>
      <c r="D637" s="1">
        <f>IFERROR(__xludf.DUMMYFUNCTION("""COMPUTED_VALUE"""),25440.0)</f>
        <v>25440</v>
      </c>
      <c r="E637" s="1">
        <f>IFERROR(__xludf.DUMMYFUNCTION("""COMPUTED_VALUE"""),26140.0)</f>
        <v>26140</v>
      </c>
      <c r="F637" s="1">
        <f>IFERROR(__xludf.DUMMYFUNCTION("""COMPUTED_VALUE"""),238978.0)</f>
        <v>238978</v>
      </c>
    </row>
    <row r="638">
      <c r="A638" s="2">
        <f>IFERROR(__xludf.DUMMYFUNCTION("""COMPUTED_VALUE"""),41479.645833333336)</f>
        <v>41479.64583</v>
      </c>
      <c r="B638" s="1">
        <f>IFERROR(__xludf.DUMMYFUNCTION("""COMPUTED_VALUE"""),26140.0)</f>
        <v>26140</v>
      </c>
      <c r="C638" s="1">
        <f>IFERROR(__xludf.DUMMYFUNCTION("""COMPUTED_VALUE"""),26340.0)</f>
        <v>26340</v>
      </c>
      <c r="D638" s="1">
        <f>IFERROR(__xludf.DUMMYFUNCTION("""COMPUTED_VALUE"""),25900.0)</f>
        <v>25900</v>
      </c>
      <c r="E638" s="1">
        <f>IFERROR(__xludf.DUMMYFUNCTION("""COMPUTED_VALUE"""),26300.0)</f>
        <v>26300</v>
      </c>
      <c r="F638" s="1">
        <f>IFERROR(__xludf.DUMMYFUNCTION("""COMPUTED_VALUE"""),175453.0)</f>
        <v>175453</v>
      </c>
    </row>
    <row r="639">
      <c r="A639" s="2">
        <f>IFERROR(__xludf.DUMMYFUNCTION("""COMPUTED_VALUE"""),41480.645833333336)</f>
        <v>41480.64583</v>
      </c>
      <c r="B639" s="1">
        <f>IFERROR(__xludf.DUMMYFUNCTION("""COMPUTED_VALUE"""),26340.0)</f>
        <v>26340</v>
      </c>
      <c r="C639" s="1">
        <f>IFERROR(__xludf.DUMMYFUNCTION("""COMPUTED_VALUE"""),26440.0)</f>
        <v>26440</v>
      </c>
      <c r="D639" s="1">
        <f>IFERROR(__xludf.DUMMYFUNCTION("""COMPUTED_VALUE"""),26160.0)</f>
        <v>26160</v>
      </c>
      <c r="E639" s="1">
        <f>IFERROR(__xludf.DUMMYFUNCTION("""COMPUTED_VALUE"""),26300.0)</f>
        <v>26300</v>
      </c>
      <c r="F639" s="1">
        <f>IFERROR(__xludf.DUMMYFUNCTION("""COMPUTED_VALUE"""),169913.0)</f>
        <v>169913</v>
      </c>
    </row>
    <row r="640">
      <c r="A640" s="2">
        <f>IFERROR(__xludf.DUMMYFUNCTION("""COMPUTED_VALUE"""),41481.645833333336)</f>
        <v>41481.64583</v>
      </c>
      <c r="B640" s="1">
        <f>IFERROR(__xludf.DUMMYFUNCTION("""COMPUTED_VALUE"""),26280.0)</f>
        <v>26280</v>
      </c>
      <c r="C640" s="1">
        <f>IFERROR(__xludf.DUMMYFUNCTION("""COMPUTED_VALUE"""),26380.0)</f>
        <v>26380</v>
      </c>
      <c r="D640" s="1">
        <f>IFERROR(__xludf.DUMMYFUNCTION("""COMPUTED_VALUE"""),25980.0)</f>
        <v>25980</v>
      </c>
      <c r="E640" s="1">
        <f>IFERROR(__xludf.DUMMYFUNCTION("""COMPUTED_VALUE"""),26060.0)</f>
        <v>26060</v>
      </c>
      <c r="F640" s="1">
        <f>IFERROR(__xludf.DUMMYFUNCTION("""COMPUTED_VALUE"""),272391.0)</f>
        <v>272391</v>
      </c>
    </row>
    <row r="641">
      <c r="A641" s="2">
        <f>IFERROR(__xludf.DUMMYFUNCTION("""COMPUTED_VALUE"""),41484.645833333336)</f>
        <v>41484.64583</v>
      </c>
      <c r="B641" s="1">
        <f>IFERROR(__xludf.DUMMYFUNCTION("""COMPUTED_VALUE"""),25820.0)</f>
        <v>25820</v>
      </c>
      <c r="C641" s="1">
        <f>IFERROR(__xludf.DUMMYFUNCTION("""COMPUTED_VALUE"""),26000.0)</f>
        <v>26000</v>
      </c>
      <c r="D641" s="1">
        <f>IFERROR(__xludf.DUMMYFUNCTION("""COMPUTED_VALUE"""),25580.0)</f>
        <v>25580</v>
      </c>
      <c r="E641" s="1">
        <f>IFERROR(__xludf.DUMMYFUNCTION("""COMPUTED_VALUE"""),25660.0)</f>
        <v>25660</v>
      </c>
      <c r="F641" s="1">
        <f>IFERROR(__xludf.DUMMYFUNCTION("""COMPUTED_VALUE"""),236437.0)</f>
        <v>236437</v>
      </c>
    </row>
    <row r="642">
      <c r="A642" s="2">
        <f>IFERROR(__xludf.DUMMYFUNCTION("""COMPUTED_VALUE"""),41485.645833333336)</f>
        <v>41485.64583</v>
      </c>
      <c r="B642" s="1">
        <f>IFERROR(__xludf.DUMMYFUNCTION("""COMPUTED_VALUE"""),25540.0)</f>
        <v>25540</v>
      </c>
      <c r="C642" s="1">
        <f>IFERROR(__xludf.DUMMYFUNCTION("""COMPUTED_VALUE"""),25900.0)</f>
        <v>25900</v>
      </c>
      <c r="D642" s="1">
        <f>IFERROR(__xludf.DUMMYFUNCTION("""COMPUTED_VALUE"""),25540.0)</f>
        <v>25540</v>
      </c>
      <c r="E642" s="1">
        <f>IFERROR(__xludf.DUMMYFUNCTION("""COMPUTED_VALUE"""),25800.0)</f>
        <v>25800</v>
      </c>
      <c r="F642" s="1">
        <f>IFERROR(__xludf.DUMMYFUNCTION("""COMPUTED_VALUE"""),188507.0)</f>
        <v>188507</v>
      </c>
    </row>
    <row r="643">
      <c r="A643" s="2">
        <f>IFERROR(__xludf.DUMMYFUNCTION("""COMPUTED_VALUE"""),41486.645833333336)</f>
        <v>41486.64583</v>
      </c>
      <c r="B643" s="1">
        <f>IFERROR(__xludf.DUMMYFUNCTION("""COMPUTED_VALUE"""),25600.0)</f>
        <v>25600</v>
      </c>
      <c r="C643" s="1">
        <f>IFERROR(__xludf.DUMMYFUNCTION("""COMPUTED_VALUE"""),25800.0)</f>
        <v>25800</v>
      </c>
      <c r="D643" s="1">
        <f>IFERROR(__xludf.DUMMYFUNCTION("""COMPUTED_VALUE"""),25580.0)</f>
        <v>25580</v>
      </c>
      <c r="E643" s="1">
        <f>IFERROR(__xludf.DUMMYFUNCTION("""COMPUTED_VALUE"""),25600.0)</f>
        <v>25600</v>
      </c>
      <c r="F643" s="1">
        <f>IFERROR(__xludf.DUMMYFUNCTION("""COMPUTED_VALUE"""),254710.0)</f>
        <v>254710</v>
      </c>
    </row>
    <row r="644">
      <c r="A644" s="2">
        <f>IFERROR(__xludf.DUMMYFUNCTION("""COMPUTED_VALUE"""),41487.645833333336)</f>
        <v>41487.64583</v>
      </c>
      <c r="B644" s="1">
        <f>IFERROR(__xludf.DUMMYFUNCTION("""COMPUTED_VALUE"""),25700.0)</f>
        <v>25700</v>
      </c>
      <c r="C644" s="1">
        <f>IFERROR(__xludf.DUMMYFUNCTION("""COMPUTED_VALUE"""),25760.0)</f>
        <v>25760</v>
      </c>
      <c r="D644" s="1">
        <f>IFERROR(__xludf.DUMMYFUNCTION("""COMPUTED_VALUE"""),25480.0)</f>
        <v>25480</v>
      </c>
      <c r="E644" s="1">
        <f>IFERROR(__xludf.DUMMYFUNCTION("""COMPUTED_VALUE"""),25600.0)</f>
        <v>25600</v>
      </c>
      <c r="F644" s="1">
        <f>IFERROR(__xludf.DUMMYFUNCTION("""COMPUTED_VALUE"""),181178.0)</f>
        <v>181178</v>
      </c>
    </row>
    <row r="645">
      <c r="A645" s="2">
        <f>IFERROR(__xludf.DUMMYFUNCTION("""COMPUTED_VALUE"""),41488.645833333336)</f>
        <v>41488.64583</v>
      </c>
      <c r="B645" s="1">
        <f>IFERROR(__xludf.DUMMYFUNCTION("""COMPUTED_VALUE"""),25860.0)</f>
        <v>25860</v>
      </c>
      <c r="C645" s="1">
        <f>IFERROR(__xludf.DUMMYFUNCTION("""COMPUTED_VALUE"""),26000.0)</f>
        <v>26000</v>
      </c>
      <c r="D645" s="1">
        <f>IFERROR(__xludf.DUMMYFUNCTION("""COMPUTED_VALUE"""),25640.0)</f>
        <v>25640</v>
      </c>
      <c r="E645" s="1">
        <f>IFERROR(__xludf.DUMMYFUNCTION("""COMPUTED_VALUE"""),25720.0)</f>
        <v>25720</v>
      </c>
      <c r="F645" s="1">
        <f>IFERROR(__xludf.DUMMYFUNCTION("""COMPUTED_VALUE"""),224827.0)</f>
        <v>224827</v>
      </c>
    </row>
    <row r="646">
      <c r="A646" s="2">
        <f>IFERROR(__xludf.DUMMYFUNCTION("""COMPUTED_VALUE"""),41491.645833333336)</f>
        <v>41491.64583</v>
      </c>
      <c r="B646" s="1">
        <f>IFERROR(__xludf.DUMMYFUNCTION("""COMPUTED_VALUE"""),25660.0)</f>
        <v>25660</v>
      </c>
      <c r="C646" s="1">
        <f>IFERROR(__xludf.DUMMYFUNCTION("""COMPUTED_VALUE"""),25660.0)</f>
        <v>25660</v>
      </c>
      <c r="D646" s="1">
        <f>IFERROR(__xludf.DUMMYFUNCTION("""COMPUTED_VALUE"""),25480.0)</f>
        <v>25480</v>
      </c>
      <c r="E646" s="1">
        <f>IFERROR(__xludf.DUMMYFUNCTION("""COMPUTED_VALUE"""),25480.0)</f>
        <v>25480</v>
      </c>
      <c r="F646" s="1">
        <f>IFERROR(__xludf.DUMMYFUNCTION("""COMPUTED_VALUE"""),161597.0)</f>
        <v>161597</v>
      </c>
    </row>
    <row r="647">
      <c r="A647" s="2">
        <f>IFERROR(__xludf.DUMMYFUNCTION("""COMPUTED_VALUE"""),41492.645833333336)</f>
        <v>41492.64583</v>
      </c>
      <c r="B647" s="1">
        <f>IFERROR(__xludf.DUMMYFUNCTION("""COMPUTED_VALUE"""),24900.0)</f>
        <v>24900</v>
      </c>
      <c r="C647" s="1">
        <f>IFERROR(__xludf.DUMMYFUNCTION("""COMPUTED_VALUE"""),25440.0)</f>
        <v>25440</v>
      </c>
      <c r="D647" s="1">
        <f>IFERROR(__xludf.DUMMYFUNCTION("""COMPUTED_VALUE"""),24900.0)</f>
        <v>24900</v>
      </c>
      <c r="E647" s="1">
        <f>IFERROR(__xludf.DUMMYFUNCTION("""COMPUTED_VALUE"""),25080.0)</f>
        <v>25080</v>
      </c>
      <c r="F647" s="1">
        <f>IFERROR(__xludf.DUMMYFUNCTION("""COMPUTED_VALUE"""),289874.0)</f>
        <v>289874</v>
      </c>
    </row>
    <row r="648">
      <c r="A648" s="2">
        <f>IFERROR(__xludf.DUMMYFUNCTION("""COMPUTED_VALUE"""),41493.645833333336)</f>
        <v>41493.64583</v>
      </c>
      <c r="B648" s="1">
        <f>IFERROR(__xludf.DUMMYFUNCTION("""COMPUTED_VALUE"""),24740.0)</f>
        <v>24740</v>
      </c>
      <c r="C648" s="1">
        <f>IFERROR(__xludf.DUMMYFUNCTION("""COMPUTED_VALUE"""),24800.0)</f>
        <v>24800</v>
      </c>
      <c r="D648" s="1">
        <f>IFERROR(__xludf.DUMMYFUNCTION("""COMPUTED_VALUE"""),24440.0)</f>
        <v>24440</v>
      </c>
      <c r="E648" s="1">
        <f>IFERROR(__xludf.DUMMYFUNCTION("""COMPUTED_VALUE"""),24440.0)</f>
        <v>24440</v>
      </c>
      <c r="F648" s="1">
        <f>IFERROR(__xludf.DUMMYFUNCTION("""COMPUTED_VALUE"""),315562.0)</f>
        <v>315562</v>
      </c>
    </row>
    <row r="649">
      <c r="A649" s="2">
        <f>IFERROR(__xludf.DUMMYFUNCTION("""COMPUTED_VALUE"""),41494.645833333336)</f>
        <v>41494.64583</v>
      </c>
      <c r="B649" s="1">
        <f>IFERROR(__xludf.DUMMYFUNCTION("""COMPUTED_VALUE"""),24260.0)</f>
        <v>24260</v>
      </c>
      <c r="C649" s="1">
        <f>IFERROR(__xludf.DUMMYFUNCTION("""COMPUTED_VALUE"""),24700.0)</f>
        <v>24700</v>
      </c>
      <c r="D649" s="1">
        <f>IFERROR(__xludf.DUMMYFUNCTION("""COMPUTED_VALUE"""),24260.0)</f>
        <v>24260</v>
      </c>
      <c r="E649" s="1">
        <f>IFERROR(__xludf.DUMMYFUNCTION("""COMPUTED_VALUE"""),24340.0)</f>
        <v>24340</v>
      </c>
      <c r="F649" s="1">
        <f>IFERROR(__xludf.DUMMYFUNCTION("""COMPUTED_VALUE"""),358216.0)</f>
        <v>358216</v>
      </c>
    </row>
    <row r="650">
      <c r="A650" s="2">
        <f>IFERROR(__xludf.DUMMYFUNCTION("""COMPUTED_VALUE"""),41495.645833333336)</f>
        <v>41495.64583</v>
      </c>
      <c r="B650" s="1">
        <f>IFERROR(__xludf.DUMMYFUNCTION("""COMPUTED_VALUE"""),24580.0)</f>
        <v>24580</v>
      </c>
      <c r="C650" s="1">
        <f>IFERROR(__xludf.DUMMYFUNCTION("""COMPUTED_VALUE"""),24820.0)</f>
        <v>24820</v>
      </c>
      <c r="D650" s="1">
        <f>IFERROR(__xludf.DUMMYFUNCTION("""COMPUTED_VALUE"""),24400.0)</f>
        <v>24400</v>
      </c>
      <c r="E650" s="1">
        <f>IFERROR(__xludf.DUMMYFUNCTION("""COMPUTED_VALUE"""),24600.0)</f>
        <v>24600</v>
      </c>
      <c r="F650" s="1">
        <f>IFERROR(__xludf.DUMMYFUNCTION("""COMPUTED_VALUE"""),241604.0)</f>
        <v>241604</v>
      </c>
    </row>
    <row r="651">
      <c r="A651" s="2">
        <f>IFERROR(__xludf.DUMMYFUNCTION("""COMPUTED_VALUE"""),41498.645833333336)</f>
        <v>41498.64583</v>
      </c>
      <c r="B651" s="1">
        <f>IFERROR(__xludf.DUMMYFUNCTION("""COMPUTED_VALUE"""),24600.0)</f>
        <v>24600</v>
      </c>
      <c r="C651" s="1">
        <f>IFERROR(__xludf.DUMMYFUNCTION("""COMPUTED_VALUE"""),24960.0)</f>
        <v>24960</v>
      </c>
      <c r="D651" s="1">
        <f>IFERROR(__xludf.DUMMYFUNCTION("""COMPUTED_VALUE"""),24500.0)</f>
        <v>24500</v>
      </c>
      <c r="E651" s="1">
        <f>IFERROR(__xludf.DUMMYFUNCTION("""COMPUTED_VALUE"""),24640.0)</f>
        <v>24640</v>
      </c>
      <c r="F651" s="1">
        <f>IFERROR(__xludf.DUMMYFUNCTION("""COMPUTED_VALUE"""),202812.0)</f>
        <v>202812</v>
      </c>
    </row>
    <row r="652">
      <c r="A652" s="2">
        <f>IFERROR(__xludf.DUMMYFUNCTION("""COMPUTED_VALUE"""),41499.645833333336)</f>
        <v>41499.64583</v>
      </c>
      <c r="B652" s="1">
        <f>IFERROR(__xludf.DUMMYFUNCTION("""COMPUTED_VALUE"""),24880.0)</f>
        <v>24880</v>
      </c>
      <c r="C652" s="1">
        <f>IFERROR(__xludf.DUMMYFUNCTION("""COMPUTED_VALUE"""),25800.0)</f>
        <v>25800</v>
      </c>
      <c r="D652" s="1">
        <f>IFERROR(__xludf.DUMMYFUNCTION("""COMPUTED_VALUE"""),24840.0)</f>
        <v>24840</v>
      </c>
      <c r="E652" s="1">
        <f>IFERROR(__xludf.DUMMYFUNCTION("""COMPUTED_VALUE"""),25800.0)</f>
        <v>25800</v>
      </c>
      <c r="F652" s="1">
        <f>IFERROR(__xludf.DUMMYFUNCTION("""COMPUTED_VALUE"""),418589.0)</f>
        <v>418589</v>
      </c>
    </row>
    <row r="653">
      <c r="A653" s="2">
        <f>IFERROR(__xludf.DUMMYFUNCTION("""COMPUTED_VALUE"""),41500.645833333336)</f>
        <v>41500.64583</v>
      </c>
      <c r="B653" s="1">
        <f>IFERROR(__xludf.DUMMYFUNCTION("""COMPUTED_VALUE"""),25780.0)</f>
        <v>25780</v>
      </c>
      <c r="C653" s="1">
        <f>IFERROR(__xludf.DUMMYFUNCTION("""COMPUTED_VALUE"""),26000.0)</f>
        <v>26000</v>
      </c>
      <c r="D653" s="1">
        <f>IFERROR(__xludf.DUMMYFUNCTION("""COMPUTED_VALUE"""),25700.0)</f>
        <v>25700</v>
      </c>
      <c r="E653" s="1">
        <f>IFERROR(__xludf.DUMMYFUNCTION("""COMPUTED_VALUE"""),26000.0)</f>
        <v>26000</v>
      </c>
      <c r="F653" s="1">
        <f>IFERROR(__xludf.DUMMYFUNCTION("""COMPUTED_VALUE"""),260102.0)</f>
        <v>260102</v>
      </c>
    </row>
    <row r="654">
      <c r="A654" s="2">
        <f>IFERROR(__xludf.DUMMYFUNCTION("""COMPUTED_VALUE"""),41502.645833333336)</f>
        <v>41502.64583</v>
      </c>
      <c r="B654" s="1">
        <f>IFERROR(__xludf.DUMMYFUNCTION("""COMPUTED_VALUE"""),25720.0)</f>
        <v>25720</v>
      </c>
      <c r="C654" s="1">
        <f>IFERROR(__xludf.DUMMYFUNCTION("""COMPUTED_VALUE"""),26020.0)</f>
        <v>26020</v>
      </c>
      <c r="D654" s="1">
        <f>IFERROR(__xludf.DUMMYFUNCTION("""COMPUTED_VALUE"""),25640.0)</f>
        <v>25640</v>
      </c>
      <c r="E654" s="1">
        <f>IFERROR(__xludf.DUMMYFUNCTION("""COMPUTED_VALUE"""),25900.0)</f>
        <v>25900</v>
      </c>
      <c r="F654" s="1">
        <f>IFERROR(__xludf.DUMMYFUNCTION("""COMPUTED_VALUE"""),228332.0)</f>
        <v>228332</v>
      </c>
    </row>
    <row r="655">
      <c r="A655" s="2">
        <f>IFERROR(__xludf.DUMMYFUNCTION("""COMPUTED_VALUE"""),41505.645833333336)</f>
        <v>41505.64583</v>
      </c>
      <c r="B655" s="1">
        <f>IFERROR(__xludf.DUMMYFUNCTION("""COMPUTED_VALUE"""),25720.0)</f>
        <v>25720</v>
      </c>
      <c r="C655" s="1">
        <f>IFERROR(__xludf.DUMMYFUNCTION("""COMPUTED_VALUE"""),25920.0)</f>
        <v>25920</v>
      </c>
      <c r="D655" s="1">
        <f>IFERROR(__xludf.DUMMYFUNCTION("""COMPUTED_VALUE"""),25600.0)</f>
        <v>25600</v>
      </c>
      <c r="E655" s="1">
        <f>IFERROR(__xludf.DUMMYFUNCTION("""COMPUTED_VALUE"""),25720.0)</f>
        <v>25720</v>
      </c>
      <c r="F655" s="1">
        <f>IFERROR(__xludf.DUMMYFUNCTION("""COMPUTED_VALUE"""),129997.0)</f>
        <v>129997</v>
      </c>
    </row>
    <row r="656">
      <c r="A656" s="2">
        <f>IFERROR(__xludf.DUMMYFUNCTION("""COMPUTED_VALUE"""),41506.645833333336)</f>
        <v>41506.64583</v>
      </c>
      <c r="B656" s="1">
        <f>IFERROR(__xludf.DUMMYFUNCTION("""COMPUTED_VALUE"""),25920.0)</f>
        <v>25920</v>
      </c>
      <c r="C656" s="1">
        <f>IFERROR(__xludf.DUMMYFUNCTION("""COMPUTED_VALUE"""),26100.0)</f>
        <v>26100</v>
      </c>
      <c r="D656" s="1">
        <f>IFERROR(__xludf.DUMMYFUNCTION("""COMPUTED_VALUE"""),25380.0)</f>
        <v>25380</v>
      </c>
      <c r="E656" s="1">
        <f>IFERROR(__xludf.DUMMYFUNCTION("""COMPUTED_VALUE"""),25380.0)</f>
        <v>25380</v>
      </c>
      <c r="F656" s="1">
        <f>IFERROR(__xludf.DUMMYFUNCTION("""COMPUTED_VALUE"""),284619.0)</f>
        <v>284619</v>
      </c>
    </row>
    <row r="657">
      <c r="A657" s="2">
        <f>IFERROR(__xludf.DUMMYFUNCTION("""COMPUTED_VALUE"""),41507.645833333336)</f>
        <v>41507.64583</v>
      </c>
      <c r="B657" s="1">
        <f>IFERROR(__xludf.DUMMYFUNCTION("""COMPUTED_VALUE"""),25300.0)</f>
        <v>25300</v>
      </c>
      <c r="C657" s="1">
        <f>IFERROR(__xludf.DUMMYFUNCTION("""COMPUTED_VALUE"""),25640.0)</f>
        <v>25640</v>
      </c>
      <c r="D657" s="1">
        <f>IFERROR(__xludf.DUMMYFUNCTION("""COMPUTED_VALUE"""),25120.0)</f>
        <v>25120</v>
      </c>
      <c r="E657" s="1">
        <f>IFERROR(__xludf.DUMMYFUNCTION("""COMPUTED_VALUE"""),25120.0)</f>
        <v>25120</v>
      </c>
      <c r="F657" s="1">
        <f>IFERROR(__xludf.DUMMYFUNCTION("""COMPUTED_VALUE"""),246921.0)</f>
        <v>246921</v>
      </c>
    </row>
    <row r="658">
      <c r="A658" s="2">
        <f>IFERROR(__xludf.DUMMYFUNCTION("""COMPUTED_VALUE"""),41508.645833333336)</f>
        <v>41508.64583</v>
      </c>
      <c r="B658" s="1">
        <f>IFERROR(__xludf.DUMMYFUNCTION("""COMPUTED_VALUE"""),25000.0)</f>
        <v>25000</v>
      </c>
      <c r="C658" s="1">
        <f>IFERROR(__xludf.DUMMYFUNCTION("""COMPUTED_VALUE"""),25340.0)</f>
        <v>25340</v>
      </c>
      <c r="D658" s="1">
        <f>IFERROR(__xludf.DUMMYFUNCTION("""COMPUTED_VALUE"""),24900.0)</f>
        <v>24900</v>
      </c>
      <c r="E658" s="1">
        <f>IFERROR(__xludf.DUMMYFUNCTION("""COMPUTED_VALUE"""),25100.0)</f>
        <v>25100</v>
      </c>
      <c r="F658" s="1">
        <f>IFERROR(__xludf.DUMMYFUNCTION("""COMPUTED_VALUE"""),239697.0)</f>
        <v>239697</v>
      </c>
    </row>
    <row r="659">
      <c r="A659" s="2">
        <f>IFERROR(__xludf.DUMMYFUNCTION("""COMPUTED_VALUE"""),41509.645833333336)</f>
        <v>41509.64583</v>
      </c>
      <c r="B659" s="1">
        <f>IFERROR(__xludf.DUMMYFUNCTION("""COMPUTED_VALUE"""),25600.0)</f>
        <v>25600</v>
      </c>
      <c r="C659" s="1">
        <f>IFERROR(__xludf.DUMMYFUNCTION("""COMPUTED_VALUE"""),26000.0)</f>
        <v>26000</v>
      </c>
      <c r="D659" s="1">
        <f>IFERROR(__xludf.DUMMYFUNCTION("""COMPUTED_VALUE"""),25420.0)</f>
        <v>25420</v>
      </c>
      <c r="E659" s="1">
        <f>IFERROR(__xludf.DUMMYFUNCTION("""COMPUTED_VALUE"""),25900.0)</f>
        <v>25900</v>
      </c>
      <c r="F659" s="1">
        <f>IFERROR(__xludf.DUMMYFUNCTION("""COMPUTED_VALUE"""),344068.0)</f>
        <v>344068</v>
      </c>
    </row>
    <row r="660">
      <c r="A660" s="2">
        <f>IFERROR(__xludf.DUMMYFUNCTION("""COMPUTED_VALUE"""),41512.645833333336)</f>
        <v>41512.64583</v>
      </c>
      <c r="B660" s="1">
        <f>IFERROR(__xludf.DUMMYFUNCTION("""COMPUTED_VALUE"""),26020.0)</f>
        <v>26020</v>
      </c>
      <c r="C660" s="1">
        <f>IFERROR(__xludf.DUMMYFUNCTION("""COMPUTED_VALUE"""),26100.0)</f>
        <v>26100</v>
      </c>
      <c r="D660" s="1">
        <f>IFERROR(__xludf.DUMMYFUNCTION("""COMPUTED_VALUE"""),25920.0)</f>
        <v>25920</v>
      </c>
      <c r="E660" s="1">
        <f>IFERROR(__xludf.DUMMYFUNCTION("""COMPUTED_VALUE"""),26000.0)</f>
        <v>26000</v>
      </c>
      <c r="F660" s="1">
        <f>IFERROR(__xludf.DUMMYFUNCTION("""COMPUTED_VALUE"""),230393.0)</f>
        <v>230393</v>
      </c>
    </row>
    <row r="661">
      <c r="A661" s="2">
        <f>IFERROR(__xludf.DUMMYFUNCTION("""COMPUTED_VALUE"""),41513.645833333336)</f>
        <v>41513.64583</v>
      </c>
      <c r="B661" s="1">
        <f>IFERROR(__xludf.DUMMYFUNCTION("""COMPUTED_VALUE"""),26140.0)</f>
        <v>26140</v>
      </c>
      <c r="C661" s="1">
        <f>IFERROR(__xludf.DUMMYFUNCTION("""COMPUTED_VALUE"""),26180.0)</f>
        <v>26180</v>
      </c>
      <c r="D661" s="1">
        <f>IFERROR(__xludf.DUMMYFUNCTION("""COMPUTED_VALUE"""),25900.0)</f>
        <v>25900</v>
      </c>
      <c r="E661" s="1">
        <f>IFERROR(__xludf.DUMMYFUNCTION("""COMPUTED_VALUE"""),26080.0)</f>
        <v>26080</v>
      </c>
      <c r="F661" s="1">
        <f>IFERROR(__xludf.DUMMYFUNCTION("""COMPUTED_VALUE"""),182616.0)</f>
        <v>182616</v>
      </c>
    </row>
    <row r="662">
      <c r="A662" s="2">
        <f>IFERROR(__xludf.DUMMYFUNCTION("""COMPUTED_VALUE"""),41514.645833333336)</f>
        <v>41514.64583</v>
      </c>
      <c r="B662" s="1">
        <f>IFERROR(__xludf.DUMMYFUNCTION("""COMPUTED_VALUE"""),25680.0)</f>
        <v>25680</v>
      </c>
      <c r="C662" s="1">
        <f>IFERROR(__xludf.DUMMYFUNCTION("""COMPUTED_VALUE"""),26200.0)</f>
        <v>26200</v>
      </c>
      <c r="D662" s="1">
        <f>IFERROR(__xludf.DUMMYFUNCTION("""COMPUTED_VALUE"""),25680.0)</f>
        <v>25680</v>
      </c>
      <c r="E662" s="1">
        <f>IFERROR(__xludf.DUMMYFUNCTION("""COMPUTED_VALUE"""),26180.0)</f>
        <v>26180</v>
      </c>
      <c r="F662" s="1">
        <f>IFERROR(__xludf.DUMMYFUNCTION("""COMPUTED_VALUE"""),189851.0)</f>
        <v>189851</v>
      </c>
    </row>
    <row r="663">
      <c r="A663" s="2">
        <f>IFERROR(__xludf.DUMMYFUNCTION("""COMPUTED_VALUE"""),41515.645833333336)</f>
        <v>41515.64583</v>
      </c>
      <c r="B663" s="1">
        <f>IFERROR(__xludf.DUMMYFUNCTION("""COMPUTED_VALUE"""),26340.0)</f>
        <v>26340</v>
      </c>
      <c r="C663" s="1">
        <f>IFERROR(__xludf.DUMMYFUNCTION("""COMPUTED_VALUE"""),26960.0)</f>
        <v>26960</v>
      </c>
      <c r="D663" s="1">
        <f>IFERROR(__xludf.DUMMYFUNCTION("""COMPUTED_VALUE"""),26280.0)</f>
        <v>26280</v>
      </c>
      <c r="E663" s="1">
        <f>IFERROR(__xludf.DUMMYFUNCTION("""COMPUTED_VALUE"""),26880.0)</f>
        <v>26880</v>
      </c>
      <c r="F663" s="1">
        <f>IFERROR(__xludf.DUMMYFUNCTION("""COMPUTED_VALUE"""),326300.0)</f>
        <v>326300</v>
      </c>
    </row>
    <row r="664">
      <c r="A664" s="2">
        <f>IFERROR(__xludf.DUMMYFUNCTION("""COMPUTED_VALUE"""),41516.645833333336)</f>
        <v>41516.64583</v>
      </c>
      <c r="B664" s="1">
        <f>IFERROR(__xludf.DUMMYFUNCTION("""COMPUTED_VALUE"""),27200.0)</f>
        <v>27200</v>
      </c>
      <c r="C664" s="1">
        <f>IFERROR(__xludf.DUMMYFUNCTION("""COMPUTED_VALUE"""),27360.0)</f>
        <v>27360</v>
      </c>
      <c r="D664" s="1">
        <f>IFERROR(__xludf.DUMMYFUNCTION("""COMPUTED_VALUE"""),27020.0)</f>
        <v>27020</v>
      </c>
      <c r="E664" s="1">
        <f>IFERROR(__xludf.DUMMYFUNCTION("""COMPUTED_VALUE"""),27360.0)</f>
        <v>27360</v>
      </c>
      <c r="F664" s="1">
        <f>IFERROR(__xludf.DUMMYFUNCTION("""COMPUTED_VALUE"""),342716.0)</f>
        <v>342716</v>
      </c>
    </row>
    <row r="665">
      <c r="A665" s="2">
        <f>IFERROR(__xludf.DUMMYFUNCTION("""COMPUTED_VALUE"""),41519.645833333336)</f>
        <v>41519.64583</v>
      </c>
      <c r="B665" s="1">
        <f>IFERROR(__xludf.DUMMYFUNCTION("""COMPUTED_VALUE"""),27360.0)</f>
        <v>27360</v>
      </c>
      <c r="C665" s="1">
        <f>IFERROR(__xludf.DUMMYFUNCTION("""COMPUTED_VALUE"""),27420.0)</f>
        <v>27420</v>
      </c>
      <c r="D665" s="1">
        <f>IFERROR(__xludf.DUMMYFUNCTION("""COMPUTED_VALUE"""),27000.0)</f>
        <v>27000</v>
      </c>
      <c r="E665" s="1">
        <f>IFERROR(__xludf.DUMMYFUNCTION("""COMPUTED_VALUE"""),27020.0)</f>
        <v>27020</v>
      </c>
      <c r="F665" s="1">
        <f>IFERROR(__xludf.DUMMYFUNCTION("""COMPUTED_VALUE"""),201632.0)</f>
        <v>201632</v>
      </c>
    </row>
    <row r="666">
      <c r="A666" s="2">
        <f>IFERROR(__xludf.DUMMYFUNCTION("""COMPUTED_VALUE"""),41520.645833333336)</f>
        <v>41520.64583</v>
      </c>
      <c r="B666" s="1">
        <f>IFERROR(__xludf.DUMMYFUNCTION("""COMPUTED_VALUE"""),27280.0)</f>
        <v>27280</v>
      </c>
      <c r="C666" s="1">
        <f>IFERROR(__xludf.DUMMYFUNCTION("""COMPUTED_VALUE"""),27280.0)</f>
        <v>27280</v>
      </c>
      <c r="D666" s="1">
        <f>IFERROR(__xludf.DUMMYFUNCTION("""COMPUTED_VALUE"""),26520.0)</f>
        <v>26520</v>
      </c>
      <c r="E666" s="1">
        <f>IFERROR(__xludf.DUMMYFUNCTION("""COMPUTED_VALUE"""),26740.0)</f>
        <v>26740</v>
      </c>
      <c r="F666" s="1">
        <f>IFERROR(__xludf.DUMMYFUNCTION("""COMPUTED_VALUE"""),235970.0)</f>
        <v>235970</v>
      </c>
    </row>
    <row r="667">
      <c r="A667" s="2">
        <f>IFERROR(__xludf.DUMMYFUNCTION("""COMPUTED_VALUE"""),41521.645833333336)</f>
        <v>41521.64583</v>
      </c>
      <c r="B667" s="1">
        <f>IFERROR(__xludf.DUMMYFUNCTION("""COMPUTED_VALUE"""),26600.0)</f>
        <v>26600</v>
      </c>
      <c r="C667" s="1">
        <f>IFERROR(__xludf.DUMMYFUNCTION("""COMPUTED_VALUE"""),27080.0)</f>
        <v>27080</v>
      </c>
      <c r="D667" s="1">
        <f>IFERROR(__xludf.DUMMYFUNCTION("""COMPUTED_VALUE"""),26420.0)</f>
        <v>26420</v>
      </c>
      <c r="E667" s="1">
        <f>IFERROR(__xludf.DUMMYFUNCTION("""COMPUTED_VALUE"""),26800.0)</f>
        <v>26800</v>
      </c>
      <c r="F667" s="1">
        <f>IFERROR(__xludf.DUMMYFUNCTION("""COMPUTED_VALUE"""),218401.0)</f>
        <v>218401</v>
      </c>
    </row>
    <row r="668">
      <c r="A668" s="2">
        <f>IFERROR(__xludf.DUMMYFUNCTION("""COMPUTED_VALUE"""),41522.645833333336)</f>
        <v>41522.64583</v>
      </c>
      <c r="B668" s="1">
        <f>IFERROR(__xludf.DUMMYFUNCTION("""COMPUTED_VALUE"""),27400.0)</f>
        <v>27400</v>
      </c>
      <c r="C668" s="1">
        <f>IFERROR(__xludf.DUMMYFUNCTION("""COMPUTED_VALUE"""),27420.0)</f>
        <v>27420</v>
      </c>
      <c r="D668" s="1">
        <f>IFERROR(__xludf.DUMMYFUNCTION("""COMPUTED_VALUE"""),27160.0)</f>
        <v>27160</v>
      </c>
      <c r="E668" s="1">
        <f>IFERROR(__xludf.DUMMYFUNCTION("""COMPUTED_VALUE"""),27300.0)</f>
        <v>27300</v>
      </c>
      <c r="F668" s="1">
        <f>IFERROR(__xludf.DUMMYFUNCTION("""COMPUTED_VALUE"""),302002.0)</f>
        <v>302002</v>
      </c>
    </row>
    <row r="669">
      <c r="A669" s="2">
        <f>IFERROR(__xludf.DUMMYFUNCTION("""COMPUTED_VALUE"""),41523.645833333336)</f>
        <v>41523.64583</v>
      </c>
      <c r="B669" s="1">
        <f>IFERROR(__xludf.DUMMYFUNCTION("""COMPUTED_VALUE"""),27400.0)</f>
        <v>27400</v>
      </c>
      <c r="C669" s="1">
        <f>IFERROR(__xludf.DUMMYFUNCTION("""COMPUTED_VALUE"""),27500.0)</f>
        <v>27500</v>
      </c>
      <c r="D669" s="1">
        <f>IFERROR(__xludf.DUMMYFUNCTION("""COMPUTED_VALUE"""),27160.0)</f>
        <v>27160</v>
      </c>
      <c r="E669" s="1">
        <f>IFERROR(__xludf.DUMMYFUNCTION("""COMPUTED_VALUE"""),27380.0)</f>
        <v>27380</v>
      </c>
      <c r="F669" s="1">
        <f>IFERROR(__xludf.DUMMYFUNCTION("""COMPUTED_VALUE"""),238759.0)</f>
        <v>238759</v>
      </c>
    </row>
    <row r="670">
      <c r="A670" s="2">
        <f>IFERROR(__xludf.DUMMYFUNCTION("""COMPUTED_VALUE"""),41526.645833333336)</f>
        <v>41526.64583</v>
      </c>
      <c r="B670" s="1">
        <f>IFERROR(__xludf.DUMMYFUNCTION("""COMPUTED_VALUE"""),27420.0)</f>
        <v>27420</v>
      </c>
      <c r="C670" s="1">
        <f>IFERROR(__xludf.DUMMYFUNCTION("""COMPUTED_VALUE"""),27500.0)</f>
        <v>27500</v>
      </c>
      <c r="D670" s="1">
        <f>IFERROR(__xludf.DUMMYFUNCTION("""COMPUTED_VALUE"""),27260.0)</f>
        <v>27260</v>
      </c>
      <c r="E670" s="1">
        <f>IFERROR(__xludf.DUMMYFUNCTION("""COMPUTED_VALUE"""),27460.0)</f>
        <v>27460</v>
      </c>
      <c r="F670" s="1">
        <f>IFERROR(__xludf.DUMMYFUNCTION("""COMPUTED_VALUE"""),185831.0)</f>
        <v>185831</v>
      </c>
    </row>
    <row r="671">
      <c r="A671" s="2">
        <f>IFERROR(__xludf.DUMMYFUNCTION("""COMPUTED_VALUE"""),41527.645833333336)</f>
        <v>41527.64583</v>
      </c>
      <c r="B671" s="1">
        <f>IFERROR(__xludf.DUMMYFUNCTION("""COMPUTED_VALUE"""),27380.0)</f>
        <v>27380</v>
      </c>
      <c r="C671" s="1">
        <f>IFERROR(__xludf.DUMMYFUNCTION("""COMPUTED_VALUE"""),27920.0)</f>
        <v>27920</v>
      </c>
      <c r="D671" s="1">
        <f>IFERROR(__xludf.DUMMYFUNCTION("""COMPUTED_VALUE"""),27360.0)</f>
        <v>27360</v>
      </c>
      <c r="E671" s="1">
        <f>IFERROR(__xludf.DUMMYFUNCTION("""COMPUTED_VALUE"""),27920.0)</f>
        <v>27920</v>
      </c>
      <c r="F671" s="1">
        <f>IFERROR(__xludf.DUMMYFUNCTION("""COMPUTED_VALUE"""),294353.0)</f>
        <v>294353</v>
      </c>
    </row>
    <row r="672">
      <c r="A672" s="2">
        <f>IFERROR(__xludf.DUMMYFUNCTION("""COMPUTED_VALUE"""),41528.645833333336)</f>
        <v>41528.64583</v>
      </c>
      <c r="B672" s="1">
        <f>IFERROR(__xludf.DUMMYFUNCTION("""COMPUTED_VALUE"""),27960.0)</f>
        <v>27960</v>
      </c>
      <c r="C672" s="1">
        <f>IFERROR(__xludf.DUMMYFUNCTION("""COMPUTED_VALUE"""),28040.0)</f>
        <v>28040</v>
      </c>
      <c r="D672" s="1">
        <f>IFERROR(__xludf.DUMMYFUNCTION("""COMPUTED_VALUE"""),27700.0)</f>
        <v>27700</v>
      </c>
      <c r="E672" s="1">
        <f>IFERROR(__xludf.DUMMYFUNCTION("""COMPUTED_VALUE"""),28040.0)</f>
        <v>28040</v>
      </c>
      <c r="F672" s="1">
        <f>IFERROR(__xludf.DUMMYFUNCTION("""COMPUTED_VALUE"""),267060.0)</f>
        <v>267060</v>
      </c>
    </row>
    <row r="673">
      <c r="A673" s="2">
        <f>IFERROR(__xludf.DUMMYFUNCTION("""COMPUTED_VALUE"""),41529.645833333336)</f>
        <v>41529.64583</v>
      </c>
      <c r="B673" s="1">
        <f>IFERROR(__xludf.DUMMYFUNCTION("""COMPUTED_VALUE"""),28100.0)</f>
        <v>28100</v>
      </c>
      <c r="C673" s="1">
        <f>IFERROR(__xludf.DUMMYFUNCTION("""COMPUTED_VALUE"""),28480.0)</f>
        <v>28480</v>
      </c>
      <c r="D673" s="1">
        <f>IFERROR(__xludf.DUMMYFUNCTION("""COMPUTED_VALUE"""),27900.0)</f>
        <v>27900</v>
      </c>
      <c r="E673" s="1">
        <f>IFERROR(__xludf.DUMMYFUNCTION("""COMPUTED_VALUE"""),28200.0)</f>
        <v>28200</v>
      </c>
      <c r="F673" s="1">
        <f>IFERROR(__xludf.DUMMYFUNCTION("""COMPUTED_VALUE"""),436108.0)</f>
        <v>436108</v>
      </c>
    </row>
    <row r="674">
      <c r="A674" s="2">
        <f>IFERROR(__xludf.DUMMYFUNCTION("""COMPUTED_VALUE"""),41530.645833333336)</f>
        <v>41530.64583</v>
      </c>
      <c r="B674" s="1">
        <f>IFERROR(__xludf.DUMMYFUNCTION("""COMPUTED_VALUE"""),28180.0)</f>
        <v>28180</v>
      </c>
      <c r="C674" s="1">
        <f>IFERROR(__xludf.DUMMYFUNCTION("""COMPUTED_VALUE"""),28200.0)</f>
        <v>28200</v>
      </c>
      <c r="D674" s="1">
        <f>IFERROR(__xludf.DUMMYFUNCTION("""COMPUTED_VALUE"""),27920.0)</f>
        <v>27920</v>
      </c>
      <c r="E674" s="1">
        <f>IFERROR(__xludf.DUMMYFUNCTION("""COMPUTED_VALUE"""),28120.0)</f>
        <v>28120</v>
      </c>
      <c r="F674" s="1">
        <f>IFERROR(__xludf.DUMMYFUNCTION("""COMPUTED_VALUE"""),245630.0)</f>
        <v>245630</v>
      </c>
    </row>
    <row r="675">
      <c r="A675" s="2">
        <f>IFERROR(__xludf.DUMMYFUNCTION("""COMPUTED_VALUE"""),41533.645833333336)</f>
        <v>41533.64583</v>
      </c>
      <c r="B675" s="1">
        <f>IFERROR(__xludf.DUMMYFUNCTION("""COMPUTED_VALUE"""),28460.0)</f>
        <v>28460</v>
      </c>
      <c r="C675" s="1">
        <f>IFERROR(__xludf.DUMMYFUNCTION("""COMPUTED_VALUE"""),28500.0)</f>
        <v>28500</v>
      </c>
      <c r="D675" s="1">
        <f>IFERROR(__xludf.DUMMYFUNCTION("""COMPUTED_VALUE"""),28220.0)</f>
        <v>28220</v>
      </c>
      <c r="E675" s="1">
        <f>IFERROR(__xludf.DUMMYFUNCTION("""COMPUTED_VALUE"""),28500.0)</f>
        <v>28500</v>
      </c>
      <c r="F675" s="1">
        <f>IFERROR(__xludf.DUMMYFUNCTION("""COMPUTED_VALUE"""),234214.0)</f>
        <v>234214</v>
      </c>
    </row>
    <row r="676">
      <c r="A676" s="2">
        <f>IFERROR(__xludf.DUMMYFUNCTION("""COMPUTED_VALUE"""),41534.645833333336)</f>
        <v>41534.64583</v>
      </c>
      <c r="B676" s="1">
        <f>IFERROR(__xludf.DUMMYFUNCTION("""COMPUTED_VALUE"""),28400.0)</f>
        <v>28400</v>
      </c>
      <c r="C676" s="1">
        <f>IFERROR(__xludf.DUMMYFUNCTION("""COMPUTED_VALUE"""),28400.0)</f>
        <v>28400</v>
      </c>
      <c r="D676" s="1">
        <f>IFERROR(__xludf.DUMMYFUNCTION("""COMPUTED_VALUE"""),27620.0)</f>
        <v>27620</v>
      </c>
      <c r="E676" s="1">
        <f>IFERROR(__xludf.DUMMYFUNCTION("""COMPUTED_VALUE"""),27720.0)</f>
        <v>27720</v>
      </c>
      <c r="F676" s="1">
        <f>IFERROR(__xludf.DUMMYFUNCTION("""COMPUTED_VALUE"""),343627.0)</f>
        <v>343627</v>
      </c>
    </row>
    <row r="677">
      <c r="A677" s="2">
        <f>IFERROR(__xludf.DUMMYFUNCTION("""COMPUTED_VALUE"""),41540.645833333336)</f>
        <v>41540.64583</v>
      </c>
      <c r="B677" s="1">
        <f>IFERROR(__xludf.DUMMYFUNCTION("""COMPUTED_VALUE"""),27300.0)</f>
        <v>27300</v>
      </c>
      <c r="C677" s="1">
        <f>IFERROR(__xludf.DUMMYFUNCTION("""COMPUTED_VALUE"""),27620.0)</f>
        <v>27620</v>
      </c>
      <c r="D677" s="1">
        <f>IFERROR(__xludf.DUMMYFUNCTION("""COMPUTED_VALUE"""),27060.0)</f>
        <v>27060</v>
      </c>
      <c r="E677" s="1">
        <f>IFERROR(__xludf.DUMMYFUNCTION("""COMPUTED_VALUE"""),27200.0)</f>
        <v>27200</v>
      </c>
      <c r="F677" s="1">
        <f>IFERROR(__xludf.DUMMYFUNCTION("""COMPUTED_VALUE"""),487258.0)</f>
        <v>487258</v>
      </c>
    </row>
    <row r="678">
      <c r="A678" s="2">
        <f>IFERROR(__xludf.DUMMYFUNCTION("""COMPUTED_VALUE"""),41541.645833333336)</f>
        <v>41541.64583</v>
      </c>
      <c r="B678" s="1">
        <f>IFERROR(__xludf.DUMMYFUNCTION("""COMPUTED_VALUE"""),26840.0)</f>
        <v>26840</v>
      </c>
      <c r="C678" s="1">
        <f>IFERROR(__xludf.DUMMYFUNCTION("""COMPUTED_VALUE"""),27580.0)</f>
        <v>27580</v>
      </c>
      <c r="D678" s="1">
        <f>IFERROR(__xludf.DUMMYFUNCTION("""COMPUTED_VALUE"""),26760.0)</f>
        <v>26760</v>
      </c>
      <c r="E678" s="1">
        <f>IFERROR(__xludf.DUMMYFUNCTION("""COMPUTED_VALUE"""),27460.0)</f>
        <v>27460</v>
      </c>
      <c r="F678" s="1">
        <f>IFERROR(__xludf.DUMMYFUNCTION("""COMPUTED_VALUE"""),302778.0)</f>
        <v>302778</v>
      </c>
    </row>
    <row r="679">
      <c r="A679" s="2">
        <f>IFERROR(__xludf.DUMMYFUNCTION("""COMPUTED_VALUE"""),41542.645833333336)</f>
        <v>41542.64583</v>
      </c>
      <c r="B679" s="1">
        <f>IFERROR(__xludf.DUMMYFUNCTION("""COMPUTED_VALUE"""),27340.0)</f>
        <v>27340</v>
      </c>
      <c r="C679" s="1">
        <f>IFERROR(__xludf.DUMMYFUNCTION("""COMPUTED_VALUE"""),27480.0)</f>
        <v>27480</v>
      </c>
      <c r="D679" s="1">
        <f>IFERROR(__xludf.DUMMYFUNCTION("""COMPUTED_VALUE"""),27020.0)</f>
        <v>27020</v>
      </c>
      <c r="E679" s="1">
        <f>IFERROR(__xludf.DUMMYFUNCTION("""COMPUTED_VALUE"""),27280.0)</f>
        <v>27280</v>
      </c>
      <c r="F679" s="1">
        <f>IFERROR(__xludf.DUMMYFUNCTION("""COMPUTED_VALUE"""),223529.0)</f>
        <v>223529</v>
      </c>
    </row>
    <row r="680">
      <c r="A680" s="2">
        <f>IFERROR(__xludf.DUMMYFUNCTION("""COMPUTED_VALUE"""),41543.645833333336)</f>
        <v>41543.64583</v>
      </c>
      <c r="B680" s="1">
        <f>IFERROR(__xludf.DUMMYFUNCTION("""COMPUTED_VALUE"""),27280.0)</f>
        <v>27280</v>
      </c>
      <c r="C680" s="1">
        <f>IFERROR(__xludf.DUMMYFUNCTION("""COMPUTED_VALUE"""),27440.0)</f>
        <v>27440</v>
      </c>
      <c r="D680" s="1">
        <f>IFERROR(__xludf.DUMMYFUNCTION("""COMPUTED_VALUE"""),27120.0)</f>
        <v>27120</v>
      </c>
      <c r="E680" s="1">
        <f>IFERROR(__xludf.DUMMYFUNCTION("""COMPUTED_VALUE"""),27440.0)</f>
        <v>27440</v>
      </c>
      <c r="F680" s="1">
        <f>IFERROR(__xludf.DUMMYFUNCTION("""COMPUTED_VALUE"""),207494.0)</f>
        <v>207494</v>
      </c>
    </row>
    <row r="681">
      <c r="A681" s="2">
        <f>IFERROR(__xludf.DUMMYFUNCTION("""COMPUTED_VALUE"""),41544.645833333336)</f>
        <v>41544.64583</v>
      </c>
      <c r="B681" s="1">
        <f>IFERROR(__xludf.DUMMYFUNCTION("""COMPUTED_VALUE"""),27500.0)</f>
        <v>27500</v>
      </c>
      <c r="C681" s="1">
        <f>IFERROR(__xludf.DUMMYFUNCTION("""COMPUTED_VALUE"""),27540.0)</f>
        <v>27540</v>
      </c>
      <c r="D681" s="1">
        <f>IFERROR(__xludf.DUMMYFUNCTION("""COMPUTED_VALUE"""),27260.0)</f>
        <v>27260</v>
      </c>
      <c r="E681" s="1">
        <f>IFERROR(__xludf.DUMMYFUNCTION("""COMPUTED_VALUE"""),27320.0)</f>
        <v>27320</v>
      </c>
      <c r="F681" s="1">
        <f>IFERROR(__xludf.DUMMYFUNCTION("""COMPUTED_VALUE"""),232265.0)</f>
        <v>232265</v>
      </c>
    </row>
    <row r="682">
      <c r="A682" s="2">
        <f>IFERROR(__xludf.DUMMYFUNCTION("""COMPUTED_VALUE"""),41547.645833333336)</f>
        <v>41547.64583</v>
      </c>
      <c r="B682" s="1">
        <f>IFERROR(__xludf.DUMMYFUNCTION("""COMPUTED_VALUE"""),27320.0)</f>
        <v>27320</v>
      </c>
      <c r="C682" s="1">
        <f>IFERROR(__xludf.DUMMYFUNCTION("""COMPUTED_VALUE"""),27640.0)</f>
        <v>27640</v>
      </c>
      <c r="D682" s="1">
        <f>IFERROR(__xludf.DUMMYFUNCTION("""COMPUTED_VALUE"""),27200.0)</f>
        <v>27200</v>
      </c>
      <c r="E682" s="1">
        <f>IFERROR(__xludf.DUMMYFUNCTION("""COMPUTED_VALUE"""),27340.0)</f>
        <v>27340</v>
      </c>
      <c r="F682" s="1">
        <f>IFERROR(__xludf.DUMMYFUNCTION("""COMPUTED_VALUE"""),233018.0)</f>
        <v>233018</v>
      </c>
    </row>
    <row r="683">
      <c r="A683" s="2">
        <f>IFERROR(__xludf.DUMMYFUNCTION("""COMPUTED_VALUE"""),41548.645833333336)</f>
        <v>41548.64583</v>
      </c>
      <c r="B683" s="1">
        <f>IFERROR(__xludf.DUMMYFUNCTION("""COMPUTED_VALUE"""),27600.0)</f>
        <v>27600</v>
      </c>
      <c r="C683" s="1">
        <f>IFERROR(__xludf.DUMMYFUNCTION("""COMPUTED_VALUE"""),27660.0)</f>
        <v>27660</v>
      </c>
      <c r="D683" s="1">
        <f>IFERROR(__xludf.DUMMYFUNCTION("""COMPUTED_VALUE"""),27200.0)</f>
        <v>27200</v>
      </c>
      <c r="E683" s="1">
        <f>IFERROR(__xludf.DUMMYFUNCTION("""COMPUTED_VALUE"""),27640.0)</f>
        <v>27640</v>
      </c>
      <c r="F683" s="1">
        <f>IFERROR(__xludf.DUMMYFUNCTION("""COMPUTED_VALUE"""),195463.0)</f>
        <v>195463</v>
      </c>
    </row>
    <row r="684">
      <c r="A684" s="2">
        <f>IFERROR(__xludf.DUMMYFUNCTION("""COMPUTED_VALUE"""),41549.645833333336)</f>
        <v>41549.64583</v>
      </c>
      <c r="B684" s="1">
        <f>IFERROR(__xludf.DUMMYFUNCTION("""COMPUTED_VALUE"""),27960.0)</f>
        <v>27960</v>
      </c>
      <c r="C684" s="1">
        <f>IFERROR(__xludf.DUMMYFUNCTION("""COMPUTED_VALUE"""),28500.0)</f>
        <v>28500</v>
      </c>
      <c r="D684" s="1">
        <f>IFERROR(__xludf.DUMMYFUNCTION("""COMPUTED_VALUE"""),27800.0)</f>
        <v>27800</v>
      </c>
      <c r="E684" s="1">
        <f>IFERROR(__xludf.DUMMYFUNCTION("""COMPUTED_VALUE"""),28360.0)</f>
        <v>28360</v>
      </c>
      <c r="F684" s="1">
        <f>IFERROR(__xludf.DUMMYFUNCTION("""COMPUTED_VALUE"""),351727.0)</f>
        <v>351727</v>
      </c>
    </row>
    <row r="685">
      <c r="A685" s="2">
        <f>IFERROR(__xludf.DUMMYFUNCTION("""COMPUTED_VALUE"""),41551.645833333336)</f>
        <v>41551.64583</v>
      </c>
      <c r="B685" s="1">
        <f>IFERROR(__xludf.DUMMYFUNCTION("""COMPUTED_VALUE"""),28760.0)</f>
        <v>28760</v>
      </c>
      <c r="C685" s="1">
        <f>IFERROR(__xludf.DUMMYFUNCTION("""COMPUTED_VALUE"""),28840.0)</f>
        <v>28840</v>
      </c>
      <c r="D685" s="1">
        <f>IFERROR(__xludf.DUMMYFUNCTION("""COMPUTED_VALUE"""),28280.0)</f>
        <v>28280</v>
      </c>
      <c r="E685" s="1">
        <f>IFERROR(__xludf.DUMMYFUNCTION("""COMPUTED_VALUE"""),28360.0)</f>
        <v>28360</v>
      </c>
      <c r="F685" s="1">
        <f>IFERROR(__xludf.DUMMYFUNCTION("""COMPUTED_VALUE"""),315074.0)</f>
        <v>315074</v>
      </c>
    </row>
    <row r="686">
      <c r="A686" s="2">
        <f>IFERROR(__xludf.DUMMYFUNCTION("""COMPUTED_VALUE"""),41554.645833333336)</f>
        <v>41554.64583</v>
      </c>
      <c r="B686" s="1">
        <f>IFERROR(__xludf.DUMMYFUNCTION("""COMPUTED_VALUE"""),28740.0)</f>
        <v>28740</v>
      </c>
      <c r="C686" s="1">
        <f>IFERROR(__xludf.DUMMYFUNCTION("""COMPUTED_VALUE"""),28740.0)</f>
        <v>28740</v>
      </c>
      <c r="D686" s="1">
        <f>IFERROR(__xludf.DUMMYFUNCTION("""COMPUTED_VALUE"""),28500.0)</f>
        <v>28500</v>
      </c>
      <c r="E686" s="1">
        <f>IFERROR(__xludf.DUMMYFUNCTION("""COMPUTED_VALUE"""),28720.0)</f>
        <v>28720</v>
      </c>
      <c r="F686" s="1">
        <f>IFERROR(__xludf.DUMMYFUNCTION("""COMPUTED_VALUE"""),204565.0)</f>
        <v>204565</v>
      </c>
    </row>
    <row r="687">
      <c r="A687" s="2">
        <f>IFERROR(__xludf.DUMMYFUNCTION("""COMPUTED_VALUE"""),41555.645833333336)</f>
        <v>41555.64583</v>
      </c>
      <c r="B687" s="1">
        <f>IFERROR(__xludf.DUMMYFUNCTION("""COMPUTED_VALUE"""),28340.0)</f>
        <v>28340</v>
      </c>
      <c r="C687" s="1">
        <f>IFERROR(__xludf.DUMMYFUNCTION("""COMPUTED_VALUE"""),28660.0)</f>
        <v>28660</v>
      </c>
      <c r="D687" s="1">
        <f>IFERROR(__xludf.DUMMYFUNCTION("""COMPUTED_VALUE"""),28340.0)</f>
        <v>28340</v>
      </c>
      <c r="E687" s="1">
        <f>IFERROR(__xludf.DUMMYFUNCTION("""COMPUTED_VALUE"""),28600.0)</f>
        <v>28600</v>
      </c>
      <c r="F687" s="1">
        <f>IFERROR(__xludf.DUMMYFUNCTION("""COMPUTED_VALUE"""),210920.0)</f>
        <v>210920</v>
      </c>
    </row>
    <row r="688">
      <c r="A688" s="2">
        <f>IFERROR(__xludf.DUMMYFUNCTION("""COMPUTED_VALUE"""),41557.645833333336)</f>
        <v>41557.64583</v>
      </c>
      <c r="B688" s="1">
        <f>IFERROR(__xludf.DUMMYFUNCTION("""COMPUTED_VALUE"""),28420.0)</f>
        <v>28420</v>
      </c>
      <c r="C688" s="1">
        <f>IFERROR(__xludf.DUMMYFUNCTION("""COMPUTED_VALUE"""),28640.0)</f>
        <v>28640</v>
      </c>
      <c r="D688" s="1">
        <f>IFERROR(__xludf.DUMMYFUNCTION("""COMPUTED_VALUE"""),28420.0)</f>
        <v>28420</v>
      </c>
      <c r="E688" s="1">
        <f>IFERROR(__xludf.DUMMYFUNCTION("""COMPUTED_VALUE"""),28600.0)</f>
        <v>28600</v>
      </c>
      <c r="F688" s="1">
        <f>IFERROR(__xludf.DUMMYFUNCTION("""COMPUTED_VALUE"""),276380.0)</f>
        <v>276380</v>
      </c>
    </row>
    <row r="689">
      <c r="A689" s="2">
        <f>IFERROR(__xludf.DUMMYFUNCTION("""COMPUTED_VALUE"""),41558.645833333336)</f>
        <v>41558.64583</v>
      </c>
      <c r="B689" s="1">
        <f>IFERROR(__xludf.DUMMYFUNCTION("""COMPUTED_VALUE"""),28800.0)</f>
        <v>28800</v>
      </c>
      <c r="C689" s="1">
        <f>IFERROR(__xludf.DUMMYFUNCTION("""COMPUTED_VALUE"""),28940.0)</f>
        <v>28940</v>
      </c>
      <c r="D689" s="1">
        <f>IFERROR(__xludf.DUMMYFUNCTION("""COMPUTED_VALUE"""),28720.0)</f>
        <v>28720</v>
      </c>
      <c r="E689" s="1">
        <f>IFERROR(__xludf.DUMMYFUNCTION("""COMPUTED_VALUE"""),28860.0)</f>
        <v>28860</v>
      </c>
      <c r="F689" s="1">
        <f>IFERROR(__xludf.DUMMYFUNCTION("""COMPUTED_VALUE"""),225083.0)</f>
        <v>225083</v>
      </c>
    </row>
    <row r="690">
      <c r="A690" s="2">
        <f>IFERROR(__xludf.DUMMYFUNCTION("""COMPUTED_VALUE"""),41561.645833333336)</f>
        <v>41561.64583</v>
      </c>
      <c r="B690" s="1">
        <f>IFERROR(__xludf.DUMMYFUNCTION("""COMPUTED_VALUE"""),28960.0)</f>
        <v>28960</v>
      </c>
      <c r="C690" s="1">
        <f>IFERROR(__xludf.DUMMYFUNCTION("""COMPUTED_VALUE"""),28980.0)</f>
        <v>28980</v>
      </c>
      <c r="D690" s="1">
        <f>IFERROR(__xludf.DUMMYFUNCTION("""COMPUTED_VALUE"""),28760.0)</f>
        <v>28760</v>
      </c>
      <c r="E690" s="1">
        <f>IFERROR(__xludf.DUMMYFUNCTION("""COMPUTED_VALUE"""),28760.0)</f>
        <v>28760</v>
      </c>
      <c r="F690" s="1">
        <f>IFERROR(__xludf.DUMMYFUNCTION("""COMPUTED_VALUE"""),147474.0)</f>
        <v>147474</v>
      </c>
    </row>
    <row r="691">
      <c r="A691" s="2">
        <f>IFERROR(__xludf.DUMMYFUNCTION("""COMPUTED_VALUE"""),41562.645833333336)</f>
        <v>41562.64583</v>
      </c>
      <c r="B691" s="1">
        <f>IFERROR(__xludf.DUMMYFUNCTION("""COMPUTED_VALUE"""),29000.0)</f>
        <v>29000</v>
      </c>
      <c r="C691" s="1">
        <f>IFERROR(__xludf.DUMMYFUNCTION("""COMPUTED_VALUE"""),29140.0)</f>
        <v>29140</v>
      </c>
      <c r="D691" s="1">
        <f>IFERROR(__xludf.DUMMYFUNCTION("""COMPUTED_VALUE"""),28900.0)</f>
        <v>28900</v>
      </c>
      <c r="E691" s="1">
        <f>IFERROR(__xludf.DUMMYFUNCTION("""COMPUTED_VALUE"""),29140.0)</f>
        <v>29140</v>
      </c>
      <c r="F691" s="1">
        <f>IFERROR(__xludf.DUMMYFUNCTION("""COMPUTED_VALUE"""),200473.0)</f>
        <v>200473</v>
      </c>
    </row>
    <row r="692">
      <c r="A692" s="2">
        <f>IFERROR(__xludf.DUMMYFUNCTION("""COMPUTED_VALUE"""),41563.645833333336)</f>
        <v>41563.64583</v>
      </c>
      <c r="B692" s="1">
        <f>IFERROR(__xludf.DUMMYFUNCTION("""COMPUTED_VALUE"""),29380.0)</f>
        <v>29380</v>
      </c>
      <c r="C692" s="1">
        <f>IFERROR(__xludf.DUMMYFUNCTION("""COMPUTED_VALUE"""),29380.0)</f>
        <v>29380</v>
      </c>
      <c r="D692" s="1">
        <f>IFERROR(__xludf.DUMMYFUNCTION("""COMPUTED_VALUE"""),28900.0)</f>
        <v>28900</v>
      </c>
      <c r="E692" s="1">
        <f>IFERROR(__xludf.DUMMYFUNCTION("""COMPUTED_VALUE"""),29000.0)</f>
        <v>29000</v>
      </c>
      <c r="F692" s="1">
        <f>IFERROR(__xludf.DUMMYFUNCTION("""COMPUTED_VALUE"""),160212.0)</f>
        <v>160212</v>
      </c>
    </row>
    <row r="693">
      <c r="A693" s="2">
        <f>IFERROR(__xludf.DUMMYFUNCTION("""COMPUTED_VALUE"""),41564.645833333336)</f>
        <v>41564.64583</v>
      </c>
      <c r="B693" s="1">
        <f>IFERROR(__xludf.DUMMYFUNCTION("""COMPUTED_VALUE"""),29200.0)</f>
        <v>29200</v>
      </c>
      <c r="C693" s="1">
        <f>IFERROR(__xludf.DUMMYFUNCTION("""COMPUTED_VALUE"""),29360.0)</f>
        <v>29360</v>
      </c>
      <c r="D693" s="1">
        <f>IFERROR(__xludf.DUMMYFUNCTION("""COMPUTED_VALUE"""),29080.0)</f>
        <v>29080</v>
      </c>
      <c r="E693" s="1">
        <f>IFERROR(__xludf.DUMMYFUNCTION("""COMPUTED_VALUE"""),29260.0)</f>
        <v>29260</v>
      </c>
      <c r="F693" s="1">
        <f>IFERROR(__xludf.DUMMYFUNCTION("""COMPUTED_VALUE"""),181987.0)</f>
        <v>181987</v>
      </c>
    </row>
    <row r="694">
      <c r="A694" s="2">
        <f>IFERROR(__xludf.DUMMYFUNCTION("""COMPUTED_VALUE"""),41565.645833333336)</f>
        <v>41565.64583</v>
      </c>
      <c r="B694" s="1">
        <f>IFERROR(__xludf.DUMMYFUNCTION("""COMPUTED_VALUE"""),29440.0)</f>
        <v>29440</v>
      </c>
      <c r="C694" s="1">
        <f>IFERROR(__xludf.DUMMYFUNCTION("""COMPUTED_VALUE"""),29500.0)</f>
        <v>29500</v>
      </c>
      <c r="D694" s="1">
        <f>IFERROR(__xludf.DUMMYFUNCTION("""COMPUTED_VALUE"""),29260.0)</f>
        <v>29260</v>
      </c>
      <c r="E694" s="1">
        <f>IFERROR(__xludf.DUMMYFUNCTION("""COMPUTED_VALUE"""),29440.0)</f>
        <v>29440</v>
      </c>
      <c r="F694" s="1">
        <f>IFERROR(__xludf.DUMMYFUNCTION("""COMPUTED_VALUE"""),157043.0)</f>
        <v>157043</v>
      </c>
    </row>
    <row r="695">
      <c r="A695" s="2">
        <f>IFERROR(__xludf.DUMMYFUNCTION("""COMPUTED_VALUE"""),41568.645833333336)</f>
        <v>41568.64583</v>
      </c>
      <c r="B695" s="1">
        <f>IFERROR(__xludf.DUMMYFUNCTION("""COMPUTED_VALUE"""),29500.0)</f>
        <v>29500</v>
      </c>
      <c r="C695" s="1">
        <f>IFERROR(__xludf.DUMMYFUNCTION("""COMPUTED_VALUE"""),29780.0)</f>
        <v>29780</v>
      </c>
      <c r="D695" s="1">
        <f>IFERROR(__xludf.DUMMYFUNCTION("""COMPUTED_VALUE"""),29080.0)</f>
        <v>29080</v>
      </c>
      <c r="E695" s="1">
        <f>IFERROR(__xludf.DUMMYFUNCTION("""COMPUTED_VALUE"""),29280.0)</f>
        <v>29280</v>
      </c>
      <c r="F695" s="1">
        <f>IFERROR(__xludf.DUMMYFUNCTION("""COMPUTED_VALUE"""),142521.0)</f>
        <v>142521</v>
      </c>
    </row>
    <row r="696">
      <c r="A696" s="2">
        <f>IFERROR(__xludf.DUMMYFUNCTION("""COMPUTED_VALUE"""),41569.645833333336)</f>
        <v>41569.64583</v>
      </c>
      <c r="B696" s="1">
        <f>IFERROR(__xludf.DUMMYFUNCTION("""COMPUTED_VALUE"""),29200.0)</f>
        <v>29200</v>
      </c>
      <c r="C696" s="1">
        <f>IFERROR(__xludf.DUMMYFUNCTION("""COMPUTED_VALUE"""),29200.0)</f>
        <v>29200</v>
      </c>
      <c r="D696" s="1">
        <f>IFERROR(__xludf.DUMMYFUNCTION("""COMPUTED_VALUE"""),28680.0)</f>
        <v>28680</v>
      </c>
      <c r="E696" s="1">
        <f>IFERROR(__xludf.DUMMYFUNCTION("""COMPUTED_VALUE"""),29100.0)</f>
        <v>29100</v>
      </c>
      <c r="F696" s="1">
        <f>IFERROR(__xludf.DUMMYFUNCTION("""COMPUTED_VALUE"""),247065.0)</f>
        <v>247065</v>
      </c>
    </row>
    <row r="697">
      <c r="A697" s="2">
        <f>IFERROR(__xludf.DUMMYFUNCTION("""COMPUTED_VALUE"""),41570.645833333336)</f>
        <v>41570.64583</v>
      </c>
      <c r="B697" s="1">
        <f>IFERROR(__xludf.DUMMYFUNCTION("""COMPUTED_VALUE"""),29280.0)</f>
        <v>29280</v>
      </c>
      <c r="C697" s="1">
        <f>IFERROR(__xludf.DUMMYFUNCTION("""COMPUTED_VALUE"""),29280.0)</f>
        <v>29280</v>
      </c>
      <c r="D697" s="1">
        <f>IFERROR(__xludf.DUMMYFUNCTION("""COMPUTED_VALUE"""),28720.0)</f>
        <v>28720</v>
      </c>
      <c r="E697" s="1">
        <f>IFERROR(__xludf.DUMMYFUNCTION("""COMPUTED_VALUE"""),28840.0)</f>
        <v>28840</v>
      </c>
      <c r="F697" s="1">
        <f>IFERROR(__xludf.DUMMYFUNCTION("""COMPUTED_VALUE"""),171969.0)</f>
        <v>171969</v>
      </c>
    </row>
    <row r="698">
      <c r="A698" s="2">
        <f>IFERROR(__xludf.DUMMYFUNCTION("""COMPUTED_VALUE"""),41571.645833333336)</f>
        <v>41571.64583</v>
      </c>
      <c r="B698" s="1">
        <f>IFERROR(__xludf.DUMMYFUNCTION("""COMPUTED_VALUE"""),28620.0)</f>
        <v>28620</v>
      </c>
      <c r="C698" s="1">
        <f>IFERROR(__xludf.DUMMYFUNCTION("""COMPUTED_VALUE"""),28980.0)</f>
        <v>28980</v>
      </c>
      <c r="D698" s="1">
        <f>IFERROR(__xludf.DUMMYFUNCTION("""COMPUTED_VALUE"""),28580.0)</f>
        <v>28580</v>
      </c>
      <c r="E698" s="1">
        <f>IFERROR(__xludf.DUMMYFUNCTION("""COMPUTED_VALUE"""),28980.0)</f>
        <v>28980</v>
      </c>
      <c r="F698" s="1">
        <f>IFERROR(__xludf.DUMMYFUNCTION("""COMPUTED_VALUE"""),178313.0)</f>
        <v>178313</v>
      </c>
    </row>
    <row r="699">
      <c r="A699" s="2">
        <f>IFERROR(__xludf.DUMMYFUNCTION("""COMPUTED_VALUE"""),41572.645833333336)</f>
        <v>41572.64583</v>
      </c>
      <c r="B699" s="1">
        <f>IFERROR(__xludf.DUMMYFUNCTION("""COMPUTED_VALUE"""),29000.0)</f>
        <v>29000</v>
      </c>
      <c r="C699" s="1">
        <f>IFERROR(__xludf.DUMMYFUNCTION("""COMPUTED_VALUE"""),29040.0)</f>
        <v>29040</v>
      </c>
      <c r="D699" s="1">
        <f>IFERROR(__xludf.DUMMYFUNCTION("""COMPUTED_VALUE"""),28660.0)</f>
        <v>28660</v>
      </c>
      <c r="E699" s="1">
        <f>IFERROR(__xludf.DUMMYFUNCTION("""COMPUTED_VALUE"""),28980.0)</f>
        <v>28980</v>
      </c>
      <c r="F699" s="1">
        <f>IFERROR(__xludf.DUMMYFUNCTION("""COMPUTED_VALUE"""),134706.0)</f>
        <v>134706</v>
      </c>
    </row>
    <row r="700">
      <c r="A700" s="2">
        <f>IFERROR(__xludf.DUMMYFUNCTION("""COMPUTED_VALUE"""),41575.645833333336)</f>
        <v>41575.64583</v>
      </c>
      <c r="B700" s="1">
        <f>IFERROR(__xludf.DUMMYFUNCTION("""COMPUTED_VALUE"""),29300.0)</f>
        <v>29300</v>
      </c>
      <c r="C700" s="1">
        <f>IFERROR(__xludf.DUMMYFUNCTION("""COMPUTED_VALUE"""),29700.0)</f>
        <v>29700</v>
      </c>
      <c r="D700" s="1">
        <f>IFERROR(__xludf.DUMMYFUNCTION("""COMPUTED_VALUE"""),29160.0)</f>
        <v>29160</v>
      </c>
      <c r="E700" s="1">
        <f>IFERROR(__xludf.DUMMYFUNCTION("""COMPUTED_VALUE"""),29640.0)</f>
        <v>29640</v>
      </c>
      <c r="F700" s="1">
        <f>IFERROR(__xludf.DUMMYFUNCTION("""COMPUTED_VALUE"""),226154.0)</f>
        <v>226154</v>
      </c>
    </row>
    <row r="701">
      <c r="A701" s="2">
        <f>IFERROR(__xludf.DUMMYFUNCTION("""COMPUTED_VALUE"""),41576.645833333336)</f>
        <v>41576.64583</v>
      </c>
      <c r="B701" s="1">
        <f>IFERROR(__xludf.DUMMYFUNCTION("""COMPUTED_VALUE"""),29800.0)</f>
        <v>29800</v>
      </c>
      <c r="C701" s="1">
        <f>IFERROR(__xludf.DUMMYFUNCTION("""COMPUTED_VALUE"""),29800.0)</f>
        <v>29800</v>
      </c>
      <c r="D701" s="1">
        <f>IFERROR(__xludf.DUMMYFUNCTION("""COMPUTED_VALUE"""),29560.0)</f>
        <v>29560</v>
      </c>
      <c r="E701" s="1">
        <f>IFERROR(__xludf.DUMMYFUNCTION("""COMPUTED_VALUE"""),29800.0)</f>
        <v>29800</v>
      </c>
      <c r="F701" s="1">
        <f>IFERROR(__xludf.DUMMYFUNCTION("""COMPUTED_VALUE"""),206698.0)</f>
        <v>206698</v>
      </c>
    </row>
    <row r="702">
      <c r="A702" s="2">
        <f>IFERROR(__xludf.DUMMYFUNCTION("""COMPUTED_VALUE"""),41577.645833333336)</f>
        <v>41577.64583</v>
      </c>
      <c r="B702" s="1">
        <f>IFERROR(__xludf.DUMMYFUNCTION("""COMPUTED_VALUE"""),29700.0)</f>
        <v>29700</v>
      </c>
      <c r="C702" s="1">
        <f>IFERROR(__xludf.DUMMYFUNCTION("""COMPUTED_VALUE"""),30000.0)</f>
        <v>30000</v>
      </c>
      <c r="D702" s="1">
        <f>IFERROR(__xludf.DUMMYFUNCTION("""COMPUTED_VALUE"""),29680.0)</f>
        <v>29680</v>
      </c>
      <c r="E702" s="1">
        <f>IFERROR(__xludf.DUMMYFUNCTION("""COMPUTED_VALUE"""),30000.0)</f>
        <v>30000</v>
      </c>
      <c r="F702" s="1">
        <f>IFERROR(__xludf.DUMMYFUNCTION("""COMPUTED_VALUE"""),211768.0)</f>
        <v>211768</v>
      </c>
    </row>
    <row r="703">
      <c r="A703" s="2">
        <f>IFERROR(__xludf.DUMMYFUNCTION("""COMPUTED_VALUE"""),41578.645833333336)</f>
        <v>41578.64583</v>
      </c>
      <c r="B703" s="1">
        <f>IFERROR(__xludf.DUMMYFUNCTION("""COMPUTED_VALUE"""),29960.0)</f>
        <v>29960</v>
      </c>
      <c r="C703" s="1">
        <f>IFERROR(__xludf.DUMMYFUNCTION("""COMPUTED_VALUE"""),30040.0)</f>
        <v>30040</v>
      </c>
      <c r="D703" s="1">
        <f>IFERROR(__xludf.DUMMYFUNCTION("""COMPUTED_VALUE"""),29300.0)</f>
        <v>29300</v>
      </c>
      <c r="E703" s="1">
        <f>IFERROR(__xludf.DUMMYFUNCTION("""COMPUTED_VALUE"""),29300.0)</f>
        <v>29300</v>
      </c>
      <c r="F703" s="1">
        <f>IFERROR(__xludf.DUMMYFUNCTION("""COMPUTED_VALUE"""),252941.0)</f>
        <v>252941</v>
      </c>
    </row>
    <row r="704">
      <c r="A704" s="2">
        <f>IFERROR(__xludf.DUMMYFUNCTION("""COMPUTED_VALUE"""),41579.645833333336)</f>
        <v>41579.64583</v>
      </c>
      <c r="B704" s="1">
        <f>IFERROR(__xludf.DUMMYFUNCTION("""COMPUTED_VALUE"""),29800.0)</f>
        <v>29800</v>
      </c>
      <c r="C704" s="1">
        <f>IFERROR(__xludf.DUMMYFUNCTION("""COMPUTED_VALUE"""),30000.0)</f>
        <v>30000</v>
      </c>
      <c r="D704" s="1">
        <f>IFERROR(__xludf.DUMMYFUNCTION("""COMPUTED_VALUE"""),29360.0)</f>
        <v>29360</v>
      </c>
      <c r="E704" s="1">
        <f>IFERROR(__xludf.DUMMYFUNCTION("""COMPUTED_VALUE"""),30000.0)</f>
        <v>30000</v>
      </c>
      <c r="F704" s="1">
        <f>IFERROR(__xludf.DUMMYFUNCTION("""COMPUTED_VALUE"""),227154.0)</f>
        <v>227154</v>
      </c>
    </row>
    <row r="705">
      <c r="A705" s="2">
        <f>IFERROR(__xludf.DUMMYFUNCTION("""COMPUTED_VALUE"""),41582.645833333336)</f>
        <v>41582.64583</v>
      </c>
      <c r="B705" s="1">
        <f>IFERROR(__xludf.DUMMYFUNCTION("""COMPUTED_VALUE"""),29840.0)</f>
        <v>29840</v>
      </c>
      <c r="C705" s="1">
        <f>IFERROR(__xludf.DUMMYFUNCTION("""COMPUTED_VALUE"""),30040.0)</f>
        <v>30040</v>
      </c>
      <c r="D705" s="1">
        <f>IFERROR(__xludf.DUMMYFUNCTION("""COMPUTED_VALUE"""),29780.0)</f>
        <v>29780</v>
      </c>
      <c r="E705" s="1">
        <f>IFERROR(__xludf.DUMMYFUNCTION("""COMPUTED_VALUE"""),29980.0)</f>
        <v>29980</v>
      </c>
      <c r="F705" s="1">
        <f>IFERROR(__xludf.DUMMYFUNCTION("""COMPUTED_VALUE"""),217756.0)</f>
        <v>217756</v>
      </c>
    </row>
    <row r="706">
      <c r="A706" s="2">
        <f>IFERROR(__xludf.DUMMYFUNCTION("""COMPUTED_VALUE"""),41583.645833333336)</f>
        <v>41583.64583</v>
      </c>
      <c r="B706" s="1">
        <f>IFERROR(__xludf.DUMMYFUNCTION("""COMPUTED_VALUE"""),30040.0)</f>
        <v>30040</v>
      </c>
      <c r="C706" s="1">
        <f>IFERROR(__xludf.DUMMYFUNCTION("""COMPUTED_VALUE"""),30040.0)</f>
        <v>30040</v>
      </c>
      <c r="D706" s="1">
        <f>IFERROR(__xludf.DUMMYFUNCTION("""COMPUTED_VALUE"""),29440.0)</f>
        <v>29440</v>
      </c>
      <c r="E706" s="1">
        <f>IFERROR(__xludf.DUMMYFUNCTION("""COMPUTED_VALUE"""),29700.0)</f>
        <v>29700</v>
      </c>
      <c r="F706" s="1">
        <f>IFERROR(__xludf.DUMMYFUNCTION("""COMPUTED_VALUE"""),160186.0)</f>
        <v>160186</v>
      </c>
    </row>
    <row r="707">
      <c r="A707" s="2">
        <f>IFERROR(__xludf.DUMMYFUNCTION("""COMPUTED_VALUE"""),41584.645833333336)</f>
        <v>41584.64583</v>
      </c>
      <c r="B707" s="1">
        <f>IFERROR(__xludf.DUMMYFUNCTION("""COMPUTED_VALUE"""),29960.0)</f>
        <v>29960</v>
      </c>
      <c r="C707" s="1">
        <f>IFERROR(__xludf.DUMMYFUNCTION("""COMPUTED_VALUE"""),29960.0)</f>
        <v>29960</v>
      </c>
      <c r="D707" s="1">
        <f>IFERROR(__xludf.DUMMYFUNCTION("""COMPUTED_VALUE"""),28980.0)</f>
        <v>28980</v>
      </c>
      <c r="E707" s="1">
        <f>IFERROR(__xludf.DUMMYFUNCTION("""COMPUTED_VALUE"""),29020.0)</f>
        <v>29020</v>
      </c>
      <c r="F707" s="1">
        <f>IFERROR(__xludf.DUMMYFUNCTION("""COMPUTED_VALUE"""),244368.0)</f>
        <v>244368</v>
      </c>
    </row>
    <row r="708">
      <c r="A708" s="2">
        <f>IFERROR(__xludf.DUMMYFUNCTION("""COMPUTED_VALUE"""),41585.645833333336)</f>
        <v>41585.64583</v>
      </c>
      <c r="B708" s="1">
        <f>IFERROR(__xludf.DUMMYFUNCTION("""COMPUTED_VALUE"""),29020.0)</f>
        <v>29020</v>
      </c>
      <c r="C708" s="1">
        <f>IFERROR(__xludf.DUMMYFUNCTION("""COMPUTED_VALUE"""),29080.0)</f>
        <v>29080</v>
      </c>
      <c r="D708" s="1">
        <f>IFERROR(__xludf.DUMMYFUNCTION("""COMPUTED_VALUE"""),28500.0)</f>
        <v>28500</v>
      </c>
      <c r="E708" s="1">
        <f>IFERROR(__xludf.DUMMYFUNCTION("""COMPUTED_VALUE"""),28740.0)</f>
        <v>28740</v>
      </c>
      <c r="F708" s="1">
        <f>IFERROR(__xludf.DUMMYFUNCTION("""COMPUTED_VALUE"""),260136.0)</f>
        <v>260136</v>
      </c>
    </row>
    <row r="709">
      <c r="A709" s="2">
        <f>IFERROR(__xludf.DUMMYFUNCTION("""COMPUTED_VALUE"""),41586.645833333336)</f>
        <v>41586.64583</v>
      </c>
      <c r="B709" s="1">
        <f>IFERROR(__xludf.DUMMYFUNCTION("""COMPUTED_VALUE"""),28220.0)</f>
        <v>28220</v>
      </c>
      <c r="C709" s="1">
        <f>IFERROR(__xludf.DUMMYFUNCTION("""COMPUTED_VALUE"""),28560.0)</f>
        <v>28560</v>
      </c>
      <c r="D709" s="1">
        <f>IFERROR(__xludf.DUMMYFUNCTION("""COMPUTED_VALUE"""),28140.0)</f>
        <v>28140</v>
      </c>
      <c r="E709" s="1">
        <f>IFERROR(__xludf.DUMMYFUNCTION("""COMPUTED_VALUE"""),28200.0)</f>
        <v>28200</v>
      </c>
      <c r="F709" s="1">
        <f>IFERROR(__xludf.DUMMYFUNCTION("""COMPUTED_VALUE"""),273627.0)</f>
        <v>273627</v>
      </c>
    </row>
    <row r="710">
      <c r="A710" s="2">
        <f>IFERROR(__xludf.DUMMYFUNCTION("""COMPUTED_VALUE"""),41589.645833333336)</f>
        <v>41589.64583</v>
      </c>
      <c r="B710" s="1">
        <f>IFERROR(__xludf.DUMMYFUNCTION("""COMPUTED_VALUE"""),28500.0)</f>
        <v>28500</v>
      </c>
      <c r="C710" s="1">
        <f>IFERROR(__xludf.DUMMYFUNCTION("""COMPUTED_VALUE"""),28680.0)</f>
        <v>28680</v>
      </c>
      <c r="D710" s="1">
        <f>IFERROR(__xludf.DUMMYFUNCTION("""COMPUTED_VALUE"""),28180.0)</f>
        <v>28180</v>
      </c>
      <c r="E710" s="1">
        <f>IFERROR(__xludf.DUMMYFUNCTION("""COMPUTED_VALUE"""),28560.0)</f>
        <v>28560</v>
      </c>
      <c r="F710" s="1">
        <f>IFERROR(__xludf.DUMMYFUNCTION("""COMPUTED_VALUE"""),171277.0)</f>
        <v>171277</v>
      </c>
    </row>
    <row r="711">
      <c r="A711" s="2">
        <f>IFERROR(__xludf.DUMMYFUNCTION("""COMPUTED_VALUE"""),41590.645833333336)</f>
        <v>41590.64583</v>
      </c>
      <c r="B711" s="1">
        <f>IFERROR(__xludf.DUMMYFUNCTION("""COMPUTED_VALUE"""),28800.0)</f>
        <v>28800</v>
      </c>
      <c r="C711" s="1">
        <f>IFERROR(__xludf.DUMMYFUNCTION("""COMPUTED_VALUE"""),29320.0)</f>
        <v>29320</v>
      </c>
      <c r="D711" s="1">
        <f>IFERROR(__xludf.DUMMYFUNCTION("""COMPUTED_VALUE"""),28720.0)</f>
        <v>28720</v>
      </c>
      <c r="E711" s="1">
        <f>IFERROR(__xludf.DUMMYFUNCTION("""COMPUTED_VALUE"""),29120.0)</f>
        <v>29120</v>
      </c>
      <c r="F711" s="1">
        <f>IFERROR(__xludf.DUMMYFUNCTION("""COMPUTED_VALUE"""),195698.0)</f>
        <v>195698</v>
      </c>
    </row>
    <row r="712">
      <c r="A712" s="2">
        <f>IFERROR(__xludf.DUMMYFUNCTION("""COMPUTED_VALUE"""),41591.645833333336)</f>
        <v>41591.64583</v>
      </c>
      <c r="B712" s="1">
        <f>IFERROR(__xludf.DUMMYFUNCTION("""COMPUTED_VALUE"""),28900.0)</f>
        <v>28900</v>
      </c>
      <c r="C712" s="1">
        <f>IFERROR(__xludf.DUMMYFUNCTION("""COMPUTED_VALUE"""),28980.0)</f>
        <v>28980</v>
      </c>
      <c r="D712" s="1">
        <f>IFERROR(__xludf.DUMMYFUNCTION("""COMPUTED_VALUE"""),28380.0)</f>
        <v>28380</v>
      </c>
      <c r="E712" s="1">
        <f>IFERROR(__xludf.DUMMYFUNCTION("""COMPUTED_VALUE"""),28380.0)</f>
        <v>28380</v>
      </c>
      <c r="F712" s="1">
        <f>IFERROR(__xludf.DUMMYFUNCTION("""COMPUTED_VALUE"""),199904.0)</f>
        <v>199904</v>
      </c>
    </row>
    <row r="713">
      <c r="A713" s="2">
        <f>IFERROR(__xludf.DUMMYFUNCTION("""COMPUTED_VALUE"""),41592.645833333336)</f>
        <v>41592.64583</v>
      </c>
      <c r="B713" s="1">
        <f>IFERROR(__xludf.DUMMYFUNCTION("""COMPUTED_VALUE"""),29100.0)</f>
        <v>29100</v>
      </c>
      <c r="C713" s="1">
        <f>IFERROR(__xludf.DUMMYFUNCTION("""COMPUTED_VALUE"""),29100.0)</f>
        <v>29100</v>
      </c>
      <c r="D713" s="1">
        <f>IFERROR(__xludf.DUMMYFUNCTION("""COMPUTED_VALUE"""),28480.0)</f>
        <v>28480</v>
      </c>
      <c r="E713" s="1">
        <f>IFERROR(__xludf.DUMMYFUNCTION("""COMPUTED_VALUE"""),28480.0)</f>
        <v>28480</v>
      </c>
      <c r="F713" s="1">
        <f>IFERROR(__xludf.DUMMYFUNCTION("""COMPUTED_VALUE"""),202643.0)</f>
        <v>202643</v>
      </c>
    </row>
    <row r="714">
      <c r="A714" s="2">
        <f>IFERROR(__xludf.DUMMYFUNCTION("""COMPUTED_VALUE"""),41593.645833333336)</f>
        <v>41593.64583</v>
      </c>
      <c r="B714" s="1">
        <f>IFERROR(__xludf.DUMMYFUNCTION("""COMPUTED_VALUE"""),28680.0)</f>
        <v>28680</v>
      </c>
      <c r="C714" s="1">
        <f>IFERROR(__xludf.DUMMYFUNCTION("""COMPUTED_VALUE"""),29240.0)</f>
        <v>29240</v>
      </c>
      <c r="D714" s="1">
        <f>IFERROR(__xludf.DUMMYFUNCTION("""COMPUTED_VALUE"""),28640.0)</f>
        <v>28640</v>
      </c>
      <c r="E714" s="1">
        <f>IFERROR(__xludf.DUMMYFUNCTION("""COMPUTED_VALUE"""),29240.0)</f>
        <v>29240</v>
      </c>
      <c r="F714" s="1">
        <f>IFERROR(__xludf.DUMMYFUNCTION("""COMPUTED_VALUE"""),166785.0)</f>
        <v>166785</v>
      </c>
    </row>
    <row r="715">
      <c r="A715" s="2">
        <f>IFERROR(__xludf.DUMMYFUNCTION("""COMPUTED_VALUE"""),41596.645833333336)</f>
        <v>41596.64583</v>
      </c>
      <c r="B715" s="1">
        <f>IFERROR(__xludf.DUMMYFUNCTION("""COMPUTED_VALUE"""),29400.0)</f>
        <v>29400</v>
      </c>
      <c r="C715" s="1">
        <f>IFERROR(__xludf.DUMMYFUNCTION("""COMPUTED_VALUE"""),29520.0)</f>
        <v>29520</v>
      </c>
      <c r="D715" s="1">
        <f>IFERROR(__xludf.DUMMYFUNCTION("""COMPUTED_VALUE"""),29300.0)</f>
        <v>29300</v>
      </c>
      <c r="E715" s="1">
        <f>IFERROR(__xludf.DUMMYFUNCTION("""COMPUTED_VALUE"""),29480.0)</f>
        <v>29480</v>
      </c>
      <c r="F715" s="1">
        <f>IFERROR(__xludf.DUMMYFUNCTION("""COMPUTED_VALUE"""),127736.0)</f>
        <v>127736</v>
      </c>
    </row>
    <row r="716">
      <c r="A716" s="2">
        <f>IFERROR(__xludf.DUMMYFUNCTION("""COMPUTED_VALUE"""),41597.645833333336)</f>
        <v>41597.64583</v>
      </c>
      <c r="B716" s="1">
        <f>IFERROR(__xludf.DUMMYFUNCTION("""COMPUTED_VALUE"""),29660.0)</f>
        <v>29660</v>
      </c>
      <c r="C716" s="1">
        <f>IFERROR(__xludf.DUMMYFUNCTION("""COMPUTED_VALUE"""),29780.0)</f>
        <v>29780</v>
      </c>
      <c r="D716" s="1">
        <f>IFERROR(__xludf.DUMMYFUNCTION("""COMPUTED_VALUE"""),29540.0)</f>
        <v>29540</v>
      </c>
      <c r="E716" s="1">
        <f>IFERROR(__xludf.DUMMYFUNCTION("""COMPUTED_VALUE"""),29780.0)</f>
        <v>29780</v>
      </c>
      <c r="F716" s="1">
        <f>IFERROR(__xludf.DUMMYFUNCTION("""COMPUTED_VALUE"""),163671.0)</f>
        <v>163671</v>
      </c>
    </row>
    <row r="717">
      <c r="A717" s="2">
        <f>IFERROR(__xludf.DUMMYFUNCTION("""COMPUTED_VALUE"""),41598.645833333336)</f>
        <v>41598.64583</v>
      </c>
      <c r="B717" s="1">
        <f>IFERROR(__xludf.DUMMYFUNCTION("""COMPUTED_VALUE"""),29460.0)</f>
        <v>29460</v>
      </c>
      <c r="C717" s="1">
        <f>IFERROR(__xludf.DUMMYFUNCTION("""COMPUTED_VALUE"""),29740.0)</f>
        <v>29740</v>
      </c>
      <c r="D717" s="1">
        <f>IFERROR(__xludf.DUMMYFUNCTION("""COMPUTED_VALUE"""),29280.0)</f>
        <v>29280</v>
      </c>
      <c r="E717" s="1">
        <f>IFERROR(__xludf.DUMMYFUNCTION("""COMPUTED_VALUE"""),29400.0)</f>
        <v>29400</v>
      </c>
      <c r="F717" s="1">
        <f>IFERROR(__xludf.DUMMYFUNCTION("""COMPUTED_VALUE"""),163563.0)</f>
        <v>163563</v>
      </c>
    </row>
    <row r="718">
      <c r="A718" s="2">
        <f>IFERROR(__xludf.DUMMYFUNCTION("""COMPUTED_VALUE"""),41599.645833333336)</f>
        <v>41599.64583</v>
      </c>
      <c r="B718" s="1">
        <f>IFERROR(__xludf.DUMMYFUNCTION("""COMPUTED_VALUE"""),29440.0)</f>
        <v>29440</v>
      </c>
      <c r="C718" s="1">
        <f>IFERROR(__xludf.DUMMYFUNCTION("""COMPUTED_VALUE"""),29440.0)</f>
        <v>29440</v>
      </c>
      <c r="D718" s="1">
        <f>IFERROR(__xludf.DUMMYFUNCTION("""COMPUTED_VALUE"""),28640.0)</f>
        <v>28640</v>
      </c>
      <c r="E718" s="1">
        <f>IFERROR(__xludf.DUMMYFUNCTION("""COMPUTED_VALUE"""),28800.0)</f>
        <v>28800</v>
      </c>
      <c r="F718" s="1">
        <f>IFERROR(__xludf.DUMMYFUNCTION("""COMPUTED_VALUE"""),180396.0)</f>
        <v>180396</v>
      </c>
    </row>
    <row r="719">
      <c r="A719" s="2">
        <f>IFERROR(__xludf.DUMMYFUNCTION("""COMPUTED_VALUE"""),41600.645833333336)</f>
        <v>41600.64583</v>
      </c>
      <c r="B719" s="1">
        <f>IFERROR(__xludf.DUMMYFUNCTION("""COMPUTED_VALUE"""),28820.0)</f>
        <v>28820</v>
      </c>
      <c r="C719" s="1">
        <f>IFERROR(__xludf.DUMMYFUNCTION("""COMPUTED_VALUE"""),29120.0)</f>
        <v>29120</v>
      </c>
      <c r="D719" s="1">
        <f>IFERROR(__xludf.DUMMYFUNCTION("""COMPUTED_VALUE"""),28620.0)</f>
        <v>28620</v>
      </c>
      <c r="E719" s="1">
        <f>IFERROR(__xludf.DUMMYFUNCTION("""COMPUTED_VALUE"""),29000.0)</f>
        <v>29000</v>
      </c>
      <c r="F719" s="1">
        <f>IFERROR(__xludf.DUMMYFUNCTION("""COMPUTED_VALUE"""),171492.0)</f>
        <v>171492</v>
      </c>
    </row>
    <row r="720">
      <c r="A720" s="2">
        <f>IFERROR(__xludf.DUMMYFUNCTION("""COMPUTED_VALUE"""),41603.645833333336)</f>
        <v>41603.64583</v>
      </c>
      <c r="B720" s="1">
        <f>IFERROR(__xludf.DUMMYFUNCTION("""COMPUTED_VALUE"""),29020.0)</f>
        <v>29020</v>
      </c>
      <c r="C720" s="1">
        <f>IFERROR(__xludf.DUMMYFUNCTION("""COMPUTED_VALUE"""),29440.0)</f>
        <v>29440</v>
      </c>
      <c r="D720" s="1">
        <f>IFERROR(__xludf.DUMMYFUNCTION("""COMPUTED_VALUE"""),29020.0)</f>
        <v>29020</v>
      </c>
      <c r="E720" s="1">
        <f>IFERROR(__xludf.DUMMYFUNCTION("""COMPUTED_VALUE"""),29300.0)</f>
        <v>29300</v>
      </c>
      <c r="F720" s="1">
        <f>IFERROR(__xludf.DUMMYFUNCTION("""COMPUTED_VALUE"""),132306.0)</f>
        <v>132306</v>
      </c>
    </row>
    <row r="721">
      <c r="A721" s="2">
        <f>IFERROR(__xludf.DUMMYFUNCTION("""COMPUTED_VALUE"""),41604.645833333336)</f>
        <v>41604.64583</v>
      </c>
      <c r="B721" s="1">
        <f>IFERROR(__xludf.DUMMYFUNCTION("""COMPUTED_VALUE"""),29160.0)</f>
        <v>29160</v>
      </c>
      <c r="C721" s="1">
        <f>IFERROR(__xludf.DUMMYFUNCTION("""COMPUTED_VALUE"""),29580.0)</f>
        <v>29580</v>
      </c>
      <c r="D721" s="1">
        <f>IFERROR(__xludf.DUMMYFUNCTION("""COMPUTED_VALUE"""),29100.0)</f>
        <v>29100</v>
      </c>
      <c r="E721" s="1">
        <f>IFERROR(__xludf.DUMMYFUNCTION("""COMPUTED_VALUE"""),29580.0)</f>
        <v>29580</v>
      </c>
      <c r="F721" s="1">
        <f>IFERROR(__xludf.DUMMYFUNCTION("""COMPUTED_VALUE"""),171725.0)</f>
        <v>171725</v>
      </c>
    </row>
    <row r="722">
      <c r="A722" s="2">
        <f>IFERROR(__xludf.DUMMYFUNCTION("""COMPUTED_VALUE"""),41605.645833333336)</f>
        <v>41605.64583</v>
      </c>
      <c r="B722" s="1">
        <f>IFERROR(__xludf.DUMMYFUNCTION("""COMPUTED_VALUE"""),29340.0)</f>
        <v>29340</v>
      </c>
      <c r="C722" s="1">
        <f>IFERROR(__xludf.DUMMYFUNCTION("""COMPUTED_VALUE"""),29520.0)</f>
        <v>29520</v>
      </c>
      <c r="D722" s="1">
        <f>IFERROR(__xludf.DUMMYFUNCTION("""COMPUTED_VALUE"""),29200.0)</f>
        <v>29200</v>
      </c>
      <c r="E722" s="1">
        <f>IFERROR(__xludf.DUMMYFUNCTION("""COMPUTED_VALUE"""),29400.0)</f>
        <v>29400</v>
      </c>
      <c r="F722" s="1">
        <f>IFERROR(__xludf.DUMMYFUNCTION("""COMPUTED_VALUE"""),187034.0)</f>
        <v>187034</v>
      </c>
    </row>
    <row r="723">
      <c r="A723" s="2">
        <f>IFERROR(__xludf.DUMMYFUNCTION("""COMPUTED_VALUE"""),41606.645833333336)</f>
        <v>41606.64583</v>
      </c>
      <c r="B723" s="1">
        <f>IFERROR(__xludf.DUMMYFUNCTION("""COMPUTED_VALUE"""),29600.0)</f>
        <v>29600</v>
      </c>
      <c r="C723" s="1">
        <f>IFERROR(__xludf.DUMMYFUNCTION("""COMPUTED_VALUE"""),29880.0)</f>
        <v>29880</v>
      </c>
      <c r="D723" s="1">
        <f>IFERROR(__xludf.DUMMYFUNCTION("""COMPUTED_VALUE"""),29580.0)</f>
        <v>29580</v>
      </c>
      <c r="E723" s="1">
        <f>IFERROR(__xludf.DUMMYFUNCTION("""COMPUTED_VALUE"""),29880.0)</f>
        <v>29880</v>
      </c>
      <c r="F723" s="1">
        <f>IFERROR(__xludf.DUMMYFUNCTION("""COMPUTED_VALUE"""),212898.0)</f>
        <v>212898</v>
      </c>
    </row>
    <row r="724">
      <c r="A724" s="2">
        <f>IFERROR(__xludf.DUMMYFUNCTION("""COMPUTED_VALUE"""),41607.645833333336)</f>
        <v>41607.64583</v>
      </c>
      <c r="B724" s="1">
        <f>IFERROR(__xludf.DUMMYFUNCTION("""COMPUTED_VALUE"""),29980.0)</f>
        <v>29980</v>
      </c>
      <c r="C724" s="1">
        <f>IFERROR(__xludf.DUMMYFUNCTION("""COMPUTED_VALUE"""),29980.0)</f>
        <v>29980</v>
      </c>
      <c r="D724" s="1">
        <f>IFERROR(__xludf.DUMMYFUNCTION("""COMPUTED_VALUE"""),29700.0)</f>
        <v>29700</v>
      </c>
      <c r="E724" s="1">
        <f>IFERROR(__xludf.DUMMYFUNCTION("""COMPUTED_VALUE"""),29880.0)</f>
        <v>29880</v>
      </c>
      <c r="F724" s="1">
        <f>IFERROR(__xludf.DUMMYFUNCTION("""COMPUTED_VALUE"""),135044.0)</f>
        <v>135044</v>
      </c>
    </row>
    <row r="725">
      <c r="A725" s="2">
        <f>IFERROR(__xludf.DUMMYFUNCTION("""COMPUTED_VALUE"""),41610.645833333336)</f>
        <v>41610.64583</v>
      </c>
      <c r="B725" s="1">
        <f>IFERROR(__xludf.DUMMYFUNCTION("""COMPUTED_VALUE"""),30000.0)</f>
        <v>30000</v>
      </c>
      <c r="C725" s="1">
        <f>IFERROR(__xludf.DUMMYFUNCTION("""COMPUTED_VALUE"""),30060.0)</f>
        <v>30060</v>
      </c>
      <c r="D725" s="1">
        <f>IFERROR(__xludf.DUMMYFUNCTION("""COMPUTED_VALUE"""),29340.0)</f>
        <v>29340</v>
      </c>
      <c r="E725" s="1">
        <f>IFERROR(__xludf.DUMMYFUNCTION("""COMPUTED_VALUE"""),29340.0)</f>
        <v>29340</v>
      </c>
      <c r="F725" s="1">
        <f>IFERROR(__xludf.DUMMYFUNCTION("""COMPUTED_VALUE"""),149756.0)</f>
        <v>149756</v>
      </c>
    </row>
    <row r="726">
      <c r="A726" s="2">
        <f>IFERROR(__xludf.DUMMYFUNCTION("""COMPUTED_VALUE"""),41611.645833333336)</f>
        <v>41611.64583</v>
      </c>
      <c r="B726" s="1">
        <f>IFERROR(__xludf.DUMMYFUNCTION("""COMPUTED_VALUE"""),29280.0)</f>
        <v>29280</v>
      </c>
      <c r="C726" s="1">
        <f>IFERROR(__xludf.DUMMYFUNCTION("""COMPUTED_VALUE"""),29560.0)</f>
        <v>29560</v>
      </c>
      <c r="D726" s="1">
        <f>IFERROR(__xludf.DUMMYFUNCTION("""COMPUTED_VALUE"""),29140.0)</f>
        <v>29140</v>
      </c>
      <c r="E726" s="1">
        <f>IFERROR(__xludf.DUMMYFUNCTION("""COMPUTED_VALUE"""),29220.0)</f>
        <v>29220</v>
      </c>
      <c r="F726" s="1">
        <f>IFERROR(__xludf.DUMMYFUNCTION("""COMPUTED_VALUE"""),155972.0)</f>
        <v>155972</v>
      </c>
    </row>
    <row r="727">
      <c r="A727" s="2">
        <f>IFERROR(__xludf.DUMMYFUNCTION("""COMPUTED_VALUE"""),41612.645833333336)</f>
        <v>41612.64583</v>
      </c>
      <c r="B727" s="1">
        <f>IFERROR(__xludf.DUMMYFUNCTION("""COMPUTED_VALUE"""),29000.0)</f>
        <v>29000</v>
      </c>
      <c r="C727" s="1">
        <f>IFERROR(__xludf.DUMMYFUNCTION("""COMPUTED_VALUE"""),29060.0)</f>
        <v>29060</v>
      </c>
      <c r="D727" s="1">
        <f>IFERROR(__xludf.DUMMYFUNCTION("""COMPUTED_VALUE"""),28620.0)</f>
        <v>28620</v>
      </c>
      <c r="E727" s="1">
        <f>IFERROR(__xludf.DUMMYFUNCTION("""COMPUTED_VALUE"""),28640.0)</f>
        <v>28640</v>
      </c>
      <c r="F727" s="1">
        <f>IFERROR(__xludf.DUMMYFUNCTION("""COMPUTED_VALUE"""),216880.0)</f>
        <v>216880</v>
      </c>
    </row>
    <row r="728">
      <c r="A728" s="2">
        <f>IFERROR(__xludf.DUMMYFUNCTION("""COMPUTED_VALUE"""),41613.645833333336)</f>
        <v>41613.64583</v>
      </c>
      <c r="B728" s="1">
        <f>IFERROR(__xludf.DUMMYFUNCTION("""COMPUTED_VALUE"""),28660.0)</f>
        <v>28660</v>
      </c>
      <c r="C728" s="1">
        <f>IFERROR(__xludf.DUMMYFUNCTION("""COMPUTED_VALUE"""),28920.0)</f>
        <v>28920</v>
      </c>
      <c r="D728" s="1">
        <f>IFERROR(__xludf.DUMMYFUNCTION("""COMPUTED_VALUE"""),28440.0)</f>
        <v>28440</v>
      </c>
      <c r="E728" s="1">
        <f>IFERROR(__xludf.DUMMYFUNCTION("""COMPUTED_VALUE"""),28800.0)</f>
        <v>28800</v>
      </c>
      <c r="F728" s="1">
        <f>IFERROR(__xludf.DUMMYFUNCTION("""COMPUTED_VALUE"""),209593.0)</f>
        <v>209593</v>
      </c>
    </row>
    <row r="729">
      <c r="A729" s="2">
        <f>IFERROR(__xludf.DUMMYFUNCTION("""COMPUTED_VALUE"""),41614.645833333336)</f>
        <v>41614.64583</v>
      </c>
      <c r="B729" s="1">
        <f>IFERROR(__xludf.DUMMYFUNCTION("""COMPUTED_VALUE"""),29080.0)</f>
        <v>29080</v>
      </c>
      <c r="C729" s="1">
        <f>IFERROR(__xludf.DUMMYFUNCTION("""COMPUTED_VALUE"""),29080.0)</f>
        <v>29080</v>
      </c>
      <c r="D729" s="1">
        <f>IFERROR(__xludf.DUMMYFUNCTION("""COMPUTED_VALUE"""),28560.0)</f>
        <v>28560</v>
      </c>
      <c r="E729" s="1">
        <f>IFERROR(__xludf.DUMMYFUNCTION("""COMPUTED_VALUE"""),28560.0)</f>
        <v>28560</v>
      </c>
      <c r="F729" s="1">
        <f>IFERROR(__xludf.DUMMYFUNCTION("""COMPUTED_VALUE"""),182949.0)</f>
        <v>182949</v>
      </c>
    </row>
    <row r="730">
      <c r="A730" s="2">
        <f>IFERROR(__xludf.DUMMYFUNCTION("""COMPUTED_VALUE"""),41617.645833333336)</f>
        <v>41617.64583</v>
      </c>
      <c r="B730" s="1">
        <f>IFERROR(__xludf.DUMMYFUNCTION("""COMPUTED_VALUE"""),28800.0)</f>
        <v>28800</v>
      </c>
      <c r="C730" s="1">
        <f>IFERROR(__xludf.DUMMYFUNCTION("""COMPUTED_VALUE"""),29080.0)</f>
        <v>29080</v>
      </c>
      <c r="D730" s="1">
        <f>IFERROR(__xludf.DUMMYFUNCTION("""COMPUTED_VALUE"""),28800.0)</f>
        <v>28800</v>
      </c>
      <c r="E730" s="1">
        <f>IFERROR(__xludf.DUMMYFUNCTION("""COMPUTED_VALUE"""),29080.0)</f>
        <v>29080</v>
      </c>
      <c r="F730" s="1">
        <f>IFERROR(__xludf.DUMMYFUNCTION("""COMPUTED_VALUE"""),139938.0)</f>
        <v>139938</v>
      </c>
    </row>
    <row r="731">
      <c r="A731" s="2">
        <f>IFERROR(__xludf.DUMMYFUNCTION("""COMPUTED_VALUE"""),41618.645833333336)</f>
        <v>41618.64583</v>
      </c>
      <c r="B731" s="1">
        <f>IFERROR(__xludf.DUMMYFUNCTION("""COMPUTED_VALUE"""),28820.0)</f>
        <v>28820</v>
      </c>
      <c r="C731" s="1">
        <f>IFERROR(__xludf.DUMMYFUNCTION("""COMPUTED_VALUE"""),29020.0)</f>
        <v>29020</v>
      </c>
      <c r="D731" s="1">
        <f>IFERROR(__xludf.DUMMYFUNCTION("""COMPUTED_VALUE"""),28620.0)</f>
        <v>28620</v>
      </c>
      <c r="E731" s="1">
        <f>IFERROR(__xludf.DUMMYFUNCTION("""COMPUTED_VALUE"""),28800.0)</f>
        <v>28800</v>
      </c>
      <c r="F731" s="1">
        <f>IFERROR(__xludf.DUMMYFUNCTION("""COMPUTED_VALUE"""),155112.0)</f>
        <v>155112</v>
      </c>
    </row>
    <row r="732">
      <c r="A732" s="2">
        <f>IFERROR(__xludf.DUMMYFUNCTION("""COMPUTED_VALUE"""),41619.645833333336)</f>
        <v>41619.64583</v>
      </c>
      <c r="B732" s="1">
        <f>IFERROR(__xludf.DUMMYFUNCTION("""COMPUTED_VALUE"""),28520.0)</f>
        <v>28520</v>
      </c>
      <c r="C732" s="1">
        <f>IFERROR(__xludf.DUMMYFUNCTION("""COMPUTED_VALUE"""),28880.0)</f>
        <v>28880</v>
      </c>
      <c r="D732" s="1">
        <f>IFERROR(__xludf.DUMMYFUNCTION("""COMPUTED_VALUE"""),28320.0)</f>
        <v>28320</v>
      </c>
      <c r="E732" s="1">
        <f>IFERROR(__xludf.DUMMYFUNCTION("""COMPUTED_VALUE"""),28400.0)</f>
        <v>28400</v>
      </c>
      <c r="F732" s="1">
        <f>IFERROR(__xludf.DUMMYFUNCTION("""COMPUTED_VALUE"""),212583.0)</f>
        <v>212583</v>
      </c>
    </row>
    <row r="733">
      <c r="A733" s="2">
        <f>IFERROR(__xludf.DUMMYFUNCTION("""COMPUTED_VALUE"""),41620.645833333336)</f>
        <v>41620.64583</v>
      </c>
      <c r="B733" s="1">
        <f>IFERROR(__xludf.DUMMYFUNCTION("""COMPUTED_VALUE"""),27920.0)</f>
        <v>27920</v>
      </c>
      <c r="C733" s="1">
        <f>IFERROR(__xludf.DUMMYFUNCTION("""COMPUTED_VALUE"""),28200.0)</f>
        <v>28200</v>
      </c>
      <c r="D733" s="1">
        <f>IFERROR(__xludf.DUMMYFUNCTION("""COMPUTED_VALUE"""),27920.0)</f>
        <v>27920</v>
      </c>
      <c r="E733" s="1">
        <f>IFERROR(__xludf.DUMMYFUNCTION("""COMPUTED_VALUE"""),28200.0)</f>
        <v>28200</v>
      </c>
      <c r="F733" s="1">
        <f>IFERROR(__xludf.DUMMYFUNCTION("""COMPUTED_VALUE"""),299241.0)</f>
        <v>299241</v>
      </c>
    </row>
    <row r="734">
      <c r="A734" s="2">
        <f>IFERROR(__xludf.DUMMYFUNCTION("""COMPUTED_VALUE"""),41621.645833333336)</f>
        <v>41621.64583</v>
      </c>
      <c r="B734" s="1">
        <f>IFERROR(__xludf.DUMMYFUNCTION("""COMPUTED_VALUE"""),28200.0)</f>
        <v>28200</v>
      </c>
      <c r="C734" s="1">
        <f>IFERROR(__xludf.DUMMYFUNCTION("""COMPUTED_VALUE"""),28220.0)</f>
        <v>28220</v>
      </c>
      <c r="D734" s="1">
        <f>IFERROR(__xludf.DUMMYFUNCTION("""COMPUTED_VALUE"""),27800.0)</f>
        <v>27800</v>
      </c>
      <c r="E734" s="1">
        <f>IFERROR(__xludf.DUMMYFUNCTION("""COMPUTED_VALUE"""),27800.0)</f>
        <v>27800</v>
      </c>
      <c r="F734" s="1">
        <f>IFERROR(__xludf.DUMMYFUNCTION("""COMPUTED_VALUE"""),201065.0)</f>
        <v>201065</v>
      </c>
    </row>
    <row r="735">
      <c r="A735" s="2">
        <f>IFERROR(__xludf.DUMMYFUNCTION("""COMPUTED_VALUE"""),41624.645833333336)</f>
        <v>41624.64583</v>
      </c>
      <c r="B735" s="1">
        <f>IFERROR(__xludf.DUMMYFUNCTION("""COMPUTED_VALUE"""),27820.0)</f>
        <v>27820</v>
      </c>
      <c r="C735" s="1">
        <f>IFERROR(__xludf.DUMMYFUNCTION("""COMPUTED_VALUE"""),28080.0)</f>
        <v>28080</v>
      </c>
      <c r="D735" s="1">
        <f>IFERROR(__xludf.DUMMYFUNCTION("""COMPUTED_VALUE"""),27660.0)</f>
        <v>27660</v>
      </c>
      <c r="E735" s="1">
        <f>IFERROR(__xludf.DUMMYFUNCTION("""COMPUTED_VALUE"""),28000.0)</f>
        <v>28000</v>
      </c>
      <c r="F735" s="1">
        <f>IFERROR(__xludf.DUMMYFUNCTION("""COMPUTED_VALUE"""),179088.0)</f>
        <v>179088</v>
      </c>
    </row>
    <row r="736">
      <c r="A736" s="2">
        <f>IFERROR(__xludf.DUMMYFUNCTION("""COMPUTED_VALUE"""),41625.645833333336)</f>
        <v>41625.64583</v>
      </c>
      <c r="B736" s="1">
        <f>IFERROR(__xludf.DUMMYFUNCTION("""COMPUTED_VALUE"""),28340.0)</f>
        <v>28340</v>
      </c>
      <c r="C736" s="1">
        <f>IFERROR(__xludf.DUMMYFUNCTION("""COMPUTED_VALUE"""),28340.0)</f>
        <v>28340</v>
      </c>
      <c r="D736" s="1">
        <f>IFERROR(__xludf.DUMMYFUNCTION("""COMPUTED_VALUE"""),27860.0)</f>
        <v>27860</v>
      </c>
      <c r="E736" s="1">
        <f>IFERROR(__xludf.DUMMYFUNCTION("""COMPUTED_VALUE"""),27900.0)</f>
        <v>27900</v>
      </c>
      <c r="F736" s="1">
        <f>IFERROR(__xludf.DUMMYFUNCTION("""COMPUTED_VALUE"""),155248.0)</f>
        <v>155248</v>
      </c>
    </row>
    <row r="737">
      <c r="A737" s="2">
        <f>IFERROR(__xludf.DUMMYFUNCTION("""COMPUTED_VALUE"""),41626.645833333336)</f>
        <v>41626.64583</v>
      </c>
      <c r="B737" s="1">
        <f>IFERROR(__xludf.DUMMYFUNCTION("""COMPUTED_VALUE"""),28100.0)</f>
        <v>28100</v>
      </c>
      <c r="C737" s="1">
        <f>IFERROR(__xludf.DUMMYFUNCTION("""COMPUTED_VALUE"""),28200.0)</f>
        <v>28200</v>
      </c>
      <c r="D737" s="1">
        <f>IFERROR(__xludf.DUMMYFUNCTION("""COMPUTED_VALUE"""),27880.0)</f>
        <v>27880</v>
      </c>
      <c r="E737" s="1">
        <f>IFERROR(__xludf.DUMMYFUNCTION("""COMPUTED_VALUE"""),28020.0)</f>
        <v>28020</v>
      </c>
      <c r="F737" s="1">
        <f>IFERROR(__xludf.DUMMYFUNCTION("""COMPUTED_VALUE"""),217984.0)</f>
        <v>217984</v>
      </c>
    </row>
    <row r="738">
      <c r="A738" s="2">
        <f>IFERROR(__xludf.DUMMYFUNCTION("""COMPUTED_VALUE"""),41627.645833333336)</f>
        <v>41627.64583</v>
      </c>
      <c r="B738" s="1">
        <f>IFERROR(__xludf.DUMMYFUNCTION("""COMPUTED_VALUE"""),28360.0)</f>
        <v>28360</v>
      </c>
      <c r="C738" s="1">
        <f>IFERROR(__xludf.DUMMYFUNCTION("""COMPUTED_VALUE"""),28680.0)</f>
        <v>28680</v>
      </c>
      <c r="D738" s="1">
        <f>IFERROR(__xludf.DUMMYFUNCTION("""COMPUTED_VALUE"""),28360.0)</f>
        <v>28360</v>
      </c>
      <c r="E738" s="1">
        <f>IFERROR(__xludf.DUMMYFUNCTION("""COMPUTED_VALUE"""),28540.0)</f>
        <v>28540</v>
      </c>
      <c r="F738" s="1">
        <f>IFERROR(__xludf.DUMMYFUNCTION("""COMPUTED_VALUE"""),211048.0)</f>
        <v>211048</v>
      </c>
    </row>
    <row r="739">
      <c r="A739" s="2">
        <f>IFERROR(__xludf.DUMMYFUNCTION("""COMPUTED_VALUE"""),41628.645833333336)</f>
        <v>41628.64583</v>
      </c>
      <c r="B739" s="1">
        <f>IFERROR(__xludf.DUMMYFUNCTION("""COMPUTED_VALUE"""),28260.0)</f>
        <v>28260</v>
      </c>
      <c r="C739" s="1">
        <f>IFERROR(__xludf.DUMMYFUNCTION("""COMPUTED_VALUE"""),28540.0)</f>
        <v>28540</v>
      </c>
      <c r="D739" s="1">
        <f>IFERROR(__xludf.DUMMYFUNCTION("""COMPUTED_VALUE"""),28260.0)</f>
        <v>28260</v>
      </c>
      <c r="E739" s="1">
        <f>IFERROR(__xludf.DUMMYFUNCTION("""COMPUTED_VALUE"""),28540.0)</f>
        <v>28540</v>
      </c>
      <c r="F739" s="1">
        <f>IFERROR(__xludf.DUMMYFUNCTION("""COMPUTED_VALUE"""),168148.0)</f>
        <v>168148</v>
      </c>
    </row>
    <row r="740">
      <c r="A740" s="2">
        <f>IFERROR(__xludf.DUMMYFUNCTION("""COMPUTED_VALUE"""),41631.645833333336)</f>
        <v>41631.64583</v>
      </c>
      <c r="B740" s="1">
        <f>IFERROR(__xludf.DUMMYFUNCTION("""COMPUTED_VALUE"""),28740.0)</f>
        <v>28740</v>
      </c>
      <c r="C740" s="1">
        <f>IFERROR(__xludf.DUMMYFUNCTION("""COMPUTED_VALUE"""),28760.0)</f>
        <v>28760</v>
      </c>
      <c r="D740" s="1">
        <f>IFERROR(__xludf.DUMMYFUNCTION("""COMPUTED_VALUE"""),28580.0)</f>
        <v>28580</v>
      </c>
      <c r="E740" s="1">
        <f>IFERROR(__xludf.DUMMYFUNCTION("""COMPUTED_VALUE"""),28660.0)</f>
        <v>28660</v>
      </c>
      <c r="F740" s="1">
        <f>IFERROR(__xludf.DUMMYFUNCTION("""COMPUTED_VALUE"""),212784.0)</f>
        <v>212784</v>
      </c>
    </row>
    <row r="741">
      <c r="A741" s="2">
        <f>IFERROR(__xludf.DUMMYFUNCTION("""COMPUTED_VALUE"""),41632.645833333336)</f>
        <v>41632.64583</v>
      </c>
      <c r="B741" s="1">
        <f>IFERROR(__xludf.DUMMYFUNCTION("""COMPUTED_VALUE"""),28600.0)</f>
        <v>28600</v>
      </c>
      <c r="C741" s="1">
        <f>IFERROR(__xludf.DUMMYFUNCTION("""COMPUTED_VALUE"""),28640.0)</f>
        <v>28640</v>
      </c>
      <c r="D741" s="1">
        <f>IFERROR(__xludf.DUMMYFUNCTION("""COMPUTED_VALUE"""),28300.0)</f>
        <v>28300</v>
      </c>
      <c r="E741" s="1">
        <f>IFERROR(__xludf.DUMMYFUNCTION("""COMPUTED_VALUE"""),28300.0)</f>
        <v>28300</v>
      </c>
      <c r="F741" s="1">
        <f>IFERROR(__xludf.DUMMYFUNCTION("""COMPUTED_VALUE"""),219607.0)</f>
        <v>219607</v>
      </c>
    </row>
    <row r="742">
      <c r="A742" s="2">
        <f>IFERROR(__xludf.DUMMYFUNCTION("""COMPUTED_VALUE"""),41634.645833333336)</f>
        <v>41634.64583</v>
      </c>
      <c r="B742" s="1">
        <f>IFERROR(__xludf.DUMMYFUNCTION("""COMPUTED_VALUE"""),28160.0)</f>
        <v>28160</v>
      </c>
      <c r="C742" s="1">
        <f>IFERROR(__xludf.DUMMYFUNCTION("""COMPUTED_VALUE"""),28300.0)</f>
        <v>28300</v>
      </c>
      <c r="D742" s="1">
        <f>IFERROR(__xludf.DUMMYFUNCTION("""COMPUTED_VALUE"""),28020.0)</f>
        <v>28020</v>
      </c>
      <c r="E742" s="1">
        <f>IFERROR(__xludf.DUMMYFUNCTION("""COMPUTED_VALUE"""),28160.0)</f>
        <v>28160</v>
      </c>
      <c r="F742" s="1">
        <f>IFERROR(__xludf.DUMMYFUNCTION("""COMPUTED_VALUE"""),246156.0)</f>
        <v>246156</v>
      </c>
    </row>
    <row r="743">
      <c r="A743" s="2">
        <f>IFERROR(__xludf.DUMMYFUNCTION("""COMPUTED_VALUE"""),41635.645833333336)</f>
        <v>41635.64583</v>
      </c>
      <c r="B743" s="1">
        <f>IFERROR(__xludf.DUMMYFUNCTION("""COMPUTED_VALUE"""),28200.0)</f>
        <v>28200</v>
      </c>
      <c r="C743" s="1">
        <f>IFERROR(__xludf.DUMMYFUNCTION("""COMPUTED_VALUE"""),28220.0)</f>
        <v>28220</v>
      </c>
      <c r="D743" s="1">
        <f>IFERROR(__xludf.DUMMYFUNCTION("""COMPUTED_VALUE"""),27900.0)</f>
        <v>27900</v>
      </c>
      <c r="E743" s="1">
        <f>IFERROR(__xludf.DUMMYFUNCTION("""COMPUTED_VALUE"""),27920.0)</f>
        <v>27920</v>
      </c>
      <c r="F743" s="1">
        <f>IFERROR(__xludf.DUMMYFUNCTION("""COMPUTED_VALUE"""),210200.0)</f>
        <v>210200</v>
      </c>
    </row>
    <row r="744">
      <c r="A744" s="2">
        <f>IFERROR(__xludf.DUMMYFUNCTION("""COMPUTED_VALUE"""),41638.645833333336)</f>
        <v>41638.64583</v>
      </c>
      <c r="B744" s="1">
        <f>IFERROR(__xludf.DUMMYFUNCTION("""COMPUTED_VALUE"""),27920.0)</f>
        <v>27920</v>
      </c>
      <c r="C744" s="1">
        <f>IFERROR(__xludf.DUMMYFUNCTION("""COMPUTED_VALUE"""),27940.0)</f>
        <v>27940</v>
      </c>
      <c r="D744" s="1">
        <f>IFERROR(__xludf.DUMMYFUNCTION("""COMPUTED_VALUE"""),27200.0)</f>
        <v>27200</v>
      </c>
      <c r="E744" s="1">
        <f>IFERROR(__xludf.DUMMYFUNCTION("""COMPUTED_VALUE"""),27440.0)</f>
        <v>27440</v>
      </c>
      <c r="F744" s="1">
        <f>IFERROR(__xludf.DUMMYFUNCTION("""COMPUTED_VALUE"""),338162.0)</f>
        <v>338162</v>
      </c>
    </row>
    <row r="745">
      <c r="A745" s="2">
        <f>IFERROR(__xludf.DUMMYFUNCTION("""COMPUTED_VALUE"""),41641.645833333336)</f>
        <v>41641.64583</v>
      </c>
      <c r="B745" s="1">
        <f>IFERROR(__xludf.DUMMYFUNCTION("""COMPUTED_VALUE"""),26960.0)</f>
        <v>26960</v>
      </c>
      <c r="C745" s="1">
        <f>IFERROR(__xludf.DUMMYFUNCTION("""COMPUTED_VALUE"""),27100.0)</f>
        <v>27100</v>
      </c>
      <c r="D745" s="1">
        <f>IFERROR(__xludf.DUMMYFUNCTION("""COMPUTED_VALUE"""),26040.0)</f>
        <v>26040</v>
      </c>
      <c r="E745" s="1">
        <f>IFERROR(__xludf.DUMMYFUNCTION("""COMPUTED_VALUE"""),26180.0)</f>
        <v>26180</v>
      </c>
      <c r="F745" s="1">
        <f>IFERROR(__xludf.DUMMYFUNCTION("""COMPUTED_VALUE"""),620500.0)</f>
        <v>620500</v>
      </c>
    </row>
    <row r="746">
      <c r="A746" s="2">
        <f>IFERROR(__xludf.DUMMYFUNCTION("""COMPUTED_VALUE"""),41642.645833333336)</f>
        <v>41642.64583</v>
      </c>
      <c r="B746" s="1">
        <f>IFERROR(__xludf.DUMMYFUNCTION("""COMPUTED_VALUE"""),26000.0)</f>
        <v>26000</v>
      </c>
      <c r="C746" s="1">
        <f>IFERROR(__xludf.DUMMYFUNCTION("""COMPUTED_VALUE"""),26220.0)</f>
        <v>26220</v>
      </c>
      <c r="D746" s="1">
        <f>IFERROR(__xludf.DUMMYFUNCTION("""COMPUTED_VALUE"""),25740.0)</f>
        <v>25740</v>
      </c>
      <c r="E746" s="1">
        <f>IFERROR(__xludf.DUMMYFUNCTION("""COMPUTED_VALUE"""),25920.0)</f>
        <v>25920</v>
      </c>
      <c r="F746" s="1">
        <f>IFERROR(__xludf.DUMMYFUNCTION("""COMPUTED_VALUE"""),529932.0)</f>
        <v>529932</v>
      </c>
    </row>
    <row r="747">
      <c r="A747" s="2">
        <f>IFERROR(__xludf.DUMMYFUNCTION("""COMPUTED_VALUE"""),41645.645833333336)</f>
        <v>41645.64583</v>
      </c>
      <c r="B747" s="1">
        <f>IFERROR(__xludf.DUMMYFUNCTION("""COMPUTED_VALUE"""),26060.0)</f>
        <v>26060</v>
      </c>
      <c r="C747" s="1">
        <f>IFERROR(__xludf.DUMMYFUNCTION("""COMPUTED_VALUE"""),26400.0)</f>
        <v>26400</v>
      </c>
      <c r="D747" s="1">
        <f>IFERROR(__xludf.DUMMYFUNCTION("""COMPUTED_VALUE"""),25920.0)</f>
        <v>25920</v>
      </c>
      <c r="E747" s="1">
        <f>IFERROR(__xludf.DUMMYFUNCTION("""COMPUTED_VALUE"""),26140.0)</f>
        <v>26140</v>
      </c>
      <c r="F747" s="1">
        <f>IFERROR(__xludf.DUMMYFUNCTION("""COMPUTED_VALUE"""),394716.0)</f>
        <v>394716</v>
      </c>
    </row>
    <row r="748">
      <c r="A748" s="2">
        <f>IFERROR(__xludf.DUMMYFUNCTION("""COMPUTED_VALUE"""),41646.645833333336)</f>
        <v>41646.64583</v>
      </c>
      <c r="B748" s="1">
        <f>IFERROR(__xludf.DUMMYFUNCTION("""COMPUTED_VALUE"""),26000.0)</f>
        <v>26000</v>
      </c>
      <c r="C748" s="1">
        <f>IFERROR(__xludf.DUMMYFUNCTION("""COMPUTED_VALUE"""),26360.0)</f>
        <v>26360</v>
      </c>
      <c r="D748" s="1">
        <f>IFERROR(__xludf.DUMMYFUNCTION("""COMPUTED_VALUE"""),25900.0)</f>
        <v>25900</v>
      </c>
      <c r="E748" s="1">
        <f>IFERROR(__xludf.DUMMYFUNCTION("""COMPUTED_VALUE"""),26080.0)</f>
        <v>26080</v>
      </c>
      <c r="F748" s="1">
        <f>IFERROR(__xludf.DUMMYFUNCTION("""COMPUTED_VALUE"""),395264.0)</f>
        <v>395264</v>
      </c>
    </row>
    <row r="749">
      <c r="A749" s="2">
        <f>IFERROR(__xludf.DUMMYFUNCTION("""COMPUTED_VALUE"""),41647.645833333336)</f>
        <v>41647.64583</v>
      </c>
      <c r="B749" s="1">
        <f>IFERROR(__xludf.DUMMYFUNCTION("""COMPUTED_VALUE"""),26000.0)</f>
        <v>26000</v>
      </c>
      <c r="C749" s="1">
        <f>IFERROR(__xludf.DUMMYFUNCTION("""COMPUTED_VALUE"""),26080.0)</f>
        <v>26080</v>
      </c>
      <c r="D749" s="1">
        <f>IFERROR(__xludf.DUMMYFUNCTION("""COMPUTED_VALUE"""),25740.0)</f>
        <v>25740</v>
      </c>
      <c r="E749" s="1">
        <f>IFERROR(__xludf.DUMMYFUNCTION("""COMPUTED_VALUE"""),25820.0)</f>
        <v>25820</v>
      </c>
      <c r="F749" s="1">
        <f>IFERROR(__xludf.DUMMYFUNCTION("""COMPUTED_VALUE"""),409493.0)</f>
        <v>409493</v>
      </c>
    </row>
    <row r="750">
      <c r="A750" s="2">
        <f>IFERROR(__xludf.DUMMYFUNCTION("""COMPUTED_VALUE"""),41648.645833333336)</f>
        <v>41648.64583</v>
      </c>
      <c r="B750" s="1">
        <f>IFERROR(__xludf.DUMMYFUNCTION("""COMPUTED_VALUE"""),26140.0)</f>
        <v>26140</v>
      </c>
      <c r="C750" s="1">
        <f>IFERROR(__xludf.DUMMYFUNCTION("""COMPUTED_VALUE"""),26140.0)</f>
        <v>26140</v>
      </c>
      <c r="D750" s="1">
        <f>IFERROR(__xludf.DUMMYFUNCTION("""COMPUTED_VALUE"""),25500.0)</f>
        <v>25500</v>
      </c>
      <c r="E750" s="1">
        <f>IFERROR(__xludf.DUMMYFUNCTION("""COMPUTED_VALUE"""),25500.0)</f>
        <v>25500</v>
      </c>
      <c r="F750" s="1">
        <f>IFERROR(__xludf.DUMMYFUNCTION("""COMPUTED_VALUE"""),425019.0)</f>
        <v>425019</v>
      </c>
    </row>
    <row r="751">
      <c r="A751" s="2">
        <f>IFERROR(__xludf.DUMMYFUNCTION("""COMPUTED_VALUE"""),41649.645833333336)</f>
        <v>41649.64583</v>
      </c>
      <c r="B751" s="1">
        <f>IFERROR(__xludf.DUMMYFUNCTION("""COMPUTED_VALUE"""),25500.0)</f>
        <v>25500</v>
      </c>
      <c r="C751" s="1">
        <f>IFERROR(__xludf.DUMMYFUNCTION("""COMPUTED_VALUE"""),25720.0)</f>
        <v>25720</v>
      </c>
      <c r="D751" s="1">
        <f>IFERROR(__xludf.DUMMYFUNCTION("""COMPUTED_VALUE"""),25440.0)</f>
        <v>25440</v>
      </c>
      <c r="E751" s="1">
        <f>IFERROR(__xludf.DUMMYFUNCTION("""COMPUTED_VALUE"""),25440.0)</f>
        <v>25440</v>
      </c>
      <c r="F751" s="1">
        <f>IFERROR(__xludf.DUMMYFUNCTION("""COMPUTED_VALUE"""),363783.0)</f>
        <v>363783</v>
      </c>
    </row>
    <row r="752">
      <c r="A752" s="2">
        <f>IFERROR(__xludf.DUMMYFUNCTION("""COMPUTED_VALUE"""),41652.645833333336)</f>
        <v>41652.64583</v>
      </c>
      <c r="B752" s="1">
        <f>IFERROR(__xludf.DUMMYFUNCTION("""COMPUTED_VALUE"""),25660.0)</f>
        <v>25660</v>
      </c>
      <c r="C752" s="1">
        <f>IFERROR(__xludf.DUMMYFUNCTION("""COMPUTED_VALUE"""),25940.0)</f>
        <v>25940</v>
      </c>
      <c r="D752" s="1">
        <f>IFERROR(__xludf.DUMMYFUNCTION("""COMPUTED_VALUE"""),25460.0)</f>
        <v>25460</v>
      </c>
      <c r="E752" s="1">
        <f>IFERROR(__xludf.DUMMYFUNCTION("""COMPUTED_VALUE"""),25900.0)</f>
        <v>25900</v>
      </c>
      <c r="F752" s="1">
        <f>IFERROR(__xludf.DUMMYFUNCTION("""COMPUTED_VALUE"""),328987.0)</f>
        <v>328987</v>
      </c>
    </row>
    <row r="753">
      <c r="A753" s="2">
        <f>IFERROR(__xludf.DUMMYFUNCTION("""COMPUTED_VALUE"""),41653.645833333336)</f>
        <v>41653.64583</v>
      </c>
      <c r="B753" s="1">
        <f>IFERROR(__xludf.DUMMYFUNCTION("""COMPUTED_VALUE"""),25940.0)</f>
        <v>25940</v>
      </c>
      <c r="C753" s="1">
        <f>IFERROR(__xludf.DUMMYFUNCTION("""COMPUTED_VALUE"""),26600.0)</f>
        <v>26600</v>
      </c>
      <c r="D753" s="1">
        <f>IFERROR(__xludf.DUMMYFUNCTION("""COMPUTED_VALUE"""),25800.0)</f>
        <v>25800</v>
      </c>
      <c r="E753" s="1">
        <f>IFERROR(__xludf.DUMMYFUNCTION("""COMPUTED_VALUE"""),26260.0)</f>
        <v>26260</v>
      </c>
      <c r="F753" s="1">
        <f>IFERROR(__xludf.DUMMYFUNCTION("""COMPUTED_VALUE"""),294333.0)</f>
        <v>294333</v>
      </c>
    </row>
    <row r="754">
      <c r="A754" s="2">
        <f>IFERROR(__xludf.DUMMYFUNCTION("""COMPUTED_VALUE"""),41654.645833333336)</f>
        <v>41654.64583</v>
      </c>
      <c r="B754" s="1">
        <f>IFERROR(__xludf.DUMMYFUNCTION("""COMPUTED_VALUE"""),26600.0)</f>
        <v>26600</v>
      </c>
      <c r="C754" s="1">
        <f>IFERROR(__xludf.DUMMYFUNCTION("""COMPUTED_VALUE"""),26620.0)</f>
        <v>26620</v>
      </c>
      <c r="D754" s="1">
        <f>IFERROR(__xludf.DUMMYFUNCTION("""COMPUTED_VALUE"""),25960.0)</f>
        <v>25960</v>
      </c>
      <c r="E754" s="1">
        <f>IFERROR(__xludf.DUMMYFUNCTION("""COMPUTED_VALUE"""),25980.0)</f>
        <v>25980</v>
      </c>
      <c r="F754" s="1">
        <f>IFERROR(__xludf.DUMMYFUNCTION("""COMPUTED_VALUE"""),234949.0)</f>
        <v>234949</v>
      </c>
    </row>
    <row r="755">
      <c r="A755" s="2">
        <f>IFERROR(__xludf.DUMMYFUNCTION("""COMPUTED_VALUE"""),41655.645833333336)</f>
        <v>41655.64583</v>
      </c>
      <c r="B755" s="1">
        <f>IFERROR(__xludf.DUMMYFUNCTION("""COMPUTED_VALUE"""),26000.0)</f>
        <v>26000</v>
      </c>
      <c r="C755" s="1">
        <f>IFERROR(__xludf.DUMMYFUNCTION("""COMPUTED_VALUE"""),26200.0)</f>
        <v>26200</v>
      </c>
      <c r="D755" s="1">
        <f>IFERROR(__xludf.DUMMYFUNCTION("""COMPUTED_VALUE"""),25860.0)</f>
        <v>25860</v>
      </c>
      <c r="E755" s="1">
        <f>IFERROR(__xludf.DUMMYFUNCTION("""COMPUTED_VALUE"""),26020.0)</f>
        <v>26020</v>
      </c>
      <c r="F755" s="1">
        <f>IFERROR(__xludf.DUMMYFUNCTION("""COMPUTED_VALUE"""),195049.0)</f>
        <v>195049</v>
      </c>
    </row>
    <row r="756">
      <c r="A756" s="2">
        <f>IFERROR(__xludf.DUMMYFUNCTION("""COMPUTED_VALUE"""),41656.645833333336)</f>
        <v>41656.64583</v>
      </c>
      <c r="B756" s="1">
        <f>IFERROR(__xludf.DUMMYFUNCTION("""COMPUTED_VALUE"""),26020.0)</f>
        <v>26020</v>
      </c>
      <c r="C756" s="1">
        <f>IFERROR(__xludf.DUMMYFUNCTION("""COMPUTED_VALUE"""),26300.0)</f>
        <v>26300</v>
      </c>
      <c r="D756" s="1">
        <f>IFERROR(__xludf.DUMMYFUNCTION("""COMPUTED_VALUE"""),25840.0)</f>
        <v>25840</v>
      </c>
      <c r="E756" s="1">
        <f>IFERROR(__xludf.DUMMYFUNCTION("""COMPUTED_VALUE"""),25840.0)</f>
        <v>25840</v>
      </c>
      <c r="F756" s="1">
        <f>IFERROR(__xludf.DUMMYFUNCTION("""COMPUTED_VALUE"""),255485.0)</f>
        <v>255485</v>
      </c>
    </row>
    <row r="757">
      <c r="A757" s="2">
        <f>IFERROR(__xludf.DUMMYFUNCTION("""COMPUTED_VALUE"""),41659.645833333336)</f>
        <v>41659.64583</v>
      </c>
      <c r="B757" s="1">
        <f>IFERROR(__xludf.DUMMYFUNCTION("""COMPUTED_VALUE"""),26100.0)</f>
        <v>26100</v>
      </c>
      <c r="C757" s="1">
        <f>IFERROR(__xludf.DUMMYFUNCTION("""COMPUTED_VALUE"""),26380.0)</f>
        <v>26380</v>
      </c>
      <c r="D757" s="1">
        <f>IFERROR(__xludf.DUMMYFUNCTION("""COMPUTED_VALUE"""),25920.0)</f>
        <v>25920</v>
      </c>
      <c r="E757" s="1">
        <f>IFERROR(__xludf.DUMMYFUNCTION("""COMPUTED_VALUE"""),26320.0)</f>
        <v>26320</v>
      </c>
      <c r="F757" s="1">
        <f>IFERROR(__xludf.DUMMYFUNCTION("""COMPUTED_VALUE"""),173656.0)</f>
        <v>173656</v>
      </c>
    </row>
    <row r="758">
      <c r="A758" s="2">
        <f>IFERROR(__xludf.DUMMYFUNCTION("""COMPUTED_VALUE"""),41660.645833333336)</f>
        <v>41660.64583</v>
      </c>
      <c r="B758" s="1">
        <f>IFERROR(__xludf.DUMMYFUNCTION("""COMPUTED_VALUE"""),26300.0)</f>
        <v>26300</v>
      </c>
      <c r="C758" s="1">
        <f>IFERROR(__xludf.DUMMYFUNCTION("""COMPUTED_VALUE"""),26540.0)</f>
        <v>26540</v>
      </c>
      <c r="D758" s="1">
        <f>IFERROR(__xludf.DUMMYFUNCTION("""COMPUTED_VALUE"""),26220.0)</f>
        <v>26220</v>
      </c>
      <c r="E758" s="1">
        <f>IFERROR(__xludf.DUMMYFUNCTION("""COMPUTED_VALUE"""),26480.0)</f>
        <v>26480</v>
      </c>
      <c r="F758" s="1">
        <f>IFERROR(__xludf.DUMMYFUNCTION("""COMPUTED_VALUE"""),151246.0)</f>
        <v>151246</v>
      </c>
    </row>
    <row r="759">
      <c r="A759" s="2">
        <f>IFERROR(__xludf.DUMMYFUNCTION("""COMPUTED_VALUE"""),41661.645833333336)</f>
        <v>41661.64583</v>
      </c>
      <c r="B759" s="1">
        <f>IFERROR(__xludf.DUMMYFUNCTION("""COMPUTED_VALUE"""),26280.0)</f>
        <v>26280</v>
      </c>
      <c r="C759" s="1">
        <f>IFERROR(__xludf.DUMMYFUNCTION("""COMPUTED_VALUE"""),26560.0)</f>
        <v>26560</v>
      </c>
      <c r="D759" s="1">
        <f>IFERROR(__xludf.DUMMYFUNCTION("""COMPUTED_VALUE"""),26240.0)</f>
        <v>26240</v>
      </c>
      <c r="E759" s="1">
        <f>IFERROR(__xludf.DUMMYFUNCTION("""COMPUTED_VALUE"""),26560.0)</f>
        <v>26560</v>
      </c>
      <c r="F759" s="1">
        <f>IFERROR(__xludf.DUMMYFUNCTION("""COMPUTED_VALUE"""),216530.0)</f>
        <v>216530</v>
      </c>
    </row>
    <row r="760">
      <c r="A760" s="2">
        <f>IFERROR(__xludf.DUMMYFUNCTION("""COMPUTED_VALUE"""),41662.645833333336)</f>
        <v>41662.64583</v>
      </c>
      <c r="B760" s="1">
        <f>IFERROR(__xludf.DUMMYFUNCTION("""COMPUTED_VALUE"""),26320.0)</f>
        <v>26320</v>
      </c>
      <c r="C760" s="1">
        <f>IFERROR(__xludf.DUMMYFUNCTION("""COMPUTED_VALUE"""),26440.0)</f>
        <v>26440</v>
      </c>
      <c r="D760" s="1">
        <f>IFERROR(__xludf.DUMMYFUNCTION("""COMPUTED_VALUE"""),25980.0)</f>
        <v>25980</v>
      </c>
      <c r="E760" s="1">
        <f>IFERROR(__xludf.DUMMYFUNCTION("""COMPUTED_VALUE"""),25980.0)</f>
        <v>25980</v>
      </c>
      <c r="F760" s="1">
        <f>IFERROR(__xludf.DUMMYFUNCTION("""COMPUTED_VALUE"""),206739.0)</f>
        <v>206739</v>
      </c>
    </row>
    <row r="761">
      <c r="A761" s="2">
        <f>IFERROR(__xludf.DUMMYFUNCTION("""COMPUTED_VALUE"""),41663.645833333336)</f>
        <v>41663.64583</v>
      </c>
      <c r="B761" s="1">
        <f>IFERROR(__xludf.DUMMYFUNCTION("""COMPUTED_VALUE"""),26000.0)</f>
        <v>26000</v>
      </c>
      <c r="C761" s="1">
        <f>IFERROR(__xludf.DUMMYFUNCTION("""COMPUTED_VALUE"""),26360.0)</f>
        <v>26360</v>
      </c>
      <c r="D761" s="1">
        <f>IFERROR(__xludf.DUMMYFUNCTION("""COMPUTED_VALUE"""),25820.0)</f>
        <v>25820</v>
      </c>
      <c r="E761" s="1">
        <f>IFERROR(__xludf.DUMMYFUNCTION("""COMPUTED_VALUE"""),26140.0)</f>
        <v>26140</v>
      </c>
      <c r="F761" s="1">
        <f>IFERROR(__xludf.DUMMYFUNCTION("""COMPUTED_VALUE"""),280035.0)</f>
        <v>280035</v>
      </c>
    </row>
    <row r="762">
      <c r="A762" s="2">
        <f>IFERROR(__xludf.DUMMYFUNCTION("""COMPUTED_VALUE"""),41666.645833333336)</f>
        <v>41666.64583</v>
      </c>
      <c r="B762" s="1">
        <f>IFERROR(__xludf.DUMMYFUNCTION("""COMPUTED_VALUE"""),25860.0)</f>
        <v>25860</v>
      </c>
      <c r="C762" s="1">
        <f>IFERROR(__xludf.DUMMYFUNCTION("""COMPUTED_VALUE"""),26080.0)</f>
        <v>26080</v>
      </c>
      <c r="D762" s="1">
        <f>IFERROR(__xludf.DUMMYFUNCTION("""COMPUTED_VALUE"""),25700.0)</f>
        <v>25700</v>
      </c>
      <c r="E762" s="1">
        <f>IFERROR(__xludf.DUMMYFUNCTION("""COMPUTED_VALUE"""),25840.0)</f>
        <v>25840</v>
      </c>
      <c r="F762" s="1">
        <f>IFERROR(__xludf.DUMMYFUNCTION("""COMPUTED_VALUE"""),266926.0)</f>
        <v>266926</v>
      </c>
    </row>
    <row r="763">
      <c r="A763" s="2">
        <f>IFERROR(__xludf.DUMMYFUNCTION("""COMPUTED_VALUE"""),41667.645833333336)</f>
        <v>41667.64583</v>
      </c>
      <c r="B763" s="1">
        <f>IFERROR(__xludf.DUMMYFUNCTION("""COMPUTED_VALUE"""),25460.0)</f>
        <v>25460</v>
      </c>
      <c r="C763" s="1">
        <f>IFERROR(__xludf.DUMMYFUNCTION("""COMPUTED_VALUE"""),25860.0)</f>
        <v>25860</v>
      </c>
      <c r="D763" s="1">
        <f>IFERROR(__xludf.DUMMYFUNCTION("""COMPUTED_VALUE"""),25460.0)</f>
        <v>25460</v>
      </c>
      <c r="E763" s="1">
        <f>IFERROR(__xludf.DUMMYFUNCTION("""COMPUTED_VALUE"""),25660.0)</f>
        <v>25660</v>
      </c>
      <c r="F763" s="1">
        <f>IFERROR(__xludf.DUMMYFUNCTION("""COMPUTED_VALUE"""),234027.0)</f>
        <v>234027</v>
      </c>
    </row>
    <row r="764">
      <c r="A764" s="2">
        <f>IFERROR(__xludf.DUMMYFUNCTION("""COMPUTED_VALUE"""),41668.645833333336)</f>
        <v>41668.64583</v>
      </c>
      <c r="B764" s="1">
        <f>IFERROR(__xludf.DUMMYFUNCTION("""COMPUTED_VALUE"""),25600.0)</f>
        <v>25600</v>
      </c>
      <c r="C764" s="1">
        <f>IFERROR(__xludf.DUMMYFUNCTION("""COMPUTED_VALUE"""),25760.0)</f>
        <v>25760</v>
      </c>
      <c r="D764" s="1">
        <f>IFERROR(__xludf.DUMMYFUNCTION("""COMPUTED_VALUE"""),25540.0)</f>
        <v>25540</v>
      </c>
      <c r="E764" s="1">
        <f>IFERROR(__xludf.DUMMYFUNCTION("""COMPUTED_VALUE"""),25600.0)</f>
        <v>25600</v>
      </c>
      <c r="F764" s="1">
        <f>IFERROR(__xludf.DUMMYFUNCTION("""COMPUTED_VALUE"""),383637.0)</f>
        <v>383637</v>
      </c>
    </row>
    <row r="765">
      <c r="A765" s="2">
        <f>IFERROR(__xludf.DUMMYFUNCTION("""COMPUTED_VALUE"""),41673.645833333336)</f>
        <v>41673.64583</v>
      </c>
      <c r="B765" s="1">
        <f>IFERROR(__xludf.DUMMYFUNCTION("""COMPUTED_VALUE"""),25720.0)</f>
        <v>25720</v>
      </c>
      <c r="C765" s="1">
        <f>IFERROR(__xludf.DUMMYFUNCTION("""COMPUTED_VALUE"""),25760.0)</f>
        <v>25760</v>
      </c>
      <c r="D765" s="1">
        <f>IFERROR(__xludf.DUMMYFUNCTION("""COMPUTED_VALUE"""),25420.0)</f>
        <v>25420</v>
      </c>
      <c r="E765" s="1">
        <f>IFERROR(__xludf.DUMMYFUNCTION("""COMPUTED_VALUE"""),25440.0)</f>
        <v>25440</v>
      </c>
      <c r="F765" s="1">
        <f>IFERROR(__xludf.DUMMYFUNCTION("""COMPUTED_VALUE"""),325184.0)</f>
        <v>325184</v>
      </c>
    </row>
    <row r="766">
      <c r="A766" s="2">
        <f>IFERROR(__xludf.DUMMYFUNCTION("""COMPUTED_VALUE"""),41674.645833333336)</f>
        <v>41674.64583</v>
      </c>
      <c r="B766" s="1">
        <f>IFERROR(__xludf.DUMMYFUNCTION("""COMPUTED_VALUE"""),25260.0)</f>
        <v>25260</v>
      </c>
      <c r="C766" s="1">
        <f>IFERROR(__xludf.DUMMYFUNCTION("""COMPUTED_VALUE"""),25260.0)</f>
        <v>25260</v>
      </c>
      <c r="D766" s="1">
        <f>IFERROR(__xludf.DUMMYFUNCTION("""COMPUTED_VALUE"""),24980.0)</f>
        <v>24980</v>
      </c>
      <c r="E766" s="1">
        <f>IFERROR(__xludf.DUMMYFUNCTION("""COMPUTED_VALUE"""),24980.0)</f>
        <v>24980</v>
      </c>
      <c r="F766" s="1">
        <f>IFERROR(__xludf.DUMMYFUNCTION("""COMPUTED_VALUE"""),320660.0)</f>
        <v>320660</v>
      </c>
    </row>
    <row r="767">
      <c r="A767" s="2">
        <f>IFERROR(__xludf.DUMMYFUNCTION("""COMPUTED_VALUE"""),41675.645833333336)</f>
        <v>41675.64583</v>
      </c>
      <c r="B767" s="1">
        <f>IFERROR(__xludf.DUMMYFUNCTION("""COMPUTED_VALUE"""),24900.0)</f>
        <v>24900</v>
      </c>
      <c r="C767" s="1">
        <f>IFERROR(__xludf.DUMMYFUNCTION("""COMPUTED_VALUE"""),25100.0)</f>
        <v>25100</v>
      </c>
      <c r="D767" s="1">
        <f>IFERROR(__xludf.DUMMYFUNCTION("""COMPUTED_VALUE"""),24680.0)</f>
        <v>24680</v>
      </c>
      <c r="E767" s="1">
        <f>IFERROR(__xludf.DUMMYFUNCTION("""COMPUTED_VALUE"""),24740.0)</f>
        <v>24740</v>
      </c>
      <c r="F767" s="1">
        <f>IFERROR(__xludf.DUMMYFUNCTION("""COMPUTED_VALUE"""),298533.0)</f>
        <v>298533</v>
      </c>
    </row>
    <row r="768">
      <c r="A768" s="2">
        <f>IFERROR(__xludf.DUMMYFUNCTION("""COMPUTED_VALUE"""),41676.645833333336)</f>
        <v>41676.64583</v>
      </c>
      <c r="B768" s="1">
        <f>IFERROR(__xludf.DUMMYFUNCTION("""COMPUTED_VALUE"""),24900.0)</f>
        <v>24900</v>
      </c>
      <c r="C768" s="1">
        <f>IFERROR(__xludf.DUMMYFUNCTION("""COMPUTED_VALUE"""),25340.0)</f>
        <v>25340</v>
      </c>
      <c r="D768" s="1">
        <f>IFERROR(__xludf.DUMMYFUNCTION("""COMPUTED_VALUE"""),24800.0)</f>
        <v>24800</v>
      </c>
      <c r="E768" s="1">
        <f>IFERROR(__xludf.DUMMYFUNCTION("""COMPUTED_VALUE"""),25180.0)</f>
        <v>25180</v>
      </c>
      <c r="F768" s="1">
        <f>IFERROR(__xludf.DUMMYFUNCTION("""COMPUTED_VALUE"""),303949.0)</f>
        <v>303949</v>
      </c>
    </row>
    <row r="769">
      <c r="A769" s="2">
        <f>IFERROR(__xludf.DUMMYFUNCTION("""COMPUTED_VALUE"""),41677.645833333336)</f>
        <v>41677.64583</v>
      </c>
      <c r="B769" s="1">
        <f>IFERROR(__xludf.DUMMYFUNCTION("""COMPUTED_VALUE"""),25500.0)</f>
        <v>25500</v>
      </c>
      <c r="C769" s="1">
        <f>IFERROR(__xludf.DUMMYFUNCTION("""COMPUTED_VALUE"""),25580.0)</f>
        <v>25580</v>
      </c>
      <c r="D769" s="1">
        <f>IFERROR(__xludf.DUMMYFUNCTION("""COMPUTED_VALUE"""),25260.0)</f>
        <v>25260</v>
      </c>
      <c r="E769" s="1">
        <f>IFERROR(__xludf.DUMMYFUNCTION("""COMPUTED_VALUE"""),25500.0)</f>
        <v>25500</v>
      </c>
      <c r="F769" s="1">
        <f>IFERROR(__xludf.DUMMYFUNCTION("""COMPUTED_VALUE"""),198872.0)</f>
        <v>198872</v>
      </c>
    </row>
    <row r="770">
      <c r="A770" s="2">
        <f>IFERROR(__xludf.DUMMYFUNCTION("""COMPUTED_VALUE"""),41680.645833333336)</f>
        <v>41680.64583</v>
      </c>
      <c r="B770" s="1">
        <f>IFERROR(__xludf.DUMMYFUNCTION("""COMPUTED_VALUE"""),25420.0)</f>
        <v>25420</v>
      </c>
      <c r="C770" s="1">
        <f>IFERROR(__xludf.DUMMYFUNCTION("""COMPUTED_VALUE"""),25620.0)</f>
        <v>25620</v>
      </c>
      <c r="D770" s="1">
        <f>IFERROR(__xludf.DUMMYFUNCTION("""COMPUTED_VALUE"""),25240.0)</f>
        <v>25240</v>
      </c>
      <c r="E770" s="1">
        <f>IFERROR(__xludf.DUMMYFUNCTION("""COMPUTED_VALUE"""),25540.0)</f>
        <v>25540</v>
      </c>
      <c r="F770" s="1">
        <f>IFERROR(__xludf.DUMMYFUNCTION("""COMPUTED_VALUE"""),155993.0)</f>
        <v>155993</v>
      </c>
    </row>
    <row r="771">
      <c r="A771" s="2">
        <f>IFERROR(__xludf.DUMMYFUNCTION("""COMPUTED_VALUE"""),41681.645833333336)</f>
        <v>41681.64583</v>
      </c>
      <c r="B771" s="1">
        <f>IFERROR(__xludf.DUMMYFUNCTION("""COMPUTED_VALUE"""),25620.0)</f>
        <v>25620</v>
      </c>
      <c r="C771" s="1">
        <f>IFERROR(__xludf.DUMMYFUNCTION("""COMPUTED_VALUE"""),26300.0)</f>
        <v>26300</v>
      </c>
      <c r="D771" s="1">
        <f>IFERROR(__xludf.DUMMYFUNCTION("""COMPUTED_VALUE"""),25440.0)</f>
        <v>25440</v>
      </c>
      <c r="E771" s="1">
        <f>IFERROR(__xludf.DUMMYFUNCTION("""COMPUTED_VALUE"""),26220.0)</f>
        <v>26220</v>
      </c>
      <c r="F771" s="1">
        <f>IFERROR(__xludf.DUMMYFUNCTION("""COMPUTED_VALUE"""),253680.0)</f>
        <v>253680</v>
      </c>
    </row>
    <row r="772">
      <c r="A772" s="2">
        <f>IFERROR(__xludf.DUMMYFUNCTION("""COMPUTED_VALUE"""),41682.645833333336)</f>
        <v>41682.64583</v>
      </c>
      <c r="B772" s="1">
        <f>IFERROR(__xludf.DUMMYFUNCTION("""COMPUTED_VALUE"""),26620.0)</f>
        <v>26620</v>
      </c>
      <c r="C772" s="1">
        <f>IFERROR(__xludf.DUMMYFUNCTION("""COMPUTED_VALUE"""),26620.0)</f>
        <v>26620</v>
      </c>
      <c r="D772" s="1">
        <f>IFERROR(__xludf.DUMMYFUNCTION("""COMPUTED_VALUE"""),26100.0)</f>
        <v>26100</v>
      </c>
      <c r="E772" s="1">
        <f>IFERROR(__xludf.DUMMYFUNCTION("""COMPUTED_VALUE"""),26140.0)</f>
        <v>26140</v>
      </c>
      <c r="F772" s="1">
        <f>IFERROR(__xludf.DUMMYFUNCTION("""COMPUTED_VALUE"""),200548.0)</f>
        <v>200548</v>
      </c>
    </row>
    <row r="773">
      <c r="A773" s="2">
        <f>IFERROR(__xludf.DUMMYFUNCTION("""COMPUTED_VALUE"""),41683.645833333336)</f>
        <v>41683.64583</v>
      </c>
      <c r="B773" s="1">
        <f>IFERROR(__xludf.DUMMYFUNCTION("""COMPUTED_VALUE"""),26000.0)</f>
        <v>26000</v>
      </c>
      <c r="C773" s="1">
        <f>IFERROR(__xludf.DUMMYFUNCTION("""COMPUTED_VALUE"""),26400.0)</f>
        <v>26400</v>
      </c>
      <c r="D773" s="1">
        <f>IFERROR(__xludf.DUMMYFUNCTION("""COMPUTED_VALUE"""),25800.0)</f>
        <v>25800</v>
      </c>
      <c r="E773" s="1">
        <f>IFERROR(__xludf.DUMMYFUNCTION("""COMPUTED_VALUE"""),25960.0)</f>
        <v>25960</v>
      </c>
      <c r="F773" s="1">
        <f>IFERROR(__xludf.DUMMYFUNCTION("""COMPUTED_VALUE"""),116769.0)</f>
        <v>116769</v>
      </c>
    </row>
    <row r="774">
      <c r="A774" s="2">
        <f>IFERROR(__xludf.DUMMYFUNCTION("""COMPUTED_VALUE"""),41684.645833333336)</f>
        <v>41684.64583</v>
      </c>
      <c r="B774" s="1">
        <f>IFERROR(__xludf.DUMMYFUNCTION("""COMPUTED_VALUE"""),25920.0)</f>
        <v>25920</v>
      </c>
      <c r="C774" s="1">
        <f>IFERROR(__xludf.DUMMYFUNCTION("""COMPUTED_VALUE"""),26160.0)</f>
        <v>26160</v>
      </c>
      <c r="D774" s="1">
        <f>IFERROR(__xludf.DUMMYFUNCTION("""COMPUTED_VALUE"""),25840.0)</f>
        <v>25840</v>
      </c>
      <c r="E774" s="1">
        <f>IFERROR(__xludf.DUMMYFUNCTION("""COMPUTED_VALUE"""),26020.0)</f>
        <v>26020</v>
      </c>
      <c r="F774" s="1">
        <f>IFERROR(__xludf.DUMMYFUNCTION("""COMPUTED_VALUE"""),124415.0)</f>
        <v>124415</v>
      </c>
    </row>
    <row r="775">
      <c r="A775" s="2">
        <f>IFERROR(__xludf.DUMMYFUNCTION("""COMPUTED_VALUE"""),41687.645833333336)</f>
        <v>41687.64583</v>
      </c>
      <c r="B775" s="1">
        <f>IFERROR(__xludf.DUMMYFUNCTION("""COMPUTED_VALUE"""),25840.0)</f>
        <v>25840</v>
      </c>
      <c r="C775" s="1">
        <f>IFERROR(__xludf.DUMMYFUNCTION("""COMPUTED_VALUE"""),26120.0)</f>
        <v>26120</v>
      </c>
      <c r="D775" s="1">
        <f>IFERROR(__xludf.DUMMYFUNCTION("""COMPUTED_VALUE"""),25600.0)</f>
        <v>25600</v>
      </c>
      <c r="E775" s="1">
        <f>IFERROR(__xludf.DUMMYFUNCTION("""COMPUTED_VALUE"""),25700.0)</f>
        <v>25700</v>
      </c>
      <c r="F775" s="1">
        <f>IFERROR(__xludf.DUMMYFUNCTION("""COMPUTED_VALUE"""),187733.0)</f>
        <v>187733</v>
      </c>
    </row>
    <row r="776">
      <c r="A776" s="2">
        <f>IFERROR(__xludf.DUMMYFUNCTION("""COMPUTED_VALUE"""),41688.645833333336)</f>
        <v>41688.64583</v>
      </c>
      <c r="B776" s="1">
        <f>IFERROR(__xludf.DUMMYFUNCTION("""COMPUTED_VALUE"""),25700.0)</f>
        <v>25700</v>
      </c>
      <c r="C776" s="1">
        <f>IFERROR(__xludf.DUMMYFUNCTION("""COMPUTED_VALUE"""),25980.0)</f>
        <v>25980</v>
      </c>
      <c r="D776" s="1">
        <f>IFERROR(__xludf.DUMMYFUNCTION("""COMPUTED_VALUE"""),25640.0)</f>
        <v>25640</v>
      </c>
      <c r="E776" s="1">
        <f>IFERROR(__xludf.DUMMYFUNCTION("""COMPUTED_VALUE"""),25900.0)</f>
        <v>25900</v>
      </c>
      <c r="F776" s="1">
        <f>IFERROR(__xludf.DUMMYFUNCTION("""COMPUTED_VALUE"""),118213.0)</f>
        <v>118213</v>
      </c>
    </row>
    <row r="777">
      <c r="A777" s="2">
        <f>IFERROR(__xludf.DUMMYFUNCTION("""COMPUTED_VALUE"""),41690.645833333336)</f>
        <v>41690.64583</v>
      </c>
      <c r="B777" s="1">
        <f>IFERROR(__xludf.DUMMYFUNCTION("""COMPUTED_VALUE"""),25800.0)</f>
        <v>25800</v>
      </c>
      <c r="C777" s="1">
        <f>IFERROR(__xludf.DUMMYFUNCTION("""COMPUTED_VALUE"""),25920.0)</f>
        <v>25920</v>
      </c>
      <c r="D777" s="1">
        <f>IFERROR(__xludf.DUMMYFUNCTION("""COMPUTED_VALUE"""),25620.0)</f>
        <v>25620</v>
      </c>
      <c r="E777" s="1">
        <f>IFERROR(__xludf.DUMMYFUNCTION("""COMPUTED_VALUE"""),25720.0)</f>
        <v>25720</v>
      </c>
      <c r="F777" s="1">
        <f>IFERROR(__xludf.DUMMYFUNCTION("""COMPUTED_VALUE"""),190866.0)</f>
        <v>190866</v>
      </c>
    </row>
    <row r="778">
      <c r="A778" s="2">
        <f>IFERROR(__xludf.DUMMYFUNCTION("""COMPUTED_VALUE"""),41691.645833333336)</f>
        <v>41691.64583</v>
      </c>
      <c r="B778" s="1">
        <f>IFERROR(__xludf.DUMMYFUNCTION("""COMPUTED_VALUE"""),26660.0)</f>
        <v>26660</v>
      </c>
      <c r="C778" s="1">
        <f>IFERROR(__xludf.DUMMYFUNCTION("""COMPUTED_VALUE"""),26660.0)</f>
        <v>26660</v>
      </c>
      <c r="D778" s="1">
        <f>IFERROR(__xludf.DUMMYFUNCTION("""COMPUTED_VALUE"""),26000.0)</f>
        <v>26000</v>
      </c>
      <c r="E778" s="1">
        <f>IFERROR(__xludf.DUMMYFUNCTION("""COMPUTED_VALUE"""),26600.0)</f>
        <v>26600</v>
      </c>
      <c r="F778" s="1">
        <f>IFERROR(__xludf.DUMMYFUNCTION("""COMPUTED_VALUE"""),286924.0)</f>
        <v>286924</v>
      </c>
    </row>
    <row r="779">
      <c r="A779" s="2">
        <f>IFERROR(__xludf.DUMMYFUNCTION("""COMPUTED_VALUE"""),41694.645833333336)</f>
        <v>41694.64583</v>
      </c>
      <c r="B779" s="1">
        <f>IFERROR(__xludf.DUMMYFUNCTION("""COMPUTED_VALUE"""),26680.0)</f>
        <v>26680</v>
      </c>
      <c r="C779" s="1">
        <f>IFERROR(__xludf.DUMMYFUNCTION("""COMPUTED_VALUE"""),26900.0)</f>
        <v>26900</v>
      </c>
      <c r="D779" s="1">
        <f>IFERROR(__xludf.DUMMYFUNCTION("""COMPUTED_VALUE"""),26420.0)</f>
        <v>26420</v>
      </c>
      <c r="E779" s="1">
        <f>IFERROR(__xludf.DUMMYFUNCTION("""COMPUTED_VALUE"""),26560.0)</f>
        <v>26560</v>
      </c>
      <c r="F779" s="1">
        <f>IFERROR(__xludf.DUMMYFUNCTION("""COMPUTED_VALUE"""),148501.0)</f>
        <v>148501</v>
      </c>
    </row>
    <row r="780">
      <c r="A780" s="2">
        <f>IFERROR(__xludf.DUMMYFUNCTION("""COMPUTED_VALUE"""),41695.645833333336)</f>
        <v>41695.64583</v>
      </c>
      <c r="B780" s="1">
        <f>IFERROR(__xludf.DUMMYFUNCTION("""COMPUTED_VALUE"""),26640.0)</f>
        <v>26640</v>
      </c>
      <c r="C780" s="1">
        <f>IFERROR(__xludf.DUMMYFUNCTION("""COMPUTED_VALUE"""),26800.0)</f>
        <v>26800</v>
      </c>
      <c r="D780" s="1">
        <f>IFERROR(__xludf.DUMMYFUNCTION("""COMPUTED_VALUE"""),26520.0)</f>
        <v>26520</v>
      </c>
      <c r="E780" s="1">
        <f>IFERROR(__xludf.DUMMYFUNCTION("""COMPUTED_VALUE"""),26680.0)</f>
        <v>26680</v>
      </c>
      <c r="F780" s="1">
        <f>IFERROR(__xludf.DUMMYFUNCTION("""COMPUTED_VALUE"""),175706.0)</f>
        <v>175706</v>
      </c>
    </row>
    <row r="781">
      <c r="A781" s="2">
        <f>IFERROR(__xludf.DUMMYFUNCTION("""COMPUTED_VALUE"""),41696.645833333336)</f>
        <v>41696.64583</v>
      </c>
      <c r="B781" s="1">
        <f>IFERROR(__xludf.DUMMYFUNCTION("""COMPUTED_VALUE"""),26740.0)</f>
        <v>26740</v>
      </c>
      <c r="C781" s="1">
        <f>IFERROR(__xludf.DUMMYFUNCTION("""COMPUTED_VALUE"""),26860.0)</f>
        <v>26860</v>
      </c>
      <c r="D781" s="1">
        <f>IFERROR(__xludf.DUMMYFUNCTION("""COMPUTED_VALUE"""),26500.0)</f>
        <v>26500</v>
      </c>
      <c r="E781" s="1">
        <f>IFERROR(__xludf.DUMMYFUNCTION("""COMPUTED_VALUE"""),26840.0)</f>
        <v>26840</v>
      </c>
      <c r="F781" s="1">
        <f>IFERROR(__xludf.DUMMYFUNCTION("""COMPUTED_VALUE"""),258361.0)</f>
        <v>258361</v>
      </c>
    </row>
    <row r="782">
      <c r="A782" s="2">
        <f>IFERROR(__xludf.DUMMYFUNCTION("""COMPUTED_VALUE"""),41697.645833333336)</f>
        <v>41697.64583</v>
      </c>
      <c r="B782" s="1">
        <f>IFERROR(__xludf.DUMMYFUNCTION("""COMPUTED_VALUE"""),26700.0)</f>
        <v>26700</v>
      </c>
      <c r="C782" s="1">
        <f>IFERROR(__xludf.DUMMYFUNCTION("""COMPUTED_VALUE"""),26840.0)</f>
        <v>26840</v>
      </c>
      <c r="D782" s="1">
        <f>IFERROR(__xludf.DUMMYFUNCTION("""COMPUTED_VALUE"""),26600.0)</f>
        <v>26600</v>
      </c>
      <c r="E782" s="1">
        <f>IFERROR(__xludf.DUMMYFUNCTION("""COMPUTED_VALUE"""),26820.0)</f>
        <v>26820</v>
      </c>
      <c r="F782" s="1">
        <f>IFERROR(__xludf.DUMMYFUNCTION("""COMPUTED_VALUE"""),157827.0)</f>
        <v>157827</v>
      </c>
    </row>
    <row r="783">
      <c r="A783" s="2">
        <f>IFERROR(__xludf.DUMMYFUNCTION("""COMPUTED_VALUE"""),41698.645833333336)</f>
        <v>41698.64583</v>
      </c>
      <c r="B783" s="1">
        <f>IFERROR(__xludf.DUMMYFUNCTION("""COMPUTED_VALUE"""),26740.0)</f>
        <v>26740</v>
      </c>
      <c r="C783" s="1">
        <f>IFERROR(__xludf.DUMMYFUNCTION("""COMPUTED_VALUE"""),26980.0)</f>
        <v>26980</v>
      </c>
      <c r="D783" s="1">
        <f>IFERROR(__xludf.DUMMYFUNCTION("""COMPUTED_VALUE"""),26640.0)</f>
        <v>26640</v>
      </c>
      <c r="E783" s="1">
        <f>IFERROR(__xludf.DUMMYFUNCTION("""COMPUTED_VALUE"""),26980.0)</f>
        <v>26980</v>
      </c>
      <c r="F783" s="1">
        <f>IFERROR(__xludf.DUMMYFUNCTION("""COMPUTED_VALUE"""),284647.0)</f>
        <v>284647</v>
      </c>
    </row>
    <row r="784">
      <c r="A784" s="2">
        <f>IFERROR(__xludf.DUMMYFUNCTION("""COMPUTED_VALUE"""),41701.645833333336)</f>
        <v>41701.64583</v>
      </c>
      <c r="B784" s="1">
        <f>IFERROR(__xludf.DUMMYFUNCTION("""COMPUTED_VALUE"""),26720.0)</f>
        <v>26720</v>
      </c>
      <c r="C784" s="1">
        <f>IFERROR(__xludf.DUMMYFUNCTION("""COMPUTED_VALUE"""),26800.0)</f>
        <v>26800</v>
      </c>
      <c r="D784" s="1">
        <f>IFERROR(__xludf.DUMMYFUNCTION("""COMPUTED_VALUE"""),26420.0)</f>
        <v>26420</v>
      </c>
      <c r="E784" s="1">
        <f>IFERROR(__xludf.DUMMYFUNCTION("""COMPUTED_VALUE"""),26500.0)</f>
        <v>26500</v>
      </c>
      <c r="F784" s="1">
        <f>IFERROR(__xludf.DUMMYFUNCTION("""COMPUTED_VALUE"""),242083.0)</f>
        <v>242083</v>
      </c>
    </row>
    <row r="785">
      <c r="A785" s="2">
        <f>IFERROR(__xludf.DUMMYFUNCTION("""COMPUTED_VALUE"""),41702.645833333336)</f>
        <v>41702.64583</v>
      </c>
      <c r="B785" s="1">
        <f>IFERROR(__xludf.DUMMYFUNCTION("""COMPUTED_VALUE"""),26400.0)</f>
        <v>26400</v>
      </c>
      <c r="C785" s="1">
        <f>IFERROR(__xludf.DUMMYFUNCTION("""COMPUTED_VALUE"""),26580.0)</f>
        <v>26580</v>
      </c>
      <c r="D785" s="1">
        <f>IFERROR(__xludf.DUMMYFUNCTION("""COMPUTED_VALUE"""),26300.0)</f>
        <v>26300</v>
      </c>
      <c r="E785" s="1">
        <f>IFERROR(__xludf.DUMMYFUNCTION("""COMPUTED_VALUE"""),26300.0)</f>
        <v>26300</v>
      </c>
      <c r="F785" s="1">
        <f>IFERROR(__xludf.DUMMYFUNCTION("""COMPUTED_VALUE"""),158003.0)</f>
        <v>158003</v>
      </c>
    </row>
    <row r="786">
      <c r="A786" s="2">
        <f>IFERROR(__xludf.DUMMYFUNCTION("""COMPUTED_VALUE"""),41703.645833333336)</f>
        <v>41703.64583</v>
      </c>
      <c r="B786" s="1">
        <f>IFERROR(__xludf.DUMMYFUNCTION("""COMPUTED_VALUE"""),26700.0)</f>
        <v>26700</v>
      </c>
      <c r="C786" s="1">
        <f>IFERROR(__xludf.DUMMYFUNCTION("""COMPUTED_VALUE"""),26820.0)</f>
        <v>26820</v>
      </c>
      <c r="D786" s="1">
        <f>IFERROR(__xludf.DUMMYFUNCTION("""COMPUTED_VALUE"""),26600.0)</f>
        <v>26600</v>
      </c>
      <c r="E786" s="1">
        <f>IFERROR(__xludf.DUMMYFUNCTION("""COMPUTED_VALUE"""),26600.0)</f>
        <v>26600</v>
      </c>
      <c r="F786" s="1">
        <f>IFERROR(__xludf.DUMMYFUNCTION("""COMPUTED_VALUE"""),149830.0)</f>
        <v>149830</v>
      </c>
    </row>
    <row r="787">
      <c r="A787" s="2">
        <f>IFERROR(__xludf.DUMMYFUNCTION("""COMPUTED_VALUE"""),41704.645833333336)</f>
        <v>41704.64583</v>
      </c>
      <c r="B787" s="1">
        <f>IFERROR(__xludf.DUMMYFUNCTION("""COMPUTED_VALUE"""),26580.0)</f>
        <v>26580</v>
      </c>
      <c r="C787" s="1">
        <f>IFERROR(__xludf.DUMMYFUNCTION("""COMPUTED_VALUE"""),26580.0)</f>
        <v>26580</v>
      </c>
      <c r="D787" s="1">
        <f>IFERROR(__xludf.DUMMYFUNCTION("""COMPUTED_VALUE"""),26200.0)</f>
        <v>26200</v>
      </c>
      <c r="E787" s="1">
        <f>IFERROR(__xludf.DUMMYFUNCTION("""COMPUTED_VALUE"""),26520.0)</f>
        <v>26520</v>
      </c>
      <c r="F787" s="1">
        <f>IFERROR(__xludf.DUMMYFUNCTION("""COMPUTED_VALUE"""),172335.0)</f>
        <v>172335</v>
      </c>
    </row>
    <row r="788">
      <c r="A788" s="2">
        <f>IFERROR(__xludf.DUMMYFUNCTION("""COMPUTED_VALUE"""),41705.645833333336)</f>
        <v>41705.64583</v>
      </c>
      <c r="B788" s="1">
        <f>IFERROR(__xludf.DUMMYFUNCTION("""COMPUTED_VALUE"""),26780.0)</f>
        <v>26780</v>
      </c>
      <c r="C788" s="1">
        <f>IFERROR(__xludf.DUMMYFUNCTION("""COMPUTED_VALUE"""),26780.0)</f>
        <v>26780</v>
      </c>
      <c r="D788" s="1">
        <f>IFERROR(__xludf.DUMMYFUNCTION("""COMPUTED_VALUE"""),26580.0)</f>
        <v>26580</v>
      </c>
      <c r="E788" s="1">
        <f>IFERROR(__xludf.DUMMYFUNCTION("""COMPUTED_VALUE"""),26780.0)</f>
        <v>26780</v>
      </c>
      <c r="F788" s="1">
        <f>IFERROR(__xludf.DUMMYFUNCTION("""COMPUTED_VALUE"""),150973.0)</f>
        <v>150973</v>
      </c>
    </row>
    <row r="789">
      <c r="A789" s="2">
        <f>IFERROR(__xludf.DUMMYFUNCTION("""COMPUTED_VALUE"""),41708.645833333336)</f>
        <v>41708.64583</v>
      </c>
      <c r="B789" s="1">
        <f>IFERROR(__xludf.DUMMYFUNCTION("""COMPUTED_VALUE"""),26400.0)</f>
        <v>26400</v>
      </c>
      <c r="C789" s="1">
        <f>IFERROR(__xludf.DUMMYFUNCTION("""COMPUTED_VALUE"""),26600.0)</f>
        <v>26600</v>
      </c>
      <c r="D789" s="1">
        <f>IFERROR(__xludf.DUMMYFUNCTION("""COMPUTED_VALUE"""),26340.0)</f>
        <v>26340</v>
      </c>
      <c r="E789" s="1">
        <f>IFERROR(__xludf.DUMMYFUNCTION("""COMPUTED_VALUE"""),26400.0)</f>
        <v>26400</v>
      </c>
      <c r="F789" s="1">
        <f>IFERROR(__xludf.DUMMYFUNCTION("""COMPUTED_VALUE"""),173152.0)</f>
        <v>173152</v>
      </c>
    </row>
    <row r="790">
      <c r="A790" s="2">
        <f>IFERROR(__xludf.DUMMYFUNCTION("""COMPUTED_VALUE"""),41709.645833333336)</f>
        <v>41709.64583</v>
      </c>
      <c r="B790" s="1">
        <f>IFERROR(__xludf.DUMMYFUNCTION("""COMPUTED_VALUE"""),26400.0)</f>
        <v>26400</v>
      </c>
      <c r="C790" s="1">
        <f>IFERROR(__xludf.DUMMYFUNCTION("""COMPUTED_VALUE"""),26540.0)</f>
        <v>26540</v>
      </c>
      <c r="D790" s="1">
        <f>IFERROR(__xludf.DUMMYFUNCTION("""COMPUTED_VALUE"""),26180.0)</f>
        <v>26180</v>
      </c>
      <c r="E790" s="1">
        <f>IFERROR(__xludf.DUMMYFUNCTION("""COMPUTED_VALUE"""),26440.0)</f>
        <v>26440</v>
      </c>
      <c r="F790" s="1">
        <f>IFERROR(__xludf.DUMMYFUNCTION("""COMPUTED_VALUE"""),181596.0)</f>
        <v>181596</v>
      </c>
    </row>
    <row r="791">
      <c r="A791" s="2">
        <f>IFERROR(__xludf.DUMMYFUNCTION("""COMPUTED_VALUE"""),41710.645833333336)</f>
        <v>41710.64583</v>
      </c>
      <c r="B791" s="1">
        <f>IFERROR(__xludf.DUMMYFUNCTION("""COMPUTED_VALUE"""),26400.0)</f>
        <v>26400</v>
      </c>
      <c r="C791" s="1">
        <f>IFERROR(__xludf.DUMMYFUNCTION("""COMPUTED_VALUE"""),26400.0)</f>
        <v>26400</v>
      </c>
      <c r="D791" s="1">
        <f>IFERROR(__xludf.DUMMYFUNCTION("""COMPUTED_VALUE"""),25860.0)</f>
        <v>25860</v>
      </c>
      <c r="E791" s="1">
        <f>IFERROR(__xludf.DUMMYFUNCTION("""COMPUTED_VALUE"""),25880.0)</f>
        <v>25880</v>
      </c>
      <c r="F791" s="1">
        <f>IFERROR(__xludf.DUMMYFUNCTION("""COMPUTED_VALUE"""),251585.0)</f>
        <v>251585</v>
      </c>
    </row>
    <row r="792">
      <c r="A792" s="2">
        <f>IFERROR(__xludf.DUMMYFUNCTION("""COMPUTED_VALUE"""),41711.645833333336)</f>
        <v>41711.64583</v>
      </c>
      <c r="B792" s="1">
        <f>IFERROR(__xludf.DUMMYFUNCTION("""COMPUTED_VALUE"""),25880.0)</f>
        <v>25880</v>
      </c>
      <c r="C792" s="1">
        <f>IFERROR(__xludf.DUMMYFUNCTION("""COMPUTED_VALUE"""),26260.0)</f>
        <v>26260</v>
      </c>
      <c r="D792" s="1">
        <f>IFERROR(__xludf.DUMMYFUNCTION("""COMPUTED_VALUE"""),25800.0)</f>
        <v>25800</v>
      </c>
      <c r="E792" s="1">
        <f>IFERROR(__xludf.DUMMYFUNCTION("""COMPUTED_VALUE"""),25800.0)</f>
        <v>25800</v>
      </c>
      <c r="F792" s="1">
        <f>IFERROR(__xludf.DUMMYFUNCTION("""COMPUTED_VALUE"""),235004.0)</f>
        <v>235004</v>
      </c>
    </row>
    <row r="793">
      <c r="A793" s="2">
        <f>IFERROR(__xludf.DUMMYFUNCTION("""COMPUTED_VALUE"""),41712.645833333336)</f>
        <v>41712.64583</v>
      </c>
      <c r="B793" s="1">
        <f>IFERROR(__xludf.DUMMYFUNCTION("""COMPUTED_VALUE"""),25400.0)</f>
        <v>25400</v>
      </c>
      <c r="C793" s="1">
        <f>IFERROR(__xludf.DUMMYFUNCTION("""COMPUTED_VALUE"""),25700.0)</f>
        <v>25700</v>
      </c>
      <c r="D793" s="1">
        <f>IFERROR(__xludf.DUMMYFUNCTION("""COMPUTED_VALUE"""),25400.0)</f>
        <v>25400</v>
      </c>
      <c r="E793" s="1">
        <f>IFERROR(__xludf.DUMMYFUNCTION("""COMPUTED_VALUE"""),25500.0)</f>
        <v>25500</v>
      </c>
      <c r="F793" s="1">
        <f>IFERROR(__xludf.DUMMYFUNCTION("""COMPUTED_VALUE"""),216736.0)</f>
        <v>216736</v>
      </c>
    </row>
    <row r="794">
      <c r="A794" s="2">
        <f>IFERROR(__xludf.DUMMYFUNCTION("""COMPUTED_VALUE"""),41715.645833333336)</f>
        <v>41715.64583</v>
      </c>
      <c r="B794" s="1">
        <f>IFERROR(__xludf.DUMMYFUNCTION("""COMPUTED_VALUE"""),25500.0)</f>
        <v>25500</v>
      </c>
      <c r="C794" s="1">
        <f>IFERROR(__xludf.DUMMYFUNCTION("""COMPUTED_VALUE"""),25520.0)</f>
        <v>25520</v>
      </c>
      <c r="D794" s="1">
        <f>IFERROR(__xludf.DUMMYFUNCTION("""COMPUTED_VALUE"""),25160.0)</f>
        <v>25160</v>
      </c>
      <c r="E794" s="1">
        <f>IFERROR(__xludf.DUMMYFUNCTION("""COMPUTED_VALUE"""),25320.0)</f>
        <v>25320</v>
      </c>
      <c r="F794" s="1">
        <f>IFERROR(__xludf.DUMMYFUNCTION("""COMPUTED_VALUE"""),176400.0)</f>
        <v>176400</v>
      </c>
    </row>
    <row r="795">
      <c r="A795" s="2">
        <f>IFERROR(__xludf.DUMMYFUNCTION("""COMPUTED_VALUE"""),41716.645833333336)</f>
        <v>41716.64583</v>
      </c>
      <c r="B795" s="1">
        <f>IFERROR(__xludf.DUMMYFUNCTION("""COMPUTED_VALUE"""),25400.0)</f>
        <v>25400</v>
      </c>
      <c r="C795" s="1">
        <f>IFERROR(__xludf.DUMMYFUNCTION("""COMPUTED_VALUE"""),25660.0)</f>
        <v>25660</v>
      </c>
      <c r="D795" s="1">
        <f>IFERROR(__xludf.DUMMYFUNCTION("""COMPUTED_VALUE"""),25320.0)</f>
        <v>25320</v>
      </c>
      <c r="E795" s="1">
        <f>IFERROR(__xludf.DUMMYFUNCTION("""COMPUTED_VALUE"""),25560.0)</f>
        <v>25560</v>
      </c>
      <c r="F795" s="1">
        <f>IFERROR(__xludf.DUMMYFUNCTION("""COMPUTED_VALUE"""),220912.0)</f>
        <v>220912</v>
      </c>
    </row>
    <row r="796">
      <c r="A796" s="2">
        <f>IFERROR(__xludf.DUMMYFUNCTION("""COMPUTED_VALUE"""),41717.645833333336)</f>
        <v>41717.64583</v>
      </c>
      <c r="B796" s="1">
        <f>IFERROR(__xludf.DUMMYFUNCTION("""COMPUTED_VALUE"""),25600.0)</f>
        <v>25600</v>
      </c>
      <c r="C796" s="1">
        <f>IFERROR(__xludf.DUMMYFUNCTION("""COMPUTED_VALUE"""),25700.0)</f>
        <v>25700</v>
      </c>
      <c r="D796" s="1">
        <f>IFERROR(__xludf.DUMMYFUNCTION("""COMPUTED_VALUE"""),25360.0)</f>
        <v>25360</v>
      </c>
      <c r="E796" s="1">
        <f>IFERROR(__xludf.DUMMYFUNCTION("""COMPUTED_VALUE"""),25380.0)</f>
        <v>25380</v>
      </c>
      <c r="F796" s="1">
        <f>IFERROR(__xludf.DUMMYFUNCTION("""COMPUTED_VALUE"""),152771.0)</f>
        <v>152771</v>
      </c>
    </row>
    <row r="797">
      <c r="A797" s="2">
        <f>IFERROR(__xludf.DUMMYFUNCTION("""COMPUTED_VALUE"""),41718.645833333336)</f>
        <v>41718.64583</v>
      </c>
      <c r="B797" s="1">
        <f>IFERROR(__xludf.DUMMYFUNCTION("""COMPUTED_VALUE"""),25400.0)</f>
        <v>25400</v>
      </c>
      <c r="C797" s="1">
        <f>IFERROR(__xludf.DUMMYFUNCTION("""COMPUTED_VALUE"""),25440.0)</f>
        <v>25440</v>
      </c>
      <c r="D797" s="1">
        <f>IFERROR(__xludf.DUMMYFUNCTION("""COMPUTED_VALUE"""),25240.0)</f>
        <v>25240</v>
      </c>
      <c r="E797" s="1">
        <f>IFERROR(__xludf.DUMMYFUNCTION("""COMPUTED_VALUE"""),25240.0)</f>
        <v>25240</v>
      </c>
      <c r="F797" s="1">
        <f>IFERROR(__xludf.DUMMYFUNCTION("""COMPUTED_VALUE"""),118788.0)</f>
        <v>118788</v>
      </c>
    </row>
    <row r="798">
      <c r="A798" s="2">
        <f>IFERROR(__xludf.DUMMYFUNCTION("""COMPUTED_VALUE"""),41719.645833333336)</f>
        <v>41719.64583</v>
      </c>
      <c r="B798" s="1">
        <f>IFERROR(__xludf.DUMMYFUNCTION("""COMPUTED_VALUE"""),25380.0)</f>
        <v>25380</v>
      </c>
      <c r="C798" s="1">
        <f>IFERROR(__xludf.DUMMYFUNCTION("""COMPUTED_VALUE"""),25460.0)</f>
        <v>25460</v>
      </c>
      <c r="D798" s="1">
        <f>IFERROR(__xludf.DUMMYFUNCTION("""COMPUTED_VALUE"""),25240.0)</f>
        <v>25240</v>
      </c>
      <c r="E798" s="1">
        <f>IFERROR(__xludf.DUMMYFUNCTION("""COMPUTED_VALUE"""),25460.0)</f>
        <v>25460</v>
      </c>
      <c r="F798" s="1">
        <f>IFERROR(__xludf.DUMMYFUNCTION("""COMPUTED_VALUE"""),166426.0)</f>
        <v>166426</v>
      </c>
    </row>
    <row r="799">
      <c r="A799" s="2">
        <f>IFERROR(__xludf.DUMMYFUNCTION("""COMPUTED_VALUE"""),41722.645833333336)</f>
        <v>41722.64583</v>
      </c>
      <c r="B799" s="1">
        <f>IFERROR(__xludf.DUMMYFUNCTION("""COMPUTED_VALUE"""),25200.0)</f>
        <v>25200</v>
      </c>
      <c r="C799" s="1">
        <f>IFERROR(__xludf.DUMMYFUNCTION("""COMPUTED_VALUE"""),25480.0)</f>
        <v>25480</v>
      </c>
      <c r="D799" s="1">
        <f>IFERROR(__xludf.DUMMYFUNCTION("""COMPUTED_VALUE"""),25180.0)</f>
        <v>25180</v>
      </c>
      <c r="E799" s="1">
        <f>IFERROR(__xludf.DUMMYFUNCTION("""COMPUTED_VALUE"""),25460.0)</f>
        <v>25460</v>
      </c>
      <c r="F799" s="1">
        <f>IFERROR(__xludf.DUMMYFUNCTION("""COMPUTED_VALUE"""),141478.0)</f>
        <v>141478</v>
      </c>
    </row>
    <row r="800">
      <c r="A800" s="2">
        <f>IFERROR(__xludf.DUMMYFUNCTION("""COMPUTED_VALUE"""),41723.645833333336)</f>
        <v>41723.64583</v>
      </c>
      <c r="B800" s="1">
        <f>IFERROR(__xludf.DUMMYFUNCTION("""COMPUTED_VALUE"""),25380.0)</f>
        <v>25380</v>
      </c>
      <c r="C800" s="1">
        <f>IFERROR(__xludf.DUMMYFUNCTION("""COMPUTED_VALUE"""),25400.0)</f>
        <v>25400</v>
      </c>
      <c r="D800" s="1">
        <f>IFERROR(__xludf.DUMMYFUNCTION("""COMPUTED_VALUE"""),24820.0)</f>
        <v>24820</v>
      </c>
      <c r="E800" s="1">
        <f>IFERROR(__xludf.DUMMYFUNCTION("""COMPUTED_VALUE"""),24940.0)</f>
        <v>24940</v>
      </c>
      <c r="F800" s="1">
        <f>IFERROR(__xludf.DUMMYFUNCTION("""COMPUTED_VALUE"""),272500.0)</f>
        <v>272500</v>
      </c>
    </row>
    <row r="801">
      <c r="A801" s="2">
        <f>IFERROR(__xludf.DUMMYFUNCTION("""COMPUTED_VALUE"""),41724.645833333336)</f>
        <v>41724.64583</v>
      </c>
      <c r="B801" s="1">
        <f>IFERROR(__xludf.DUMMYFUNCTION("""COMPUTED_VALUE"""),25380.0)</f>
        <v>25380</v>
      </c>
      <c r="C801" s="1">
        <f>IFERROR(__xludf.DUMMYFUNCTION("""COMPUTED_VALUE"""),25800.0)</f>
        <v>25800</v>
      </c>
      <c r="D801" s="1">
        <f>IFERROR(__xludf.DUMMYFUNCTION("""COMPUTED_VALUE"""),24960.0)</f>
        <v>24960</v>
      </c>
      <c r="E801" s="1">
        <f>IFERROR(__xludf.DUMMYFUNCTION("""COMPUTED_VALUE"""),25700.0)</f>
        <v>25700</v>
      </c>
      <c r="F801" s="1">
        <f>IFERROR(__xludf.DUMMYFUNCTION("""COMPUTED_VALUE"""),348894.0)</f>
        <v>348894</v>
      </c>
    </row>
    <row r="802">
      <c r="A802" s="2">
        <f>IFERROR(__xludf.DUMMYFUNCTION("""COMPUTED_VALUE"""),41725.645833333336)</f>
        <v>41725.64583</v>
      </c>
      <c r="B802" s="1">
        <f>IFERROR(__xludf.DUMMYFUNCTION("""COMPUTED_VALUE"""),25800.0)</f>
        <v>25800</v>
      </c>
      <c r="C802" s="1">
        <f>IFERROR(__xludf.DUMMYFUNCTION("""COMPUTED_VALUE"""),26660.0)</f>
        <v>26660</v>
      </c>
      <c r="D802" s="1">
        <f>IFERROR(__xludf.DUMMYFUNCTION("""COMPUTED_VALUE"""),25700.0)</f>
        <v>25700</v>
      </c>
      <c r="E802" s="1">
        <f>IFERROR(__xludf.DUMMYFUNCTION("""COMPUTED_VALUE"""),26660.0)</f>
        <v>26660</v>
      </c>
      <c r="F802" s="1">
        <f>IFERROR(__xludf.DUMMYFUNCTION("""COMPUTED_VALUE"""),417557.0)</f>
        <v>417557</v>
      </c>
    </row>
    <row r="803">
      <c r="A803" s="2">
        <f>IFERROR(__xludf.DUMMYFUNCTION("""COMPUTED_VALUE"""),41726.645833333336)</f>
        <v>41726.64583</v>
      </c>
      <c r="B803" s="1">
        <f>IFERROR(__xludf.DUMMYFUNCTION("""COMPUTED_VALUE"""),26400.0)</f>
        <v>26400</v>
      </c>
      <c r="C803" s="1">
        <f>IFERROR(__xludf.DUMMYFUNCTION("""COMPUTED_VALUE"""),26760.0)</f>
        <v>26760</v>
      </c>
      <c r="D803" s="1">
        <f>IFERROR(__xludf.DUMMYFUNCTION("""COMPUTED_VALUE"""),26400.0)</f>
        <v>26400</v>
      </c>
      <c r="E803" s="1">
        <f>IFERROR(__xludf.DUMMYFUNCTION("""COMPUTED_VALUE"""),26700.0)</f>
        <v>26700</v>
      </c>
      <c r="F803" s="1">
        <f>IFERROR(__xludf.DUMMYFUNCTION("""COMPUTED_VALUE"""),212974.0)</f>
        <v>212974</v>
      </c>
    </row>
    <row r="804">
      <c r="A804" s="2">
        <f>IFERROR(__xludf.DUMMYFUNCTION("""COMPUTED_VALUE"""),41729.645833333336)</f>
        <v>41729.64583</v>
      </c>
      <c r="B804" s="1">
        <f>IFERROR(__xludf.DUMMYFUNCTION("""COMPUTED_VALUE"""),26900.0)</f>
        <v>26900</v>
      </c>
      <c r="C804" s="1">
        <f>IFERROR(__xludf.DUMMYFUNCTION("""COMPUTED_VALUE"""),26900.0)</f>
        <v>26900</v>
      </c>
      <c r="D804" s="1">
        <f>IFERROR(__xludf.DUMMYFUNCTION("""COMPUTED_VALUE"""),26440.0)</f>
        <v>26440</v>
      </c>
      <c r="E804" s="1">
        <f>IFERROR(__xludf.DUMMYFUNCTION("""COMPUTED_VALUE"""),26860.0)</f>
        <v>26860</v>
      </c>
      <c r="F804" s="1">
        <f>IFERROR(__xludf.DUMMYFUNCTION("""COMPUTED_VALUE"""),265197.0)</f>
        <v>265197</v>
      </c>
    </row>
    <row r="805">
      <c r="A805" s="2">
        <f>IFERROR(__xludf.DUMMYFUNCTION("""COMPUTED_VALUE"""),41730.645833333336)</f>
        <v>41730.64583</v>
      </c>
      <c r="B805" s="1">
        <f>IFERROR(__xludf.DUMMYFUNCTION("""COMPUTED_VALUE"""),26900.0)</f>
        <v>26900</v>
      </c>
      <c r="C805" s="1">
        <f>IFERROR(__xludf.DUMMYFUNCTION("""COMPUTED_VALUE"""),26900.0)</f>
        <v>26900</v>
      </c>
      <c r="D805" s="1">
        <f>IFERROR(__xludf.DUMMYFUNCTION("""COMPUTED_VALUE"""),26620.0)</f>
        <v>26620</v>
      </c>
      <c r="E805" s="1">
        <f>IFERROR(__xludf.DUMMYFUNCTION("""COMPUTED_VALUE"""),26780.0)</f>
        <v>26780</v>
      </c>
      <c r="F805" s="1">
        <f>IFERROR(__xludf.DUMMYFUNCTION("""COMPUTED_VALUE"""),221620.0)</f>
        <v>221620</v>
      </c>
    </row>
    <row r="806">
      <c r="A806" s="2">
        <f>IFERROR(__xludf.DUMMYFUNCTION("""COMPUTED_VALUE"""),41731.645833333336)</f>
        <v>41731.64583</v>
      </c>
      <c r="B806" s="1">
        <f>IFERROR(__xludf.DUMMYFUNCTION("""COMPUTED_VALUE"""),27000.0)</f>
        <v>27000</v>
      </c>
      <c r="C806" s="1">
        <f>IFERROR(__xludf.DUMMYFUNCTION("""COMPUTED_VALUE"""),27140.0)</f>
        <v>27140</v>
      </c>
      <c r="D806" s="1">
        <f>IFERROR(__xludf.DUMMYFUNCTION("""COMPUTED_VALUE"""),26860.0)</f>
        <v>26860</v>
      </c>
      <c r="E806" s="1">
        <f>IFERROR(__xludf.DUMMYFUNCTION("""COMPUTED_VALUE"""),27140.0)</f>
        <v>27140</v>
      </c>
      <c r="F806" s="1">
        <f>IFERROR(__xludf.DUMMYFUNCTION("""COMPUTED_VALUE"""),262001.0)</f>
        <v>262001</v>
      </c>
    </row>
    <row r="807">
      <c r="A807" s="2">
        <f>IFERROR(__xludf.DUMMYFUNCTION("""COMPUTED_VALUE"""),41732.645833333336)</f>
        <v>41732.64583</v>
      </c>
      <c r="B807" s="1">
        <f>IFERROR(__xludf.DUMMYFUNCTION("""COMPUTED_VALUE"""),27020.0)</f>
        <v>27020</v>
      </c>
      <c r="C807" s="1">
        <f>IFERROR(__xludf.DUMMYFUNCTION("""COMPUTED_VALUE"""),27900.0)</f>
        <v>27900</v>
      </c>
      <c r="D807" s="1">
        <f>IFERROR(__xludf.DUMMYFUNCTION("""COMPUTED_VALUE"""),27020.0)</f>
        <v>27020</v>
      </c>
      <c r="E807" s="1">
        <f>IFERROR(__xludf.DUMMYFUNCTION("""COMPUTED_VALUE"""),27800.0)</f>
        <v>27800</v>
      </c>
      <c r="F807" s="1">
        <f>IFERROR(__xludf.DUMMYFUNCTION("""COMPUTED_VALUE"""),381976.0)</f>
        <v>381976</v>
      </c>
    </row>
    <row r="808">
      <c r="A808" s="2">
        <f>IFERROR(__xludf.DUMMYFUNCTION("""COMPUTED_VALUE"""),41733.645833333336)</f>
        <v>41733.64583</v>
      </c>
      <c r="B808" s="1">
        <f>IFERROR(__xludf.DUMMYFUNCTION("""COMPUTED_VALUE"""),27540.0)</f>
        <v>27540</v>
      </c>
      <c r="C808" s="1">
        <f>IFERROR(__xludf.DUMMYFUNCTION("""COMPUTED_VALUE"""),27940.0)</f>
        <v>27940</v>
      </c>
      <c r="D808" s="1">
        <f>IFERROR(__xludf.DUMMYFUNCTION("""COMPUTED_VALUE"""),27540.0)</f>
        <v>27540</v>
      </c>
      <c r="E808" s="1">
        <f>IFERROR(__xludf.DUMMYFUNCTION("""COMPUTED_VALUE"""),27600.0)</f>
        <v>27600</v>
      </c>
      <c r="F808" s="1">
        <f>IFERROR(__xludf.DUMMYFUNCTION("""COMPUTED_VALUE"""),368007.0)</f>
        <v>368007</v>
      </c>
    </row>
    <row r="809">
      <c r="A809" s="2">
        <f>IFERROR(__xludf.DUMMYFUNCTION("""COMPUTED_VALUE"""),41736.645833333336)</f>
        <v>41736.64583</v>
      </c>
      <c r="B809" s="1">
        <f>IFERROR(__xludf.DUMMYFUNCTION("""COMPUTED_VALUE"""),27940.0)</f>
        <v>27940</v>
      </c>
      <c r="C809" s="1">
        <f>IFERROR(__xludf.DUMMYFUNCTION("""COMPUTED_VALUE"""),27940.0)</f>
        <v>27940</v>
      </c>
      <c r="D809" s="1">
        <f>IFERROR(__xludf.DUMMYFUNCTION("""COMPUTED_VALUE"""),27480.0)</f>
        <v>27480</v>
      </c>
      <c r="E809" s="1">
        <f>IFERROR(__xludf.DUMMYFUNCTION("""COMPUTED_VALUE"""),27940.0)</f>
        <v>27940</v>
      </c>
      <c r="F809" s="1">
        <f>IFERROR(__xludf.DUMMYFUNCTION("""COMPUTED_VALUE"""),215235.0)</f>
        <v>215235</v>
      </c>
    </row>
    <row r="810">
      <c r="A810" s="2">
        <f>IFERROR(__xludf.DUMMYFUNCTION("""COMPUTED_VALUE"""),41737.645833333336)</f>
        <v>41737.64583</v>
      </c>
      <c r="B810" s="1">
        <f>IFERROR(__xludf.DUMMYFUNCTION("""COMPUTED_VALUE"""),27740.0)</f>
        <v>27740</v>
      </c>
      <c r="C810" s="1">
        <f>IFERROR(__xludf.DUMMYFUNCTION("""COMPUTED_VALUE"""),27980.0)</f>
        <v>27980</v>
      </c>
      <c r="D810" s="1">
        <f>IFERROR(__xludf.DUMMYFUNCTION("""COMPUTED_VALUE"""),27500.0)</f>
        <v>27500</v>
      </c>
      <c r="E810" s="1">
        <f>IFERROR(__xludf.DUMMYFUNCTION("""COMPUTED_VALUE"""),27880.0)</f>
        <v>27880</v>
      </c>
      <c r="F810" s="1">
        <f>IFERROR(__xludf.DUMMYFUNCTION("""COMPUTED_VALUE"""),212164.0)</f>
        <v>212164</v>
      </c>
    </row>
    <row r="811">
      <c r="A811" s="2">
        <f>IFERROR(__xludf.DUMMYFUNCTION("""COMPUTED_VALUE"""),41738.645833333336)</f>
        <v>41738.64583</v>
      </c>
      <c r="B811" s="1">
        <f>IFERROR(__xludf.DUMMYFUNCTION("""COMPUTED_VALUE"""),27880.0)</f>
        <v>27880</v>
      </c>
      <c r="C811" s="1">
        <f>IFERROR(__xludf.DUMMYFUNCTION("""COMPUTED_VALUE"""),27900.0)</f>
        <v>27900</v>
      </c>
      <c r="D811" s="1">
        <f>IFERROR(__xludf.DUMMYFUNCTION("""COMPUTED_VALUE"""),27280.0)</f>
        <v>27280</v>
      </c>
      <c r="E811" s="1">
        <f>IFERROR(__xludf.DUMMYFUNCTION("""COMPUTED_VALUE"""),27420.0)</f>
        <v>27420</v>
      </c>
      <c r="F811" s="1">
        <f>IFERROR(__xludf.DUMMYFUNCTION("""COMPUTED_VALUE"""),321232.0)</f>
        <v>321232</v>
      </c>
    </row>
    <row r="812">
      <c r="A812" s="2">
        <f>IFERROR(__xludf.DUMMYFUNCTION("""COMPUTED_VALUE"""),41739.645833333336)</f>
        <v>41739.64583</v>
      </c>
      <c r="B812" s="1">
        <f>IFERROR(__xludf.DUMMYFUNCTION("""COMPUTED_VALUE"""),27380.0)</f>
        <v>27380</v>
      </c>
      <c r="C812" s="1">
        <f>IFERROR(__xludf.DUMMYFUNCTION("""COMPUTED_VALUE"""),27600.0)</f>
        <v>27600</v>
      </c>
      <c r="D812" s="1">
        <f>IFERROR(__xludf.DUMMYFUNCTION("""COMPUTED_VALUE"""),27200.0)</f>
        <v>27200</v>
      </c>
      <c r="E812" s="1">
        <f>IFERROR(__xludf.DUMMYFUNCTION("""COMPUTED_VALUE"""),27600.0)</f>
        <v>27600</v>
      </c>
      <c r="F812" s="1">
        <f>IFERROR(__xludf.DUMMYFUNCTION("""COMPUTED_VALUE"""),199984.0)</f>
        <v>199984</v>
      </c>
    </row>
    <row r="813">
      <c r="A813" s="2">
        <f>IFERROR(__xludf.DUMMYFUNCTION("""COMPUTED_VALUE"""),41740.645833333336)</f>
        <v>41740.64583</v>
      </c>
      <c r="B813" s="1">
        <f>IFERROR(__xludf.DUMMYFUNCTION("""COMPUTED_VALUE"""),27240.0)</f>
        <v>27240</v>
      </c>
      <c r="C813" s="1">
        <f>IFERROR(__xludf.DUMMYFUNCTION("""COMPUTED_VALUE"""),27360.0)</f>
        <v>27360</v>
      </c>
      <c r="D813" s="1">
        <f>IFERROR(__xludf.DUMMYFUNCTION("""COMPUTED_VALUE"""),27180.0)</f>
        <v>27180</v>
      </c>
      <c r="E813" s="1">
        <f>IFERROR(__xludf.DUMMYFUNCTION("""COMPUTED_VALUE"""),27300.0)</f>
        <v>27300</v>
      </c>
      <c r="F813" s="1">
        <f>IFERROR(__xludf.DUMMYFUNCTION("""COMPUTED_VALUE"""),213187.0)</f>
        <v>213187</v>
      </c>
    </row>
    <row r="814">
      <c r="A814" s="2">
        <f>IFERROR(__xludf.DUMMYFUNCTION("""COMPUTED_VALUE"""),41743.645833333336)</f>
        <v>41743.64583</v>
      </c>
      <c r="B814" s="1">
        <f>IFERROR(__xludf.DUMMYFUNCTION("""COMPUTED_VALUE"""),27300.0)</f>
        <v>27300</v>
      </c>
      <c r="C814" s="1">
        <f>IFERROR(__xludf.DUMMYFUNCTION("""COMPUTED_VALUE"""),27720.0)</f>
        <v>27720</v>
      </c>
      <c r="D814" s="1">
        <f>IFERROR(__xludf.DUMMYFUNCTION("""COMPUTED_VALUE"""),27300.0)</f>
        <v>27300</v>
      </c>
      <c r="E814" s="1">
        <f>IFERROR(__xludf.DUMMYFUNCTION("""COMPUTED_VALUE"""),27400.0)</f>
        <v>27400</v>
      </c>
      <c r="F814" s="1">
        <f>IFERROR(__xludf.DUMMYFUNCTION("""COMPUTED_VALUE"""),211720.0)</f>
        <v>211720</v>
      </c>
    </row>
    <row r="815">
      <c r="A815" s="2">
        <f>IFERROR(__xludf.DUMMYFUNCTION("""COMPUTED_VALUE"""),41744.645833333336)</f>
        <v>41744.64583</v>
      </c>
      <c r="B815" s="1">
        <f>IFERROR(__xludf.DUMMYFUNCTION("""COMPUTED_VALUE"""),27720.0)</f>
        <v>27720</v>
      </c>
      <c r="C815" s="1">
        <f>IFERROR(__xludf.DUMMYFUNCTION("""COMPUTED_VALUE"""),27740.0)</f>
        <v>27740</v>
      </c>
      <c r="D815" s="1">
        <f>IFERROR(__xludf.DUMMYFUNCTION("""COMPUTED_VALUE"""),27380.0)</f>
        <v>27380</v>
      </c>
      <c r="E815" s="1">
        <f>IFERROR(__xludf.DUMMYFUNCTION("""COMPUTED_VALUE"""),27400.0)</f>
        <v>27400</v>
      </c>
      <c r="F815" s="1">
        <f>IFERROR(__xludf.DUMMYFUNCTION("""COMPUTED_VALUE"""),219396.0)</f>
        <v>219396</v>
      </c>
    </row>
    <row r="816">
      <c r="A816" s="2">
        <f>IFERROR(__xludf.DUMMYFUNCTION("""COMPUTED_VALUE"""),41745.645833333336)</f>
        <v>41745.64583</v>
      </c>
      <c r="B816" s="1">
        <f>IFERROR(__xludf.DUMMYFUNCTION("""COMPUTED_VALUE"""),27400.0)</f>
        <v>27400</v>
      </c>
      <c r="C816" s="1">
        <f>IFERROR(__xludf.DUMMYFUNCTION("""COMPUTED_VALUE"""),27840.0)</f>
        <v>27840</v>
      </c>
      <c r="D816" s="1">
        <f>IFERROR(__xludf.DUMMYFUNCTION("""COMPUTED_VALUE"""),27260.0)</f>
        <v>27260</v>
      </c>
      <c r="E816" s="1">
        <f>IFERROR(__xludf.DUMMYFUNCTION("""COMPUTED_VALUE"""),27600.0)</f>
        <v>27600</v>
      </c>
      <c r="F816" s="1">
        <f>IFERROR(__xludf.DUMMYFUNCTION("""COMPUTED_VALUE"""),186171.0)</f>
        <v>186171</v>
      </c>
    </row>
    <row r="817">
      <c r="A817" s="2">
        <f>IFERROR(__xludf.DUMMYFUNCTION("""COMPUTED_VALUE"""),41746.645833333336)</f>
        <v>41746.64583</v>
      </c>
      <c r="B817" s="1">
        <f>IFERROR(__xludf.DUMMYFUNCTION("""COMPUTED_VALUE"""),27520.0)</f>
        <v>27520</v>
      </c>
      <c r="C817" s="1">
        <f>IFERROR(__xludf.DUMMYFUNCTION("""COMPUTED_VALUE"""),27600.0)</f>
        <v>27600</v>
      </c>
      <c r="D817" s="1">
        <f>IFERROR(__xludf.DUMMYFUNCTION("""COMPUTED_VALUE"""),27320.0)</f>
        <v>27320</v>
      </c>
      <c r="E817" s="1">
        <f>IFERROR(__xludf.DUMMYFUNCTION("""COMPUTED_VALUE"""),27400.0)</f>
        <v>27400</v>
      </c>
      <c r="F817" s="1">
        <f>IFERROR(__xludf.DUMMYFUNCTION("""COMPUTED_VALUE"""),144833.0)</f>
        <v>144833</v>
      </c>
    </row>
    <row r="818">
      <c r="A818" s="2">
        <f>IFERROR(__xludf.DUMMYFUNCTION("""COMPUTED_VALUE"""),41747.645833333336)</f>
        <v>41747.64583</v>
      </c>
      <c r="B818" s="1">
        <f>IFERROR(__xludf.DUMMYFUNCTION("""COMPUTED_VALUE"""),27400.0)</f>
        <v>27400</v>
      </c>
      <c r="C818" s="1">
        <f>IFERROR(__xludf.DUMMYFUNCTION("""COMPUTED_VALUE"""),27580.0)</f>
        <v>27580</v>
      </c>
      <c r="D818" s="1">
        <f>IFERROR(__xludf.DUMMYFUNCTION("""COMPUTED_VALUE"""),27400.0)</f>
        <v>27400</v>
      </c>
      <c r="E818" s="1">
        <f>IFERROR(__xludf.DUMMYFUNCTION("""COMPUTED_VALUE"""),27560.0)</f>
        <v>27560</v>
      </c>
      <c r="F818" s="1">
        <f>IFERROR(__xludf.DUMMYFUNCTION("""COMPUTED_VALUE"""),190367.0)</f>
        <v>190367</v>
      </c>
    </row>
    <row r="819">
      <c r="A819" s="2">
        <f>IFERROR(__xludf.DUMMYFUNCTION("""COMPUTED_VALUE"""),41750.645833333336)</f>
        <v>41750.64583</v>
      </c>
      <c r="B819" s="1">
        <f>IFERROR(__xludf.DUMMYFUNCTION("""COMPUTED_VALUE"""),27580.0)</f>
        <v>27580</v>
      </c>
      <c r="C819" s="1">
        <f>IFERROR(__xludf.DUMMYFUNCTION("""COMPUTED_VALUE"""),27720.0)</f>
        <v>27720</v>
      </c>
      <c r="D819" s="1">
        <f>IFERROR(__xludf.DUMMYFUNCTION("""COMPUTED_VALUE"""),27500.0)</f>
        <v>27500</v>
      </c>
      <c r="E819" s="1">
        <f>IFERROR(__xludf.DUMMYFUNCTION("""COMPUTED_VALUE"""),27600.0)</f>
        <v>27600</v>
      </c>
      <c r="F819" s="1">
        <f>IFERROR(__xludf.DUMMYFUNCTION("""COMPUTED_VALUE"""),65985.0)</f>
        <v>65985</v>
      </c>
    </row>
    <row r="820">
      <c r="A820" s="2">
        <f>IFERROR(__xludf.DUMMYFUNCTION("""COMPUTED_VALUE"""),41751.645833333336)</f>
        <v>41751.64583</v>
      </c>
      <c r="B820" s="1">
        <f>IFERROR(__xludf.DUMMYFUNCTION("""COMPUTED_VALUE"""),27480.0)</f>
        <v>27480</v>
      </c>
      <c r="C820" s="1">
        <f>IFERROR(__xludf.DUMMYFUNCTION("""COMPUTED_VALUE"""),27680.0)</f>
        <v>27680</v>
      </c>
      <c r="D820" s="1">
        <f>IFERROR(__xludf.DUMMYFUNCTION("""COMPUTED_VALUE"""),27420.0)</f>
        <v>27420</v>
      </c>
      <c r="E820" s="1">
        <f>IFERROR(__xludf.DUMMYFUNCTION("""COMPUTED_VALUE"""),27500.0)</f>
        <v>27500</v>
      </c>
      <c r="F820" s="1">
        <f>IFERROR(__xludf.DUMMYFUNCTION("""COMPUTED_VALUE"""),121686.0)</f>
        <v>121686</v>
      </c>
    </row>
    <row r="821">
      <c r="A821" s="2">
        <f>IFERROR(__xludf.DUMMYFUNCTION("""COMPUTED_VALUE"""),41752.645833333336)</f>
        <v>41752.64583</v>
      </c>
      <c r="B821" s="1">
        <f>IFERROR(__xludf.DUMMYFUNCTION("""COMPUTED_VALUE"""),27880.0)</f>
        <v>27880</v>
      </c>
      <c r="C821" s="1">
        <f>IFERROR(__xludf.DUMMYFUNCTION("""COMPUTED_VALUE"""),27900.0)</f>
        <v>27900</v>
      </c>
      <c r="D821" s="1">
        <f>IFERROR(__xludf.DUMMYFUNCTION("""COMPUTED_VALUE"""),27640.0)</f>
        <v>27640</v>
      </c>
      <c r="E821" s="1">
        <f>IFERROR(__xludf.DUMMYFUNCTION("""COMPUTED_VALUE"""),27780.0)</f>
        <v>27780</v>
      </c>
      <c r="F821" s="1">
        <f>IFERROR(__xludf.DUMMYFUNCTION("""COMPUTED_VALUE"""),190015.0)</f>
        <v>190015</v>
      </c>
    </row>
    <row r="822">
      <c r="A822" s="2">
        <f>IFERROR(__xludf.DUMMYFUNCTION("""COMPUTED_VALUE"""),41753.645833333336)</f>
        <v>41753.64583</v>
      </c>
      <c r="B822" s="1">
        <f>IFERROR(__xludf.DUMMYFUNCTION("""COMPUTED_VALUE"""),28180.0)</f>
        <v>28180</v>
      </c>
      <c r="C822" s="1">
        <f>IFERROR(__xludf.DUMMYFUNCTION("""COMPUTED_VALUE"""),28180.0)</f>
        <v>28180</v>
      </c>
      <c r="D822" s="1">
        <f>IFERROR(__xludf.DUMMYFUNCTION("""COMPUTED_VALUE"""),27980.0)</f>
        <v>27980</v>
      </c>
      <c r="E822" s="1">
        <f>IFERROR(__xludf.DUMMYFUNCTION("""COMPUTED_VALUE"""),28140.0)</f>
        <v>28140</v>
      </c>
      <c r="F822" s="1">
        <f>IFERROR(__xludf.DUMMYFUNCTION("""COMPUTED_VALUE"""),210924.0)</f>
        <v>210924</v>
      </c>
    </row>
    <row r="823">
      <c r="A823" s="2">
        <f>IFERROR(__xludf.DUMMYFUNCTION("""COMPUTED_VALUE"""),41754.645833333336)</f>
        <v>41754.64583</v>
      </c>
      <c r="B823" s="1">
        <f>IFERROR(__xludf.DUMMYFUNCTION("""COMPUTED_VALUE"""),28400.0)</f>
        <v>28400</v>
      </c>
      <c r="C823" s="1">
        <f>IFERROR(__xludf.DUMMYFUNCTION("""COMPUTED_VALUE"""),28560.0)</f>
        <v>28560</v>
      </c>
      <c r="D823" s="1">
        <f>IFERROR(__xludf.DUMMYFUNCTION("""COMPUTED_VALUE"""),27960.0)</f>
        <v>27960</v>
      </c>
      <c r="E823" s="1">
        <f>IFERROR(__xludf.DUMMYFUNCTION("""COMPUTED_VALUE"""),27980.0)</f>
        <v>27980</v>
      </c>
      <c r="F823" s="1">
        <f>IFERROR(__xludf.DUMMYFUNCTION("""COMPUTED_VALUE"""),305396.0)</f>
        <v>305396</v>
      </c>
    </row>
    <row r="824">
      <c r="A824" s="2">
        <f>IFERROR(__xludf.DUMMYFUNCTION("""COMPUTED_VALUE"""),41757.645833333336)</f>
        <v>41757.64583</v>
      </c>
      <c r="B824" s="1">
        <f>IFERROR(__xludf.DUMMYFUNCTION("""COMPUTED_VALUE"""),28080.0)</f>
        <v>28080</v>
      </c>
      <c r="C824" s="1">
        <f>IFERROR(__xludf.DUMMYFUNCTION("""COMPUTED_VALUE"""),28120.0)</f>
        <v>28120</v>
      </c>
      <c r="D824" s="1">
        <f>IFERROR(__xludf.DUMMYFUNCTION("""COMPUTED_VALUE"""),27640.0)</f>
        <v>27640</v>
      </c>
      <c r="E824" s="1">
        <f>IFERROR(__xludf.DUMMYFUNCTION("""COMPUTED_VALUE"""),27760.0)</f>
        <v>27760</v>
      </c>
      <c r="F824" s="1">
        <f>IFERROR(__xludf.DUMMYFUNCTION("""COMPUTED_VALUE"""),188629.0)</f>
        <v>188629</v>
      </c>
    </row>
    <row r="825">
      <c r="A825" s="2">
        <f>IFERROR(__xludf.DUMMYFUNCTION("""COMPUTED_VALUE"""),41758.645833333336)</f>
        <v>41758.64583</v>
      </c>
      <c r="B825" s="1">
        <f>IFERROR(__xludf.DUMMYFUNCTION("""COMPUTED_VALUE"""),27780.0)</f>
        <v>27780</v>
      </c>
      <c r="C825" s="1">
        <f>IFERROR(__xludf.DUMMYFUNCTION("""COMPUTED_VALUE"""),27900.0)</f>
        <v>27900</v>
      </c>
      <c r="D825" s="1">
        <f>IFERROR(__xludf.DUMMYFUNCTION("""COMPUTED_VALUE"""),27020.0)</f>
        <v>27020</v>
      </c>
      <c r="E825" s="1">
        <f>IFERROR(__xludf.DUMMYFUNCTION("""COMPUTED_VALUE"""),27200.0)</f>
        <v>27200</v>
      </c>
      <c r="F825" s="1">
        <f>IFERROR(__xludf.DUMMYFUNCTION("""COMPUTED_VALUE"""),218184.0)</f>
        <v>218184</v>
      </c>
    </row>
    <row r="826">
      <c r="A826" s="2">
        <f>IFERROR(__xludf.DUMMYFUNCTION("""COMPUTED_VALUE"""),41759.645833333336)</f>
        <v>41759.64583</v>
      </c>
      <c r="B826" s="1">
        <f>IFERROR(__xludf.DUMMYFUNCTION("""COMPUTED_VALUE"""),27600.0)</f>
        <v>27600</v>
      </c>
      <c r="C826" s="1">
        <f>IFERROR(__xludf.DUMMYFUNCTION("""COMPUTED_VALUE"""),27620.0)</f>
        <v>27620</v>
      </c>
      <c r="D826" s="1">
        <f>IFERROR(__xludf.DUMMYFUNCTION("""COMPUTED_VALUE"""),26520.0)</f>
        <v>26520</v>
      </c>
      <c r="E826" s="1">
        <f>IFERROR(__xludf.DUMMYFUNCTION("""COMPUTED_VALUE"""),26860.0)</f>
        <v>26860</v>
      </c>
      <c r="F826" s="1">
        <f>IFERROR(__xludf.DUMMYFUNCTION("""COMPUTED_VALUE"""),300946.0)</f>
        <v>300946</v>
      </c>
    </row>
    <row r="827">
      <c r="A827" s="2">
        <f>IFERROR(__xludf.DUMMYFUNCTION("""COMPUTED_VALUE"""),41761.645833333336)</f>
        <v>41761.64583</v>
      </c>
      <c r="B827" s="1">
        <f>IFERROR(__xludf.DUMMYFUNCTION("""COMPUTED_VALUE"""),27080.0)</f>
        <v>27080</v>
      </c>
      <c r="C827" s="1">
        <f>IFERROR(__xludf.DUMMYFUNCTION("""COMPUTED_VALUE"""),27180.0)</f>
        <v>27180</v>
      </c>
      <c r="D827" s="1">
        <f>IFERROR(__xludf.DUMMYFUNCTION("""COMPUTED_VALUE"""),26880.0)</f>
        <v>26880</v>
      </c>
      <c r="E827" s="1">
        <f>IFERROR(__xludf.DUMMYFUNCTION("""COMPUTED_VALUE"""),26920.0)</f>
        <v>26920</v>
      </c>
      <c r="F827" s="1">
        <f>IFERROR(__xludf.DUMMYFUNCTION("""COMPUTED_VALUE"""),298867.0)</f>
        <v>298867</v>
      </c>
    </row>
    <row r="828">
      <c r="A828" s="2">
        <f>IFERROR(__xludf.DUMMYFUNCTION("""COMPUTED_VALUE"""),41766.645833333336)</f>
        <v>41766.64583</v>
      </c>
      <c r="B828" s="1">
        <f>IFERROR(__xludf.DUMMYFUNCTION("""COMPUTED_VALUE"""),27000.0)</f>
        <v>27000</v>
      </c>
      <c r="C828" s="1">
        <f>IFERROR(__xludf.DUMMYFUNCTION("""COMPUTED_VALUE"""),27120.0)</f>
        <v>27120</v>
      </c>
      <c r="D828" s="1">
        <f>IFERROR(__xludf.DUMMYFUNCTION("""COMPUTED_VALUE"""),26800.0)</f>
        <v>26800</v>
      </c>
      <c r="E828" s="1">
        <f>IFERROR(__xludf.DUMMYFUNCTION("""COMPUTED_VALUE"""),26880.0)</f>
        <v>26880</v>
      </c>
      <c r="F828" s="1">
        <f>IFERROR(__xludf.DUMMYFUNCTION("""COMPUTED_VALUE"""),283794.0)</f>
        <v>283794</v>
      </c>
    </row>
    <row r="829">
      <c r="A829" s="2">
        <f>IFERROR(__xludf.DUMMYFUNCTION("""COMPUTED_VALUE"""),41767.645833333336)</f>
        <v>41767.64583</v>
      </c>
      <c r="B829" s="1">
        <f>IFERROR(__xludf.DUMMYFUNCTION("""COMPUTED_VALUE"""),27100.0)</f>
        <v>27100</v>
      </c>
      <c r="C829" s="1">
        <f>IFERROR(__xludf.DUMMYFUNCTION("""COMPUTED_VALUE"""),27100.0)</f>
        <v>27100</v>
      </c>
      <c r="D829" s="1">
        <f>IFERROR(__xludf.DUMMYFUNCTION("""COMPUTED_VALUE"""),26880.0)</f>
        <v>26880</v>
      </c>
      <c r="E829" s="1">
        <f>IFERROR(__xludf.DUMMYFUNCTION("""COMPUTED_VALUE"""),27000.0)</f>
        <v>27000</v>
      </c>
      <c r="F829" s="1">
        <f>IFERROR(__xludf.DUMMYFUNCTION("""COMPUTED_VALUE"""),325638.0)</f>
        <v>325638</v>
      </c>
    </row>
    <row r="830">
      <c r="A830" s="2">
        <f>IFERROR(__xludf.DUMMYFUNCTION("""COMPUTED_VALUE"""),41768.645833333336)</f>
        <v>41768.64583</v>
      </c>
      <c r="B830" s="1">
        <f>IFERROR(__xludf.DUMMYFUNCTION("""COMPUTED_VALUE"""),27120.0)</f>
        <v>27120</v>
      </c>
      <c r="C830" s="1">
        <f>IFERROR(__xludf.DUMMYFUNCTION("""COMPUTED_VALUE"""),27160.0)</f>
        <v>27160</v>
      </c>
      <c r="D830" s="1">
        <f>IFERROR(__xludf.DUMMYFUNCTION("""COMPUTED_VALUE"""),26520.0)</f>
        <v>26520</v>
      </c>
      <c r="E830" s="1">
        <f>IFERROR(__xludf.DUMMYFUNCTION("""COMPUTED_VALUE"""),26700.0)</f>
        <v>26700</v>
      </c>
      <c r="F830" s="1">
        <f>IFERROR(__xludf.DUMMYFUNCTION("""COMPUTED_VALUE"""),263141.0)</f>
        <v>263141</v>
      </c>
    </row>
    <row r="831">
      <c r="A831" s="2">
        <f>IFERROR(__xludf.DUMMYFUNCTION("""COMPUTED_VALUE"""),41771.645833333336)</f>
        <v>41771.64583</v>
      </c>
      <c r="B831" s="1">
        <f>IFERROR(__xludf.DUMMYFUNCTION("""COMPUTED_VALUE"""),26720.0)</f>
        <v>26720</v>
      </c>
      <c r="C831" s="1">
        <f>IFERROR(__xludf.DUMMYFUNCTION("""COMPUTED_VALUE"""),27900.0)</f>
        <v>27900</v>
      </c>
      <c r="D831" s="1">
        <f>IFERROR(__xludf.DUMMYFUNCTION("""COMPUTED_VALUE"""),26640.0)</f>
        <v>26640</v>
      </c>
      <c r="E831" s="1">
        <f>IFERROR(__xludf.DUMMYFUNCTION("""COMPUTED_VALUE"""),27760.0)</f>
        <v>27760</v>
      </c>
      <c r="F831" s="1">
        <f>IFERROR(__xludf.DUMMYFUNCTION("""COMPUTED_VALUE"""),318896.0)</f>
        <v>318896</v>
      </c>
    </row>
    <row r="832">
      <c r="A832" s="2">
        <f>IFERROR(__xludf.DUMMYFUNCTION("""COMPUTED_VALUE"""),41772.645833333336)</f>
        <v>41772.64583</v>
      </c>
      <c r="B832" s="1">
        <f>IFERROR(__xludf.DUMMYFUNCTION("""COMPUTED_VALUE"""),27760.0)</f>
        <v>27760</v>
      </c>
      <c r="C832" s="1">
        <f>IFERROR(__xludf.DUMMYFUNCTION("""COMPUTED_VALUE"""),28500.0)</f>
        <v>28500</v>
      </c>
      <c r="D832" s="1">
        <f>IFERROR(__xludf.DUMMYFUNCTION("""COMPUTED_VALUE"""),27760.0)</f>
        <v>27760</v>
      </c>
      <c r="E832" s="1">
        <f>IFERROR(__xludf.DUMMYFUNCTION("""COMPUTED_VALUE"""),28000.0)</f>
        <v>28000</v>
      </c>
      <c r="F832" s="1">
        <f>IFERROR(__xludf.DUMMYFUNCTION("""COMPUTED_VALUE"""),242148.0)</f>
        <v>242148</v>
      </c>
    </row>
    <row r="833">
      <c r="A833" s="2">
        <f>IFERROR(__xludf.DUMMYFUNCTION("""COMPUTED_VALUE"""),41773.645833333336)</f>
        <v>41773.64583</v>
      </c>
      <c r="B833" s="1">
        <f>IFERROR(__xludf.DUMMYFUNCTION("""COMPUTED_VALUE"""),28180.0)</f>
        <v>28180</v>
      </c>
      <c r="C833" s="1">
        <f>IFERROR(__xludf.DUMMYFUNCTION("""COMPUTED_VALUE"""),28300.0)</f>
        <v>28300</v>
      </c>
      <c r="D833" s="1">
        <f>IFERROR(__xludf.DUMMYFUNCTION("""COMPUTED_VALUE"""),28020.0)</f>
        <v>28020</v>
      </c>
      <c r="E833" s="1">
        <f>IFERROR(__xludf.DUMMYFUNCTION("""COMPUTED_VALUE"""),28300.0)</f>
        <v>28300</v>
      </c>
      <c r="F833" s="1">
        <f>IFERROR(__xludf.DUMMYFUNCTION("""COMPUTED_VALUE"""),222075.0)</f>
        <v>222075</v>
      </c>
    </row>
    <row r="834">
      <c r="A834" s="2">
        <f>IFERROR(__xludf.DUMMYFUNCTION("""COMPUTED_VALUE"""),41774.645833333336)</f>
        <v>41774.64583</v>
      </c>
      <c r="B834" s="1">
        <f>IFERROR(__xludf.DUMMYFUNCTION("""COMPUTED_VALUE"""),28280.0)</f>
        <v>28280</v>
      </c>
      <c r="C834" s="1">
        <f>IFERROR(__xludf.DUMMYFUNCTION("""COMPUTED_VALUE"""),28380.0)</f>
        <v>28380</v>
      </c>
      <c r="D834" s="1">
        <f>IFERROR(__xludf.DUMMYFUNCTION("""COMPUTED_VALUE"""),28060.0)</f>
        <v>28060</v>
      </c>
      <c r="E834" s="1">
        <f>IFERROR(__xludf.DUMMYFUNCTION("""COMPUTED_VALUE"""),28200.0)</f>
        <v>28200</v>
      </c>
      <c r="F834" s="1">
        <f>IFERROR(__xludf.DUMMYFUNCTION("""COMPUTED_VALUE"""),136134.0)</f>
        <v>136134</v>
      </c>
    </row>
    <row r="835">
      <c r="A835" s="2">
        <f>IFERROR(__xludf.DUMMYFUNCTION("""COMPUTED_VALUE"""),41775.645833333336)</f>
        <v>41775.64583</v>
      </c>
      <c r="B835" s="1">
        <f>IFERROR(__xludf.DUMMYFUNCTION("""COMPUTED_VALUE"""),28000.0)</f>
        <v>28000</v>
      </c>
      <c r="C835" s="1">
        <f>IFERROR(__xludf.DUMMYFUNCTION("""COMPUTED_VALUE"""),28740.0)</f>
        <v>28740</v>
      </c>
      <c r="D835" s="1">
        <f>IFERROR(__xludf.DUMMYFUNCTION("""COMPUTED_VALUE"""),27980.0)</f>
        <v>27980</v>
      </c>
      <c r="E835" s="1">
        <f>IFERROR(__xludf.DUMMYFUNCTION("""COMPUTED_VALUE"""),28560.0)</f>
        <v>28560</v>
      </c>
      <c r="F835" s="1">
        <f>IFERROR(__xludf.DUMMYFUNCTION("""COMPUTED_VALUE"""),317130.0)</f>
        <v>317130</v>
      </c>
    </row>
    <row r="836">
      <c r="A836" s="2">
        <f>IFERROR(__xludf.DUMMYFUNCTION("""COMPUTED_VALUE"""),41778.645833333336)</f>
        <v>41778.64583</v>
      </c>
      <c r="B836" s="1">
        <f>IFERROR(__xludf.DUMMYFUNCTION("""COMPUTED_VALUE"""),28560.0)</f>
        <v>28560</v>
      </c>
      <c r="C836" s="1">
        <f>IFERROR(__xludf.DUMMYFUNCTION("""COMPUTED_VALUE"""),29000.0)</f>
        <v>29000</v>
      </c>
      <c r="D836" s="1">
        <f>IFERROR(__xludf.DUMMYFUNCTION("""COMPUTED_VALUE"""),28160.0)</f>
        <v>28160</v>
      </c>
      <c r="E836" s="1">
        <f>IFERROR(__xludf.DUMMYFUNCTION("""COMPUTED_VALUE"""),28960.0)</f>
        <v>28960</v>
      </c>
      <c r="F836" s="1">
        <f>IFERROR(__xludf.DUMMYFUNCTION("""COMPUTED_VALUE"""),385621.0)</f>
        <v>385621</v>
      </c>
    </row>
    <row r="837">
      <c r="A837" s="2">
        <f>IFERROR(__xludf.DUMMYFUNCTION("""COMPUTED_VALUE"""),41779.645833333336)</f>
        <v>41779.64583</v>
      </c>
      <c r="B837" s="1">
        <f>IFERROR(__xludf.DUMMYFUNCTION("""COMPUTED_VALUE"""),28900.0)</f>
        <v>28900</v>
      </c>
      <c r="C837" s="1">
        <f>IFERROR(__xludf.DUMMYFUNCTION("""COMPUTED_VALUE"""),29080.0)</f>
        <v>29080</v>
      </c>
      <c r="D837" s="1">
        <f>IFERROR(__xludf.DUMMYFUNCTION("""COMPUTED_VALUE"""),28700.0)</f>
        <v>28700</v>
      </c>
      <c r="E837" s="1">
        <f>IFERROR(__xludf.DUMMYFUNCTION("""COMPUTED_VALUE"""),29020.0)</f>
        <v>29020</v>
      </c>
      <c r="F837" s="1">
        <f>IFERROR(__xludf.DUMMYFUNCTION("""COMPUTED_VALUE"""),320146.0)</f>
        <v>320146</v>
      </c>
    </row>
    <row r="838">
      <c r="A838" s="2">
        <f>IFERROR(__xludf.DUMMYFUNCTION("""COMPUTED_VALUE"""),41780.645833333336)</f>
        <v>41780.64583</v>
      </c>
      <c r="B838" s="1">
        <f>IFERROR(__xludf.DUMMYFUNCTION("""COMPUTED_VALUE"""),28700.0)</f>
        <v>28700</v>
      </c>
      <c r="C838" s="1">
        <f>IFERROR(__xludf.DUMMYFUNCTION("""COMPUTED_VALUE"""),29000.0)</f>
        <v>29000</v>
      </c>
      <c r="D838" s="1">
        <f>IFERROR(__xludf.DUMMYFUNCTION("""COMPUTED_VALUE"""),28700.0)</f>
        <v>28700</v>
      </c>
      <c r="E838" s="1">
        <f>IFERROR(__xludf.DUMMYFUNCTION("""COMPUTED_VALUE"""),28820.0)</f>
        <v>28820</v>
      </c>
      <c r="F838" s="1">
        <f>IFERROR(__xludf.DUMMYFUNCTION("""COMPUTED_VALUE"""),216850.0)</f>
        <v>216850</v>
      </c>
    </row>
    <row r="839">
      <c r="A839" s="2">
        <f>IFERROR(__xludf.DUMMYFUNCTION("""COMPUTED_VALUE"""),41781.645833333336)</f>
        <v>41781.64583</v>
      </c>
      <c r="B839" s="1">
        <f>IFERROR(__xludf.DUMMYFUNCTION("""COMPUTED_VALUE"""),28820.0)</f>
        <v>28820</v>
      </c>
      <c r="C839" s="1">
        <f>IFERROR(__xludf.DUMMYFUNCTION("""COMPUTED_VALUE"""),28960.0)</f>
        <v>28960</v>
      </c>
      <c r="D839" s="1">
        <f>IFERROR(__xludf.DUMMYFUNCTION("""COMPUTED_VALUE"""),28520.0)</f>
        <v>28520</v>
      </c>
      <c r="E839" s="1">
        <f>IFERROR(__xludf.DUMMYFUNCTION("""COMPUTED_VALUE"""),28520.0)</f>
        <v>28520</v>
      </c>
      <c r="F839" s="1">
        <f>IFERROR(__xludf.DUMMYFUNCTION("""COMPUTED_VALUE"""),190800.0)</f>
        <v>190800</v>
      </c>
    </row>
    <row r="840">
      <c r="A840" s="2">
        <f>IFERROR(__xludf.DUMMYFUNCTION("""COMPUTED_VALUE"""),41782.645833333336)</f>
        <v>41782.64583</v>
      </c>
      <c r="B840" s="1">
        <f>IFERROR(__xludf.DUMMYFUNCTION("""COMPUTED_VALUE"""),28100.0)</f>
        <v>28100</v>
      </c>
      <c r="C840" s="1">
        <f>IFERROR(__xludf.DUMMYFUNCTION("""COMPUTED_VALUE"""),28560.0)</f>
        <v>28560</v>
      </c>
      <c r="D840" s="1">
        <f>IFERROR(__xludf.DUMMYFUNCTION("""COMPUTED_VALUE"""),28100.0)</f>
        <v>28100</v>
      </c>
      <c r="E840" s="1">
        <f>IFERROR(__xludf.DUMMYFUNCTION("""COMPUTED_VALUE"""),28560.0)</f>
        <v>28560</v>
      </c>
      <c r="F840" s="1">
        <f>IFERROR(__xludf.DUMMYFUNCTION("""COMPUTED_VALUE"""),170233.0)</f>
        <v>170233</v>
      </c>
    </row>
    <row r="841">
      <c r="A841" s="2">
        <f>IFERROR(__xludf.DUMMYFUNCTION("""COMPUTED_VALUE"""),41785.645833333336)</f>
        <v>41785.64583</v>
      </c>
      <c r="B841" s="1">
        <f>IFERROR(__xludf.DUMMYFUNCTION("""COMPUTED_VALUE"""),28400.0)</f>
        <v>28400</v>
      </c>
      <c r="C841" s="1">
        <f>IFERROR(__xludf.DUMMYFUNCTION("""COMPUTED_VALUE"""),28640.0)</f>
        <v>28640</v>
      </c>
      <c r="D841" s="1">
        <f>IFERROR(__xludf.DUMMYFUNCTION("""COMPUTED_VALUE"""),28300.0)</f>
        <v>28300</v>
      </c>
      <c r="E841" s="1">
        <f>IFERROR(__xludf.DUMMYFUNCTION("""COMPUTED_VALUE"""),28440.0)</f>
        <v>28440</v>
      </c>
      <c r="F841" s="1">
        <f>IFERROR(__xludf.DUMMYFUNCTION("""COMPUTED_VALUE"""),74712.0)</f>
        <v>74712</v>
      </c>
    </row>
    <row r="842">
      <c r="A842" s="2">
        <f>IFERROR(__xludf.DUMMYFUNCTION("""COMPUTED_VALUE"""),41786.645833333336)</f>
        <v>41786.64583</v>
      </c>
      <c r="B842" s="1">
        <f>IFERROR(__xludf.DUMMYFUNCTION("""COMPUTED_VALUE"""),28340.0)</f>
        <v>28340</v>
      </c>
      <c r="C842" s="1">
        <f>IFERROR(__xludf.DUMMYFUNCTION("""COMPUTED_VALUE"""),28460.0)</f>
        <v>28460</v>
      </c>
      <c r="D842" s="1">
        <f>IFERROR(__xludf.DUMMYFUNCTION("""COMPUTED_VALUE"""),28060.0)</f>
        <v>28060</v>
      </c>
      <c r="E842" s="1">
        <f>IFERROR(__xludf.DUMMYFUNCTION("""COMPUTED_VALUE"""),28140.0)</f>
        <v>28140</v>
      </c>
      <c r="F842" s="1">
        <f>IFERROR(__xludf.DUMMYFUNCTION("""COMPUTED_VALUE"""),94968.0)</f>
        <v>94968</v>
      </c>
    </row>
    <row r="843">
      <c r="A843" s="2">
        <f>IFERROR(__xludf.DUMMYFUNCTION("""COMPUTED_VALUE"""),41787.645833333336)</f>
        <v>41787.64583</v>
      </c>
      <c r="B843" s="1">
        <f>IFERROR(__xludf.DUMMYFUNCTION("""COMPUTED_VALUE"""),28380.0)</f>
        <v>28380</v>
      </c>
      <c r="C843" s="1">
        <f>IFERROR(__xludf.DUMMYFUNCTION("""COMPUTED_VALUE"""),28700.0)</f>
        <v>28700</v>
      </c>
      <c r="D843" s="1">
        <f>IFERROR(__xludf.DUMMYFUNCTION("""COMPUTED_VALUE"""),28180.0)</f>
        <v>28180</v>
      </c>
      <c r="E843" s="1">
        <f>IFERROR(__xludf.DUMMYFUNCTION("""COMPUTED_VALUE"""),28660.0)</f>
        <v>28660</v>
      </c>
      <c r="F843" s="1">
        <f>IFERROR(__xludf.DUMMYFUNCTION("""COMPUTED_VALUE"""),184019.0)</f>
        <v>184019</v>
      </c>
    </row>
    <row r="844">
      <c r="A844" s="2">
        <f>IFERROR(__xludf.DUMMYFUNCTION("""COMPUTED_VALUE"""),41788.645833333336)</f>
        <v>41788.64583</v>
      </c>
      <c r="B844" s="1">
        <f>IFERROR(__xludf.DUMMYFUNCTION("""COMPUTED_VALUE"""),29000.0)</f>
        <v>29000</v>
      </c>
      <c r="C844" s="1">
        <f>IFERROR(__xludf.DUMMYFUNCTION("""COMPUTED_VALUE"""),29300.0)</f>
        <v>29300</v>
      </c>
      <c r="D844" s="1">
        <f>IFERROR(__xludf.DUMMYFUNCTION("""COMPUTED_VALUE"""),28800.0)</f>
        <v>28800</v>
      </c>
      <c r="E844" s="1">
        <f>IFERROR(__xludf.DUMMYFUNCTION("""COMPUTED_VALUE"""),29200.0)</f>
        <v>29200</v>
      </c>
      <c r="F844" s="1">
        <f>IFERROR(__xludf.DUMMYFUNCTION("""COMPUTED_VALUE"""),250430.0)</f>
        <v>250430</v>
      </c>
    </row>
    <row r="845">
      <c r="A845" s="2">
        <f>IFERROR(__xludf.DUMMYFUNCTION("""COMPUTED_VALUE"""),41789.645833333336)</f>
        <v>41789.64583</v>
      </c>
      <c r="B845" s="1">
        <f>IFERROR(__xludf.DUMMYFUNCTION("""COMPUTED_VALUE"""),29400.0)</f>
        <v>29400</v>
      </c>
      <c r="C845" s="1">
        <f>IFERROR(__xludf.DUMMYFUNCTION("""COMPUTED_VALUE"""),29640.0)</f>
        <v>29640</v>
      </c>
      <c r="D845" s="1">
        <f>IFERROR(__xludf.DUMMYFUNCTION("""COMPUTED_VALUE"""),28860.0)</f>
        <v>28860</v>
      </c>
      <c r="E845" s="1">
        <f>IFERROR(__xludf.DUMMYFUNCTION("""COMPUTED_VALUE"""),28860.0)</f>
        <v>28860</v>
      </c>
      <c r="F845" s="1">
        <f>IFERROR(__xludf.DUMMYFUNCTION("""COMPUTED_VALUE"""),316621.0)</f>
        <v>316621</v>
      </c>
    </row>
    <row r="846">
      <c r="A846" s="2">
        <f>IFERROR(__xludf.DUMMYFUNCTION("""COMPUTED_VALUE"""),41792.645833333336)</f>
        <v>41792.64583</v>
      </c>
      <c r="B846" s="1">
        <f>IFERROR(__xludf.DUMMYFUNCTION("""COMPUTED_VALUE"""),28860.0)</f>
        <v>28860</v>
      </c>
      <c r="C846" s="1">
        <f>IFERROR(__xludf.DUMMYFUNCTION("""COMPUTED_VALUE"""),29160.0)</f>
        <v>29160</v>
      </c>
      <c r="D846" s="1">
        <f>IFERROR(__xludf.DUMMYFUNCTION("""COMPUTED_VALUE"""),28780.0)</f>
        <v>28780</v>
      </c>
      <c r="E846" s="1">
        <f>IFERROR(__xludf.DUMMYFUNCTION("""COMPUTED_VALUE"""),29100.0)</f>
        <v>29100</v>
      </c>
      <c r="F846" s="1">
        <f>IFERROR(__xludf.DUMMYFUNCTION("""COMPUTED_VALUE"""),148789.0)</f>
        <v>148789</v>
      </c>
    </row>
    <row r="847">
      <c r="A847" s="2">
        <f>IFERROR(__xludf.DUMMYFUNCTION("""COMPUTED_VALUE"""),41793.645833333336)</f>
        <v>41793.64583</v>
      </c>
      <c r="B847" s="1">
        <f>IFERROR(__xludf.DUMMYFUNCTION("""COMPUTED_VALUE"""),29680.0)</f>
        <v>29680</v>
      </c>
      <c r="C847" s="1">
        <f>IFERROR(__xludf.DUMMYFUNCTION("""COMPUTED_VALUE"""),29900.0)</f>
        <v>29900</v>
      </c>
      <c r="D847" s="1">
        <f>IFERROR(__xludf.DUMMYFUNCTION("""COMPUTED_VALUE"""),29300.0)</f>
        <v>29300</v>
      </c>
      <c r="E847" s="1">
        <f>IFERROR(__xludf.DUMMYFUNCTION("""COMPUTED_VALUE"""),29400.0)</f>
        <v>29400</v>
      </c>
      <c r="F847" s="1">
        <f>IFERROR(__xludf.DUMMYFUNCTION("""COMPUTED_VALUE"""),344685.0)</f>
        <v>344685</v>
      </c>
    </row>
    <row r="848">
      <c r="A848" s="2">
        <f>IFERROR(__xludf.DUMMYFUNCTION("""COMPUTED_VALUE"""),41795.645833333336)</f>
        <v>41795.64583</v>
      </c>
      <c r="B848" s="1">
        <f>IFERROR(__xludf.DUMMYFUNCTION("""COMPUTED_VALUE"""),29320.0)</f>
        <v>29320</v>
      </c>
      <c r="C848" s="1">
        <f>IFERROR(__xludf.DUMMYFUNCTION("""COMPUTED_VALUE"""),29600.0)</f>
        <v>29600</v>
      </c>
      <c r="D848" s="1">
        <f>IFERROR(__xludf.DUMMYFUNCTION("""COMPUTED_VALUE"""),29000.0)</f>
        <v>29000</v>
      </c>
      <c r="E848" s="1">
        <f>IFERROR(__xludf.DUMMYFUNCTION("""COMPUTED_VALUE"""),29140.0)</f>
        <v>29140</v>
      </c>
      <c r="F848" s="1">
        <f>IFERROR(__xludf.DUMMYFUNCTION("""COMPUTED_VALUE"""),270141.0)</f>
        <v>270141</v>
      </c>
    </row>
    <row r="849">
      <c r="A849" s="2">
        <f>IFERROR(__xludf.DUMMYFUNCTION("""COMPUTED_VALUE"""),41799.645833333336)</f>
        <v>41799.64583</v>
      </c>
      <c r="B849" s="1">
        <f>IFERROR(__xludf.DUMMYFUNCTION("""COMPUTED_VALUE"""),29400.0)</f>
        <v>29400</v>
      </c>
      <c r="C849" s="1">
        <f>IFERROR(__xludf.DUMMYFUNCTION("""COMPUTED_VALUE"""),29460.0)</f>
        <v>29460</v>
      </c>
      <c r="D849" s="1">
        <f>IFERROR(__xludf.DUMMYFUNCTION("""COMPUTED_VALUE"""),28040.0)</f>
        <v>28040</v>
      </c>
      <c r="E849" s="1">
        <f>IFERROR(__xludf.DUMMYFUNCTION("""COMPUTED_VALUE"""),28180.0)</f>
        <v>28180</v>
      </c>
      <c r="F849" s="1">
        <f>IFERROR(__xludf.DUMMYFUNCTION("""COMPUTED_VALUE"""),445392.0)</f>
        <v>445392</v>
      </c>
    </row>
    <row r="850">
      <c r="A850" s="2">
        <f>IFERROR(__xludf.DUMMYFUNCTION("""COMPUTED_VALUE"""),41800.645833333336)</f>
        <v>41800.64583</v>
      </c>
      <c r="B850" s="1">
        <f>IFERROR(__xludf.DUMMYFUNCTION("""COMPUTED_VALUE"""),28420.0)</f>
        <v>28420</v>
      </c>
      <c r="C850" s="1">
        <f>IFERROR(__xludf.DUMMYFUNCTION("""COMPUTED_VALUE"""),28760.0)</f>
        <v>28760</v>
      </c>
      <c r="D850" s="1">
        <f>IFERROR(__xludf.DUMMYFUNCTION("""COMPUTED_VALUE"""),28100.0)</f>
        <v>28100</v>
      </c>
      <c r="E850" s="1">
        <f>IFERROR(__xludf.DUMMYFUNCTION("""COMPUTED_VALUE"""),28720.0)</f>
        <v>28720</v>
      </c>
      <c r="F850" s="1">
        <f>IFERROR(__xludf.DUMMYFUNCTION("""COMPUTED_VALUE"""),184282.0)</f>
        <v>184282</v>
      </c>
    </row>
    <row r="851">
      <c r="A851" s="2">
        <f>IFERROR(__xludf.DUMMYFUNCTION("""COMPUTED_VALUE"""),41801.645833333336)</f>
        <v>41801.64583</v>
      </c>
      <c r="B851" s="1">
        <f>IFERROR(__xludf.DUMMYFUNCTION("""COMPUTED_VALUE"""),28240.0)</f>
        <v>28240</v>
      </c>
      <c r="C851" s="1">
        <f>IFERROR(__xludf.DUMMYFUNCTION("""COMPUTED_VALUE"""),28600.0)</f>
        <v>28600</v>
      </c>
      <c r="D851" s="1">
        <f>IFERROR(__xludf.DUMMYFUNCTION("""COMPUTED_VALUE"""),28240.0)</f>
        <v>28240</v>
      </c>
      <c r="E851" s="1">
        <f>IFERROR(__xludf.DUMMYFUNCTION("""COMPUTED_VALUE"""),28440.0)</f>
        <v>28440</v>
      </c>
      <c r="F851" s="1">
        <f>IFERROR(__xludf.DUMMYFUNCTION("""COMPUTED_VALUE"""),172515.0)</f>
        <v>172515</v>
      </c>
    </row>
    <row r="852">
      <c r="A852" s="2">
        <f>IFERROR(__xludf.DUMMYFUNCTION("""COMPUTED_VALUE"""),41802.645833333336)</f>
        <v>41802.64583</v>
      </c>
      <c r="B852" s="1">
        <f>IFERROR(__xludf.DUMMYFUNCTION("""COMPUTED_VALUE"""),28600.0)</f>
        <v>28600</v>
      </c>
      <c r="C852" s="1">
        <f>IFERROR(__xludf.DUMMYFUNCTION("""COMPUTED_VALUE"""),28600.0)</f>
        <v>28600</v>
      </c>
      <c r="D852" s="1">
        <f>IFERROR(__xludf.DUMMYFUNCTION("""COMPUTED_VALUE"""),28020.0)</f>
        <v>28020</v>
      </c>
      <c r="E852" s="1">
        <f>IFERROR(__xludf.DUMMYFUNCTION("""COMPUTED_VALUE"""),28260.0)</f>
        <v>28260</v>
      </c>
      <c r="F852" s="1">
        <f>IFERROR(__xludf.DUMMYFUNCTION("""COMPUTED_VALUE"""),258863.0)</f>
        <v>258863</v>
      </c>
    </row>
    <row r="853">
      <c r="A853" s="2">
        <f>IFERROR(__xludf.DUMMYFUNCTION("""COMPUTED_VALUE"""),41803.645833333336)</f>
        <v>41803.64583</v>
      </c>
      <c r="B853" s="1">
        <f>IFERROR(__xludf.DUMMYFUNCTION("""COMPUTED_VALUE"""),28040.0)</f>
        <v>28040</v>
      </c>
      <c r="C853" s="1">
        <f>IFERROR(__xludf.DUMMYFUNCTION("""COMPUTED_VALUE"""),28080.0)</f>
        <v>28080</v>
      </c>
      <c r="D853" s="1">
        <f>IFERROR(__xludf.DUMMYFUNCTION("""COMPUTED_VALUE"""),27260.0)</f>
        <v>27260</v>
      </c>
      <c r="E853" s="1">
        <f>IFERROR(__xludf.DUMMYFUNCTION("""COMPUTED_VALUE"""),27340.0)</f>
        <v>27340</v>
      </c>
      <c r="F853" s="1">
        <f>IFERROR(__xludf.DUMMYFUNCTION("""COMPUTED_VALUE"""),371781.0)</f>
        <v>371781</v>
      </c>
    </row>
    <row r="854">
      <c r="A854" s="2">
        <f>IFERROR(__xludf.DUMMYFUNCTION("""COMPUTED_VALUE"""),41806.645833333336)</f>
        <v>41806.64583</v>
      </c>
      <c r="B854" s="1">
        <f>IFERROR(__xludf.DUMMYFUNCTION("""COMPUTED_VALUE"""),27600.0)</f>
        <v>27600</v>
      </c>
      <c r="C854" s="1">
        <f>IFERROR(__xludf.DUMMYFUNCTION("""COMPUTED_VALUE"""),27640.0)</f>
        <v>27640</v>
      </c>
      <c r="D854" s="1">
        <f>IFERROR(__xludf.DUMMYFUNCTION("""COMPUTED_VALUE"""),27240.0)</f>
        <v>27240</v>
      </c>
      <c r="E854" s="1">
        <f>IFERROR(__xludf.DUMMYFUNCTION("""COMPUTED_VALUE"""),27480.0)</f>
        <v>27480</v>
      </c>
      <c r="F854" s="1">
        <f>IFERROR(__xludf.DUMMYFUNCTION("""COMPUTED_VALUE"""),306399.0)</f>
        <v>306399</v>
      </c>
    </row>
    <row r="855">
      <c r="A855" s="2">
        <f>IFERROR(__xludf.DUMMYFUNCTION("""COMPUTED_VALUE"""),41807.645833333336)</f>
        <v>41807.64583</v>
      </c>
      <c r="B855" s="1">
        <f>IFERROR(__xludf.DUMMYFUNCTION("""COMPUTED_VALUE"""),27200.0)</f>
        <v>27200</v>
      </c>
      <c r="C855" s="1">
        <f>IFERROR(__xludf.DUMMYFUNCTION("""COMPUTED_VALUE"""),27560.0)</f>
        <v>27560</v>
      </c>
      <c r="D855" s="1">
        <f>IFERROR(__xludf.DUMMYFUNCTION("""COMPUTED_VALUE"""),27020.0)</f>
        <v>27020</v>
      </c>
      <c r="E855" s="1">
        <f>IFERROR(__xludf.DUMMYFUNCTION("""COMPUTED_VALUE"""),27480.0)</f>
        <v>27480</v>
      </c>
      <c r="F855" s="1">
        <f>IFERROR(__xludf.DUMMYFUNCTION("""COMPUTED_VALUE"""),269535.0)</f>
        <v>269535</v>
      </c>
    </row>
    <row r="856">
      <c r="A856" s="2">
        <f>IFERROR(__xludf.DUMMYFUNCTION("""COMPUTED_VALUE"""),41808.645833333336)</f>
        <v>41808.64583</v>
      </c>
      <c r="B856" s="1">
        <f>IFERROR(__xludf.DUMMYFUNCTION("""COMPUTED_VALUE"""),27460.0)</f>
        <v>27460</v>
      </c>
      <c r="C856" s="1">
        <f>IFERROR(__xludf.DUMMYFUNCTION("""COMPUTED_VALUE"""),27520.0)</f>
        <v>27520</v>
      </c>
      <c r="D856" s="1">
        <f>IFERROR(__xludf.DUMMYFUNCTION("""COMPUTED_VALUE"""),27120.0)</f>
        <v>27120</v>
      </c>
      <c r="E856" s="1">
        <f>IFERROR(__xludf.DUMMYFUNCTION("""COMPUTED_VALUE"""),27160.0)</f>
        <v>27160</v>
      </c>
      <c r="F856" s="1">
        <f>IFERROR(__xludf.DUMMYFUNCTION("""COMPUTED_VALUE"""),220887.0)</f>
        <v>220887</v>
      </c>
    </row>
    <row r="857">
      <c r="A857" s="2">
        <f>IFERROR(__xludf.DUMMYFUNCTION("""COMPUTED_VALUE"""),41809.645833333336)</f>
        <v>41809.64583</v>
      </c>
      <c r="B857" s="1">
        <f>IFERROR(__xludf.DUMMYFUNCTION("""COMPUTED_VALUE"""),26900.0)</f>
        <v>26900</v>
      </c>
      <c r="C857" s="1">
        <f>IFERROR(__xludf.DUMMYFUNCTION("""COMPUTED_VALUE"""),26980.0)</f>
        <v>26980</v>
      </c>
      <c r="D857" s="1">
        <f>IFERROR(__xludf.DUMMYFUNCTION("""COMPUTED_VALUE"""),26400.0)</f>
        <v>26400</v>
      </c>
      <c r="E857" s="1">
        <f>IFERROR(__xludf.DUMMYFUNCTION("""COMPUTED_VALUE"""),26460.0)</f>
        <v>26460</v>
      </c>
      <c r="F857" s="1">
        <f>IFERROR(__xludf.DUMMYFUNCTION("""COMPUTED_VALUE"""),446794.0)</f>
        <v>446794</v>
      </c>
    </row>
    <row r="858">
      <c r="A858" s="2">
        <f>IFERROR(__xludf.DUMMYFUNCTION("""COMPUTED_VALUE"""),41810.645833333336)</f>
        <v>41810.64583</v>
      </c>
      <c r="B858" s="1">
        <f>IFERROR(__xludf.DUMMYFUNCTION("""COMPUTED_VALUE"""),26600.0)</f>
        <v>26600</v>
      </c>
      <c r="C858" s="1">
        <f>IFERROR(__xludf.DUMMYFUNCTION("""COMPUTED_VALUE"""),26600.0)</f>
        <v>26600</v>
      </c>
      <c r="D858" s="1">
        <f>IFERROR(__xludf.DUMMYFUNCTION("""COMPUTED_VALUE"""),25920.0)</f>
        <v>25920</v>
      </c>
      <c r="E858" s="1">
        <f>IFERROR(__xludf.DUMMYFUNCTION("""COMPUTED_VALUE"""),26020.0)</f>
        <v>26020</v>
      </c>
      <c r="F858" s="1">
        <f>IFERROR(__xludf.DUMMYFUNCTION("""COMPUTED_VALUE"""),478053.0)</f>
        <v>478053</v>
      </c>
    </row>
    <row r="859">
      <c r="A859" s="2">
        <f>IFERROR(__xludf.DUMMYFUNCTION("""COMPUTED_VALUE"""),41813.645833333336)</f>
        <v>41813.64583</v>
      </c>
      <c r="B859" s="1">
        <f>IFERROR(__xludf.DUMMYFUNCTION("""COMPUTED_VALUE"""),26420.0)</f>
        <v>26420</v>
      </c>
      <c r="C859" s="1">
        <f>IFERROR(__xludf.DUMMYFUNCTION("""COMPUTED_VALUE"""),26640.0)</f>
        <v>26640</v>
      </c>
      <c r="D859" s="1">
        <f>IFERROR(__xludf.DUMMYFUNCTION("""COMPUTED_VALUE"""),26320.0)</f>
        <v>26320</v>
      </c>
      <c r="E859" s="1">
        <f>IFERROR(__xludf.DUMMYFUNCTION("""COMPUTED_VALUE"""),26440.0)</f>
        <v>26440</v>
      </c>
      <c r="F859" s="1">
        <f>IFERROR(__xludf.DUMMYFUNCTION("""COMPUTED_VALUE"""),249765.0)</f>
        <v>249765</v>
      </c>
    </row>
    <row r="860">
      <c r="A860" s="2">
        <f>IFERROR(__xludf.DUMMYFUNCTION("""COMPUTED_VALUE"""),41814.645833333336)</f>
        <v>41814.64583</v>
      </c>
      <c r="B860" s="1">
        <f>IFERROR(__xludf.DUMMYFUNCTION("""COMPUTED_VALUE"""),26800.0)</f>
        <v>26800</v>
      </c>
      <c r="C860" s="1">
        <f>IFERROR(__xludf.DUMMYFUNCTION("""COMPUTED_VALUE"""),27080.0)</f>
        <v>27080</v>
      </c>
      <c r="D860" s="1">
        <f>IFERROR(__xludf.DUMMYFUNCTION("""COMPUTED_VALUE"""),26640.0)</f>
        <v>26640</v>
      </c>
      <c r="E860" s="1">
        <f>IFERROR(__xludf.DUMMYFUNCTION("""COMPUTED_VALUE"""),26900.0)</f>
        <v>26900</v>
      </c>
      <c r="F860" s="1">
        <f>IFERROR(__xludf.DUMMYFUNCTION("""COMPUTED_VALUE"""),237817.0)</f>
        <v>237817</v>
      </c>
    </row>
    <row r="861">
      <c r="A861" s="2">
        <f>IFERROR(__xludf.DUMMYFUNCTION("""COMPUTED_VALUE"""),41815.645833333336)</f>
        <v>41815.64583</v>
      </c>
      <c r="B861" s="1">
        <f>IFERROR(__xludf.DUMMYFUNCTION("""COMPUTED_VALUE"""),26600.0)</f>
        <v>26600</v>
      </c>
      <c r="C861" s="1">
        <f>IFERROR(__xludf.DUMMYFUNCTION("""COMPUTED_VALUE"""),26660.0)</f>
        <v>26660</v>
      </c>
      <c r="D861" s="1">
        <f>IFERROR(__xludf.DUMMYFUNCTION("""COMPUTED_VALUE"""),26360.0)</f>
        <v>26360</v>
      </c>
      <c r="E861" s="1">
        <f>IFERROR(__xludf.DUMMYFUNCTION("""COMPUTED_VALUE"""),26400.0)</f>
        <v>26400</v>
      </c>
      <c r="F861" s="1">
        <f>IFERROR(__xludf.DUMMYFUNCTION("""COMPUTED_VALUE"""),204638.0)</f>
        <v>204638</v>
      </c>
    </row>
    <row r="862">
      <c r="A862" s="2">
        <f>IFERROR(__xludf.DUMMYFUNCTION("""COMPUTED_VALUE"""),41816.645833333336)</f>
        <v>41816.64583</v>
      </c>
      <c r="B862" s="1">
        <f>IFERROR(__xludf.DUMMYFUNCTION("""COMPUTED_VALUE"""),26180.0)</f>
        <v>26180</v>
      </c>
      <c r="C862" s="1">
        <f>IFERROR(__xludf.DUMMYFUNCTION("""COMPUTED_VALUE"""),26860.0)</f>
        <v>26860</v>
      </c>
      <c r="D862" s="1">
        <f>IFERROR(__xludf.DUMMYFUNCTION("""COMPUTED_VALUE"""),26140.0)</f>
        <v>26140</v>
      </c>
      <c r="E862" s="1">
        <f>IFERROR(__xludf.DUMMYFUNCTION("""COMPUTED_VALUE"""),26500.0)</f>
        <v>26500</v>
      </c>
      <c r="F862" s="1">
        <f>IFERROR(__xludf.DUMMYFUNCTION("""COMPUTED_VALUE"""),255306.0)</f>
        <v>255306</v>
      </c>
    </row>
    <row r="863">
      <c r="A863" s="2">
        <f>IFERROR(__xludf.DUMMYFUNCTION("""COMPUTED_VALUE"""),41817.645833333336)</f>
        <v>41817.64583</v>
      </c>
      <c r="B863" s="1">
        <f>IFERROR(__xludf.DUMMYFUNCTION("""COMPUTED_VALUE"""),26140.0)</f>
        <v>26140</v>
      </c>
      <c r="C863" s="1">
        <f>IFERROR(__xludf.DUMMYFUNCTION("""COMPUTED_VALUE"""),26380.0)</f>
        <v>26380</v>
      </c>
      <c r="D863" s="1">
        <f>IFERROR(__xludf.DUMMYFUNCTION("""COMPUTED_VALUE"""),26120.0)</f>
        <v>26120</v>
      </c>
      <c r="E863" s="1">
        <f>IFERROR(__xludf.DUMMYFUNCTION("""COMPUTED_VALUE"""),26220.0)</f>
        <v>26220</v>
      </c>
      <c r="F863" s="1">
        <f>IFERROR(__xludf.DUMMYFUNCTION("""COMPUTED_VALUE"""),179061.0)</f>
        <v>179061</v>
      </c>
    </row>
    <row r="864">
      <c r="A864" s="2">
        <f>IFERROR(__xludf.DUMMYFUNCTION("""COMPUTED_VALUE"""),41820.645833333336)</f>
        <v>41820.64583</v>
      </c>
      <c r="B864" s="1">
        <f>IFERROR(__xludf.DUMMYFUNCTION("""COMPUTED_VALUE"""),26200.0)</f>
        <v>26200</v>
      </c>
      <c r="C864" s="1">
        <f>IFERROR(__xludf.DUMMYFUNCTION("""COMPUTED_VALUE"""),26480.0)</f>
        <v>26480</v>
      </c>
      <c r="D864" s="1">
        <f>IFERROR(__xludf.DUMMYFUNCTION("""COMPUTED_VALUE"""),26180.0)</f>
        <v>26180</v>
      </c>
      <c r="E864" s="1">
        <f>IFERROR(__xludf.DUMMYFUNCTION("""COMPUTED_VALUE"""),26440.0)</f>
        <v>26440</v>
      </c>
      <c r="F864" s="1">
        <f>IFERROR(__xludf.DUMMYFUNCTION("""COMPUTED_VALUE"""),177621.0)</f>
        <v>177621</v>
      </c>
    </row>
    <row r="865">
      <c r="A865" s="2">
        <f>IFERROR(__xludf.DUMMYFUNCTION("""COMPUTED_VALUE"""),41821.645833333336)</f>
        <v>41821.64583</v>
      </c>
      <c r="B865" s="1">
        <f>IFERROR(__xludf.DUMMYFUNCTION("""COMPUTED_VALUE"""),26160.0)</f>
        <v>26160</v>
      </c>
      <c r="C865" s="1">
        <f>IFERROR(__xludf.DUMMYFUNCTION("""COMPUTED_VALUE"""),26280.0)</f>
        <v>26280</v>
      </c>
      <c r="D865" s="1">
        <f>IFERROR(__xludf.DUMMYFUNCTION("""COMPUTED_VALUE"""),26020.0)</f>
        <v>26020</v>
      </c>
      <c r="E865" s="1">
        <f>IFERROR(__xludf.DUMMYFUNCTION("""COMPUTED_VALUE"""),26200.0)</f>
        <v>26200</v>
      </c>
      <c r="F865" s="1">
        <f>IFERROR(__xludf.DUMMYFUNCTION("""COMPUTED_VALUE"""),174508.0)</f>
        <v>174508</v>
      </c>
    </row>
    <row r="866">
      <c r="A866" s="2">
        <f>IFERROR(__xludf.DUMMYFUNCTION("""COMPUTED_VALUE"""),41822.645833333336)</f>
        <v>41822.64583</v>
      </c>
      <c r="B866" s="1">
        <f>IFERROR(__xludf.DUMMYFUNCTION("""COMPUTED_VALUE"""),26340.0)</f>
        <v>26340</v>
      </c>
      <c r="C866" s="1">
        <f>IFERROR(__xludf.DUMMYFUNCTION("""COMPUTED_VALUE"""),26620.0)</f>
        <v>26620</v>
      </c>
      <c r="D866" s="1">
        <f>IFERROR(__xludf.DUMMYFUNCTION("""COMPUTED_VALUE"""),26120.0)</f>
        <v>26120</v>
      </c>
      <c r="E866" s="1">
        <f>IFERROR(__xludf.DUMMYFUNCTION("""COMPUTED_VALUE"""),26600.0)</f>
        <v>26600</v>
      </c>
      <c r="F866" s="1">
        <f>IFERROR(__xludf.DUMMYFUNCTION("""COMPUTED_VALUE"""),222785.0)</f>
        <v>222785</v>
      </c>
    </row>
    <row r="867">
      <c r="A867" s="2">
        <f>IFERROR(__xludf.DUMMYFUNCTION("""COMPUTED_VALUE"""),41823.645833333336)</f>
        <v>41823.64583</v>
      </c>
      <c r="B867" s="1">
        <f>IFERROR(__xludf.DUMMYFUNCTION("""COMPUTED_VALUE"""),26720.0)</f>
        <v>26720</v>
      </c>
      <c r="C867" s="1">
        <f>IFERROR(__xludf.DUMMYFUNCTION("""COMPUTED_VALUE"""),26720.0)</f>
        <v>26720</v>
      </c>
      <c r="D867" s="1">
        <f>IFERROR(__xludf.DUMMYFUNCTION("""COMPUTED_VALUE"""),26320.0)</f>
        <v>26320</v>
      </c>
      <c r="E867" s="1">
        <f>IFERROR(__xludf.DUMMYFUNCTION("""COMPUTED_VALUE"""),26360.0)</f>
        <v>26360</v>
      </c>
      <c r="F867" s="1">
        <f>IFERROR(__xludf.DUMMYFUNCTION("""COMPUTED_VALUE"""),170861.0)</f>
        <v>170861</v>
      </c>
    </row>
    <row r="868">
      <c r="A868" s="2">
        <f>IFERROR(__xludf.DUMMYFUNCTION("""COMPUTED_VALUE"""),41824.645833333336)</f>
        <v>41824.64583</v>
      </c>
      <c r="B868" s="1">
        <f>IFERROR(__xludf.DUMMYFUNCTION("""COMPUTED_VALUE"""),26440.0)</f>
        <v>26440</v>
      </c>
      <c r="C868" s="1">
        <f>IFERROR(__xludf.DUMMYFUNCTION("""COMPUTED_VALUE"""),26520.0)</f>
        <v>26520</v>
      </c>
      <c r="D868" s="1">
        <f>IFERROR(__xludf.DUMMYFUNCTION("""COMPUTED_VALUE"""),26060.0)</f>
        <v>26060</v>
      </c>
      <c r="E868" s="1">
        <f>IFERROR(__xludf.DUMMYFUNCTION("""COMPUTED_VALUE"""),26120.0)</f>
        <v>26120</v>
      </c>
      <c r="F868" s="1">
        <f>IFERROR(__xludf.DUMMYFUNCTION("""COMPUTED_VALUE"""),119577.0)</f>
        <v>119577</v>
      </c>
    </row>
    <row r="869">
      <c r="A869" s="2">
        <f>IFERROR(__xludf.DUMMYFUNCTION("""COMPUTED_VALUE"""),41827.645833333336)</f>
        <v>41827.64583</v>
      </c>
      <c r="B869" s="1">
        <f>IFERROR(__xludf.DUMMYFUNCTION("""COMPUTED_VALUE"""),25820.0)</f>
        <v>25820</v>
      </c>
      <c r="C869" s="1">
        <f>IFERROR(__xludf.DUMMYFUNCTION("""COMPUTED_VALUE"""),26020.0)</f>
        <v>26020</v>
      </c>
      <c r="D869" s="1">
        <f>IFERROR(__xludf.DUMMYFUNCTION("""COMPUTED_VALUE"""),25800.0)</f>
        <v>25800</v>
      </c>
      <c r="E869" s="1">
        <f>IFERROR(__xludf.DUMMYFUNCTION("""COMPUTED_VALUE"""),25840.0)</f>
        <v>25840</v>
      </c>
      <c r="F869" s="1">
        <f>IFERROR(__xludf.DUMMYFUNCTION("""COMPUTED_VALUE"""),188741.0)</f>
        <v>188741</v>
      </c>
    </row>
    <row r="870">
      <c r="A870" s="2">
        <f>IFERROR(__xludf.DUMMYFUNCTION("""COMPUTED_VALUE"""),41828.645833333336)</f>
        <v>41828.64583</v>
      </c>
      <c r="B870" s="1">
        <f>IFERROR(__xludf.DUMMYFUNCTION("""COMPUTED_VALUE"""),25880.0)</f>
        <v>25880</v>
      </c>
      <c r="C870" s="1">
        <f>IFERROR(__xludf.DUMMYFUNCTION("""COMPUTED_VALUE"""),26380.0)</f>
        <v>26380</v>
      </c>
      <c r="D870" s="1">
        <f>IFERROR(__xludf.DUMMYFUNCTION("""COMPUTED_VALUE"""),25740.0)</f>
        <v>25740</v>
      </c>
      <c r="E870" s="1">
        <f>IFERROR(__xludf.DUMMYFUNCTION("""COMPUTED_VALUE"""),25900.0)</f>
        <v>25900</v>
      </c>
      <c r="F870" s="1">
        <f>IFERROR(__xludf.DUMMYFUNCTION("""COMPUTED_VALUE"""),241464.0)</f>
        <v>241464</v>
      </c>
    </row>
    <row r="871">
      <c r="A871" s="2">
        <f>IFERROR(__xludf.DUMMYFUNCTION("""COMPUTED_VALUE"""),41829.645833333336)</f>
        <v>41829.64583</v>
      </c>
      <c r="B871" s="1">
        <f>IFERROR(__xludf.DUMMYFUNCTION("""COMPUTED_VALUE"""),25740.0)</f>
        <v>25740</v>
      </c>
      <c r="C871" s="1">
        <f>IFERROR(__xludf.DUMMYFUNCTION("""COMPUTED_VALUE"""),26160.0)</f>
        <v>26160</v>
      </c>
      <c r="D871" s="1">
        <f>IFERROR(__xludf.DUMMYFUNCTION("""COMPUTED_VALUE"""),25660.0)</f>
        <v>25660</v>
      </c>
      <c r="E871" s="1">
        <f>IFERROR(__xludf.DUMMYFUNCTION("""COMPUTED_VALUE"""),26160.0)</f>
        <v>26160</v>
      </c>
      <c r="F871" s="1">
        <f>IFERROR(__xludf.DUMMYFUNCTION("""COMPUTED_VALUE"""),236598.0)</f>
        <v>236598</v>
      </c>
    </row>
    <row r="872">
      <c r="A872" s="2">
        <f>IFERROR(__xludf.DUMMYFUNCTION("""COMPUTED_VALUE"""),41830.645833333336)</f>
        <v>41830.64583</v>
      </c>
      <c r="B872" s="1">
        <f>IFERROR(__xludf.DUMMYFUNCTION("""COMPUTED_VALUE"""),26160.0)</f>
        <v>26160</v>
      </c>
      <c r="C872" s="1">
        <f>IFERROR(__xludf.DUMMYFUNCTION("""COMPUTED_VALUE"""),26220.0)</f>
        <v>26220</v>
      </c>
      <c r="D872" s="1">
        <f>IFERROR(__xludf.DUMMYFUNCTION("""COMPUTED_VALUE"""),26040.0)</f>
        <v>26040</v>
      </c>
      <c r="E872" s="1">
        <f>IFERROR(__xludf.DUMMYFUNCTION("""COMPUTED_VALUE"""),26120.0)</f>
        <v>26120</v>
      </c>
      <c r="F872" s="1">
        <f>IFERROR(__xludf.DUMMYFUNCTION("""COMPUTED_VALUE"""),179204.0)</f>
        <v>179204</v>
      </c>
    </row>
    <row r="873">
      <c r="A873" s="2">
        <f>IFERROR(__xludf.DUMMYFUNCTION("""COMPUTED_VALUE"""),41831.645833333336)</f>
        <v>41831.64583</v>
      </c>
      <c r="B873" s="1">
        <f>IFERROR(__xludf.DUMMYFUNCTION("""COMPUTED_VALUE"""),26000.0)</f>
        <v>26000</v>
      </c>
      <c r="C873" s="1">
        <f>IFERROR(__xludf.DUMMYFUNCTION("""COMPUTED_VALUE"""),26040.0)</f>
        <v>26040</v>
      </c>
      <c r="D873" s="1">
        <f>IFERROR(__xludf.DUMMYFUNCTION("""COMPUTED_VALUE"""),25640.0)</f>
        <v>25640</v>
      </c>
      <c r="E873" s="1">
        <f>IFERROR(__xludf.DUMMYFUNCTION("""COMPUTED_VALUE"""),25680.0)</f>
        <v>25680</v>
      </c>
      <c r="F873" s="1">
        <f>IFERROR(__xludf.DUMMYFUNCTION("""COMPUTED_VALUE"""),215592.0)</f>
        <v>215592</v>
      </c>
    </row>
    <row r="874">
      <c r="A874" s="2">
        <f>IFERROR(__xludf.DUMMYFUNCTION("""COMPUTED_VALUE"""),41834.645833333336)</f>
        <v>41834.64583</v>
      </c>
      <c r="B874" s="1">
        <f>IFERROR(__xludf.DUMMYFUNCTION("""COMPUTED_VALUE"""),25960.0)</f>
        <v>25960</v>
      </c>
      <c r="C874" s="1">
        <f>IFERROR(__xludf.DUMMYFUNCTION("""COMPUTED_VALUE"""),26000.0)</f>
        <v>26000</v>
      </c>
      <c r="D874" s="1">
        <f>IFERROR(__xludf.DUMMYFUNCTION("""COMPUTED_VALUE"""),25720.0)</f>
        <v>25720</v>
      </c>
      <c r="E874" s="1">
        <f>IFERROR(__xludf.DUMMYFUNCTION("""COMPUTED_VALUE"""),25720.0)</f>
        <v>25720</v>
      </c>
      <c r="F874" s="1">
        <f>IFERROR(__xludf.DUMMYFUNCTION("""COMPUTED_VALUE"""),141643.0)</f>
        <v>141643</v>
      </c>
    </row>
    <row r="875">
      <c r="A875" s="2">
        <f>IFERROR(__xludf.DUMMYFUNCTION("""COMPUTED_VALUE"""),41835.645833333336)</f>
        <v>41835.64583</v>
      </c>
      <c r="B875" s="1">
        <f>IFERROR(__xludf.DUMMYFUNCTION("""COMPUTED_VALUE"""),26000.0)</f>
        <v>26000</v>
      </c>
      <c r="C875" s="1">
        <f>IFERROR(__xludf.DUMMYFUNCTION("""COMPUTED_VALUE"""),26460.0)</f>
        <v>26460</v>
      </c>
      <c r="D875" s="1">
        <f>IFERROR(__xludf.DUMMYFUNCTION("""COMPUTED_VALUE"""),25940.0)</f>
        <v>25940</v>
      </c>
      <c r="E875" s="1">
        <f>IFERROR(__xludf.DUMMYFUNCTION("""COMPUTED_VALUE"""),26400.0)</f>
        <v>26400</v>
      </c>
      <c r="F875" s="1">
        <f>IFERROR(__xludf.DUMMYFUNCTION("""COMPUTED_VALUE"""),239521.0)</f>
        <v>239521</v>
      </c>
    </row>
    <row r="876">
      <c r="A876" s="2">
        <f>IFERROR(__xludf.DUMMYFUNCTION("""COMPUTED_VALUE"""),41836.645833333336)</f>
        <v>41836.64583</v>
      </c>
      <c r="B876" s="1">
        <f>IFERROR(__xludf.DUMMYFUNCTION("""COMPUTED_VALUE"""),26260.0)</f>
        <v>26260</v>
      </c>
      <c r="C876" s="1">
        <f>IFERROR(__xludf.DUMMYFUNCTION("""COMPUTED_VALUE"""),26460.0)</f>
        <v>26460</v>
      </c>
      <c r="D876" s="1">
        <f>IFERROR(__xludf.DUMMYFUNCTION("""COMPUTED_VALUE"""),26220.0)</f>
        <v>26220</v>
      </c>
      <c r="E876" s="1">
        <f>IFERROR(__xludf.DUMMYFUNCTION("""COMPUTED_VALUE"""),26420.0)</f>
        <v>26420</v>
      </c>
      <c r="F876" s="1">
        <f>IFERROR(__xludf.DUMMYFUNCTION("""COMPUTED_VALUE"""),182284.0)</f>
        <v>182284</v>
      </c>
    </row>
    <row r="877">
      <c r="A877" s="2">
        <f>IFERROR(__xludf.DUMMYFUNCTION("""COMPUTED_VALUE"""),41837.645833333336)</f>
        <v>41837.64583</v>
      </c>
      <c r="B877" s="1">
        <f>IFERROR(__xludf.DUMMYFUNCTION("""COMPUTED_VALUE"""),26520.0)</f>
        <v>26520</v>
      </c>
      <c r="C877" s="1">
        <f>IFERROR(__xludf.DUMMYFUNCTION("""COMPUTED_VALUE"""),26700.0)</f>
        <v>26700</v>
      </c>
      <c r="D877" s="1">
        <f>IFERROR(__xludf.DUMMYFUNCTION("""COMPUTED_VALUE"""),26400.0)</f>
        <v>26400</v>
      </c>
      <c r="E877" s="1">
        <f>IFERROR(__xludf.DUMMYFUNCTION("""COMPUTED_VALUE"""),26600.0)</f>
        <v>26600</v>
      </c>
      <c r="F877" s="1">
        <f>IFERROR(__xludf.DUMMYFUNCTION("""COMPUTED_VALUE"""),218454.0)</f>
        <v>218454</v>
      </c>
    </row>
    <row r="878">
      <c r="A878" s="2">
        <f>IFERROR(__xludf.DUMMYFUNCTION("""COMPUTED_VALUE"""),41838.645833333336)</f>
        <v>41838.64583</v>
      </c>
      <c r="B878" s="1">
        <f>IFERROR(__xludf.DUMMYFUNCTION("""COMPUTED_VALUE"""),26300.0)</f>
        <v>26300</v>
      </c>
      <c r="C878" s="1">
        <f>IFERROR(__xludf.DUMMYFUNCTION("""COMPUTED_VALUE"""),26860.0)</f>
        <v>26860</v>
      </c>
      <c r="D878" s="1">
        <f>IFERROR(__xludf.DUMMYFUNCTION("""COMPUTED_VALUE"""),26280.0)</f>
        <v>26280</v>
      </c>
      <c r="E878" s="1">
        <f>IFERROR(__xludf.DUMMYFUNCTION("""COMPUTED_VALUE"""),26860.0)</f>
        <v>26860</v>
      </c>
      <c r="F878" s="1">
        <f>IFERROR(__xludf.DUMMYFUNCTION("""COMPUTED_VALUE"""),194853.0)</f>
        <v>194853</v>
      </c>
    </row>
    <row r="879">
      <c r="A879" s="2">
        <f>IFERROR(__xludf.DUMMYFUNCTION("""COMPUTED_VALUE"""),41841.645833333336)</f>
        <v>41841.64583</v>
      </c>
      <c r="B879" s="1">
        <f>IFERROR(__xludf.DUMMYFUNCTION("""COMPUTED_VALUE"""),26980.0)</f>
        <v>26980</v>
      </c>
      <c r="C879" s="1">
        <f>IFERROR(__xludf.DUMMYFUNCTION("""COMPUTED_VALUE"""),27200.0)</f>
        <v>27200</v>
      </c>
      <c r="D879" s="1">
        <f>IFERROR(__xludf.DUMMYFUNCTION("""COMPUTED_VALUE"""),26860.0)</f>
        <v>26860</v>
      </c>
      <c r="E879" s="1">
        <f>IFERROR(__xludf.DUMMYFUNCTION("""COMPUTED_VALUE"""),27060.0)</f>
        <v>27060</v>
      </c>
      <c r="F879" s="1">
        <f>IFERROR(__xludf.DUMMYFUNCTION("""COMPUTED_VALUE"""),161199.0)</f>
        <v>161199</v>
      </c>
    </row>
    <row r="880">
      <c r="A880" s="2">
        <f>IFERROR(__xludf.DUMMYFUNCTION("""COMPUTED_VALUE"""),41842.645833333336)</f>
        <v>41842.64583</v>
      </c>
      <c r="B880" s="1">
        <f>IFERROR(__xludf.DUMMYFUNCTION("""COMPUTED_VALUE"""),26960.0)</f>
        <v>26960</v>
      </c>
      <c r="C880" s="1">
        <f>IFERROR(__xludf.DUMMYFUNCTION("""COMPUTED_VALUE"""),27160.0)</f>
        <v>27160</v>
      </c>
      <c r="D880" s="1">
        <f>IFERROR(__xludf.DUMMYFUNCTION("""COMPUTED_VALUE"""),26900.0)</f>
        <v>26900</v>
      </c>
      <c r="E880" s="1">
        <f>IFERROR(__xludf.DUMMYFUNCTION("""COMPUTED_VALUE"""),26960.0)</f>
        <v>26960</v>
      </c>
      <c r="F880" s="1">
        <f>IFERROR(__xludf.DUMMYFUNCTION("""COMPUTED_VALUE"""),126019.0)</f>
        <v>126019</v>
      </c>
    </row>
    <row r="881">
      <c r="A881" s="2">
        <f>IFERROR(__xludf.DUMMYFUNCTION("""COMPUTED_VALUE"""),41843.645833333336)</f>
        <v>41843.64583</v>
      </c>
      <c r="B881" s="1">
        <f>IFERROR(__xludf.DUMMYFUNCTION("""COMPUTED_VALUE"""),27080.0)</f>
        <v>27080</v>
      </c>
      <c r="C881" s="1">
        <f>IFERROR(__xludf.DUMMYFUNCTION("""COMPUTED_VALUE"""),27140.0)</f>
        <v>27140</v>
      </c>
      <c r="D881" s="1">
        <f>IFERROR(__xludf.DUMMYFUNCTION("""COMPUTED_VALUE"""),26700.0)</f>
        <v>26700</v>
      </c>
      <c r="E881" s="1">
        <f>IFERROR(__xludf.DUMMYFUNCTION("""COMPUTED_VALUE"""),26760.0)</f>
        <v>26760</v>
      </c>
      <c r="F881" s="1">
        <f>IFERROR(__xludf.DUMMYFUNCTION("""COMPUTED_VALUE"""),128346.0)</f>
        <v>128346</v>
      </c>
    </row>
    <row r="882">
      <c r="A882" s="2">
        <f>IFERROR(__xludf.DUMMYFUNCTION("""COMPUTED_VALUE"""),41844.645833333336)</f>
        <v>41844.64583</v>
      </c>
      <c r="B882" s="1">
        <f>IFERROR(__xludf.DUMMYFUNCTION("""COMPUTED_VALUE"""),27000.0)</f>
        <v>27000</v>
      </c>
      <c r="C882" s="1">
        <f>IFERROR(__xludf.DUMMYFUNCTION("""COMPUTED_VALUE"""),27160.0)</f>
        <v>27160</v>
      </c>
      <c r="D882" s="1">
        <f>IFERROR(__xludf.DUMMYFUNCTION("""COMPUTED_VALUE"""),26620.0)</f>
        <v>26620</v>
      </c>
      <c r="E882" s="1">
        <f>IFERROR(__xludf.DUMMYFUNCTION("""COMPUTED_VALUE"""),27100.0)</f>
        <v>27100</v>
      </c>
      <c r="F882" s="1">
        <f>IFERROR(__xludf.DUMMYFUNCTION("""COMPUTED_VALUE"""),161034.0)</f>
        <v>161034</v>
      </c>
    </row>
    <row r="883">
      <c r="A883" s="2">
        <f>IFERROR(__xludf.DUMMYFUNCTION("""COMPUTED_VALUE"""),41845.645833333336)</f>
        <v>41845.64583</v>
      </c>
      <c r="B883" s="1">
        <f>IFERROR(__xludf.DUMMYFUNCTION("""COMPUTED_VALUE"""),26920.0)</f>
        <v>26920</v>
      </c>
      <c r="C883" s="1">
        <f>IFERROR(__xludf.DUMMYFUNCTION("""COMPUTED_VALUE"""),27100.0)</f>
        <v>27100</v>
      </c>
      <c r="D883" s="1">
        <f>IFERROR(__xludf.DUMMYFUNCTION("""COMPUTED_VALUE"""),26700.0)</f>
        <v>26700</v>
      </c>
      <c r="E883" s="1">
        <f>IFERROR(__xludf.DUMMYFUNCTION("""COMPUTED_VALUE"""),27100.0)</f>
        <v>27100</v>
      </c>
      <c r="F883" s="1">
        <f>IFERROR(__xludf.DUMMYFUNCTION("""COMPUTED_VALUE"""),175803.0)</f>
        <v>175803</v>
      </c>
    </row>
    <row r="884">
      <c r="A884" s="2">
        <f>IFERROR(__xludf.DUMMYFUNCTION("""COMPUTED_VALUE"""),41848.645833333336)</f>
        <v>41848.64583</v>
      </c>
      <c r="B884" s="1">
        <f>IFERROR(__xludf.DUMMYFUNCTION("""COMPUTED_VALUE"""),27100.0)</f>
        <v>27100</v>
      </c>
      <c r="C884" s="1">
        <f>IFERROR(__xludf.DUMMYFUNCTION("""COMPUTED_VALUE"""),27340.0)</f>
        <v>27340</v>
      </c>
      <c r="D884" s="1">
        <f>IFERROR(__xludf.DUMMYFUNCTION("""COMPUTED_VALUE"""),26880.0)</f>
        <v>26880</v>
      </c>
      <c r="E884" s="1">
        <f>IFERROR(__xludf.DUMMYFUNCTION("""COMPUTED_VALUE"""),27160.0)</f>
        <v>27160</v>
      </c>
      <c r="F884" s="1">
        <f>IFERROR(__xludf.DUMMYFUNCTION("""COMPUTED_VALUE"""),179851.0)</f>
        <v>179851</v>
      </c>
    </row>
    <row r="885">
      <c r="A885" s="2">
        <f>IFERROR(__xludf.DUMMYFUNCTION("""COMPUTED_VALUE"""),41849.645833333336)</f>
        <v>41849.64583</v>
      </c>
      <c r="B885" s="1">
        <f>IFERROR(__xludf.DUMMYFUNCTION("""COMPUTED_VALUE"""),27100.0)</f>
        <v>27100</v>
      </c>
      <c r="C885" s="1">
        <f>IFERROR(__xludf.DUMMYFUNCTION("""COMPUTED_VALUE"""),27760.0)</f>
        <v>27760</v>
      </c>
      <c r="D885" s="1">
        <f>IFERROR(__xludf.DUMMYFUNCTION("""COMPUTED_VALUE"""),27060.0)</f>
        <v>27060</v>
      </c>
      <c r="E885" s="1">
        <f>IFERROR(__xludf.DUMMYFUNCTION("""COMPUTED_VALUE"""),27720.0)</f>
        <v>27720</v>
      </c>
      <c r="F885" s="1">
        <f>IFERROR(__xludf.DUMMYFUNCTION("""COMPUTED_VALUE"""),256186.0)</f>
        <v>256186</v>
      </c>
    </row>
    <row r="886">
      <c r="A886" s="2">
        <f>IFERROR(__xludf.DUMMYFUNCTION("""COMPUTED_VALUE"""),41850.645833333336)</f>
        <v>41850.64583</v>
      </c>
      <c r="B886" s="1">
        <f>IFERROR(__xludf.DUMMYFUNCTION("""COMPUTED_VALUE"""),27760.0)</f>
        <v>27760</v>
      </c>
      <c r="C886" s="1">
        <f>IFERROR(__xludf.DUMMYFUNCTION("""COMPUTED_VALUE"""),28160.0)</f>
        <v>28160</v>
      </c>
      <c r="D886" s="1">
        <f>IFERROR(__xludf.DUMMYFUNCTION("""COMPUTED_VALUE"""),27480.0)</f>
        <v>27480</v>
      </c>
      <c r="E886" s="1">
        <f>IFERROR(__xludf.DUMMYFUNCTION("""COMPUTED_VALUE"""),27900.0)</f>
        <v>27900</v>
      </c>
      <c r="F886" s="1">
        <f>IFERROR(__xludf.DUMMYFUNCTION("""COMPUTED_VALUE"""),347189.0)</f>
        <v>347189</v>
      </c>
    </row>
    <row r="887">
      <c r="A887" s="2">
        <f>IFERROR(__xludf.DUMMYFUNCTION("""COMPUTED_VALUE"""),41851.645833333336)</f>
        <v>41851.64583</v>
      </c>
      <c r="B887" s="1">
        <f>IFERROR(__xludf.DUMMYFUNCTION("""COMPUTED_VALUE"""),27480.0)</f>
        <v>27480</v>
      </c>
      <c r="C887" s="1">
        <f>IFERROR(__xludf.DUMMYFUNCTION("""COMPUTED_VALUE"""),27700.0)</f>
        <v>27700</v>
      </c>
      <c r="D887" s="1">
        <f>IFERROR(__xludf.DUMMYFUNCTION("""COMPUTED_VALUE"""),26720.0)</f>
        <v>26720</v>
      </c>
      <c r="E887" s="1">
        <f>IFERROR(__xludf.DUMMYFUNCTION("""COMPUTED_VALUE"""),26860.0)</f>
        <v>26860</v>
      </c>
      <c r="F887" s="1">
        <f>IFERROR(__xludf.DUMMYFUNCTION("""COMPUTED_VALUE"""),487027.0)</f>
        <v>487027</v>
      </c>
    </row>
    <row r="888">
      <c r="A888" s="2">
        <f>IFERROR(__xludf.DUMMYFUNCTION("""COMPUTED_VALUE"""),41852.645833333336)</f>
        <v>41852.64583</v>
      </c>
      <c r="B888" s="1">
        <f>IFERROR(__xludf.DUMMYFUNCTION("""COMPUTED_VALUE"""),26100.0)</f>
        <v>26100</v>
      </c>
      <c r="C888" s="1">
        <f>IFERROR(__xludf.DUMMYFUNCTION("""COMPUTED_VALUE"""),26560.0)</f>
        <v>26560</v>
      </c>
      <c r="D888" s="1">
        <f>IFERROR(__xludf.DUMMYFUNCTION("""COMPUTED_VALUE"""),25840.0)</f>
        <v>25840</v>
      </c>
      <c r="E888" s="1">
        <f>IFERROR(__xludf.DUMMYFUNCTION("""COMPUTED_VALUE"""),25840.0)</f>
        <v>25840</v>
      </c>
      <c r="F888" s="1">
        <f>IFERROR(__xludf.DUMMYFUNCTION("""COMPUTED_VALUE"""),564621.0)</f>
        <v>564621</v>
      </c>
    </row>
    <row r="889">
      <c r="A889" s="2">
        <f>IFERROR(__xludf.DUMMYFUNCTION("""COMPUTED_VALUE"""),41855.645833333336)</f>
        <v>41855.64583</v>
      </c>
      <c r="B889" s="1">
        <f>IFERROR(__xludf.DUMMYFUNCTION("""COMPUTED_VALUE"""),26000.0)</f>
        <v>26000</v>
      </c>
      <c r="C889" s="1">
        <f>IFERROR(__xludf.DUMMYFUNCTION("""COMPUTED_VALUE"""),26340.0)</f>
        <v>26340</v>
      </c>
      <c r="D889" s="1">
        <f>IFERROR(__xludf.DUMMYFUNCTION("""COMPUTED_VALUE"""),25820.0)</f>
        <v>25820</v>
      </c>
      <c r="E889" s="1">
        <f>IFERROR(__xludf.DUMMYFUNCTION("""COMPUTED_VALUE"""),26340.0)</f>
        <v>26340</v>
      </c>
      <c r="F889" s="1">
        <f>IFERROR(__xludf.DUMMYFUNCTION("""COMPUTED_VALUE"""),241335.0)</f>
        <v>241335</v>
      </c>
    </row>
    <row r="890">
      <c r="A890" s="2">
        <f>IFERROR(__xludf.DUMMYFUNCTION("""COMPUTED_VALUE"""),41856.645833333336)</f>
        <v>41856.64583</v>
      </c>
      <c r="B890" s="1">
        <f>IFERROR(__xludf.DUMMYFUNCTION("""COMPUTED_VALUE"""),26020.0)</f>
        <v>26020</v>
      </c>
      <c r="C890" s="1">
        <f>IFERROR(__xludf.DUMMYFUNCTION("""COMPUTED_VALUE"""),26420.0)</f>
        <v>26420</v>
      </c>
      <c r="D890" s="1">
        <f>IFERROR(__xludf.DUMMYFUNCTION("""COMPUTED_VALUE"""),26000.0)</f>
        <v>26000</v>
      </c>
      <c r="E890" s="1">
        <f>IFERROR(__xludf.DUMMYFUNCTION("""COMPUTED_VALUE"""),26320.0)</f>
        <v>26320</v>
      </c>
      <c r="F890" s="1">
        <f>IFERROR(__xludf.DUMMYFUNCTION("""COMPUTED_VALUE"""),172529.0)</f>
        <v>172529</v>
      </c>
    </row>
    <row r="891">
      <c r="A891" s="2">
        <f>IFERROR(__xludf.DUMMYFUNCTION("""COMPUTED_VALUE"""),41857.645833333336)</f>
        <v>41857.64583</v>
      </c>
      <c r="B891" s="1">
        <f>IFERROR(__xludf.DUMMYFUNCTION("""COMPUTED_VALUE"""),26120.0)</f>
        <v>26120</v>
      </c>
      <c r="C891" s="1">
        <f>IFERROR(__xludf.DUMMYFUNCTION("""COMPUTED_VALUE"""),26320.0)</f>
        <v>26320</v>
      </c>
      <c r="D891" s="1">
        <f>IFERROR(__xludf.DUMMYFUNCTION("""COMPUTED_VALUE"""),25900.0)</f>
        <v>25900</v>
      </c>
      <c r="E891" s="1">
        <f>IFERROR(__xludf.DUMMYFUNCTION("""COMPUTED_VALUE"""),26000.0)</f>
        <v>26000</v>
      </c>
      <c r="F891" s="1">
        <f>IFERROR(__xludf.DUMMYFUNCTION("""COMPUTED_VALUE"""),216602.0)</f>
        <v>216602</v>
      </c>
    </row>
    <row r="892">
      <c r="A892" s="2">
        <f>IFERROR(__xludf.DUMMYFUNCTION("""COMPUTED_VALUE"""),41858.645833333336)</f>
        <v>41858.64583</v>
      </c>
      <c r="B892" s="1">
        <f>IFERROR(__xludf.DUMMYFUNCTION("""COMPUTED_VALUE"""),26000.0)</f>
        <v>26000</v>
      </c>
      <c r="C892" s="1">
        <f>IFERROR(__xludf.DUMMYFUNCTION("""COMPUTED_VALUE"""),26040.0)</f>
        <v>26040</v>
      </c>
      <c r="D892" s="1">
        <f>IFERROR(__xludf.DUMMYFUNCTION("""COMPUTED_VALUE"""),25700.0)</f>
        <v>25700</v>
      </c>
      <c r="E892" s="1">
        <f>IFERROR(__xludf.DUMMYFUNCTION("""COMPUTED_VALUE"""),25800.0)</f>
        <v>25800</v>
      </c>
      <c r="F892" s="1">
        <f>IFERROR(__xludf.DUMMYFUNCTION("""COMPUTED_VALUE"""),190545.0)</f>
        <v>190545</v>
      </c>
    </row>
    <row r="893">
      <c r="A893" s="2">
        <f>IFERROR(__xludf.DUMMYFUNCTION("""COMPUTED_VALUE"""),41859.645833333336)</f>
        <v>41859.64583</v>
      </c>
      <c r="B893" s="1">
        <f>IFERROR(__xludf.DUMMYFUNCTION("""COMPUTED_VALUE"""),25680.0)</f>
        <v>25680</v>
      </c>
      <c r="C893" s="1">
        <f>IFERROR(__xludf.DUMMYFUNCTION("""COMPUTED_VALUE"""),25700.0)</f>
        <v>25700</v>
      </c>
      <c r="D893" s="1">
        <f>IFERROR(__xludf.DUMMYFUNCTION("""COMPUTED_VALUE"""),24960.0)</f>
        <v>24960</v>
      </c>
      <c r="E893" s="1">
        <f>IFERROR(__xludf.DUMMYFUNCTION("""COMPUTED_VALUE"""),25000.0)</f>
        <v>25000</v>
      </c>
      <c r="F893" s="1">
        <f>IFERROR(__xludf.DUMMYFUNCTION("""COMPUTED_VALUE"""),412429.0)</f>
        <v>412429</v>
      </c>
    </row>
    <row r="894">
      <c r="A894" s="2">
        <f>IFERROR(__xludf.DUMMYFUNCTION("""COMPUTED_VALUE"""),41862.645833333336)</f>
        <v>41862.64583</v>
      </c>
      <c r="B894" s="1">
        <f>IFERROR(__xludf.DUMMYFUNCTION("""COMPUTED_VALUE"""),25500.0)</f>
        <v>25500</v>
      </c>
      <c r="C894" s="1">
        <f>IFERROR(__xludf.DUMMYFUNCTION("""COMPUTED_VALUE"""),25640.0)</f>
        <v>25640</v>
      </c>
      <c r="D894" s="1">
        <f>IFERROR(__xludf.DUMMYFUNCTION("""COMPUTED_VALUE"""),25140.0)</f>
        <v>25140</v>
      </c>
      <c r="E894" s="1">
        <f>IFERROR(__xludf.DUMMYFUNCTION("""COMPUTED_VALUE"""),25400.0)</f>
        <v>25400</v>
      </c>
      <c r="F894" s="1">
        <f>IFERROR(__xludf.DUMMYFUNCTION("""COMPUTED_VALUE"""),372385.0)</f>
        <v>372385</v>
      </c>
    </row>
    <row r="895">
      <c r="A895" s="2">
        <f>IFERROR(__xludf.DUMMYFUNCTION("""COMPUTED_VALUE"""),41863.645833333336)</f>
        <v>41863.64583</v>
      </c>
      <c r="B895" s="1">
        <f>IFERROR(__xludf.DUMMYFUNCTION("""COMPUTED_VALUE"""),25400.0)</f>
        <v>25400</v>
      </c>
      <c r="C895" s="1">
        <f>IFERROR(__xludf.DUMMYFUNCTION("""COMPUTED_VALUE"""),25880.0)</f>
        <v>25880</v>
      </c>
      <c r="D895" s="1">
        <f>IFERROR(__xludf.DUMMYFUNCTION("""COMPUTED_VALUE"""),25240.0)</f>
        <v>25240</v>
      </c>
      <c r="E895" s="1">
        <f>IFERROR(__xludf.DUMMYFUNCTION("""COMPUTED_VALUE"""),25320.0)</f>
        <v>25320</v>
      </c>
      <c r="F895" s="1">
        <f>IFERROR(__xludf.DUMMYFUNCTION("""COMPUTED_VALUE"""),179914.0)</f>
        <v>179914</v>
      </c>
    </row>
    <row r="896">
      <c r="A896" s="2">
        <f>IFERROR(__xludf.DUMMYFUNCTION("""COMPUTED_VALUE"""),41864.645833333336)</f>
        <v>41864.64583</v>
      </c>
      <c r="B896" s="1">
        <f>IFERROR(__xludf.DUMMYFUNCTION("""COMPUTED_VALUE"""),25500.0)</f>
        <v>25500</v>
      </c>
      <c r="C896" s="1">
        <f>IFERROR(__xludf.DUMMYFUNCTION("""COMPUTED_VALUE"""),25500.0)</f>
        <v>25500</v>
      </c>
      <c r="D896" s="1">
        <f>IFERROR(__xludf.DUMMYFUNCTION("""COMPUTED_VALUE"""),24960.0)</f>
        <v>24960</v>
      </c>
      <c r="E896" s="1">
        <f>IFERROR(__xludf.DUMMYFUNCTION("""COMPUTED_VALUE"""),25280.0)</f>
        <v>25280</v>
      </c>
      <c r="F896" s="1">
        <f>IFERROR(__xludf.DUMMYFUNCTION("""COMPUTED_VALUE"""),256900.0)</f>
        <v>256900</v>
      </c>
    </row>
    <row r="897">
      <c r="A897" s="2">
        <f>IFERROR(__xludf.DUMMYFUNCTION("""COMPUTED_VALUE"""),41865.645833333336)</f>
        <v>41865.64583</v>
      </c>
      <c r="B897" s="1">
        <f>IFERROR(__xludf.DUMMYFUNCTION("""COMPUTED_VALUE"""),25480.0)</f>
        <v>25480</v>
      </c>
      <c r="C897" s="1">
        <f>IFERROR(__xludf.DUMMYFUNCTION("""COMPUTED_VALUE"""),25640.0)</f>
        <v>25640</v>
      </c>
      <c r="D897" s="1">
        <f>IFERROR(__xludf.DUMMYFUNCTION("""COMPUTED_VALUE"""),25080.0)</f>
        <v>25080</v>
      </c>
      <c r="E897" s="1">
        <f>IFERROR(__xludf.DUMMYFUNCTION("""COMPUTED_VALUE"""),25220.0)</f>
        <v>25220</v>
      </c>
      <c r="F897" s="1">
        <f>IFERROR(__xludf.DUMMYFUNCTION("""COMPUTED_VALUE"""),208947.0)</f>
        <v>208947</v>
      </c>
    </row>
    <row r="898">
      <c r="A898" s="2">
        <f>IFERROR(__xludf.DUMMYFUNCTION("""COMPUTED_VALUE"""),41869.645833333336)</f>
        <v>41869.64583</v>
      </c>
      <c r="B898" s="1">
        <f>IFERROR(__xludf.DUMMYFUNCTION("""COMPUTED_VALUE"""),25580.0)</f>
        <v>25580</v>
      </c>
      <c r="C898" s="1">
        <f>IFERROR(__xludf.DUMMYFUNCTION("""COMPUTED_VALUE"""),25600.0)</f>
        <v>25600</v>
      </c>
      <c r="D898" s="1">
        <f>IFERROR(__xludf.DUMMYFUNCTION("""COMPUTED_VALUE"""),25000.0)</f>
        <v>25000</v>
      </c>
      <c r="E898" s="1">
        <f>IFERROR(__xludf.DUMMYFUNCTION("""COMPUTED_VALUE"""),25000.0)</f>
        <v>25000</v>
      </c>
      <c r="F898" s="1">
        <f>IFERROR(__xludf.DUMMYFUNCTION("""COMPUTED_VALUE"""),210379.0)</f>
        <v>210379</v>
      </c>
    </row>
    <row r="899">
      <c r="A899" s="2">
        <f>IFERROR(__xludf.DUMMYFUNCTION("""COMPUTED_VALUE"""),41870.645833333336)</f>
        <v>41870.64583</v>
      </c>
      <c r="B899" s="1">
        <f>IFERROR(__xludf.DUMMYFUNCTION("""COMPUTED_VALUE"""),25280.0)</f>
        <v>25280</v>
      </c>
      <c r="C899" s="1">
        <f>IFERROR(__xludf.DUMMYFUNCTION("""COMPUTED_VALUE"""),25460.0)</f>
        <v>25460</v>
      </c>
      <c r="D899" s="1">
        <f>IFERROR(__xludf.DUMMYFUNCTION("""COMPUTED_VALUE"""),25060.0)</f>
        <v>25060</v>
      </c>
      <c r="E899" s="1">
        <f>IFERROR(__xludf.DUMMYFUNCTION("""COMPUTED_VALUE"""),25080.0)</f>
        <v>25080</v>
      </c>
      <c r="F899" s="1">
        <f>IFERROR(__xludf.DUMMYFUNCTION("""COMPUTED_VALUE"""),200888.0)</f>
        <v>200888</v>
      </c>
    </row>
    <row r="900">
      <c r="A900" s="2">
        <f>IFERROR(__xludf.DUMMYFUNCTION("""COMPUTED_VALUE"""),41871.645833333336)</f>
        <v>41871.64583</v>
      </c>
      <c r="B900" s="1">
        <f>IFERROR(__xludf.DUMMYFUNCTION("""COMPUTED_VALUE"""),25280.0)</f>
        <v>25280</v>
      </c>
      <c r="C900" s="1">
        <f>IFERROR(__xludf.DUMMYFUNCTION("""COMPUTED_VALUE"""),25420.0)</f>
        <v>25420</v>
      </c>
      <c r="D900" s="1">
        <f>IFERROR(__xludf.DUMMYFUNCTION("""COMPUTED_VALUE"""),25020.0)</f>
        <v>25020</v>
      </c>
      <c r="E900" s="1">
        <f>IFERROR(__xludf.DUMMYFUNCTION("""COMPUTED_VALUE"""),25220.0)</f>
        <v>25220</v>
      </c>
      <c r="F900" s="1">
        <f>IFERROR(__xludf.DUMMYFUNCTION("""COMPUTED_VALUE"""),188612.0)</f>
        <v>188612</v>
      </c>
    </row>
    <row r="901">
      <c r="A901" s="2">
        <f>IFERROR(__xludf.DUMMYFUNCTION("""COMPUTED_VALUE"""),41872.645833333336)</f>
        <v>41872.64583</v>
      </c>
      <c r="B901" s="1">
        <f>IFERROR(__xludf.DUMMYFUNCTION("""COMPUTED_VALUE"""),25100.0)</f>
        <v>25100</v>
      </c>
      <c r="C901" s="1">
        <f>IFERROR(__xludf.DUMMYFUNCTION("""COMPUTED_VALUE"""),25220.0)</f>
        <v>25220</v>
      </c>
      <c r="D901" s="1">
        <f>IFERROR(__xludf.DUMMYFUNCTION("""COMPUTED_VALUE"""),24620.0)</f>
        <v>24620</v>
      </c>
      <c r="E901" s="1">
        <f>IFERROR(__xludf.DUMMYFUNCTION("""COMPUTED_VALUE"""),24700.0)</f>
        <v>24700</v>
      </c>
      <c r="F901" s="1">
        <f>IFERROR(__xludf.DUMMYFUNCTION("""COMPUTED_VALUE"""),342108.0)</f>
        <v>342108</v>
      </c>
    </row>
    <row r="902">
      <c r="A902" s="2">
        <f>IFERROR(__xludf.DUMMYFUNCTION("""COMPUTED_VALUE"""),41873.645833333336)</f>
        <v>41873.64583</v>
      </c>
      <c r="B902" s="1">
        <f>IFERROR(__xludf.DUMMYFUNCTION("""COMPUTED_VALUE"""),24900.0)</f>
        <v>24900</v>
      </c>
      <c r="C902" s="1">
        <f>IFERROR(__xludf.DUMMYFUNCTION("""COMPUTED_VALUE"""),24940.0)</f>
        <v>24940</v>
      </c>
      <c r="D902" s="1">
        <f>IFERROR(__xludf.DUMMYFUNCTION("""COMPUTED_VALUE"""),24700.0)</f>
        <v>24700</v>
      </c>
      <c r="E902" s="1">
        <f>IFERROR(__xludf.DUMMYFUNCTION("""COMPUTED_VALUE"""),24940.0)</f>
        <v>24940</v>
      </c>
      <c r="F902" s="1">
        <f>IFERROR(__xludf.DUMMYFUNCTION("""COMPUTED_VALUE"""),168153.0)</f>
        <v>168153</v>
      </c>
    </row>
    <row r="903">
      <c r="A903" s="2">
        <f>IFERROR(__xludf.DUMMYFUNCTION("""COMPUTED_VALUE"""),41876.645833333336)</f>
        <v>41876.64583</v>
      </c>
      <c r="B903" s="1">
        <f>IFERROR(__xludf.DUMMYFUNCTION("""COMPUTED_VALUE"""),24620.0)</f>
        <v>24620</v>
      </c>
      <c r="C903" s="1">
        <f>IFERROR(__xludf.DUMMYFUNCTION("""COMPUTED_VALUE"""),24620.0)</f>
        <v>24620</v>
      </c>
      <c r="D903" s="1">
        <f>IFERROR(__xludf.DUMMYFUNCTION("""COMPUTED_VALUE"""),24420.0)</f>
        <v>24420</v>
      </c>
      <c r="E903" s="1">
        <f>IFERROR(__xludf.DUMMYFUNCTION("""COMPUTED_VALUE"""),24560.0)</f>
        <v>24560</v>
      </c>
      <c r="F903" s="1">
        <f>IFERROR(__xludf.DUMMYFUNCTION("""COMPUTED_VALUE"""),231544.0)</f>
        <v>231544</v>
      </c>
    </row>
    <row r="904">
      <c r="A904" s="2">
        <f>IFERROR(__xludf.DUMMYFUNCTION("""COMPUTED_VALUE"""),41877.645833333336)</f>
        <v>41877.64583</v>
      </c>
      <c r="B904" s="1">
        <f>IFERROR(__xludf.DUMMYFUNCTION("""COMPUTED_VALUE"""),24700.0)</f>
        <v>24700</v>
      </c>
      <c r="C904" s="1">
        <f>IFERROR(__xludf.DUMMYFUNCTION("""COMPUTED_VALUE"""),24700.0)</f>
        <v>24700</v>
      </c>
      <c r="D904" s="1">
        <f>IFERROR(__xludf.DUMMYFUNCTION("""COMPUTED_VALUE"""),24420.0)</f>
        <v>24420</v>
      </c>
      <c r="E904" s="1">
        <f>IFERROR(__xludf.DUMMYFUNCTION("""COMPUTED_VALUE"""),24440.0)</f>
        <v>24440</v>
      </c>
      <c r="F904" s="1">
        <f>IFERROR(__xludf.DUMMYFUNCTION("""COMPUTED_VALUE"""),214389.0)</f>
        <v>214389</v>
      </c>
    </row>
    <row r="905">
      <c r="A905" s="2">
        <f>IFERROR(__xludf.DUMMYFUNCTION("""COMPUTED_VALUE"""),41878.645833333336)</f>
        <v>41878.64583</v>
      </c>
      <c r="B905" s="1">
        <f>IFERROR(__xludf.DUMMYFUNCTION("""COMPUTED_VALUE"""),24460.0)</f>
        <v>24460</v>
      </c>
      <c r="C905" s="1">
        <f>IFERROR(__xludf.DUMMYFUNCTION("""COMPUTED_VALUE"""),24740.0)</f>
        <v>24740</v>
      </c>
      <c r="D905" s="1">
        <f>IFERROR(__xludf.DUMMYFUNCTION("""COMPUTED_VALUE"""),24440.0)</f>
        <v>24440</v>
      </c>
      <c r="E905" s="1">
        <f>IFERROR(__xludf.DUMMYFUNCTION("""COMPUTED_VALUE"""),24600.0)</f>
        <v>24600</v>
      </c>
      <c r="F905" s="1">
        <f>IFERROR(__xludf.DUMMYFUNCTION("""COMPUTED_VALUE"""),243420.0)</f>
        <v>243420</v>
      </c>
    </row>
    <row r="906">
      <c r="A906" s="2">
        <f>IFERROR(__xludf.DUMMYFUNCTION("""COMPUTED_VALUE"""),41879.645833333336)</f>
        <v>41879.64583</v>
      </c>
      <c r="B906" s="1">
        <f>IFERROR(__xludf.DUMMYFUNCTION("""COMPUTED_VALUE"""),25160.0)</f>
        <v>25160</v>
      </c>
      <c r="C906" s="1">
        <f>IFERROR(__xludf.DUMMYFUNCTION("""COMPUTED_VALUE"""),25160.0)</f>
        <v>25160</v>
      </c>
      <c r="D906" s="1">
        <f>IFERROR(__xludf.DUMMYFUNCTION("""COMPUTED_VALUE"""),24720.0)</f>
        <v>24720</v>
      </c>
      <c r="E906" s="1">
        <f>IFERROR(__xludf.DUMMYFUNCTION("""COMPUTED_VALUE"""),24840.0)</f>
        <v>24840</v>
      </c>
      <c r="F906" s="1">
        <f>IFERROR(__xludf.DUMMYFUNCTION("""COMPUTED_VALUE"""),206237.0)</f>
        <v>206237</v>
      </c>
    </row>
    <row r="907">
      <c r="A907" s="2">
        <f>IFERROR(__xludf.DUMMYFUNCTION("""COMPUTED_VALUE"""),41880.645833333336)</f>
        <v>41880.64583</v>
      </c>
      <c r="B907" s="1">
        <f>IFERROR(__xludf.DUMMYFUNCTION("""COMPUTED_VALUE"""),24760.0)</f>
        <v>24760</v>
      </c>
      <c r="C907" s="1">
        <f>IFERROR(__xludf.DUMMYFUNCTION("""COMPUTED_VALUE"""),24760.0)</f>
        <v>24760</v>
      </c>
      <c r="D907" s="1">
        <f>IFERROR(__xludf.DUMMYFUNCTION("""COMPUTED_VALUE"""),24560.0)</f>
        <v>24560</v>
      </c>
      <c r="E907" s="1">
        <f>IFERROR(__xludf.DUMMYFUNCTION("""COMPUTED_VALUE"""),24680.0)</f>
        <v>24680</v>
      </c>
      <c r="F907" s="1">
        <f>IFERROR(__xludf.DUMMYFUNCTION("""COMPUTED_VALUE"""),291165.0)</f>
        <v>291165</v>
      </c>
    </row>
    <row r="908">
      <c r="A908" s="2">
        <f>IFERROR(__xludf.DUMMYFUNCTION("""COMPUTED_VALUE"""),41883.645833333336)</f>
        <v>41883.64583</v>
      </c>
      <c r="B908" s="1">
        <f>IFERROR(__xludf.DUMMYFUNCTION("""COMPUTED_VALUE"""),24720.0)</f>
        <v>24720</v>
      </c>
      <c r="C908" s="1">
        <f>IFERROR(__xludf.DUMMYFUNCTION("""COMPUTED_VALUE"""),24740.0)</f>
        <v>24740</v>
      </c>
      <c r="D908" s="1">
        <f>IFERROR(__xludf.DUMMYFUNCTION("""COMPUTED_VALUE"""),24480.0)</f>
        <v>24480</v>
      </c>
      <c r="E908" s="1">
        <f>IFERROR(__xludf.DUMMYFUNCTION("""COMPUTED_VALUE"""),24520.0)</f>
        <v>24520</v>
      </c>
      <c r="F908" s="1">
        <f>IFERROR(__xludf.DUMMYFUNCTION("""COMPUTED_VALUE"""),113281.0)</f>
        <v>113281</v>
      </c>
    </row>
    <row r="909">
      <c r="A909" s="2">
        <f>IFERROR(__xludf.DUMMYFUNCTION("""COMPUTED_VALUE"""),41884.645833333336)</f>
        <v>41884.64583</v>
      </c>
      <c r="B909" s="1">
        <f>IFERROR(__xludf.DUMMYFUNCTION("""COMPUTED_VALUE"""),24420.0)</f>
        <v>24420</v>
      </c>
      <c r="C909" s="1">
        <f>IFERROR(__xludf.DUMMYFUNCTION("""COMPUTED_VALUE"""),24500.0)</f>
        <v>24500</v>
      </c>
      <c r="D909" s="1">
        <f>IFERROR(__xludf.DUMMYFUNCTION("""COMPUTED_VALUE"""),23880.0)</f>
        <v>23880</v>
      </c>
      <c r="E909" s="1">
        <f>IFERROR(__xludf.DUMMYFUNCTION("""COMPUTED_VALUE"""),23880.0)</f>
        <v>23880</v>
      </c>
      <c r="F909" s="1">
        <f>IFERROR(__xludf.DUMMYFUNCTION("""COMPUTED_VALUE"""),317992.0)</f>
        <v>317992</v>
      </c>
    </row>
    <row r="910">
      <c r="A910" s="2">
        <f>IFERROR(__xludf.DUMMYFUNCTION("""COMPUTED_VALUE"""),41885.645833333336)</f>
        <v>41885.64583</v>
      </c>
      <c r="B910" s="1">
        <f>IFERROR(__xludf.DUMMYFUNCTION("""COMPUTED_VALUE"""),24000.0)</f>
        <v>24000</v>
      </c>
      <c r="C910" s="1">
        <f>IFERROR(__xludf.DUMMYFUNCTION("""COMPUTED_VALUE"""),24000.0)</f>
        <v>24000</v>
      </c>
      <c r="D910" s="1">
        <f>IFERROR(__xludf.DUMMYFUNCTION("""COMPUTED_VALUE"""),23600.0)</f>
        <v>23600</v>
      </c>
      <c r="E910" s="1">
        <f>IFERROR(__xludf.DUMMYFUNCTION("""COMPUTED_VALUE"""),23780.0)</f>
        <v>23780</v>
      </c>
      <c r="F910" s="1">
        <f>IFERROR(__xludf.DUMMYFUNCTION("""COMPUTED_VALUE"""),424775.0)</f>
        <v>424775</v>
      </c>
    </row>
    <row r="911">
      <c r="A911" s="2">
        <f>IFERROR(__xludf.DUMMYFUNCTION("""COMPUTED_VALUE"""),41886.645833333336)</f>
        <v>41886.64583</v>
      </c>
      <c r="B911" s="1">
        <f>IFERROR(__xludf.DUMMYFUNCTION("""COMPUTED_VALUE"""),24200.0)</f>
        <v>24200</v>
      </c>
      <c r="C911" s="1">
        <f>IFERROR(__xludf.DUMMYFUNCTION("""COMPUTED_VALUE"""),24320.0)</f>
        <v>24320</v>
      </c>
      <c r="D911" s="1">
        <f>IFERROR(__xludf.DUMMYFUNCTION("""COMPUTED_VALUE"""),24040.0)</f>
        <v>24040</v>
      </c>
      <c r="E911" s="1">
        <f>IFERROR(__xludf.DUMMYFUNCTION("""COMPUTED_VALUE"""),24200.0)</f>
        <v>24200</v>
      </c>
      <c r="F911" s="1">
        <f>IFERROR(__xludf.DUMMYFUNCTION("""COMPUTED_VALUE"""),241999.0)</f>
        <v>241999</v>
      </c>
    </row>
    <row r="912">
      <c r="A912" s="2">
        <f>IFERROR(__xludf.DUMMYFUNCTION("""COMPUTED_VALUE"""),41887.645833333336)</f>
        <v>41887.64583</v>
      </c>
      <c r="B912" s="1">
        <f>IFERROR(__xludf.DUMMYFUNCTION("""COMPUTED_VALUE"""),24300.0)</f>
        <v>24300</v>
      </c>
      <c r="C912" s="1">
        <f>IFERROR(__xludf.DUMMYFUNCTION("""COMPUTED_VALUE"""),24320.0)</f>
        <v>24320</v>
      </c>
      <c r="D912" s="1">
        <f>IFERROR(__xludf.DUMMYFUNCTION("""COMPUTED_VALUE"""),23900.0)</f>
        <v>23900</v>
      </c>
      <c r="E912" s="1">
        <f>IFERROR(__xludf.DUMMYFUNCTION("""COMPUTED_VALUE"""),24020.0)</f>
        <v>24020</v>
      </c>
      <c r="F912" s="1">
        <f>IFERROR(__xludf.DUMMYFUNCTION("""COMPUTED_VALUE"""),215408.0)</f>
        <v>215408</v>
      </c>
    </row>
    <row r="913">
      <c r="A913" s="2">
        <f>IFERROR(__xludf.DUMMYFUNCTION("""COMPUTED_VALUE"""),41893.645833333336)</f>
        <v>41893.64583</v>
      </c>
      <c r="B913" s="1">
        <f>IFERROR(__xludf.DUMMYFUNCTION("""COMPUTED_VALUE"""),24000.0)</f>
        <v>24000</v>
      </c>
      <c r="C913" s="1">
        <f>IFERROR(__xludf.DUMMYFUNCTION("""COMPUTED_VALUE"""),24140.0)</f>
        <v>24140</v>
      </c>
      <c r="D913" s="1">
        <f>IFERROR(__xludf.DUMMYFUNCTION("""COMPUTED_VALUE"""),23840.0)</f>
        <v>23840</v>
      </c>
      <c r="E913" s="1">
        <f>IFERROR(__xludf.DUMMYFUNCTION("""COMPUTED_VALUE"""),23840.0)</f>
        <v>23840</v>
      </c>
      <c r="F913" s="1">
        <f>IFERROR(__xludf.DUMMYFUNCTION("""COMPUTED_VALUE"""),466184.0)</f>
        <v>466184</v>
      </c>
    </row>
    <row r="914">
      <c r="A914" s="2">
        <f>IFERROR(__xludf.DUMMYFUNCTION("""COMPUTED_VALUE"""),41894.645833333336)</f>
        <v>41894.64583</v>
      </c>
      <c r="B914" s="1">
        <f>IFERROR(__xludf.DUMMYFUNCTION("""COMPUTED_VALUE"""),24000.0)</f>
        <v>24000</v>
      </c>
      <c r="C914" s="1">
        <f>IFERROR(__xludf.DUMMYFUNCTION("""COMPUTED_VALUE"""),24160.0)</f>
        <v>24160</v>
      </c>
      <c r="D914" s="1">
        <f>IFERROR(__xludf.DUMMYFUNCTION("""COMPUTED_VALUE"""),24000.0)</f>
        <v>24000</v>
      </c>
      <c r="E914" s="1">
        <f>IFERROR(__xludf.DUMMYFUNCTION("""COMPUTED_VALUE"""),24020.0)</f>
        <v>24020</v>
      </c>
      <c r="F914" s="1">
        <f>IFERROR(__xludf.DUMMYFUNCTION("""COMPUTED_VALUE"""),217447.0)</f>
        <v>217447</v>
      </c>
    </row>
    <row r="915">
      <c r="A915" s="2">
        <f>IFERROR(__xludf.DUMMYFUNCTION("""COMPUTED_VALUE"""),41897.645833333336)</f>
        <v>41897.64583</v>
      </c>
      <c r="B915" s="1">
        <f>IFERROR(__xludf.DUMMYFUNCTION("""COMPUTED_VALUE"""),24140.0)</f>
        <v>24140</v>
      </c>
      <c r="C915" s="1">
        <f>IFERROR(__xludf.DUMMYFUNCTION("""COMPUTED_VALUE"""),24160.0)</f>
        <v>24160</v>
      </c>
      <c r="D915" s="1">
        <f>IFERROR(__xludf.DUMMYFUNCTION("""COMPUTED_VALUE"""),23920.0)</f>
        <v>23920</v>
      </c>
      <c r="E915" s="1">
        <f>IFERROR(__xludf.DUMMYFUNCTION("""COMPUTED_VALUE"""),24000.0)</f>
        <v>24000</v>
      </c>
      <c r="F915" s="1">
        <f>IFERROR(__xludf.DUMMYFUNCTION("""COMPUTED_VALUE"""),143230.0)</f>
        <v>143230</v>
      </c>
    </row>
    <row r="916">
      <c r="A916" s="2">
        <f>IFERROR(__xludf.DUMMYFUNCTION("""COMPUTED_VALUE"""),41898.645833333336)</f>
        <v>41898.64583</v>
      </c>
      <c r="B916" s="1">
        <f>IFERROR(__xludf.DUMMYFUNCTION("""COMPUTED_VALUE"""),24160.0)</f>
        <v>24160</v>
      </c>
      <c r="C916" s="1">
        <f>IFERROR(__xludf.DUMMYFUNCTION("""COMPUTED_VALUE"""),24300.0)</f>
        <v>24300</v>
      </c>
      <c r="D916" s="1">
        <f>IFERROR(__xludf.DUMMYFUNCTION("""COMPUTED_VALUE"""),24020.0)</f>
        <v>24020</v>
      </c>
      <c r="E916" s="1">
        <f>IFERROR(__xludf.DUMMYFUNCTION("""COMPUTED_VALUE"""),24120.0)</f>
        <v>24120</v>
      </c>
      <c r="F916" s="1">
        <f>IFERROR(__xludf.DUMMYFUNCTION("""COMPUTED_VALUE"""),141848.0)</f>
        <v>141848</v>
      </c>
    </row>
    <row r="917">
      <c r="A917" s="2">
        <f>IFERROR(__xludf.DUMMYFUNCTION("""COMPUTED_VALUE"""),41899.645833333336)</f>
        <v>41899.64583</v>
      </c>
      <c r="B917" s="1">
        <f>IFERROR(__xludf.DUMMYFUNCTION("""COMPUTED_VALUE"""),24140.0)</f>
        <v>24140</v>
      </c>
      <c r="C917" s="1">
        <f>IFERROR(__xludf.DUMMYFUNCTION("""COMPUTED_VALUE"""),24520.0)</f>
        <v>24520</v>
      </c>
      <c r="D917" s="1">
        <f>IFERROR(__xludf.DUMMYFUNCTION("""COMPUTED_VALUE"""),24140.0)</f>
        <v>24140</v>
      </c>
      <c r="E917" s="1">
        <f>IFERROR(__xludf.DUMMYFUNCTION("""COMPUTED_VALUE"""),24520.0)</f>
        <v>24520</v>
      </c>
      <c r="F917" s="1">
        <f>IFERROR(__xludf.DUMMYFUNCTION("""COMPUTED_VALUE"""),150915.0)</f>
        <v>150915</v>
      </c>
    </row>
    <row r="918">
      <c r="A918" s="2">
        <f>IFERROR(__xludf.DUMMYFUNCTION("""COMPUTED_VALUE"""),41900.645833333336)</f>
        <v>41900.64583</v>
      </c>
      <c r="B918" s="1">
        <f>IFERROR(__xludf.DUMMYFUNCTION("""COMPUTED_VALUE"""),24600.0)</f>
        <v>24600</v>
      </c>
      <c r="C918" s="1">
        <f>IFERROR(__xludf.DUMMYFUNCTION("""COMPUTED_VALUE"""),24600.0)</f>
        <v>24600</v>
      </c>
      <c r="D918" s="1">
        <f>IFERROR(__xludf.DUMMYFUNCTION("""COMPUTED_VALUE"""),24080.0)</f>
        <v>24080</v>
      </c>
      <c r="E918" s="1">
        <f>IFERROR(__xludf.DUMMYFUNCTION("""COMPUTED_VALUE"""),24200.0)</f>
        <v>24200</v>
      </c>
      <c r="F918" s="1">
        <f>IFERROR(__xludf.DUMMYFUNCTION("""COMPUTED_VALUE"""),189535.0)</f>
        <v>189535</v>
      </c>
    </row>
    <row r="919">
      <c r="A919" s="2">
        <f>IFERROR(__xludf.DUMMYFUNCTION("""COMPUTED_VALUE"""),41901.645833333336)</f>
        <v>41901.64583</v>
      </c>
      <c r="B919" s="1">
        <f>IFERROR(__xludf.DUMMYFUNCTION("""COMPUTED_VALUE"""),24460.0)</f>
        <v>24460</v>
      </c>
      <c r="C919" s="1">
        <f>IFERROR(__xludf.DUMMYFUNCTION("""COMPUTED_VALUE"""),24460.0)</f>
        <v>24460</v>
      </c>
      <c r="D919" s="1">
        <f>IFERROR(__xludf.DUMMYFUNCTION("""COMPUTED_VALUE"""),24120.0)</f>
        <v>24120</v>
      </c>
      <c r="E919" s="1">
        <f>IFERROR(__xludf.DUMMYFUNCTION("""COMPUTED_VALUE"""),24200.0)</f>
        <v>24200</v>
      </c>
      <c r="F919" s="1">
        <f>IFERROR(__xludf.DUMMYFUNCTION("""COMPUTED_VALUE"""),268701.0)</f>
        <v>268701</v>
      </c>
    </row>
    <row r="920">
      <c r="A920" s="2">
        <f>IFERROR(__xludf.DUMMYFUNCTION("""COMPUTED_VALUE"""),41904.645833333336)</f>
        <v>41904.64583</v>
      </c>
      <c r="B920" s="1">
        <f>IFERROR(__xludf.DUMMYFUNCTION("""COMPUTED_VALUE"""),24080.0)</f>
        <v>24080</v>
      </c>
      <c r="C920" s="1">
        <f>IFERROR(__xludf.DUMMYFUNCTION("""COMPUTED_VALUE"""),24080.0)</f>
        <v>24080</v>
      </c>
      <c r="D920" s="1">
        <f>IFERROR(__xludf.DUMMYFUNCTION("""COMPUTED_VALUE"""),23600.0)</f>
        <v>23600</v>
      </c>
      <c r="E920" s="1">
        <f>IFERROR(__xludf.DUMMYFUNCTION("""COMPUTED_VALUE"""),23760.0)</f>
        <v>23760</v>
      </c>
      <c r="F920" s="1">
        <f>IFERROR(__xludf.DUMMYFUNCTION("""COMPUTED_VALUE"""),320442.0)</f>
        <v>320442</v>
      </c>
    </row>
    <row r="921">
      <c r="A921" s="2">
        <f>IFERROR(__xludf.DUMMYFUNCTION("""COMPUTED_VALUE"""),41905.645833333336)</f>
        <v>41905.64583</v>
      </c>
      <c r="B921" s="1">
        <f>IFERROR(__xludf.DUMMYFUNCTION("""COMPUTED_VALUE"""),23560.0)</f>
        <v>23560</v>
      </c>
      <c r="C921" s="1">
        <f>IFERROR(__xludf.DUMMYFUNCTION("""COMPUTED_VALUE"""),23700.0)</f>
        <v>23700</v>
      </c>
      <c r="D921" s="1">
        <f>IFERROR(__xludf.DUMMYFUNCTION("""COMPUTED_VALUE"""),23220.0)</f>
        <v>23220</v>
      </c>
      <c r="E921" s="1">
        <f>IFERROR(__xludf.DUMMYFUNCTION("""COMPUTED_VALUE"""),23220.0)</f>
        <v>23220</v>
      </c>
      <c r="F921" s="1">
        <f>IFERROR(__xludf.DUMMYFUNCTION("""COMPUTED_VALUE"""),390828.0)</f>
        <v>390828</v>
      </c>
    </row>
    <row r="922">
      <c r="A922" s="2">
        <f>IFERROR(__xludf.DUMMYFUNCTION("""COMPUTED_VALUE"""),41906.645833333336)</f>
        <v>41906.64583</v>
      </c>
      <c r="B922" s="1">
        <f>IFERROR(__xludf.DUMMYFUNCTION("""COMPUTED_VALUE"""),23040.0)</f>
        <v>23040</v>
      </c>
      <c r="C922" s="1">
        <f>IFERROR(__xludf.DUMMYFUNCTION("""COMPUTED_VALUE"""),23220.0)</f>
        <v>23220</v>
      </c>
      <c r="D922" s="1">
        <f>IFERROR(__xludf.DUMMYFUNCTION("""COMPUTED_VALUE"""),22820.0)</f>
        <v>22820</v>
      </c>
      <c r="E922" s="1">
        <f>IFERROR(__xludf.DUMMYFUNCTION("""COMPUTED_VALUE"""),23000.0)</f>
        <v>23000</v>
      </c>
      <c r="F922" s="1">
        <f>IFERROR(__xludf.DUMMYFUNCTION("""COMPUTED_VALUE"""),315784.0)</f>
        <v>315784</v>
      </c>
    </row>
    <row r="923">
      <c r="A923" s="2">
        <f>IFERROR(__xludf.DUMMYFUNCTION("""COMPUTED_VALUE"""),41907.645833333336)</f>
        <v>41907.64583</v>
      </c>
      <c r="B923" s="1">
        <f>IFERROR(__xludf.DUMMYFUNCTION("""COMPUTED_VALUE"""),23240.0)</f>
        <v>23240</v>
      </c>
      <c r="C923" s="1">
        <f>IFERROR(__xludf.DUMMYFUNCTION("""COMPUTED_VALUE"""),23320.0)</f>
        <v>23320</v>
      </c>
      <c r="D923" s="1">
        <f>IFERROR(__xludf.DUMMYFUNCTION("""COMPUTED_VALUE"""),22940.0)</f>
        <v>22940</v>
      </c>
      <c r="E923" s="1">
        <f>IFERROR(__xludf.DUMMYFUNCTION("""COMPUTED_VALUE"""),23120.0)</f>
        <v>23120</v>
      </c>
      <c r="F923" s="1">
        <f>IFERROR(__xludf.DUMMYFUNCTION("""COMPUTED_VALUE"""),388290.0)</f>
        <v>388290</v>
      </c>
    </row>
    <row r="924">
      <c r="A924" s="2">
        <f>IFERROR(__xludf.DUMMYFUNCTION("""COMPUTED_VALUE"""),41908.645833333336)</f>
        <v>41908.64583</v>
      </c>
      <c r="B924" s="1">
        <f>IFERROR(__xludf.DUMMYFUNCTION("""COMPUTED_VALUE"""),23040.0)</f>
        <v>23040</v>
      </c>
      <c r="C924" s="1">
        <f>IFERROR(__xludf.DUMMYFUNCTION("""COMPUTED_VALUE"""),23700.0)</f>
        <v>23700</v>
      </c>
      <c r="D924" s="1">
        <f>IFERROR(__xludf.DUMMYFUNCTION("""COMPUTED_VALUE"""),22960.0)</f>
        <v>22960</v>
      </c>
      <c r="E924" s="1">
        <f>IFERROR(__xludf.DUMMYFUNCTION("""COMPUTED_VALUE"""),23700.0)</f>
        <v>23700</v>
      </c>
      <c r="F924" s="1">
        <f>IFERROR(__xludf.DUMMYFUNCTION("""COMPUTED_VALUE"""),248271.0)</f>
        <v>248271</v>
      </c>
    </row>
    <row r="925">
      <c r="A925" s="2">
        <f>IFERROR(__xludf.DUMMYFUNCTION("""COMPUTED_VALUE"""),41911.645833333336)</f>
        <v>41911.64583</v>
      </c>
      <c r="B925" s="1">
        <f>IFERROR(__xludf.DUMMYFUNCTION("""COMPUTED_VALUE"""),23860.0)</f>
        <v>23860</v>
      </c>
      <c r="C925" s="1">
        <f>IFERROR(__xludf.DUMMYFUNCTION("""COMPUTED_VALUE"""),24000.0)</f>
        <v>24000</v>
      </c>
      <c r="D925" s="1">
        <f>IFERROR(__xludf.DUMMYFUNCTION("""COMPUTED_VALUE"""),23400.0)</f>
        <v>23400</v>
      </c>
      <c r="E925" s="1">
        <f>IFERROR(__xludf.DUMMYFUNCTION("""COMPUTED_VALUE"""),23900.0)</f>
        <v>23900</v>
      </c>
      <c r="F925" s="1">
        <f>IFERROR(__xludf.DUMMYFUNCTION("""COMPUTED_VALUE"""),188020.0)</f>
        <v>188020</v>
      </c>
    </row>
    <row r="926">
      <c r="A926" s="2">
        <f>IFERROR(__xludf.DUMMYFUNCTION("""COMPUTED_VALUE"""),41912.645833333336)</f>
        <v>41912.64583</v>
      </c>
      <c r="B926" s="1">
        <f>IFERROR(__xludf.DUMMYFUNCTION("""COMPUTED_VALUE"""),23700.0)</f>
        <v>23700</v>
      </c>
      <c r="C926" s="1">
        <f>IFERROR(__xludf.DUMMYFUNCTION("""COMPUTED_VALUE"""),23760.0)</f>
        <v>23760</v>
      </c>
      <c r="D926" s="1">
        <f>IFERROR(__xludf.DUMMYFUNCTION("""COMPUTED_VALUE"""),23300.0)</f>
        <v>23300</v>
      </c>
      <c r="E926" s="1">
        <f>IFERROR(__xludf.DUMMYFUNCTION("""COMPUTED_VALUE"""),23680.0)</f>
        <v>23680</v>
      </c>
      <c r="F926" s="1">
        <f>IFERROR(__xludf.DUMMYFUNCTION("""COMPUTED_VALUE"""),247586.0)</f>
        <v>247586</v>
      </c>
    </row>
    <row r="927">
      <c r="A927" s="2">
        <f>IFERROR(__xludf.DUMMYFUNCTION("""COMPUTED_VALUE"""),41913.645833333336)</f>
        <v>41913.64583</v>
      </c>
      <c r="B927" s="1">
        <f>IFERROR(__xludf.DUMMYFUNCTION("""COMPUTED_VALUE"""),23480.0)</f>
        <v>23480</v>
      </c>
      <c r="C927" s="1">
        <f>IFERROR(__xludf.DUMMYFUNCTION("""COMPUTED_VALUE"""),23660.0)</f>
        <v>23660</v>
      </c>
      <c r="D927" s="1">
        <f>IFERROR(__xludf.DUMMYFUNCTION("""COMPUTED_VALUE"""),23120.0)</f>
        <v>23120</v>
      </c>
      <c r="E927" s="1">
        <f>IFERROR(__xludf.DUMMYFUNCTION("""COMPUTED_VALUE"""),23120.0)</f>
        <v>23120</v>
      </c>
      <c r="F927" s="1">
        <f>IFERROR(__xludf.DUMMYFUNCTION("""COMPUTED_VALUE"""),238596.0)</f>
        <v>238596</v>
      </c>
    </row>
    <row r="928">
      <c r="A928" s="2">
        <f>IFERROR(__xludf.DUMMYFUNCTION("""COMPUTED_VALUE"""),41914.645833333336)</f>
        <v>41914.64583</v>
      </c>
      <c r="B928" s="1">
        <f>IFERROR(__xludf.DUMMYFUNCTION("""COMPUTED_VALUE"""),23300.0)</f>
        <v>23300</v>
      </c>
      <c r="C928" s="1">
        <f>IFERROR(__xludf.DUMMYFUNCTION("""COMPUTED_VALUE"""),23300.0)</f>
        <v>23300</v>
      </c>
      <c r="D928" s="1">
        <f>IFERROR(__xludf.DUMMYFUNCTION("""COMPUTED_VALUE"""),22820.0)</f>
        <v>22820</v>
      </c>
      <c r="E928" s="1">
        <f>IFERROR(__xludf.DUMMYFUNCTION("""COMPUTED_VALUE"""),22820.0)</f>
        <v>22820</v>
      </c>
      <c r="F928" s="1">
        <f>IFERROR(__xludf.DUMMYFUNCTION("""COMPUTED_VALUE"""),254655.0)</f>
        <v>254655</v>
      </c>
    </row>
    <row r="929">
      <c r="A929" s="2">
        <f>IFERROR(__xludf.DUMMYFUNCTION("""COMPUTED_VALUE"""),41918.645833333336)</f>
        <v>41918.64583</v>
      </c>
      <c r="B929" s="1">
        <f>IFERROR(__xludf.DUMMYFUNCTION("""COMPUTED_VALUE"""),22900.0)</f>
        <v>22900</v>
      </c>
      <c r="C929" s="1">
        <f>IFERROR(__xludf.DUMMYFUNCTION("""COMPUTED_VALUE"""),23120.0)</f>
        <v>23120</v>
      </c>
      <c r="D929" s="1">
        <f>IFERROR(__xludf.DUMMYFUNCTION("""COMPUTED_VALUE"""),22760.0)</f>
        <v>22760</v>
      </c>
      <c r="E929" s="1">
        <f>IFERROR(__xludf.DUMMYFUNCTION("""COMPUTED_VALUE"""),23020.0)</f>
        <v>23020</v>
      </c>
      <c r="F929" s="1">
        <f>IFERROR(__xludf.DUMMYFUNCTION("""COMPUTED_VALUE"""),425058.0)</f>
        <v>425058</v>
      </c>
    </row>
    <row r="930">
      <c r="A930" s="2">
        <f>IFERROR(__xludf.DUMMYFUNCTION("""COMPUTED_VALUE"""),41919.645833333336)</f>
        <v>41919.64583</v>
      </c>
      <c r="B930" s="1">
        <f>IFERROR(__xludf.DUMMYFUNCTION("""COMPUTED_VALUE"""),23240.0)</f>
        <v>23240</v>
      </c>
      <c r="C930" s="1">
        <f>IFERROR(__xludf.DUMMYFUNCTION("""COMPUTED_VALUE"""),23720.0)</f>
        <v>23720</v>
      </c>
      <c r="D930" s="1">
        <f>IFERROR(__xludf.DUMMYFUNCTION("""COMPUTED_VALUE"""),23240.0)</f>
        <v>23240</v>
      </c>
      <c r="E930" s="1">
        <f>IFERROR(__xludf.DUMMYFUNCTION("""COMPUTED_VALUE"""),23240.0)</f>
        <v>23240</v>
      </c>
      <c r="F930" s="1">
        <f>IFERROR(__xludf.DUMMYFUNCTION("""COMPUTED_VALUE"""),202983.0)</f>
        <v>202983</v>
      </c>
    </row>
    <row r="931">
      <c r="A931" s="2">
        <f>IFERROR(__xludf.DUMMYFUNCTION("""COMPUTED_VALUE"""),41920.645833333336)</f>
        <v>41920.64583</v>
      </c>
      <c r="B931" s="1">
        <f>IFERROR(__xludf.DUMMYFUNCTION("""COMPUTED_VALUE"""),22840.0)</f>
        <v>22840</v>
      </c>
      <c r="C931" s="1">
        <f>IFERROR(__xludf.DUMMYFUNCTION("""COMPUTED_VALUE"""),23020.0)</f>
        <v>23020</v>
      </c>
      <c r="D931" s="1">
        <f>IFERROR(__xludf.DUMMYFUNCTION("""COMPUTED_VALUE"""),22480.0)</f>
        <v>22480</v>
      </c>
      <c r="E931" s="1">
        <f>IFERROR(__xludf.DUMMYFUNCTION("""COMPUTED_VALUE"""),22600.0)</f>
        <v>22600</v>
      </c>
      <c r="F931" s="1">
        <f>IFERROR(__xludf.DUMMYFUNCTION("""COMPUTED_VALUE"""),294411.0)</f>
        <v>294411</v>
      </c>
    </row>
    <row r="932">
      <c r="A932" s="2">
        <f>IFERROR(__xludf.DUMMYFUNCTION("""COMPUTED_VALUE"""),41922.645833333336)</f>
        <v>41922.64583</v>
      </c>
      <c r="B932" s="1">
        <f>IFERROR(__xludf.DUMMYFUNCTION("""COMPUTED_VALUE"""),22000.0)</f>
        <v>22000</v>
      </c>
      <c r="C932" s="1">
        <f>IFERROR(__xludf.DUMMYFUNCTION("""COMPUTED_VALUE"""),22280.0)</f>
        <v>22280</v>
      </c>
      <c r="D932" s="1">
        <f>IFERROR(__xludf.DUMMYFUNCTION("""COMPUTED_VALUE"""),21980.0)</f>
        <v>21980</v>
      </c>
      <c r="E932" s="1">
        <f>IFERROR(__xludf.DUMMYFUNCTION("""COMPUTED_VALUE"""),22100.0)</f>
        <v>22100</v>
      </c>
      <c r="F932" s="1">
        <f>IFERROR(__xludf.DUMMYFUNCTION("""COMPUTED_VALUE"""),436749.0)</f>
        <v>436749</v>
      </c>
    </row>
    <row r="933">
      <c r="A933" s="2">
        <f>IFERROR(__xludf.DUMMYFUNCTION("""COMPUTED_VALUE"""),41925.645833333336)</f>
        <v>41925.64583</v>
      </c>
      <c r="B933" s="1">
        <f>IFERROR(__xludf.DUMMYFUNCTION("""COMPUTED_VALUE"""),21640.0)</f>
        <v>21640</v>
      </c>
      <c r="C933" s="1">
        <f>IFERROR(__xludf.DUMMYFUNCTION("""COMPUTED_VALUE"""),22540.0)</f>
        <v>22540</v>
      </c>
      <c r="D933" s="1">
        <f>IFERROR(__xludf.DUMMYFUNCTION("""COMPUTED_VALUE"""),21560.0)</f>
        <v>21560</v>
      </c>
      <c r="E933" s="1">
        <f>IFERROR(__xludf.DUMMYFUNCTION("""COMPUTED_VALUE"""),22160.0)</f>
        <v>22160</v>
      </c>
      <c r="F933" s="1">
        <f>IFERROR(__xludf.DUMMYFUNCTION("""COMPUTED_VALUE"""),226895.0)</f>
        <v>226895</v>
      </c>
    </row>
    <row r="934">
      <c r="A934" s="2">
        <f>IFERROR(__xludf.DUMMYFUNCTION("""COMPUTED_VALUE"""),41926.645833333336)</f>
        <v>41926.64583</v>
      </c>
      <c r="B934" s="1">
        <f>IFERROR(__xludf.DUMMYFUNCTION("""COMPUTED_VALUE"""),22540.0)</f>
        <v>22540</v>
      </c>
      <c r="C934" s="1">
        <f>IFERROR(__xludf.DUMMYFUNCTION("""COMPUTED_VALUE"""),22920.0)</f>
        <v>22920</v>
      </c>
      <c r="D934" s="1">
        <f>IFERROR(__xludf.DUMMYFUNCTION("""COMPUTED_VALUE"""),22400.0)</f>
        <v>22400</v>
      </c>
      <c r="E934" s="1">
        <f>IFERROR(__xludf.DUMMYFUNCTION("""COMPUTED_VALUE"""),22540.0)</f>
        <v>22540</v>
      </c>
      <c r="F934" s="1">
        <f>IFERROR(__xludf.DUMMYFUNCTION("""COMPUTED_VALUE"""),331451.0)</f>
        <v>331451</v>
      </c>
    </row>
    <row r="935">
      <c r="A935" s="2">
        <f>IFERROR(__xludf.DUMMYFUNCTION("""COMPUTED_VALUE"""),41927.645833333336)</f>
        <v>41927.64583</v>
      </c>
      <c r="B935" s="1">
        <f>IFERROR(__xludf.DUMMYFUNCTION("""COMPUTED_VALUE"""),22560.0)</f>
        <v>22560</v>
      </c>
      <c r="C935" s="1">
        <f>IFERROR(__xludf.DUMMYFUNCTION("""COMPUTED_VALUE"""),22900.0)</f>
        <v>22900</v>
      </c>
      <c r="D935" s="1">
        <f>IFERROR(__xludf.DUMMYFUNCTION("""COMPUTED_VALUE"""),22400.0)</f>
        <v>22400</v>
      </c>
      <c r="E935" s="1">
        <f>IFERROR(__xludf.DUMMYFUNCTION("""COMPUTED_VALUE"""),22500.0)</f>
        <v>22500</v>
      </c>
      <c r="F935" s="1">
        <f>IFERROR(__xludf.DUMMYFUNCTION("""COMPUTED_VALUE"""),282872.0)</f>
        <v>282872</v>
      </c>
    </row>
    <row r="936">
      <c r="A936" s="2">
        <f>IFERROR(__xludf.DUMMYFUNCTION("""COMPUTED_VALUE"""),41928.645833333336)</f>
        <v>41928.64583</v>
      </c>
      <c r="B936" s="1">
        <f>IFERROR(__xludf.DUMMYFUNCTION("""COMPUTED_VALUE"""),22320.0)</f>
        <v>22320</v>
      </c>
      <c r="C936" s="1">
        <f>IFERROR(__xludf.DUMMYFUNCTION("""COMPUTED_VALUE"""),22420.0)</f>
        <v>22420</v>
      </c>
      <c r="D936" s="1">
        <f>IFERROR(__xludf.DUMMYFUNCTION("""COMPUTED_VALUE"""),22080.0)</f>
        <v>22080</v>
      </c>
      <c r="E936" s="1">
        <f>IFERROR(__xludf.DUMMYFUNCTION("""COMPUTED_VALUE"""),22300.0)</f>
        <v>22300</v>
      </c>
      <c r="F936" s="1">
        <f>IFERROR(__xludf.DUMMYFUNCTION("""COMPUTED_VALUE"""),302966.0)</f>
        <v>302966</v>
      </c>
    </row>
    <row r="937">
      <c r="A937" s="2">
        <f>IFERROR(__xludf.DUMMYFUNCTION("""COMPUTED_VALUE"""),41929.645833333336)</f>
        <v>41929.64583</v>
      </c>
      <c r="B937" s="1">
        <f>IFERROR(__xludf.DUMMYFUNCTION("""COMPUTED_VALUE"""),22120.0)</f>
        <v>22120</v>
      </c>
      <c r="C937" s="1">
        <f>IFERROR(__xludf.DUMMYFUNCTION("""COMPUTED_VALUE"""),22300.0)</f>
        <v>22300</v>
      </c>
      <c r="D937" s="1">
        <f>IFERROR(__xludf.DUMMYFUNCTION("""COMPUTED_VALUE"""),21740.0)</f>
        <v>21740</v>
      </c>
      <c r="E937" s="1">
        <f>IFERROR(__xludf.DUMMYFUNCTION("""COMPUTED_VALUE"""),21780.0)</f>
        <v>21780</v>
      </c>
      <c r="F937" s="1">
        <f>IFERROR(__xludf.DUMMYFUNCTION("""COMPUTED_VALUE"""),325635.0)</f>
        <v>325635</v>
      </c>
    </row>
    <row r="938">
      <c r="A938" s="2">
        <f>IFERROR(__xludf.DUMMYFUNCTION("""COMPUTED_VALUE"""),41932.645833333336)</f>
        <v>41932.64583</v>
      </c>
      <c r="B938" s="1">
        <f>IFERROR(__xludf.DUMMYFUNCTION("""COMPUTED_VALUE"""),22300.0)</f>
        <v>22300</v>
      </c>
      <c r="C938" s="1">
        <f>IFERROR(__xludf.DUMMYFUNCTION("""COMPUTED_VALUE"""),22340.0)</f>
        <v>22340</v>
      </c>
      <c r="D938" s="1">
        <f>IFERROR(__xludf.DUMMYFUNCTION("""COMPUTED_VALUE"""),22020.0)</f>
        <v>22020</v>
      </c>
      <c r="E938" s="1">
        <f>IFERROR(__xludf.DUMMYFUNCTION("""COMPUTED_VALUE"""),22120.0)</f>
        <v>22120</v>
      </c>
      <c r="F938" s="1">
        <f>IFERROR(__xludf.DUMMYFUNCTION("""COMPUTED_VALUE"""),189535.0)</f>
        <v>189535</v>
      </c>
    </row>
    <row r="939">
      <c r="A939" s="2">
        <f>IFERROR(__xludf.DUMMYFUNCTION("""COMPUTED_VALUE"""),41933.645833333336)</f>
        <v>41933.64583</v>
      </c>
      <c r="B939" s="1">
        <f>IFERROR(__xludf.DUMMYFUNCTION("""COMPUTED_VALUE"""),21880.0)</f>
        <v>21880</v>
      </c>
      <c r="C939" s="1">
        <f>IFERROR(__xludf.DUMMYFUNCTION("""COMPUTED_VALUE"""),22000.0)</f>
        <v>22000</v>
      </c>
      <c r="D939" s="1">
        <f>IFERROR(__xludf.DUMMYFUNCTION("""COMPUTED_VALUE"""),21620.0)</f>
        <v>21620</v>
      </c>
      <c r="E939" s="1">
        <f>IFERROR(__xludf.DUMMYFUNCTION("""COMPUTED_VALUE"""),21660.0)</f>
        <v>21660</v>
      </c>
      <c r="F939" s="1">
        <f>IFERROR(__xludf.DUMMYFUNCTION("""COMPUTED_VALUE"""),235321.0)</f>
        <v>235321</v>
      </c>
    </row>
    <row r="940">
      <c r="A940" s="2">
        <f>IFERROR(__xludf.DUMMYFUNCTION("""COMPUTED_VALUE"""),41934.645833333336)</f>
        <v>41934.64583</v>
      </c>
      <c r="B940" s="1">
        <f>IFERROR(__xludf.DUMMYFUNCTION("""COMPUTED_VALUE"""),21940.0)</f>
        <v>21940</v>
      </c>
      <c r="C940" s="1">
        <f>IFERROR(__xludf.DUMMYFUNCTION("""COMPUTED_VALUE"""),22080.0)</f>
        <v>22080</v>
      </c>
      <c r="D940" s="1">
        <f>IFERROR(__xludf.DUMMYFUNCTION("""COMPUTED_VALUE"""),21800.0)</f>
        <v>21800</v>
      </c>
      <c r="E940" s="1">
        <f>IFERROR(__xludf.DUMMYFUNCTION("""COMPUTED_VALUE"""),22080.0)</f>
        <v>22080</v>
      </c>
      <c r="F940" s="1">
        <f>IFERROR(__xludf.DUMMYFUNCTION("""COMPUTED_VALUE"""),222554.0)</f>
        <v>222554</v>
      </c>
    </row>
    <row r="941">
      <c r="A941" s="2">
        <f>IFERROR(__xludf.DUMMYFUNCTION("""COMPUTED_VALUE"""),41935.645833333336)</f>
        <v>41935.64583</v>
      </c>
      <c r="B941" s="1">
        <f>IFERROR(__xludf.DUMMYFUNCTION("""COMPUTED_VALUE"""),22260.0)</f>
        <v>22260</v>
      </c>
      <c r="C941" s="1">
        <f>IFERROR(__xludf.DUMMYFUNCTION("""COMPUTED_VALUE"""),22260.0)</f>
        <v>22260</v>
      </c>
      <c r="D941" s="1">
        <f>IFERROR(__xludf.DUMMYFUNCTION("""COMPUTED_VALUE"""),21800.0)</f>
        <v>21800</v>
      </c>
      <c r="E941" s="1">
        <f>IFERROR(__xludf.DUMMYFUNCTION("""COMPUTED_VALUE"""),21880.0)</f>
        <v>21880</v>
      </c>
      <c r="F941" s="1">
        <f>IFERROR(__xludf.DUMMYFUNCTION("""COMPUTED_VALUE"""),170118.0)</f>
        <v>170118</v>
      </c>
    </row>
    <row r="942">
      <c r="A942" s="2">
        <f>IFERROR(__xludf.DUMMYFUNCTION("""COMPUTED_VALUE"""),41936.645833333336)</f>
        <v>41936.64583</v>
      </c>
      <c r="B942" s="1">
        <f>IFERROR(__xludf.DUMMYFUNCTION("""COMPUTED_VALUE"""),22060.0)</f>
        <v>22060</v>
      </c>
      <c r="C942" s="1">
        <f>IFERROR(__xludf.DUMMYFUNCTION("""COMPUTED_VALUE"""),22240.0)</f>
        <v>22240</v>
      </c>
      <c r="D942" s="1">
        <f>IFERROR(__xludf.DUMMYFUNCTION("""COMPUTED_VALUE"""),21840.0)</f>
        <v>21840</v>
      </c>
      <c r="E942" s="1">
        <f>IFERROR(__xludf.DUMMYFUNCTION("""COMPUTED_VALUE"""),22240.0)</f>
        <v>22240</v>
      </c>
      <c r="F942" s="1">
        <f>IFERROR(__xludf.DUMMYFUNCTION("""COMPUTED_VALUE"""),167569.0)</f>
        <v>167569</v>
      </c>
    </row>
    <row r="943">
      <c r="A943" s="2">
        <f>IFERROR(__xludf.DUMMYFUNCTION("""COMPUTED_VALUE"""),41939.645833333336)</f>
        <v>41939.64583</v>
      </c>
      <c r="B943" s="1">
        <f>IFERROR(__xludf.DUMMYFUNCTION("""COMPUTED_VALUE"""),22020.0)</f>
        <v>22020</v>
      </c>
      <c r="C943" s="1">
        <f>IFERROR(__xludf.DUMMYFUNCTION("""COMPUTED_VALUE"""),22220.0)</f>
        <v>22220</v>
      </c>
      <c r="D943" s="1">
        <f>IFERROR(__xludf.DUMMYFUNCTION("""COMPUTED_VALUE"""),21740.0)</f>
        <v>21740</v>
      </c>
      <c r="E943" s="1">
        <f>IFERROR(__xludf.DUMMYFUNCTION("""COMPUTED_VALUE"""),21900.0)</f>
        <v>21900</v>
      </c>
      <c r="F943" s="1">
        <f>IFERROR(__xludf.DUMMYFUNCTION("""COMPUTED_VALUE"""),167772.0)</f>
        <v>167772</v>
      </c>
    </row>
    <row r="944">
      <c r="A944" s="2">
        <f>IFERROR(__xludf.DUMMYFUNCTION("""COMPUTED_VALUE"""),41940.645833333336)</f>
        <v>41940.64583</v>
      </c>
      <c r="B944" s="1">
        <f>IFERROR(__xludf.DUMMYFUNCTION("""COMPUTED_VALUE"""),21800.0)</f>
        <v>21800</v>
      </c>
      <c r="C944" s="1">
        <f>IFERROR(__xludf.DUMMYFUNCTION("""COMPUTED_VALUE"""),22000.0)</f>
        <v>22000</v>
      </c>
      <c r="D944" s="1">
        <f>IFERROR(__xludf.DUMMYFUNCTION("""COMPUTED_VALUE"""),21720.0)</f>
        <v>21720</v>
      </c>
      <c r="E944" s="1">
        <f>IFERROR(__xludf.DUMMYFUNCTION("""COMPUTED_VALUE"""),21820.0)</f>
        <v>21820</v>
      </c>
      <c r="F944" s="1">
        <f>IFERROR(__xludf.DUMMYFUNCTION("""COMPUTED_VALUE"""),124877.0)</f>
        <v>124877</v>
      </c>
    </row>
    <row r="945">
      <c r="A945" s="2">
        <f>IFERROR(__xludf.DUMMYFUNCTION("""COMPUTED_VALUE"""),41941.645833333336)</f>
        <v>41941.64583</v>
      </c>
      <c r="B945" s="1">
        <f>IFERROR(__xludf.DUMMYFUNCTION("""COMPUTED_VALUE"""),22000.0)</f>
        <v>22000</v>
      </c>
      <c r="C945" s="1">
        <f>IFERROR(__xludf.DUMMYFUNCTION("""COMPUTED_VALUE"""),22600.0)</f>
        <v>22600</v>
      </c>
      <c r="D945" s="1">
        <f>IFERROR(__xludf.DUMMYFUNCTION("""COMPUTED_VALUE"""),21800.0)</f>
        <v>21800</v>
      </c>
      <c r="E945" s="1">
        <f>IFERROR(__xludf.DUMMYFUNCTION("""COMPUTED_VALUE"""),22600.0)</f>
        <v>22600</v>
      </c>
      <c r="F945" s="1">
        <f>IFERROR(__xludf.DUMMYFUNCTION("""COMPUTED_VALUE"""),274522.0)</f>
        <v>274522</v>
      </c>
    </row>
    <row r="946">
      <c r="A946" s="2">
        <f>IFERROR(__xludf.DUMMYFUNCTION("""COMPUTED_VALUE"""),41942.645833333336)</f>
        <v>41942.64583</v>
      </c>
      <c r="B946" s="1">
        <f>IFERROR(__xludf.DUMMYFUNCTION("""COMPUTED_VALUE"""),22580.0)</f>
        <v>22580</v>
      </c>
      <c r="C946" s="1">
        <f>IFERROR(__xludf.DUMMYFUNCTION("""COMPUTED_VALUE"""),23660.0)</f>
        <v>23660</v>
      </c>
      <c r="D946" s="1">
        <f>IFERROR(__xludf.DUMMYFUNCTION("""COMPUTED_VALUE"""),22300.0)</f>
        <v>22300</v>
      </c>
      <c r="E946" s="1">
        <f>IFERROR(__xludf.DUMMYFUNCTION("""COMPUTED_VALUE"""),23620.0)</f>
        <v>23620</v>
      </c>
      <c r="F946" s="1">
        <f>IFERROR(__xludf.DUMMYFUNCTION("""COMPUTED_VALUE"""),491339.0)</f>
        <v>491339</v>
      </c>
    </row>
    <row r="947">
      <c r="A947" s="2">
        <f>IFERROR(__xludf.DUMMYFUNCTION("""COMPUTED_VALUE"""),41943.645833333336)</f>
        <v>41943.64583</v>
      </c>
      <c r="B947" s="1">
        <f>IFERROR(__xludf.DUMMYFUNCTION("""COMPUTED_VALUE"""),23960.0)</f>
        <v>23960</v>
      </c>
      <c r="C947" s="1">
        <f>IFERROR(__xludf.DUMMYFUNCTION("""COMPUTED_VALUE"""),25000.0)</f>
        <v>25000</v>
      </c>
      <c r="D947" s="1">
        <f>IFERROR(__xludf.DUMMYFUNCTION("""COMPUTED_VALUE"""),23700.0)</f>
        <v>23700</v>
      </c>
      <c r="E947" s="1">
        <f>IFERROR(__xludf.DUMMYFUNCTION("""COMPUTED_VALUE"""),24880.0)</f>
        <v>24880</v>
      </c>
      <c r="F947" s="1">
        <f>IFERROR(__xludf.DUMMYFUNCTION("""COMPUTED_VALUE"""),772463.0)</f>
        <v>772463</v>
      </c>
    </row>
    <row r="948">
      <c r="A948" s="2">
        <f>IFERROR(__xludf.DUMMYFUNCTION("""COMPUTED_VALUE"""),41946.645833333336)</f>
        <v>41946.64583</v>
      </c>
      <c r="B948" s="1">
        <f>IFERROR(__xludf.DUMMYFUNCTION("""COMPUTED_VALUE"""),25000.0)</f>
        <v>25000</v>
      </c>
      <c r="C948" s="1">
        <f>IFERROR(__xludf.DUMMYFUNCTION("""COMPUTED_VALUE"""),25040.0)</f>
        <v>25040</v>
      </c>
      <c r="D948" s="1">
        <f>IFERROR(__xludf.DUMMYFUNCTION("""COMPUTED_VALUE"""),24320.0)</f>
        <v>24320</v>
      </c>
      <c r="E948" s="1">
        <f>IFERROR(__xludf.DUMMYFUNCTION("""COMPUTED_VALUE"""),24700.0)</f>
        <v>24700</v>
      </c>
      <c r="F948" s="1">
        <f>IFERROR(__xludf.DUMMYFUNCTION("""COMPUTED_VALUE"""),269516.0)</f>
        <v>269516</v>
      </c>
    </row>
    <row r="949">
      <c r="A949" s="2">
        <f>IFERROR(__xludf.DUMMYFUNCTION("""COMPUTED_VALUE"""),41947.645833333336)</f>
        <v>41947.64583</v>
      </c>
      <c r="B949" s="1">
        <f>IFERROR(__xludf.DUMMYFUNCTION("""COMPUTED_VALUE"""),24380.0)</f>
        <v>24380</v>
      </c>
      <c r="C949" s="1">
        <f>IFERROR(__xludf.DUMMYFUNCTION("""COMPUTED_VALUE"""),24840.0)</f>
        <v>24840</v>
      </c>
      <c r="D949" s="1">
        <f>IFERROR(__xludf.DUMMYFUNCTION("""COMPUTED_VALUE"""),24100.0)</f>
        <v>24100</v>
      </c>
      <c r="E949" s="1">
        <f>IFERROR(__xludf.DUMMYFUNCTION("""COMPUTED_VALUE"""),24340.0)</f>
        <v>24340</v>
      </c>
      <c r="F949" s="1">
        <f>IFERROR(__xludf.DUMMYFUNCTION("""COMPUTED_VALUE"""),260006.0)</f>
        <v>260006</v>
      </c>
    </row>
    <row r="950">
      <c r="A950" s="2">
        <f>IFERROR(__xludf.DUMMYFUNCTION("""COMPUTED_VALUE"""),41948.645833333336)</f>
        <v>41948.64583</v>
      </c>
      <c r="B950" s="1">
        <f>IFERROR(__xludf.DUMMYFUNCTION("""COMPUTED_VALUE"""),24300.0)</f>
        <v>24300</v>
      </c>
      <c r="C950" s="1">
        <f>IFERROR(__xludf.DUMMYFUNCTION("""COMPUTED_VALUE"""),24500.0)</f>
        <v>24500</v>
      </c>
      <c r="D950" s="1">
        <f>IFERROR(__xludf.DUMMYFUNCTION("""COMPUTED_VALUE"""),23880.0)</f>
        <v>23880</v>
      </c>
      <c r="E950" s="1">
        <f>IFERROR(__xludf.DUMMYFUNCTION("""COMPUTED_VALUE"""),24040.0)</f>
        <v>24040</v>
      </c>
      <c r="F950" s="1">
        <f>IFERROR(__xludf.DUMMYFUNCTION("""COMPUTED_VALUE"""),203243.0)</f>
        <v>203243</v>
      </c>
    </row>
    <row r="951">
      <c r="A951" s="2">
        <f>IFERROR(__xludf.DUMMYFUNCTION("""COMPUTED_VALUE"""),41949.645833333336)</f>
        <v>41949.64583</v>
      </c>
      <c r="B951" s="1">
        <f>IFERROR(__xludf.DUMMYFUNCTION("""COMPUTED_VALUE"""),23960.0)</f>
        <v>23960</v>
      </c>
      <c r="C951" s="1">
        <f>IFERROR(__xludf.DUMMYFUNCTION("""COMPUTED_VALUE"""),24200.0)</f>
        <v>24200</v>
      </c>
      <c r="D951" s="1">
        <f>IFERROR(__xludf.DUMMYFUNCTION("""COMPUTED_VALUE"""),23860.0)</f>
        <v>23860</v>
      </c>
      <c r="E951" s="1">
        <f>IFERROR(__xludf.DUMMYFUNCTION("""COMPUTED_VALUE"""),24080.0)</f>
        <v>24080</v>
      </c>
      <c r="F951" s="1">
        <f>IFERROR(__xludf.DUMMYFUNCTION("""COMPUTED_VALUE"""),171403.0)</f>
        <v>171403</v>
      </c>
    </row>
    <row r="952">
      <c r="A952" s="2">
        <f>IFERROR(__xludf.DUMMYFUNCTION("""COMPUTED_VALUE"""),41950.645833333336)</f>
        <v>41950.64583</v>
      </c>
      <c r="B952" s="1">
        <f>IFERROR(__xludf.DUMMYFUNCTION("""COMPUTED_VALUE"""),24360.0)</f>
        <v>24360</v>
      </c>
      <c r="C952" s="1">
        <f>IFERROR(__xludf.DUMMYFUNCTION("""COMPUTED_VALUE"""),24360.0)</f>
        <v>24360</v>
      </c>
      <c r="D952" s="1">
        <f>IFERROR(__xludf.DUMMYFUNCTION("""COMPUTED_VALUE"""),23900.0)</f>
        <v>23900</v>
      </c>
      <c r="E952" s="1">
        <f>IFERROR(__xludf.DUMMYFUNCTION("""COMPUTED_VALUE"""),24120.0)</f>
        <v>24120</v>
      </c>
      <c r="F952" s="1">
        <f>IFERROR(__xludf.DUMMYFUNCTION("""COMPUTED_VALUE"""),120604.0)</f>
        <v>120604</v>
      </c>
    </row>
    <row r="953">
      <c r="A953" s="2">
        <f>IFERROR(__xludf.DUMMYFUNCTION("""COMPUTED_VALUE"""),41953.64583333333)</f>
        <v>41953.64583</v>
      </c>
      <c r="B953" s="1">
        <f>IFERROR(__xludf.DUMMYFUNCTION("""COMPUTED_VALUE"""),24520.0)</f>
        <v>24520</v>
      </c>
      <c r="C953" s="1">
        <f>IFERROR(__xludf.DUMMYFUNCTION("""COMPUTED_VALUE"""),25380.0)</f>
        <v>25380</v>
      </c>
      <c r="D953" s="1">
        <f>IFERROR(__xludf.DUMMYFUNCTION("""COMPUTED_VALUE"""),24440.0)</f>
        <v>24440</v>
      </c>
      <c r="E953" s="1">
        <f>IFERROR(__xludf.DUMMYFUNCTION("""COMPUTED_VALUE"""),25360.0)</f>
        <v>25360</v>
      </c>
      <c r="F953" s="1">
        <f>IFERROR(__xludf.DUMMYFUNCTION("""COMPUTED_VALUE"""),384058.0)</f>
        <v>384058</v>
      </c>
    </row>
    <row r="954">
      <c r="A954" s="2">
        <f>IFERROR(__xludf.DUMMYFUNCTION("""COMPUTED_VALUE"""),41954.64583333333)</f>
        <v>41954.64583</v>
      </c>
      <c r="B954" s="1">
        <f>IFERROR(__xludf.DUMMYFUNCTION("""COMPUTED_VALUE"""),25100.0)</f>
        <v>25100</v>
      </c>
      <c r="C954" s="1">
        <f>IFERROR(__xludf.DUMMYFUNCTION("""COMPUTED_VALUE"""),25220.0)</f>
        <v>25220</v>
      </c>
      <c r="D954" s="1">
        <f>IFERROR(__xludf.DUMMYFUNCTION("""COMPUTED_VALUE"""),24540.0)</f>
        <v>24540</v>
      </c>
      <c r="E954" s="1">
        <f>IFERROR(__xludf.DUMMYFUNCTION("""COMPUTED_VALUE"""),24620.0)</f>
        <v>24620</v>
      </c>
      <c r="F954" s="1">
        <f>IFERROR(__xludf.DUMMYFUNCTION("""COMPUTED_VALUE"""),242828.0)</f>
        <v>242828</v>
      </c>
    </row>
    <row r="955">
      <c r="A955" s="2">
        <f>IFERROR(__xludf.DUMMYFUNCTION("""COMPUTED_VALUE"""),41955.64583333333)</f>
        <v>41955.64583</v>
      </c>
      <c r="B955" s="1">
        <f>IFERROR(__xludf.DUMMYFUNCTION("""COMPUTED_VALUE"""),24620.0)</f>
        <v>24620</v>
      </c>
      <c r="C955" s="1">
        <f>IFERROR(__xludf.DUMMYFUNCTION("""COMPUTED_VALUE"""),24680.0)</f>
        <v>24680</v>
      </c>
      <c r="D955" s="1">
        <f>IFERROR(__xludf.DUMMYFUNCTION("""COMPUTED_VALUE"""),24380.0)</f>
        <v>24380</v>
      </c>
      <c r="E955" s="1">
        <f>IFERROR(__xludf.DUMMYFUNCTION("""COMPUTED_VALUE"""),24600.0)</f>
        <v>24600</v>
      </c>
      <c r="F955" s="1">
        <f>IFERROR(__xludf.DUMMYFUNCTION("""COMPUTED_VALUE"""),181592.0)</f>
        <v>181592</v>
      </c>
    </row>
    <row r="956">
      <c r="A956" s="2">
        <f>IFERROR(__xludf.DUMMYFUNCTION("""COMPUTED_VALUE"""),41956.64583333333)</f>
        <v>41956.64583</v>
      </c>
      <c r="B956" s="1">
        <f>IFERROR(__xludf.DUMMYFUNCTION("""COMPUTED_VALUE"""),24560.0)</f>
        <v>24560</v>
      </c>
      <c r="C956" s="1">
        <f>IFERROR(__xludf.DUMMYFUNCTION("""COMPUTED_VALUE"""),24640.0)</f>
        <v>24640</v>
      </c>
      <c r="D956" s="1">
        <f>IFERROR(__xludf.DUMMYFUNCTION("""COMPUTED_VALUE"""),23980.0)</f>
        <v>23980</v>
      </c>
      <c r="E956" s="1">
        <f>IFERROR(__xludf.DUMMYFUNCTION("""COMPUTED_VALUE"""),24000.0)</f>
        <v>24000</v>
      </c>
      <c r="F956" s="1">
        <f>IFERROR(__xludf.DUMMYFUNCTION("""COMPUTED_VALUE"""),230943.0)</f>
        <v>230943</v>
      </c>
    </row>
    <row r="957">
      <c r="A957" s="2">
        <f>IFERROR(__xludf.DUMMYFUNCTION("""COMPUTED_VALUE"""),41957.64583333333)</f>
        <v>41957.64583</v>
      </c>
      <c r="B957" s="1">
        <f>IFERROR(__xludf.DUMMYFUNCTION("""COMPUTED_VALUE"""),24020.0)</f>
        <v>24020</v>
      </c>
      <c r="C957" s="1">
        <f>IFERROR(__xludf.DUMMYFUNCTION("""COMPUTED_VALUE"""),24020.0)</f>
        <v>24020</v>
      </c>
      <c r="D957" s="1">
        <f>IFERROR(__xludf.DUMMYFUNCTION("""COMPUTED_VALUE"""),23600.0)</f>
        <v>23600</v>
      </c>
      <c r="E957" s="1">
        <f>IFERROR(__xludf.DUMMYFUNCTION("""COMPUTED_VALUE"""),23880.0)</f>
        <v>23880</v>
      </c>
      <c r="F957" s="1">
        <f>IFERROR(__xludf.DUMMYFUNCTION("""COMPUTED_VALUE"""),212435.0)</f>
        <v>212435</v>
      </c>
    </row>
    <row r="958">
      <c r="A958" s="2">
        <f>IFERROR(__xludf.DUMMYFUNCTION("""COMPUTED_VALUE"""),41960.64583333333)</f>
        <v>41960.64583</v>
      </c>
      <c r="B958" s="1">
        <f>IFERROR(__xludf.DUMMYFUNCTION("""COMPUTED_VALUE"""),23800.0)</f>
        <v>23800</v>
      </c>
      <c r="C958" s="1">
        <f>IFERROR(__xludf.DUMMYFUNCTION("""COMPUTED_VALUE"""),24400.0)</f>
        <v>24400</v>
      </c>
      <c r="D958" s="1">
        <f>IFERROR(__xludf.DUMMYFUNCTION("""COMPUTED_VALUE"""),23640.0)</f>
        <v>23640</v>
      </c>
      <c r="E958" s="1">
        <f>IFERROR(__xludf.DUMMYFUNCTION("""COMPUTED_VALUE"""),24100.0)</f>
        <v>24100</v>
      </c>
      <c r="F958" s="1">
        <f>IFERROR(__xludf.DUMMYFUNCTION("""COMPUTED_VALUE"""),193879.0)</f>
        <v>193879</v>
      </c>
    </row>
    <row r="959">
      <c r="A959" s="2">
        <f>IFERROR(__xludf.DUMMYFUNCTION("""COMPUTED_VALUE"""),41961.64583333333)</f>
        <v>41961.64583</v>
      </c>
      <c r="B959" s="1">
        <f>IFERROR(__xludf.DUMMYFUNCTION("""COMPUTED_VALUE"""),24400.0)</f>
        <v>24400</v>
      </c>
      <c r="C959" s="1">
        <f>IFERROR(__xludf.DUMMYFUNCTION("""COMPUTED_VALUE"""),24540.0)</f>
        <v>24540</v>
      </c>
      <c r="D959" s="1">
        <f>IFERROR(__xludf.DUMMYFUNCTION("""COMPUTED_VALUE"""),24300.0)</f>
        <v>24300</v>
      </c>
      <c r="E959" s="1">
        <f>IFERROR(__xludf.DUMMYFUNCTION("""COMPUTED_VALUE"""),24400.0)</f>
        <v>24400</v>
      </c>
      <c r="F959" s="1">
        <f>IFERROR(__xludf.DUMMYFUNCTION("""COMPUTED_VALUE"""),215094.0)</f>
        <v>215094</v>
      </c>
    </row>
    <row r="960">
      <c r="A960" s="2">
        <f>IFERROR(__xludf.DUMMYFUNCTION("""COMPUTED_VALUE"""),41962.64583333333)</f>
        <v>41962.64583</v>
      </c>
      <c r="B960" s="1">
        <f>IFERROR(__xludf.DUMMYFUNCTION("""COMPUTED_VALUE"""),24760.0)</f>
        <v>24760</v>
      </c>
      <c r="C960" s="1">
        <f>IFERROR(__xludf.DUMMYFUNCTION("""COMPUTED_VALUE"""),24760.0)</f>
        <v>24760</v>
      </c>
      <c r="D960" s="1">
        <f>IFERROR(__xludf.DUMMYFUNCTION("""COMPUTED_VALUE"""),24240.0)</f>
        <v>24240</v>
      </c>
      <c r="E960" s="1">
        <f>IFERROR(__xludf.DUMMYFUNCTION("""COMPUTED_VALUE"""),24360.0)</f>
        <v>24360</v>
      </c>
      <c r="F960" s="1">
        <f>IFERROR(__xludf.DUMMYFUNCTION("""COMPUTED_VALUE"""),250055.0)</f>
        <v>250055</v>
      </c>
    </row>
    <row r="961">
      <c r="A961" s="2">
        <f>IFERROR(__xludf.DUMMYFUNCTION("""COMPUTED_VALUE"""),41963.64583333333)</f>
        <v>41963.64583</v>
      </c>
      <c r="B961" s="1">
        <f>IFERROR(__xludf.DUMMYFUNCTION("""COMPUTED_VALUE"""),24120.0)</f>
        <v>24120</v>
      </c>
      <c r="C961" s="1">
        <f>IFERROR(__xludf.DUMMYFUNCTION("""COMPUTED_VALUE"""),24400.0)</f>
        <v>24400</v>
      </c>
      <c r="D961" s="1">
        <f>IFERROR(__xludf.DUMMYFUNCTION("""COMPUTED_VALUE"""),24120.0)</f>
        <v>24120</v>
      </c>
      <c r="E961" s="1">
        <f>IFERROR(__xludf.DUMMYFUNCTION("""COMPUTED_VALUE"""),24200.0)</f>
        <v>24200</v>
      </c>
      <c r="F961" s="1">
        <f>IFERROR(__xludf.DUMMYFUNCTION("""COMPUTED_VALUE"""),200483.0)</f>
        <v>200483</v>
      </c>
    </row>
    <row r="962">
      <c r="A962" s="2">
        <f>IFERROR(__xludf.DUMMYFUNCTION("""COMPUTED_VALUE"""),41964.64583333333)</f>
        <v>41964.64583</v>
      </c>
      <c r="B962" s="1">
        <f>IFERROR(__xludf.DUMMYFUNCTION("""COMPUTED_VALUE"""),24380.0)</f>
        <v>24380</v>
      </c>
      <c r="C962" s="1">
        <f>IFERROR(__xludf.DUMMYFUNCTION("""COMPUTED_VALUE"""),24520.0)</f>
        <v>24520</v>
      </c>
      <c r="D962" s="1">
        <f>IFERROR(__xludf.DUMMYFUNCTION("""COMPUTED_VALUE"""),24340.0)</f>
        <v>24340</v>
      </c>
      <c r="E962" s="1">
        <f>IFERROR(__xludf.DUMMYFUNCTION("""COMPUTED_VALUE"""),24460.0)</f>
        <v>24460</v>
      </c>
      <c r="F962" s="1">
        <f>IFERROR(__xludf.DUMMYFUNCTION("""COMPUTED_VALUE"""),246727.0)</f>
        <v>246727</v>
      </c>
    </row>
    <row r="963">
      <c r="A963" s="2">
        <f>IFERROR(__xludf.DUMMYFUNCTION("""COMPUTED_VALUE"""),41967.64583333333)</f>
        <v>41967.64583</v>
      </c>
      <c r="B963" s="1">
        <f>IFERROR(__xludf.DUMMYFUNCTION("""COMPUTED_VALUE"""),24940.0)</f>
        <v>24940</v>
      </c>
      <c r="C963" s="1">
        <f>IFERROR(__xludf.DUMMYFUNCTION("""COMPUTED_VALUE"""),24960.0)</f>
        <v>24960</v>
      </c>
      <c r="D963" s="1">
        <f>IFERROR(__xludf.DUMMYFUNCTION("""COMPUTED_VALUE"""),24200.0)</f>
        <v>24200</v>
      </c>
      <c r="E963" s="1">
        <f>IFERROR(__xludf.DUMMYFUNCTION("""COMPUTED_VALUE"""),24400.0)</f>
        <v>24400</v>
      </c>
      <c r="F963" s="1">
        <f>IFERROR(__xludf.DUMMYFUNCTION("""COMPUTED_VALUE"""),205686.0)</f>
        <v>205686</v>
      </c>
    </row>
    <row r="964">
      <c r="A964" s="2">
        <f>IFERROR(__xludf.DUMMYFUNCTION("""COMPUTED_VALUE"""),41968.64583333333)</f>
        <v>41968.64583</v>
      </c>
      <c r="B964" s="1">
        <f>IFERROR(__xludf.DUMMYFUNCTION("""COMPUTED_VALUE"""),24480.0)</f>
        <v>24480</v>
      </c>
      <c r="C964" s="1">
        <f>IFERROR(__xludf.DUMMYFUNCTION("""COMPUTED_VALUE"""),24480.0)</f>
        <v>24480</v>
      </c>
      <c r="D964" s="1">
        <f>IFERROR(__xludf.DUMMYFUNCTION("""COMPUTED_VALUE"""),23800.0)</f>
        <v>23800</v>
      </c>
      <c r="E964" s="1">
        <f>IFERROR(__xludf.DUMMYFUNCTION("""COMPUTED_VALUE"""),23800.0)</f>
        <v>23800</v>
      </c>
      <c r="F964" s="1">
        <f>IFERROR(__xludf.DUMMYFUNCTION("""COMPUTED_VALUE"""),356221.0)</f>
        <v>356221</v>
      </c>
    </row>
    <row r="965">
      <c r="A965" s="2">
        <f>IFERROR(__xludf.DUMMYFUNCTION("""COMPUTED_VALUE"""),41969.64583333333)</f>
        <v>41969.64583</v>
      </c>
      <c r="B965" s="1">
        <f>IFERROR(__xludf.DUMMYFUNCTION("""COMPUTED_VALUE"""),23800.0)</f>
        <v>23800</v>
      </c>
      <c r="C965" s="1">
        <f>IFERROR(__xludf.DUMMYFUNCTION("""COMPUTED_VALUE"""),24220.0)</f>
        <v>24220</v>
      </c>
      <c r="D965" s="1">
        <f>IFERROR(__xludf.DUMMYFUNCTION("""COMPUTED_VALUE"""),23640.0)</f>
        <v>23640</v>
      </c>
      <c r="E965" s="1">
        <f>IFERROR(__xludf.DUMMYFUNCTION("""COMPUTED_VALUE"""),24020.0)</f>
        <v>24020</v>
      </c>
      <c r="F965" s="1">
        <f>IFERROR(__xludf.DUMMYFUNCTION("""COMPUTED_VALUE"""),245758.0)</f>
        <v>245758</v>
      </c>
    </row>
    <row r="966">
      <c r="A966" s="2">
        <f>IFERROR(__xludf.DUMMYFUNCTION("""COMPUTED_VALUE"""),41970.64583333333)</f>
        <v>41970.64583</v>
      </c>
      <c r="B966" s="1">
        <f>IFERROR(__xludf.DUMMYFUNCTION("""COMPUTED_VALUE"""),25460.0)</f>
        <v>25460</v>
      </c>
      <c r="C966" s="1">
        <f>IFERROR(__xludf.DUMMYFUNCTION("""COMPUTED_VALUE"""),26020.0)</f>
        <v>26020</v>
      </c>
      <c r="D966" s="1">
        <f>IFERROR(__xludf.DUMMYFUNCTION("""COMPUTED_VALUE"""),25280.0)</f>
        <v>25280</v>
      </c>
      <c r="E966" s="1">
        <f>IFERROR(__xludf.DUMMYFUNCTION("""COMPUTED_VALUE"""),25280.0)</f>
        <v>25280</v>
      </c>
      <c r="F966" s="1">
        <f>IFERROR(__xludf.DUMMYFUNCTION("""COMPUTED_VALUE"""),887556.0)</f>
        <v>887556</v>
      </c>
    </row>
    <row r="967">
      <c r="A967" s="2">
        <f>IFERROR(__xludf.DUMMYFUNCTION("""COMPUTED_VALUE"""),41971.64583333333)</f>
        <v>41971.64583</v>
      </c>
      <c r="B967" s="1">
        <f>IFERROR(__xludf.DUMMYFUNCTION("""COMPUTED_VALUE"""),25900.0)</f>
        <v>25900</v>
      </c>
      <c r="C967" s="1">
        <f>IFERROR(__xludf.DUMMYFUNCTION("""COMPUTED_VALUE"""),25920.0)</f>
        <v>25920</v>
      </c>
      <c r="D967" s="1">
        <f>IFERROR(__xludf.DUMMYFUNCTION("""COMPUTED_VALUE"""),25480.0)</f>
        <v>25480</v>
      </c>
      <c r="E967" s="1">
        <f>IFERROR(__xludf.DUMMYFUNCTION("""COMPUTED_VALUE"""),25740.0)</f>
        <v>25740</v>
      </c>
      <c r="F967" s="1">
        <f>IFERROR(__xludf.DUMMYFUNCTION("""COMPUTED_VALUE"""),196891.0)</f>
        <v>196891</v>
      </c>
    </row>
    <row r="968">
      <c r="A968" s="2">
        <f>IFERROR(__xludf.DUMMYFUNCTION("""COMPUTED_VALUE"""),41974.64583333333)</f>
        <v>41974.64583</v>
      </c>
      <c r="B968" s="1">
        <f>IFERROR(__xludf.DUMMYFUNCTION("""COMPUTED_VALUE"""),25880.0)</f>
        <v>25880</v>
      </c>
      <c r="C968" s="1">
        <f>IFERROR(__xludf.DUMMYFUNCTION("""COMPUTED_VALUE"""),25960.0)</f>
        <v>25960</v>
      </c>
      <c r="D968" s="1">
        <f>IFERROR(__xludf.DUMMYFUNCTION("""COMPUTED_VALUE"""),25740.0)</f>
        <v>25740</v>
      </c>
      <c r="E968" s="1">
        <f>IFERROR(__xludf.DUMMYFUNCTION("""COMPUTED_VALUE"""),25900.0)</f>
        <v>25900</v>
      </c>
      <c r="F968" s="1">
        <f>IFERROR(__xludf.DUMMYFUNCTION("""COMPUTED_VALUE"""),257337.0)</f>
        <v>257337</v>
      </c>
    </row>
    <row r="969">
      <c r="A969" s="2">
        <f>IFERROR(__xludf.DUMMYFUNCTION("""COMPUTED_VALUE"""),41975.64583333333)</f>
        <v>41975.64583</v>
      </c>
      <c r="B969" s="1">
        <f>IFERROR(__xludf.DUMMYFUNCTION("""COMPUTED_VALUE"""),25900.0)</f>
        <v>25900</v>
      </c>
      <c r="C969" s="1">
        <f>IFERROR(__xludf.DUMMYFUNCTION("""COMPUTED_VALUE"""),25900.0)</f>
        <v>25900</v>
      </c>
      <c r="D969" s="1">
        <f>IFERROR(__xludf.DUMMYFUNCTION("""COMPUTED_VALUE"""),25320.0)</f>
        <v>25320</v>
      </c>
      <c r="E969" s="1">
        <f>IFERROR(__xludf.DUMMYFUNCTION("""COMPUTED_VALUE"""),25900.0)</f>
        <v>25900</v>
      </c>
      <c r="F969" s="1">
        <f>IFERROR(__xludf.DUMMYFUNCTION("""COMPUTED_VALUE"""),184454.0)</f>
        <v>184454</v>
      </c>
    </row>
    <row r="970">
      <c r="A970" s="2">
        <f>IFERROR(__xludf.DUMMYFUNCTION("""COMPUTED_VALUE"""),41976.64583333333)</f>
        <v>41976.64583</v>
      </c>
      <c r="B970" s="1">
        <f>IFERROR(__xludf.DUMMYFUNCTION("""COMPUTED_VALUE"""),26000.0)</f>
        <v>26000</v>
      </c>
      <c r="C970" s="1">
        <f>IFERROR(__xludf.DUMMYFUNCTION("""COMPUTED_VALUE"""),26020.0)</f>
        <v>26020</v>
      </c>
      <c r="D970" s="1">
        <f>IFERROR(__xludf.DUMMYFUNCTION("""COMPUTED_VALUE"""),25900.0)</f>
        <v>25900</v>
      </c>
      <c r="E970" s="1">
        <f>IFERROR(__xludf.DUMMYFUNCTION("""COMPUTED_VALUE"""),25960.0)</f>
        <v>25960</v>
      </c>
      <c r="F970" s="1">
        <f>IFERROR(__xludf.DUMMYFUNCTION("""COMPUTED_VALUE"""),194710.0)</f>
        <v>194710</v>
      </c>
    </row>
    <row r="971">
      <c r="A971" s="2">
        <f>IFERROR(__xludf.DUMMYFUNCTION("""COMPUTED_VALUE"""),41977.64583333333)</f>
        <v>41977.64583</v>
      </c>
      <c r="B971" s="1">
        <f>IFERROR(__xludf.DUMMYFUNCTION("""COMPUTED_VALUE"""),26040.0)</f>
        <v>26040</v>
      </c>
      <c r="C971" s="1">
        <f>IFERROR(__xludf.DUMMYFUNCTION("""COMPUTED_VALUE"""),26060.0)</f>
        <v>26060</v>
      </c>
      <c r="D971" s="1">
        <f>IFERROR(__xludf.DUMMYFUNCTION("""COMPUTED_VALUE"""),25960.0)</f>
        <v>25960</v>
      </c>
      <c r="E971" s="1">
        <f>IFERROR(__xludf.DUMMYFUNCTION("""COMPUTED_VALUE"""),26000.0)</f>
        <v>26000</v>
      </c>
      <c r="F971" s="1">
        <f>IFERROR(__xludf.DUMMYFUNCTION("""COMPUTED_VALUE"""),177427.0)</f>
        <v>177427</v>
      </c>
    </row>
    <row r="972">
      <c r="A972" s="2">
        <f>IFERROR(__xludf.DUMMYFUNCTION("""COMPUTED_VALUE"""),41978.64583333333)</f>
        <v>41978.64583</v>
      </c>
      <c r="B972" s="1">
        <f>IFERROR(__xludf.DUMMYFUNCTION("""COMPUTED_VALUE"""),26280.0)</f>
        <v>26280</v>
      </c>
      <c r="C972" s="1">
        <f>IFERROR(__xludf.DUMMYFUNCTION("""COMPUTED_VALUE"""),26280.0)</f>
        <v>26280</v>
      </c>
      <c r="D972" s="1">
        <f>IFERROR(__xludf.DUMMYFUNCTION("""COMPUTED_VALUE"""),26000.0)</f>
        <v>26000</v>
      </c>
      <c r="E972" s="1">
        <f>IFERROR(__xludf.DUMMYFUNCTION("""COMPUTED_VALUE"""),26040.0)</f>
        <v>26040</v>
      </c>
      <c r="F972" s="1">
        <f>IFERROR(__xludf.DUMMYFUNCTION("""COMPUTED_VALUE"""),112756.0)</f>
        <v>112756</v>
      </c>
    </row>
    <row r="973">
      <c r="A973" s="2">
        <f>IFERROR(__xludf.DUMMYFUNCTION("""COMPUTED_VALUE"""),41981.64583333333)</f>
        <v>41981.64583</v>
      </c>
      <c r="B973" s="1">
        <f>IFERROR(__xludf.DUMMYFUNCTION("""COMPUTED_VALUE"""),26060.0)</f>
        <v>26060</v>
      </c>
      <c r="C973" s="1">
        <f>IFERROR(__xludf.DUMMYFUNCTION("""COMPUTED_VALUE"""),26420.0)</f>
        <v>26420</v>
      </c>
      <c r="D973" s="1">
        <f>IFERROR(__xludf.DUMMYFUNCTION("""COMPUTED_VALUE"""),26040.0)</f>
        <v>26040</v>
      </c>
      <c r="E973" s="1">
        <f>IFERROR(__xludf.DUMMYFUNCTION("""COMPUTED_VALUE"""),26380.0)</f>
        <v>26380</v>
      </c>
      <c r="F973" s="1">
        <f>IFERROR(__xludf.DUMMYFUNCTION("""COMPUTED_VALUE"""),158331.0)</f>
        <v>158331</v>
      </c>
    </row>
    <row r="974">
      <c r="A974" s="2">
        <f>IFERROR(__xludf.DUMMYFUNCTION("""COMPUTED_VALUE"""),41982.64583333333)</f>
        <v>41982.64583</v>
      </c>
      <c r="B974" s="1">
        <f>IFERROR(__xludf.DUMMYFUNCTION("""COMPUTED_VALUE"""),26380.0)</f>
        <v>26380</v>
      </c>
      <c r="C974" s="1">
        <f>IFERROR(__xludf.DUMMYFUNCTION("""COMPUTED_VALUE"""),27140.0)</f>
        <v>27140</v>
      </c>
      <c r="D974" s="1">
        <f>IFERROR(__xludf.DUMMYFUNCTION("""COMPUTED_VALUE"""),26380.0)</f>
        <v>26380</v>
      </c>
      <c r="E974" s="1">
        <f>IFERROR(__xludf.DUMMYFUNCTION("""COMPUTED_VALUE"""),26980.0)</f>
        <v>26980</v>
      </c>
      <c r="F974" s="1">
        <f>IFERROR(__xludf.DUMMYFUNCTION("""COMPUTED_VALUE"""),271062.0)</f>
        <v>271062</v>
      </c>
    </row>
    <row r="975">
      <c r="A975" s="2">
        <f>IFERROR(__xludf.DUMMYFUNCTION("""COMPUTED_VALUE"""),41983.64583333333)</f>
        <v>41983.64583</v>
      </c>
      <c r="B975" s="1">
        <f>IFERROR(__xludf.DUMMYFUNCTION("""COMPUTED_VALUE"""),26920.0)</f>
        <v>26920</v>
      </c>
      <c r="C975" s="1">
        <f>IFERROR(__xludf.DUMMYFUNCTION("""COMPUTED_VALUE"""),26920.0)</f>
        <v>26920</v>
      </c>
      <c r="D975" s="1">
        <f>IFERROR(__xludf.DUMMYFUNCTION("""COMPUTED_VALUE"""),26340.0)</f>
        <v>26340</v>
      </c>
      <c r="E975" s="1">
        <f>IFERROR(__xludf.DUMMYFUNCTION("""COMPUTED_VALUE"""),26340.0)</f>
        <v>26340</v>
      </c>
      <c r="F975" s="1">
        <f>IFERROR(__xludf.DUMMYFUNCTION("""COMPUTED_VALUE"""),319556.0)</f>
        <v>319556</v>
      </c>
    </row>
    <row r="976">
      <c r="A976" s="2">
        <f>IFERROR(__xludf.DUMMYFUNCTION("""COMPUTED_VALUE"""),41984.64583333333)</f>
        <v>41984.64583</v>
      </c>
      <c r="B976" s="1">
        <f>IFERROR(__xludf.DUMMYFUNCTION("""COMPUTED_VALUE"""),26340.0)</f>
        <v>26340</v>
      </c>
      <c r="C976" s="1">
        <f>IFERROR(__xludf.DUMMYFUNCTION("""COMPUTED_VALUE"""),26380.0)</f>
        <v>26380</v>
      </c>
      <c r="D976" s="1">
        <f>IFERROR(__xludf.DUMMYFUNCTION("""COMPUTED_VALUE"""),25880.0)</f>
        <v>25880</v>
      </c>
      <c r="E976" s="1">
        <f>IFERROR(__xludf.DUMMYFUNCTION("""COMPUTED_VALUE"""),26100.0)</f>
        <v>26100</v>
      </c>
      <c r="F976" s="1">
        <f>IFERROR(__xludf.DUMMYFUNCTION("""COMPUTED_VALUE"""),409817.0)</f>
        <v>409817</v>
      </c>
    </row>
    <row r="977">
      <c r="A977" s="2">
        <f>IFERROR(__xludf.DUMMYFUNCTION("""COMPUTED_VALUE"""),41985.64583333333)</f>
        <v>41985.64583</v>
      </c>
      <c r="B977" s="1">
        <f>IFERROR(__xludf.DUMMYFUNCTION("""COMPUTED_VALUE"""),26060.0)</f>
        <v>26060</v>
      </c>
      <c r="C977" s="1">
        <f>IFERROR(__xludf.DUMMYFUNCTION("""COMPUTED_VALUE"""),26080.0)</f>
        <v>26080</v>
      </c>
      <c r="D977" s="1">
        <f>IFERROR(__xludf.DUMMYFUNCTION("""COMPUTED_VALUE"""),25480.0)</f>
        <v>25480</v>
      </c>
      <c r="E977" s="1">
        <f>IFERROR(__xludf.DUMMYFUNCTION("""COMPUTED_VALUE"""),25720.0)</f>
        <v>25720</v>
      </c>
      <c r="F977" s="1">
        <f>IFERROR(__xludf.DUMMYFUNCTION("""COMPUTED_VALUE"""),287945.0)</f>
        <v>287945</v>
      </c>
    </row>
    <row r="978">
      <c r="A978" s="2">
        <f>IFERROR(__xludf.DUMMYFUNCTION("""COMPUTED_VALUE"""),41988.64583333333)</f>
        <v>41988.64583</v>
      </c>
      <c r="B978" s="1">
        <f>IFERROR(__xludf.DUMMYFUNCTION("""COMPUTED_VALUE"""),25600.0)</f>
        <v>25600</v>
      </c>
      <c r="C978" s="1">
        <f>IFERROR(__xludf.DUMMYFUNCTION("""COMPUTED_VALUE"""),25600.0)</f>
        <v>25600</v>
      </c>
      <c r="D978" s="1">
        <f>IFERROR(__xludf.DUMMYFUNCTION("""COMPUTED_VALUE"""),25200.0)</f>
        <v>25200</v>
      </c>
      <c r="E978" s="1">
        <f>IFERROR(__xludf.DUMMYFUNCTION("""COMPUTED_VALUE"""),25460.0)</f>
        <v>25460</v>
      </c>
      <c r="F978" s="1">
        <f>IFERROR(__xludf.DUMMYFUNCTION("""COMPUTED_VALUE"""),286759.0)</f>
        <v>286759</v>
      </c>
    </row>
    <row r="979">
      <c r="A979" s="2">
        <f>IFERROR(__xludf.DUMMYFUNCTION("""COMPUTED_VALUE"""),41989.64583333333)</f>
        <v>41989.64583</v>
      </c>
      <c r="B979" s="1">
        <f>IFERROR(__xludf.DUMMYFUNCTION("""COMPUTED_VALUE"""),25400.0)</f>
        <v>25400</v>
      </c>
      <c r="C979" s="1">
        <f>IFERROR(__xludf.DUMMYFUNCTION("""COMPUTED_VALUE"""),25780.0)</f>
        <v>25780</v>
      </c>
      <c r="D979" s="1">
        <f>IFERROR(__xludf.DUMMYFUNCTION("""COMPUTED_VALUE"""),25360.0)</f>
        <v>25360</v>
      </c>
      <c r="E979" s="1">
        <f>IFERROR(__xludf.DUMMYFUNCTION("""COMPUTED_VALUE"""),25580.0)</f>
        <v>25580</v>
      </c>
      <c r="F979" s="1">
        <f>IFERROR(__xludf.DUMMYFUNCTION("""COMPUTED_VALUE"""),257895.0)</f>
        <v>257895</v>
      </c>
    </row>
    <row r="980">
      <c r="A980" s="2">
        <f>IFERROR(__xludf.DUMMYFUNCTION("""COMPUTED_VALUE"""),41990.64583333333)</f>
        <v>41990.64583</v>
      </c>
      <c r="B980" s="1">
        <f>IFERROR(__xludf.DUMMYFUNCTION("""COMPUTED_VALUE"""),25580.0)</f>
        <v>25580</v>
      </c>
      <c r="C980" s="1">
        <f>IFERROR(__xludf.DUMMYFUNCTION("""COMPUTED_VALUE"""),25660.0)</f>
        <v>25660</v>
      </c>
      <c r="D980" s="1">
        <f>IFERROR(__xludf.DUMMYFUNCTION("""COMPUTED_VALUE"""),25060.0)</f>
        <v>25060</v>
      </c>
      <c r="E980" s="1">
        <f>IFERROR(__xludf.DUMMYFUNCTION("""COMPUTED_VALUE"""),25320.0)</f>
        <v>25320</v>
      </c>
      <c r="F980" s="1">
        <f>IFERROR(__xludf.DUMMYFUNCTION("""COMPUTED_VALUE"""),261773.0)</f>
        <v>261773</v>
      </c>
    </row>
    <row r="981">
      <c r="A981" s="2">
        <f>IFERROR(__xludf.DUMMYFUNCTION("""COMPUTED_VALUE"""),41991.64583333333)</f>
        <v>41991.64583</v>
      </c>
      <c r="B981" s="1">
        <f>IFERROR(__xludf.DUMMYFUNCTION("""COMPUTED_VALUE"""),25320.0)</f>
        <v>25320</v>
      </c>
      <c r="C981" s="1">
        <f>IFERROR(__xludf.DUMMYFUNCTION("""COMPUTED_VALUE"""),25580.0)</f>
        <v>25580</v>
      </c>
      <c r="D981" s="1">
        <f>IFERROR(__xludf.DUMMYFUNCTION("""COMPUTED_VALUE"""),25040.0)</f>
        <v>25040</v>
      </c>
      <c r="E981" s="1">
        <f>IFERROR(__xludf.DUMMYFUNCTION("""COMPUTED_VALUE"""),25320.0)</f>
        <v>25320</v>
      </c>
      <c r="F981" s="1">
        <f>IFERROR(__xludf.DUMMYFUNCTION("""COMPUTED_VALUE"""),236165.0)</f>
        <v>236165</v>
      </c>
    </row>
    <row r="982">
      <c r="A982" s="2">
        <f>IFERROR(__xludf.DUMMYFUNCTION("""COMPUTED_VALUE"""),41992.64583333333)</f>
        <v>41992.64583</v>
      </c>
      <c r="B982" s="1">
        <f>IFERROR(__xludf.DUMMYFUNCTION("""COMPUTED_VALUE"""),25880.0)</f>
        <v>25880</v>
      </c>
      <c r="C982" s="1">
        <f>IFERROR(__xludf.DUMMYFUNCTION("""COMPUTED_VALUE"""),26560.0)</f>
        <v>26560</v>
      </c>
      <c r="D982" s="1">
        <f>IFERROR(__xludf.DUMMYFUNCTION("""COMPUTED_VALUE"""),25740.0)</f>
        <v>25740</v>
      </c>
      <c r="E982" s="1">
        <f>IFERROR(__xludf.DUMMYFUNCTION("""COMPUTED_VALUE"""),26560.0)</f>
        <v>26560</v>
      </c>
      <c r="F982" s="1">
        <f>IFERROR(__xludf.DUMMYFUNCTION("""COMPUTED_VALUE"""),367130.0)</f>
        <v>367130</v>
      </c>
    </row>
    <row r="983">
      <c r="A983" s="2">
        <f>IFERROR(__xludf.DUMMYFUNCTION("""COMPUTED_VALUE"""),41995.64583333333)</f>
        <v>41995.64583</v>
      </c>
      <c r="B983" s="1">
        <f>IFERROR(__xludf.DUMMYFUNCTION("""COMPUTED_VALUE"""),26900.0)</f>
        <v>26900</v>
      </c>
      <c r="C983" s="1">
        <f>IFERROR(__xludf.DUMMYFUNCTION("""COMPUTED_VALUE"""),26940.0)</f>
        <v>26940</v>
      </c>
      <c r="D983" s="1">
        <f>IFERROR(__xludf.DUMMYFUNCTION("""COMPUTED_VALUE"""),26360.0)</f>
        <v>26360</v>
      </c>
      <c r="E983" s="1">
        <f>IFERROR(__xludf.DUMMYFUNCTION("""COMPUTED_VALUE"""),26900.0)</f>
        <v>26900</v>
      </c>
      <c r="F983" s="1">
        <f>IFERROR(__xludf.DUMMYFUNCTION("""COMPUTED_VALUE"""),358877.0)</f>
        <v>358877</v>
      </c>
    </row>
    <row r="984">
      <c r="A984" s="2">
        <f>IFERROR(__xludf.DUMMYFUNCTION("""COMPUTED_VALUE"""),41996.64583333333)</f>
        <v>41996.64583</v>
      </c>
      <c r="B984" s="1">
        <f>IFERROR(__xludf.DUMMYFUNCTION("""COMPUTED_VALUE"""),26920.0)</f>
        <v>26920</v>
      </c>
      <c r="C984" s="1">
        <f>IFERROR(__xludf.DUMMYFUNCTION("""COMPUTED_VALUE"""),26980.0)</f>
        <v>26980</v>
      </c>
      <c r="D984" s="1">
        <f>IFERROR(__xludf.DUMMYFUNCTION("""COMPUTED_VALUE"""),26740.0)</f>
        <v>26740</v>
      </c>
      <c r="E984" s="1">
        <f>IFERROR(__xludf.DUMMYFUNCTION("""COMPUTED_VALUE"""),26780.0)</f>
        <v>26780</v>
      </c>
      <c r="F984" s="1">
        <f>IFERROR(__xludf.DUMMYFUNCTION("""COMPUTED_VALUE"""),219527.0)</f>
        <v>219527</v>
      </c>
    </row>
    <row r="985">
      <c r="A985" s="2">
        <f>IFERROR(__xludf.DUMMYFUNCTION("""COMPUTED_VALUE"""),41997.64583333333)</f>
        <v>41997.64583</v>
      </c>
      <c r="B985" s="1">
        <f>IFERROR(__xludf.DUMMYFUNCTION("""COMPUTED_VALUE"""),26780.0)</f>
        <v>26780</v>
      </c>
      <c r="C985" s="1">
        <f>IFERROR(__xludf.DUMMYFUNCTION("""COMPUTED_VALUE"""),26860.0)</f>
        <v>26860</v>
      </c>
      <c r="D985" s="1">
        <f>IFERROR(__xludf.DUMMYFUNCTION("""COMPUTED_VALUE"""),26780.0)</f>
        <v>26780</v>
      </c>
      <c r="E985" s="1">
        <f>IFERROR(__xludf.DUMMYFUNCTION("""COMPUTED_VALUE"""),26860.0)</f>
        <v>26860</v>
      </c>
      <c r="F985" s="1">
        <f>IFERROR(__xludf.DUMMYFUNCTION("""COMPUTED_VALUE"""),125140.0)</f>
        <v>125140</v>
      </c>
    </row>
    <row r="986">
      <c r="A986" s="2">
        <f>IFERROR(__xludf.DUMMYFUNCTION("""COMPUTED_VALUE"""),41999.64583333333)</f>
        <v>41999.64583</v>
      </c>
      <c r="B986" s="1">
        <f>IFERROR(__xludf.DUMMYFUNCTION("""COMPUTED_VALUE"""),26860.0)</f>
        <v>26860</v>
      </c>
      <c r="C986" s="1">
        <f>IFERROR(__xludf.DUMMYFUNCTION("""COMPUTED_VALUE"""),27100.0)</f>
        <v>27100</v>
      </c>
      <c r="D986" s="1">
        <f>IFERROR(__xludf.DUMMYFUNCTION("""COMPUTED_VALUE"""),26860.0)</f>
        <v>26860</v>
      </c>
      <c r="E986" s="1">
        <f>IFERROR(__xludf.DUMMYFUNCTION("""COMPUTED_VALUE"""),27040.0)</f>
        <v>27040</v>
      </c>
      <c r="F986" s="1">
        <f>IFERROR(__xludf.DUMMYFUNCTION("""COMPUTED_VALUE"""),229762.0)</f>
        <v>229762</v>
      </c>
    </row>
    <row r="987">
      <c r="A987" s="2">
        <f>IFERROR(__xludf.DUMMYFUNCTION("""COMPUTED_VALUE"""),42002.64583333333)</f>
        <v>42002.64583</v>
      </c>
      <c r="B987" s="1">
        <f>IFERROR(__xludf.DUMMYFUNCTION("""COMPUTED_VALUE"""),26900.0)</f>
        <v>26900</v>
      </c>
      <c r="C987" s="1">
        <f>IFERROR(__xludf.DUMMYFUNCTION("""COMPUTED_VALUE"""),26940.0)</f>
        <v>26940</v>
      </c>
      <c r="D987" s="1">
        <f>IFERROR(__xludf.DUMMYFUNCTION("""COMPUTED_VALUE"""),26580.0)</f>
        <v>26580</v>
      </c>
      <c r="E987" s="1">
        <f>IFERROR(__xludf.DUMMYFUNCTION("""COMPUTED_VALUE"""),26580.0)</f>
        <v>26580</v>
      </c>
      <c r="F987" s="1">
        <f>IFERROR(__xludf.DUMMYFUNCTION("""COMPUTED_VALUE"""),192749.0)</f>
        <v>192749</v>
      </c>
    </row>
    <row r="988">
      <c r="A988" s="2">
        <f>IFERROR(__xludf.DUMMYFUNCTION("""COMPUTED_VALUE"""),42003.64583333333)</f>
        <v>42003.64583</v>
      </c>
      <c r="B988" s="1">
        <f>IFERROR(__xludf.DUMMYFUNCTION("""COMPUTED_VALUE"""),26600.0)</f>
        <v>26600</v>
      </c>
      <c r="C988" s="1">
        <f>IFERROR(__xludf.DUMMYFUNCTION("""COMPUTED_VALUE"""),26700.0)</f>
        <v>26700</v>
      </c>
      <c r="D988" s="1">
        <f>IFERROR(__xludf.DUMMYFUNCTION("""COMPUTED_VALUE"""),26420.0)</f>
        <v>26420</v>
      </c>
      <c r="E988" s="1">
        <f>IFERROR(__xludf.DUMMYFUNCTION("""COMPUTED_VALUE"""),26540.0)</f>
        <v>26540</v>
      </c>
      <c r="F988" s="1">
        <f>IFERROR(__xludf.DUMMYFUNCTION("""COMPUTED_VALUE"""),212982.0)</f>
        <v>212982</v>
      </c>
    </row>
    <row r="989">
      <c r="A989" s="2">
        <f>IFERROR(__xludf.DUMMYFUNCTION("""COMPUTED_VALUE"""),42006.64583333333)</f>
        <v>42006.64583</v>
      </c>
      <c r="B989" s="1">
        <f>IFERROR(__xludf.DUMMYFUNCTION("""COMPUTED_VALUE"""),26800.0)</f>
        <v>26800</v>
      </c>
      <c r="C989" s="1">
        <f>IFERROR(__xludf.DUMMYFUNCTION("""COMPUTED_VALUE"""),26800.0)</f>
        <v>26800</v>
      </c>
      <c r="D989" s="1">
        <f>IFERROR(__xludf.DUMMYFUNCTION("""COMPUTED_VALUE"""),26540.0)</f>
        <v>26540</v>
      </c>
      <c r="E989" s="1">
        <f>IFERROR(__xludf.DUMMYFUNCTION("""COMPUTED_VALUE"""),26600.0)</f>
        <v>26600</v>
      </c>
      <c r="F989" s="1">
        <f>IFERROR(__xludf.DUMMYFUNCTION("""COMPUTED_VALUE"""),175499.0)</f>
        <v>175499</v>
      </c>
    </row>
    <row r="990">
      <c r="A990" s="2">
        <f>IFERROR(__xludf.DUMMYFUNCTION("""COMPUTED_VALUE"""),42009.64583333333)</f>
        <v>42009.64583</v>
      </c>
      <c r="B990" s="1">
        <f>IFERROR(__xludf.DUMMYFUNCTION("""COMPUTED_VALUE"""),26720.0)</f>
        <v>26720</v>
      </c>
      <c r="C990" s="1">
        <f>IFERROR(__xludf.DUMMYFUNCTION("""COMPUTED_VALUE"""),26720.0)</f>
        <v>26720</v>
      </c>
      <c r="D990" s="1">
        <f>IFERROR(__xludf.DUMMYFUNCTION("""COMPUTED_VALUE"""),26260.0)</f>
        <v>26260</v>
      </c>
      <c r="E990" s="1">
        <f>IFERROR(__xludf.DUMMYFUNCTION("""COMPUTED_VALUE"""),26660.0)</f>
        <v>26660</v>
      </c>
      <c r="F990" s="1">
        <f>IFERROR(__xludf.DUMMYFUNCTION("""COMPUTED_VALUE"""),202790.0)</f>
        <v>202790</v>
      </c>
    </row>
    <row r="991">
      <c r="A991" s="2">
        <f>IFERROR(__xludf.DUMMYFUNCTION("""COMPUTED_VALUE"""),42010.64583333333)</f>
        <v>42010.64583</v>
      </c>
      <c r="B991" s="1">
        <f>IFERROR(__xludf.DUMMYFUNCTION("""COMPUTED_VALUE"""),26300.0)</f>
        <v>26300</v>
      </c>
      <c r="C991" s="1">
        <f>IFERROR(__xludf.DUMMYFUNCTION("""COMPUTED_VALUE"""),26340.0)</f>
        <v>26340</v>
      </c>
      <c r="D991" s="1">
        <f>IFERROR(__xludf.DUMMYFUNCTION("""COMPUTED_VALUE"""),25760.0)</f>
        <v>25760</v>
      </c>
      <c r="E991" s="1">
        <f>IFERROR(__xludf.DUMMYFUNCTION("""COMPUTED_VALUE"""),25900.0)</f>
        <v>25900</v>
      </c>
      <c r="F991" s="1">
        <f>IFERROR(__xludf.DUMMYFUNCTION("""COMPUTED_VALUE"""),304710.0)</f>
        <v>304710</v>
      </c>
    </row>
    <row r="992">
      <c r="A992" s="2">
        <f>IFERROR(__xludf.DUMMYFUNCTION("""COMPUTED_VALUE"""),42012.64583333333)</f>
        <v>42012.64583</v>
      </c>
      <c r="B992" s="1">
        <f>IFERROR(__xludf.DUMMYFUNCTION("""COMPUTED_VALUE"""),26780.0)</f>
        <v>26780</v>
      </c>
      <c r="C992" s="1">
        <f>IFERROR(__xludf.DUMMYFUNCTION("""COMPUTED_VALUE"""),26780.0)</f>
        <v>26780</v>
      </c>
      <c r="D992" s="1">
        <f>IFERROR(__xludf.DUMMYFUNCTION("""COMPUTED_VALUE"""),26200.0)</f>
        <v>26200</v>
      </c>
      <c r="E992" s="1">
        <f>IFERROR(__xludf.DUMMYFUNCTION("""COMPUTED_VALUE"""),26280.0)</f>
        <v>26280</v>
      </c>
      <c r="F992" s="1">
        <f>IFERROR(__xludf.DUMMYFUNCTION("""COMPUTED_VALUE"""),289552.0)</f>
        <v>289552</v>
      </c>
    </row>
    <row r="993">
      <c r="A993" s="2">
        <f>IFERROR(__xludf.DUMMYFUNCTION("""COMPUTED_VALUE"""),42013.64583333333)</f>
        <v>42013.64583</v>
      </c>
      <c r="B993" s="1">
        <f>IFERROR(__xludf.DUMMYFUNCTION("""COMPUTED_VALUE"""),26280.0)</f>
        <v>26280</v>
      </c>
      <c r="C993" s="1">
        <f>IFERROR(__xludf.DUMMYFUNCTION("""COMPUTED_VALUE"""),26440.0)</f>
        <v>26440</v>
      </c>
      <c r="D993" s="1">
        <f>IFERROR(__xludf.DUMMYFUNCTION("""COMPUTED_VALUE"""),26280.0)</f>
        <v>26280</v>
      </c>
      <c r="E993" s="1">
        <f>IFERROR(__xludf.DUMMYFUNCTION("""COMPUTED_VALUE"""),26280.0)</f>
        <v>26280</v>
      </c>
      <c r="F993" s="1">
        <f>IFERROR(__xludf.DUMMYFUNCTION("""COMPUTED_VALUE"""),186248.0)</f>
        <v>186248</v>
      </c>
    </row>
    <row r="994">
      <c r="A994" s="2">
        <f>IFERROR(__xludf.DUMMYFUNCTION("""COMPUTED_VALUE"""),42016.64583333333)</f>
        <v>42016.64583</v>
      </c>
      <c r="B994" s="1">
        <f>IFERROR(__xludf.DUMMYFUNCTION("""COMPUTED_VALUE"""),26260.0)</f>
        <v>26260</v>
      </c>
      <c r="C994" s="1">
        <f>IFERROR(__xludf.DUMMYFUNCTION("""COMPUTED_VALUE"""),26380.0)</f>
        <v>26380</v>
      </c>
      <c r="D994" s="1">
        <f>IFERROR(__xludf.DUMMYFUNCTION("""COMPUTED_VALUE"""),26020.0)</f>
        <v>26020</v>
      </c>
      <c r="E994" s="1">
        <f>IFERROR(__xludf.DUMMYFUNCTION("""COMPUTED_VALUE"""),26320.0)</f>
        <v>26320</v>
      </c>
      <c r="F994" s="1">
        <f>IFERROR(__xludf.DUMMYFUNCTION("""COMPUTED_VALUE"""),166508.0)</f>
        <v>166508</v>
      </c>
    </row>
    <row r="995">
      <c r="A995" s="2">
        <f>IFERROR(__xludf.DUMMYFUNCTION("""COMPUTED_VALUE"""),42017.64583333333)</f>
        <v>42017.64583</v>
      </c>
      <c r="B995" s="1">
        <f>IFERROR(__xludf.DUMMYFUNCTION("""COMPUTED_VALUE"""),26280.0)</f>
        <v>26280</v>
      </c>
      <c r="C995" s="1">
        <f>IFERROR(__xludf.DUMMYFUNCTION("""COMPUTED_VALUE"""),26800.0)</f>
        <v>26800</v>
      </c>
      <c r="D995" s="1">
        <f>IFERROR(__xludf.DUMMYFUNCTION("""COMPUTED_VALUE"""),26000.0)</f>
        <v>26000</v>
      </c>
      <c r="E995" s="1">
        <f>IFERROR(__xludf.DUMMYFUNCTION("""COMPUTED_VALUE"""),26780.0)</f>
        <v>26780</v>
      </c>
      <c r="F995" s="1">
        <f>IFERROR(__xludf.DUMMYFUNCTION("""COMPUTED_VALUE"""),245868.0)</f>
        <v>245868</v>
      </c>
    </row>
    <row r="996">
      <c r="A996" s="2">
        <f>IFERROR(__xludf.DUMMYFUNCTION("""COMPUTED_VALUE"""),42018.64583333333)</f>
        <v>42018.64583</v>
      </c>
      <c r="B996" s="1">
        <f>IFERROR(__xludf.DUMMYFUNCTION("""COMPUTED_VALUE"""),26780.0)</f>
        <v>26780</v>
      </c>
      <c r="C996" s="1">
        <f>IFERROR(__xludf.DUMMYFUNCTION("""COMPUTED_VALUE"""),27100.0)</f>
        <v>27100</v>
      </c>
      <c r="D996" s="1">
        <f>IFERROR(__xludf.DUMMYFUNCTION("""COMPUTED_VALUE"""),26700.0)</f>
        <v>26700</v>
      </c>
      <c r="E996" s="1">
        <f>IFERROR(__xludf.DUMMYFUNCTION("""COMPUTED_VALUE"""),26900.0)</f>
        <v>26900</v>
      </c>
      <c r="F996" s="1">
        <f>IFERROR(__xludf.DUMMYFUNCTION("""COMPUTED_VALUE"""),286645.0)</f>
        <v>286645</v>
      </c>
    </row>
    <row r="997">
      <c r="A997" s="2">
        <f>IFERROR(__xludf.DUMMYFUNCTION("""COMPUTED_VALUE"""),42019.64583333333)</f>
        <v>42019.64583</v>
      </c>
      <c r="B997" s="1">
        <f>IFERROR(__xludf.DUMMYFUNCTION("""COMPUTED_VALUE"""),26900.0)</f>
        <v>26900</v>
      </c>
      <c r="C997" s="1">
        <f>IFERROR(__xludf.DUMMYFUNCTION("""COMPUTED_VALUE"""),26980.0)</f>
        <v>26980</v>
      </c>
      <c r="D997" s="1">
        <f>IFERROR(__xludf.DUMMYFUNCTION("""COMPUTED_VALUE"""),26580.0)</f>
        <v>26580</v>
      </c>
      <c r="E997" s="1">
        <f>IFERROR(__xludf.DUMMYFUNCTION("""COMPUTED_VALUE"""),26680.0)</f>
        <v>26680</v>
      </c>
      <c r="F997" s="1">
        <f>IFERROR(__xludf.DUMMYFUNCTION("""COMPUTED_VALUE"""),282078.0)</f>
        <v>282078</v>
      </c>
    </row>
    <row r="998">
      <c r="A998" s="2">
        <f>IFERROR(__xludf.DUMMYFUNCTION("""COMPUTED_VALUE"""),42020.64583333333)</f>
        <v>42020.64583</v>
      </c>
      <c r="B998" s="1">
        <f>IFERROR(__xludf.DUMMYFUNCTION("""COMPUTED_VALUE"""),26680.0)</f>
        <v>26680</v>
      </c>
      <c r="C998" s="1">
        <f>IFERROR(__xludf.DUMMYFUNCTION("""COMPUTED_VALUE"""),26680.0)</f>
        <v>26680</v>
      </c>
      <c r="D998" s="1">
        <f>IFERROR(__xludf.DUMMYFUNCTION("""COMPUTED_VALUE"""),26260.0)</f>
        <v>26260</v>
      </c>
      <c r="E998" s="1">
        <f>IFERROR(__xludf.DUMMYFUNCTION("""COMPUTED_VALUE"""),26320.0)</f>
        <v>26320</v>
      </c>
      <c r="F998" s="1">
        <f>IFERROR(__xludf.DUMMYFUNCTION("""COMPUTED_VALUE"""),271370.0)</f>
        <v>271370</v>
      </c>
    </row>
    <row r="999">
      <c r="A999" s="2">
        <f>IFERROR(__xludf.DUMMYFUNCTION("""COMPUTED_VALUE"""),42023.64583333333)</f>
        <v>42023.64583</v>
      </c>
      <c r="B999" s="1">
        <f>IFERROR(__xludf.DUMMYFUNCTION("""COMPUTED_VALUE"""),26580.0)</f>
        <v>26580</v>
      </c>
      <c r="C999" s="1">
        <f>IFERROR(__xludf.DUMMYFUNCTION("""COMPUTED_VALUE"""),26980.0)</f>
        <v>26980</v>
      </c>
      <c r="D999" s="1">
        <f>IFERROR(__xludf.DUMMYFUNCTION("""COMPUTED_VALUE"""),26400.0)</f>
        <v>26400</v>
      </c>
      <c r="E999" s="1">
        <f>IFERROR(__xludf.DUMMYFUNCTION("""COMPUTED_VALUE"""),26860.0)</f>
        <v>26860</v>
      </c>
      <c r="F999" s="1">
        <f>IFERROR(__xludf.DUMMYFUNCTION("""COMPUTED_VALUE"""),133459.0)</f>
        <v>133459</v>
      </c>
    </row>
    <row r="1000">
      <c r="A1000" s="2">
        <f>IFERROR(__xludf.DUMMYFUNCTION("""COMPUTED_VALUE"""),42024.64583333333)</f>
        <v>42024.64583</v>
      </c>
      <c r="B1000" s="1">
        <f>IFERROR(__xludf.DUMMYFUNCTION("""COMPUTED_VALUE"""),27000.0)</f>
        <v>27000</v>
      </c>
      <c r="C1000" s="1">
        <f>IFERROR(__xludf.DUMMYFUNCTION("""COMPUTED_VALUE"""),27440.0)</f>
        <v>27440</v>
      </c>
      <c r="D1000" s="1">
        <f>IFERROR(__xludf.DUMMYFUNCTION("""COMPUTED_VALUE"""),26900.0)</f>
        <v>26900</v>
      </c>
      <c r="E1000" s="1">
        <f>IFERROR(__xludf.DUMMYFUNCTION("""COMPUTED_VALUE"""),27440.0)</f>
        <v>27440</v>
      </c>
      <c r="F1000" s="1">
        <f>IFERROR(__xludf.DUMMYFUNCTION("""COMPUTED_VALUE"""),265561.0)</f>
        <v>265561</v>
      </c>
    </row>
    <row r="1001">
      <c r="A1001" s="2">
        <f>IFERROR(__xludf.DUMMYFUNCTION("""COMPUTED_VALUE"""),42025.64583333333)</f>
        <v>42025.64583</v>
      </c>
      <c r="B1001" s="1">
        <f>IFERROR(__xludf.DUMMYFUNCTION("""COMPUTED_VALUE"""),27340.0)</f>
        <v>27340</v>
      </c>
      <c r="C1001" s="1">
        <f>IFERROR(__xludf.DUMMYFUNCTION("""COMPUTED_VALUE"""),27900.0)</f>
        <v>27900</v>
      </c>
      <c r="D1001" s="1">
        <f>IFERROR(__xludf.DUMMYFUNCTION("""COMPUTED_VALUE"""),27200.0)</f>
        <v>27200</v>
      </c>
      <c r="E1001" s="1">
        <f>IFERROR(__xludf.DUMMYFUNCTION("""COMPUTED_VALUE"""),27900.0)</f>
        <v>27900</v>
      </c>
      <c r="F1001" s="1">
        <f>IFERROR(__xludf.DUMMYFUNCTION("""COMPUTED_VALUE"""),332253.0)</f>
        <v>332253</v>
      </c>
    </row>
    <row r="1002">
      <c r="A1002" s="2">
        <f>IFERROR(__xludf.DUMMYFUNCTION("""COMPUTED_VALUE"""),42026.64583333333)</f>
        <v>42026.64583</v>
      </c>
      <c r="B1002" s="1">
        <f>IFERROR(__xludf.DUMMYFUNCTION("""COMPUTED_VALUE"""),27960.0)</f>
        <v>27960</v>
      </c>
      <c r="C1002" s="1">
        <f>IFERROR(__xludf.DUMMYFUNCTION("""COMPUTED_VALUE"""),27980.0)</f>
        <v>27980</v>
      </c>
      <c r="D1002" s="1">
        <f>IFERROR(__xludf.DUMMYFUNCTION("""COMPUTED_VALUE"""),27560.0)</f>
        <v>27560</v>
      </c>
      <c r="E1002" s="1">
        <f>IFERROR(__xludf.DUMMYFUNCTION("""COMPUTED_VALUE"""),27560.0)</f>
        <v>27560</v>
      </c>
      <c r="F1002" s="1">
        <f>IFERROR(__xludf.DUMMYFUNCTION("""COMPUTED_VALUE"""),359154.0)</f>
        <v>359154</v>
      </c>
    </row>
    <row r="1003">
      <c r="A1003" s="2">
        <f>IFERROR(__xludf.DUMMYFUNCTION("""COMPUTED_VALUE"""),42027.64583333333)</f>
        <v>42027.64583</v>
      </c>
      <c r="B1003" s="1">
        <f>IFERROR(__xludf.DUMMYFUNCTION("""COMPUTED_VALUE"""),28000.0)</f>
        <v>28000</v>
      </c>
      <c r="C1003" s="1">
        <f>IFERROR(__xludf.DUMMYFUNCTION("""COMPUTED_VALUE"""),28000.0)</f>
        <v>28000</v>
      </c>
      <c r="D1003" s="1">
        <f>IFERROR(__xludf.DUMMYFUNCTION("""COMPUTED_VALUE"""),27540.0)</f>
        <v>27540</v>
      </c>
      <c r="E1003" s="1">
        <f>IFERROR(__xludf.DUMMYFUNCTION("""COMPUTED_VALUE"""),27720.0)</f>
        <v>27720</v>
      </c>
      <c r="F1003" s="1">
        <f>IFERROR(__xludf.DUMMYFUNCTION("""COMPUTED_VALUE"""),257175.0)</f>
        <v>257175</v>
      </c>
    </row>
    <row r="1004">
      <c r="A1004" s="2">
        <f>IFERROR(__xludf.DUMMYFUNCTION("""COMPUTED_VALUE"""),42030.64583333333)</f>
        <v>42030.64583</v>
      </c>
      <c r="B1004" s="1">
        <f>IFERROR(__xludf.DUMMYFUNCTION("""COMPUTED_VALUE"""),27500.0)</f>
        <v>27500</v>
      </c>
      <c r="C1004" s="1">
        <f>IFERROR(__xludf.DUMMYFUNCTION("""COMPUTED_VALUE"""),27900.0)</f>
        <v>27900</v>
      </c>
      <c r="D1004" s="1">
        <f>IFERROR(__xludf.DUMMYFUNCTION("""COMPUTED_VALUE"""),27280.0)</f>
        <v>27280</v>
      </c>
      <c r="E1004" s="1">
        <f>IFERROR(__xludf.DUMMYFUNCTION("""COMPUTED_VALUE"""),27780.0)</f>
        <v>27780</v>
      </c>
      <c r="F1004" s="1">
        <f>IFERROR(__xludf.DUMMYFUNCTION("""COMPUTED_VALUE"""),203070.0)</f>
        <v>203070</v>
      </c>
    </row>
    <row r="1005">
      <c r="A1005" s="2">
        <f>IFERROR(__xludf.DUMMYFUNCTION("""COMPUTED_VALUE"""),42031.64583333333)</f>
        <v>42031.64583</v>
      </c>
      <c r="B1005" s="1">
        <f>IFERROR(__xludf.DUMMYFUNCTION("""COMPUTED_VALUE"""),27500.0)</f>
        <v>27500</v>
      </c>
      <c r="C1005" s="1">
        <f>IFERROR(__xludf.DUMMYFUNCTION("""COMPUTED_VALUE"""),28000.0)</f>
        <v>28000</v>
      </c>
      <c r="D1005" s="1">
        <f>IFERROR(__xludf.DUMMYFUNCTION("""COMPUTED_VALUE"""),27480.0)</f>
        <v>27480</v>
      </c>
      <c r="E1005" s="1">
        <f>IFERROR(__xludf.DUMMYFUNCTION("""COMPUTED_VALUE"""),28000.0)</f>
        <v>28000</v>
      </c>
      <c r="F1005" s="1">
        <f>IFERROR(__xludf.DUMMYFUNCTION("""COMPUTED_VALUE"""),199144.0)</f>
        <v>199144</v>
      </c>
    </row>
    <row r="1006">
      <c r="A1006" s="2">
        <f>IFERROR(__xludf.DUMMYFUNCTION("""COMPUTED_VALUE"""),42032.64583333333)</f>
        <v>42032.64583</v>
      </c>
      <c r="B1006" s="1">
        <f>IFERROR(__xludf.DUMMYFUNCTION("""COMPUTED_VALUE"""),27720.0)</f>
        <v>27720</v>
      </c>
      <c r="C1006" s="1">
        <f>IFERROR(__xludf.DUMMYFUNCTION("""COMPUTED_VALUE"""),27800.0)</f>
        <v>27800</v>
      </c>
      <c r="D1006" s="1">
        <f>IFERROR(__xludf.DUMMYFUNCTION("""COMPUTED_VALUE"""),27480.0)</f>
        <v>27480</v>
      </c>
      <c r="E1006" s="1">
        <f>IFERROR(__xludf.DUMMYFUNCTION("""COMPUTED_VALUE"""),27560.0)</f>
        <v>27560</v>
      </c>
      <c r="F1006" s="1">
        <f>IFERROR(__xludf.DUMMYFUNCTION("""COMPUTED_VALUE"""),216630.0)</f>
        <v>216630</v>
      </c>
    </row>
    <row r="1007">
      <c r="A1007" s="2">
        <f>IFERROR(__xludf.DUMMYFUNCTION("""COMPUTED_VALUE"""),42033.64583333333)</f>
        <v>42033.64583</v>
      </c>
      <c r="B1007" s="1">
        <f>IFERROR(__xludf.DUMMYFUNCTION("""COMPUTED_VALUE"""),27360.0)</f>
        <v>27360</v>
      </c>
      <c r="C1007" s="1">
        <f>IFERROR(__xludf.DUMMYFUNCTION("""COMPUTED_VALUE"""),27900.0)</f>
        <v>27900</v>
      </c>
      <c r="D1007" s="1">
        <f>IFERROR(__xludf.DUMMYFUNCTION("""COMPUTED_VALUE"""),27140.0)</f>
        <v>27140</v>
      </c>
      <c r="E1007" s="1">
        <f>IFERROR(__xludf.DUMMYFUNCTION("""COMPUTED_VALUE"""),27200.0)</f>
        <v>27200</v>
      </c>
      <c r="F1007" s="1">
        <f>IFERROR(__xludf.DUMMYFUNCTION("""COMPUTED_VALUE"""),274045.0)</f>
        <v>274045</v>
      </c>
    </row>
    <row r="1008">
      <c r="A1008" s="2">
        <f>IFERROR(__xludf.DUMMYFUNCTION("""COMPUTED_VALUE"""),42034.64583333333)</f>
        <v>42034.64583</v>
      </c>
      <c r="B1008" s="1">
        <f>IFERROR(__xludf.DUMMYFUNCTION("""COMPUTED_VALUE"""),27200.0)</f>
        <v>27200</v>
      </c>
      <c r="C1008" s="1">
        <f>IFERROR(__xludf.DUMMYFUNCTION("""COMPUTED_VALUE"""),27540.0)</f>
        <v>27540</v>
      </c>
      <c r="D1008" s="1">
        <f>IFERROR(__xludf.DUMMYFUNCTION("""COMPUTED_VALUE"""),27200.0)</f>
        <v>27200</v>
      </c>
      <c r="E1008" s="1">
        <f>IFERROR(__xludf.DUMMYFUNCTION("""COMPUTED_VALUE"""),27300.0)</f>
        <v>27300</v>
      </c>
      <c r="F1008" s="1">
        <f>IFERROR(__xludf.DUMMYFUNCTION("""COMPUTED_VALUE"""),322200.0)</f>
        <v>322200</v>
      </c>
    </row>
    <row r="1009">
      <c r="A1009" s="2">
        <f>IFERROR(__xludf.DUMMYFUNCTION("""COMPUTED_VALUE"""),42037.64583333333)</f>
        <v>42037.64583</v>
      </c>
      <c r="B1009" s="1">
        <f>IFERROR(__xludf.DUMMYFUNCTION("""COMPUTED_VALUE"""),27300.0)</f>
        <v>27300</v>
      </c>
      <c r="C1009" s="1">
        <f>IFERROR(__xludf.DUMMYFUNCTION("""COMPUTED_VALUE"""),27540.0)</f>
        <v>27540</v>
      </c>
      <c r="D1009" s="1">
        <f>IFERROR(__xludf.DUMMYFUNCTION("""COMPUTED_VALUE"""),27120.0)</f>
        <v>27120</v>
      </c>
      <c r="E1009" s="1">
        <f>IFERROR(__xludf.DUMMYFUNCTION("""COMPUTED_VALUE"""),27360.0)</f>
        <v>27360</v>
      </c>
      <c r="F1009" s="1">
        <f>IFERROR(__xludf.DUMMYFUNCTION("""COMPUTED_VALUE"""),210420.0)</f>
        <v>210420</v>
      </c>
    </row>
    <row r="1010">
      <c r="A1010" s="2">
        <f>IFERROR(__xludf.DUMMYFUNCTION("""COMPUTED_VALUE"""),42038.64583333333)</f>
        <v>42038.64583</v>
      </c>
      <c r="B1010" s="1">
        <f>IFERROR(__xludf.DUMMYFUNCTION("""COMPUTED_VALUE"""),27600.0)</f>
        <v>27600</v>
      </c>
      <c r="C1010" s="1">
        <f>IFERROR(__xludf.DUMMYFUNCTION("""COMPUTED_VALUE"""),27600.0)</f>
        <v>27600</v>
      </c>
      <c r="D1010" s="1">
        <f>IFERROR(__xludf.DUMMYFUNCTION("""COMPUTED_VALUE"""),27180.0)</f>
        <v>27180</v>
      </c>
      <c r="E1010" s="1">
        <f>IFERROR(__xludf.DUMMYFUNCTION("""COMPUTED_VALUE"""),27320.0)</f>
        <v>27320</v>
      </c>
      <c r="F1010" s="1">
        <f>IFERROR(__xludf.DUMMYFUNCTION("""COMPUTED_VALUE"""),113088.0)</f>
        <v>113088</v>
      </c>
    </row>
    <row r="1011">
      <c r="A1011" s="2">
        <f>IFERROR(__xludf.DUMMYFUNCTION("""COMPUTED_VALUE"""),42039.64583333333)</f>
        <v>42039.64583</v>
      </c>
      <c r="B1011" s="1">
        <f>IFERROR(__xludf.DUMMYFUNCTION("""COMPUTED_VALUE"""),27500.0)</f>
        <v>27500</v>
      </c>
      <c r="C1011" s="1">
        <f>IFERROR(__xludf.DUMMYFUNCTION("""COMPUTED_VALUE"""),27620.0)</f>
        <v>27620</v>
      </c>
      <c r="D1011" s="1">
        <f>IFERROR(__xludf.DUMMYFUNCTION("""COMPUTED_VALUE"""),27180.0)</f>
        <v>27180</v>
      </c>
      <c r="E1011" s="1">
        <f>IFERROR(__xludf.DUMMYFUNCTION("""COMPUTED_VALUE"""),27180.0)</f>
        <v>27180</v>
      </c>
      <c r="F1011" s="1">
        <f>IFERROR(__xludf.DUMMYFUNCTION("""COMPUTED_VALUE"""),186578.0)</f>
        <v>186578</v>
      </c>
    </row>
    <row r="1012">
      <c r="A1012" s="2">
        <f>IFERROR(__xludf.DUMMYFUNCTION("""COMPUTED_VALUE"""),42040.64583333333)</f>
        <v>42040.64583</v>
      </c>
      <c r="B1012" s="1">
        <f>IFERROR(__xludf.DUMMYFUNCTION("""COMPUTED_VALUE"""),27180.0)</f>
        <v>27180</v>
      </c>
      <c r="C1012" s="1">
        <f>IFERROR(__xludf.DUMMYFUNCTION("""COMPUTED_VALUE"""),27380.0)</f>
        <v>27380</v>
      </c>
      <c r="D1012" s="1">
        <f>IFERROR(__xludf.DUMMYFUNCTION("""COMPUTED_VALUE"""),26920.0)</f>
        <v>26920</v>
      </c>
      <c r="E1012" s="1">
        <f>IFERROR(__xludf.DUMMYFUNCTION("""COMPUTED_VALUE"""),27160.0)</f>
        <v>27160</v>
      </c>
      <c r="F1012" s="1">
        <f>IFERROR(__xludf.DUMMYFUNCTION("""COMPUTED_VALUE"""),135408.0)</f>
        <v>135408</v>
      </c>
    </row>
    <row r="1013">
      <c r="A1013" s="2">
        <f>IFERROR(__xludf.DUMMYFUNCTION("""COMPUTED_VALUE"""),42041.64583333333)</f>
        <v>42041.64583</v>
      </c>
      <c r="B1013" s="1">
        <f>IFERROR(__xludf.DUMMYFUNCTION("""COMPUTED_VALUE"""),26920.0)</f>
        <v>26920</v>
      </c>
      <c r="C1013" s="1">
        <f>IFERROR(__xludf.DUMMYFUNCTION("""COMPUTED_VALUE"""),27480.0)</f>
        <v>27480</v>
      </c>
      <c r="D1013" s="1">
        <f>IFERROR(__xludf.DUMMYFUNCTION("""COMPUTED_VALUE"""),26720.0)</f>
        <v>26720</v>
      </c>
      <c r="E1013" s="1">
        <f>IFERROR(__xludf.DUMMYFUNCTION("""COMPUTED_VALUE"""),27440.0)</f>
        <v>27440</v>
      </c>
      <c r="F1013" s="1">
        <f>IFERROR(__xludf.DUMMYFUNCTION("""COMPUTED_VALUE"""),160101.0)</f>
        <v>160101</v>
      </c>
    </row>
    <row r="1014">
      <c r="A1014" s="2">
        <f>IFERROR(__xludf.DUMMYFUNCTION("""COMPUTED_VALUE"""),42044.64583333333)</f>
        <v>42044.64583</v>
      </c>
      <c r="B1014" s="1">
        <f>IFERROR(__xludf.DUMMYFUNCTION("""COMPUTED_VALUE"""),27200.0)</f>
        <v>27200</v>
      </c>
      <c r="C1014" s="1">
        <f>IFERROR(__xludf.DUMMYFUNCTION("""COMPUTED_VALUE"""),27980.0)</f>
        <v>27980</v>
      </c>
      <c r="D1014" s="1">
        <f>IFERROR(__xludf.DUMMYFUNCTION("""COMPUTED_VALUE"""),27140.0)</f>
        <v>27140</v>
      </c>
      <c r="E1014" s="1">
        <f>IFERROR(__xludf.DUMMYFUNCTION("""COMPUTED_VALUE"""),27900.0)</f>
        <v>27900</v>
      </c>
      <c r="F1014" s="1">
        <f>IFERROR(__xludf.DUMMYFUNCTION("""COMPUTED_VALUE"""),173870.0)</f>
        <v>173870</v>
      </c>
    </row>
    <row r="1015">
      <c r="A1015" s="2">
        <f>IFERROR(__xludf.DUMMYFUNCTION("""COMPUTED_VALUE"""),42045.64583333333)</f>
        <v>42045.64583</v>
      </c>
      <c r="B1015" s="1">
        <f>IFERROR(__xludf.DUMMYFUNCTION("""COMPUTED_VALUE"""),28000.0)</f>
        <v>28000</v>
      </c>
      <c r="C1015" s="1">
        <f>IFERROR(__xludf.DUMMYFUNCTION("""COMPUTED_VALUE"""),28000.0)</f>
        <v>28000</v>
      </c>
      <c r="D1015" s="1">
        <f>IFERROR(__xludf.DUMMYFUNCTION("""COMPUTED_VALUE"""),27540.0)</f>
        <v>27540</v>
      </c>
      <c r="E1015" s="1">
        <f>IFERROR(__xludf.DUMMYFUNCTION("""COMPUTED_VALUE"""),27560.0)</f>
        <v>27560</v>
      </c>
      <c r="F1015" s="1">
        <f>IFERROR(__xludf.DUMMYFUNCTION("""COMPUTED_VALUE"""),130387.0)</f>
        <v>130387</v>
      </c>
    </row>
    <row r="1016">
      <c r="A1016" s="2">
        <f>IFERROR(__xludf.DUMMYFUNCTION("""COMPUTED_VALUE"""),42046.64583333333)</f>
        <v>42046.64583</v>
      </c>
      <c r="B1016" s="1">
        <f>IFERROR(__xludf.DUMMYFUNCTION("""COMPUTED_VALUE"""),27480.0)</f>
        <v>27480</v>
      </c>
      <c r="C1016" s="1">
        <f>IFERROR(__xludf.DUMMYFUNCTION("""COMPUTED_VALUE"""),27480.0)</f>
        <v>27480</v>
      </c>
      <c r="D1016" s="1">
        <f>IFERROR(__xludf.DUMMYFUNCTION("""COMPUTED_VALUE"""),27080.0)</f>
        <v>27080</v>
      </c>
      <c r="E1016" s="1">
        <f>IFERROR(__xludf.DUMMYFUNCTION("""COMPUTED_VALUE"""),27100.0)</f>
        <v>27100</v>
      </c>
      <c r="F1016" s="1">
        <f>IFERROR(__xludf.DUMMYFUNCTION("""COMPUTED_VALUE"""),199476.0)</f>
        <v>199476</v>
      </c>
    </row>
    <row r="1017">
      <c r="A1017" s="2">
        <f>IFERROR(__xludf.DUMMYFUNCTION("""COMPUTED_VALUE"""),42047.64583333333)</f>
        <v>42047.64583</v>
      </c>
      <c r="B1017" s="1">
        <f>IFERROR(__xludf.DUMMYFUNCTION("""COMPUTED_VALUE"""),26800.0)</f>
        <v>26800</v>
      </c>
      <c r="C1017" s="1">
        <f>IFERROR(__xludf.DUMMYFUNCTION("""COMPUTED_VALUE"""),27160.0)</f>
        <v>27160</v>
      </c>
      <c r="D1017" s="1">
        <f>IFERROR(__xludf.DUMMYFUNCTION("""COMPUTED_VALUE"""),26620.0)</f>
        <v>26620</v>
      </c>
      <c r="E1017" s="1">
        <f>IFERROR(__xludf.DUMMYFUNCTION("""COMPUTED_VALUE"""),26880.0)</f>
        <v>26880</v>
      </c>
      <c r="F1017" s="1">
        <f>IFERROR(__xludf.DUMMYFUNCTION("""COMPUTED_VALUE"""),214964.0)</f>
        <v>214964</v>
      </c>
    </row>
    <row r="1018">
      <c r="A1018" s="2">
        <f>IFERROR(__xludf.DUMMYFUNCTION("""COMPUTED_VALUE"""),42048.64583333333)</f>
        <v>42048.64583</v>
      </c>
      <c r="B1018" s="1">
        <f>IFERROR(__xludf.DUMMYFUNCTION("""COMPUTED_VALUE"""),27200.0)</f>
        <v>27200</v>
      </c>
      <c r="C1018" s="1">
        <f>IFERROR(__xludf.DUMMYFUNCTION("""COMPUTED_VALUE"""),27220.0)</f>
        <v>27220</v>
      </c>
      <c r="D1018" s="1">
        <f>IFERROR(__xludf.DUMMYFUNCTION("""COMPUTED_VALUE"""),26900.0)</f>
        <v>26900</v>
      </c>
      <c r="E1018" s="1">
        <f>IFERROR(__xludf.DUMMYFUNCTION("""COMPUTED_VALUE"""),27220.0)</f>
        <v>27220</v>
      </c>
      <c r="F1018" s="1">
        <f>IFERROR(__xludf.DUMMYFUNCTION("""COMPUTED_VALUE"""),130458.0)</f>
        <v>130458</v>
      </c>
    </row>
    <row r="1019">
      <c r="A1019" s="2">
        <f>IFERROR(__xludf.DUMMYFUNCTION("""COMPUTED_VALUE"""),42051.64583333333)</f>
        <v>42051.64583</v>
      </c>
      <c r="B1019" s="1">
        <f>IFERROR(__xludf.DUMMYFUNCTION("""COMPUTED_VALUE"""),27360.0)</f>
        <v>27360</v>
      </c>
      <c r="C1019" s="1">
        <f>IFERROR(__xludf.DUMMYFUNCTION("""COMPUTED_VALUE"""),27480.0)</f>
        <v>27480</v>
      </c>
      <c r="D1019" s="1">
        <f>IFERROR(__xludf.DUMMYFUNCTION("""COMPUTED_VALUE"""),27220.0)</f>
        <v>27220</v>
      </c>
      <c r="E1019" s="1">
        <f>IFERROR(__xludf.DUMMYFUNCTION("""COMPUTED_VALUE"""),27480.0)</f>
        <v>27480</v>
      </c>
      <c r="F1019" s="1">
        <f>IFERROR(__xludf.DUMMYFUNCTION("""COMPUTED_VALUE"""),124530.0)</f>
        <v>124530</v>
      </c>
    </row>
    <row r="1020">
      <c r="A1020" s="2">
        <f>IFERROR(__xludf.DUMMYFUNCTION("""COMPUTED_VALUE"""),42052.64583333333)</f>
        <v>42052.64583</v>
      </c>
      <c r="B1020" s="1">
        <f>IFERROR(__xludf.DUMMYFUNCTION("""COMPUTED_VALUE"""),27480.0)</f>
        <v>27480</v>
      </c>
      <c r="C1020" s="1">
        <f>IFERROR(__xludf.DUMMYFUNCTION("""COMPUTED_VALUE"""),27540.0)</f>
        <v>27540</v>
      </c>
      <c r="D1020" s="1">
        <f>IFERROR(__xludf.DUMMYFUNCTION("""COMPUTED_VALUE"""),27280.0)</f>
        <v>27280</v>
      </c>
      <c r="E1020" s="1">
        <f>IFERROR(__xludf.DUMMYFUNCTION("""COMPUTED_VALUE"""),27540.0)</f>
        <v>27540</v>
      </c>
      <c r="F1020" s="1">
        <f>IFERROR(__xludf.DUMMYFUNCTION("""COMPUTED_VALUE"""),114900.0)</f>
        <v>114900</v>
      </c>
    </row>
    <row r="1021">
      <c r="A1021" s="2">
        <f>IFERROR(__xludf.DUMMYFUNCTION("""COMPUTED_VALUE"""),42058.64583333333)</f>
        <v>42058.64583</v>
      </c>
      <c r="B1021" s="1">
        <f>IFERROR(__xludf.DUMMYFUNCTION("""COMPUTED_VALUE"""),27560.0)</f>
        <v>27560</v>
      </c>
      <c r="C1021" s="1">
        <f>IFERROR(__xludf.DUMMYFUNCTION("""COMPUTED_VALUE"""),27800.0)</f>
        <v>27800</v>
      </c>
      <c r="D1021" s="1">
        <f>IFERROR(__xludf.DUMMYFUNCTION("""COMPUTED_VALUE"""),27320.0)</f>
        <v>27320</v>
      </c>
      <c r="E1021" s="1">
        <f>IFERROR(__xludf.DUMMYFUNCTION("""COMPUTED_VALUE"""),27340.0)</f>
        <v>27340</v>
      </c>
      <c r="F1021" s="1">
        <f>IFERROR(__xludf.DUMMYFUNCTION("""COMPUTED_VALUE"""),306036.0)</f>
        <v>306036</v>
      </c>
    </row>
    <row r="1022">
      <c r="A1022" s="2">
        <f>IFERROR(__xludf.DUMMYFUNCTION("""COMPUTED_VALUE"""),42059.64583333333)</f>
        <v>42059.64583</v>
      </c>
      <c r="B1022" s="1">
        <f>IFERROR(__xludf.DUMMYFUNCTION("""COMPUTED_VALUE"""),27700.0)</f>
        <v>27700</v>
      </c>
      <c r="C1022" s="1">
        <f>IFERROR(__xludf.DUMMYFUNCTION("""COMPUTED_VALUE"""),27780.0)</f>
        <v>27780</v>
      </c>
      <c r="D1022" s="1">
        <f>IFERROR(__xludf.DUMMYFUNCTION("""COMPUTED_VALUE"""),27280.0)</f>
        <v>27280</v>
      </c>
      <c r="E1022" s="1">
        <f>IFERROR(__xludf.DUMMYFUNCTION("""COMPUTED_VALUE"""),27340.0)</f>
        <v>27340</v>
      </c>
      <c r="F1022" s="1">
        <f>IFERROR(__xludf.DUMMYFUNCTION("""COMPUTED_VALUE"""),217265.0)</f>
        <v>217265</v>
      </c>
    </row>
    <row r="1023">
      <c r="A1023" s="2">
        <f>IFERROR(__xludf.DUMMYFUNCTION("""COMPUTED_VALUE"""),42060.64583333333)</f>
        <v>42060.64583</v>
      </c>
      <c r="B1023" s="1">
        <f>IFERROR(__xludf.DUMMYFUNCTION("""COMPUTED_VALUE"""),27600.0)</f>
        <v>27600</v>
      </c>
      <c r="C1023" s="1">
        <f>IFERROR(__xludf.DUMMYFUNCTION("""COMPUTED_VALUE"""),27700.0)</f>
        <v>27700</v>
      </c>
      <c r="D1023" s="1">
        <f>IFERROR(__xludf.DUMMYFUNCTION("""COMPUTED_VALUE"""),27460.0)</f>
        <v>27460</v>
      </c>
      <c r="E1023" s="1">
        <f>IFERROR(__xludf.DUMMYFUNCTION("""COMPUTED_VALUE"""),27580.0)</f>
        <v>27580</v>
      </c>
      <c r="F1023" s="1">
        <f>IFERROR(__xludf.DUMMYFUNCTION("""COMPUTED_VALUE"""),167485.0)</f>
        <v>167485</v>
      </c>
    </row>
    <row r="1024">
      <c r="A1024" s="2">
        <f>IFERROR(__xludf.DUMMYFUNCTION("""COMPUTED_VALUE"""),42061.64583333333)</f>
        <v>42061.64583</v>
      </c>
      <c r="B1024" s="1">
        <f>IFERROR(__xludf.DUMMYFUNCTION("""COMPUTED_VALUE"""),27580.0)</f>
        <v>27580</v>
      </c>
      <c r="C1024" s="1">
        <f>IFERROR(__xludf.DUMMYFUNCTION("""COMPUTED_VALUE"""),27600.0)</f>
        <v>27600</v>
      </c>
      <c r="D1024" s="1">
        <f>IFERROR(__xludf.DUMMYFUNCTION("""COMPUTED_VALUE"""),27360.0)</f>
        <v>27360</v>
      </c>
      <c r="E1024" s="1">
        <f>IFERROR(__xludf.DUMMYFUNCTION("""COMPUTED_VALUE"""),27500.0)</f>
        <v>27500</v>
      </c>
      <c r="F1024" s="1">
        <f>IFERROR(__xludf.DUMMYFUNCTION("""COMPUTED_VALUE"""),163583.0)</f>
        <v>163583</v>
      </c>
    </row>
    <row r="1025">
      <c r="A1025" s="2">
        <f>IFERROR(__xludf.DUMMYFUNCTION("""COMPUTED_VALUE"""),42062.64583333333)</f>
        <v>42062.64583</v>
      </c>
      <c r="B1025" s="1">
        <f>IFERROR(__xludf.DUMMYFUNCTION("""COMPUTED_VALUE"""),27500.0)</f>
        <v>27500</v>
      </c>
      <c r="C1025" s="1">
        <f>IFERROR(__xludf.DUMMYFUNCTION("""COMPUTED_VALUE"""),27520.0)</f>
        <v>27520</v>
      </c>
      <c r="D1025" s="1">
        <f>IFERROR(__xludf.DUMMYFUNCTION("""COMPUTED_VALUE"""),27140.0)</f>
        <v>27140</v>
      </c>
      <c r="E1025" s="1">
        <f>IFERROR(__xludf.DUMMYFUNCTION("""COMPUTED_VALUE"""),27140.0)</f>
        <v>27140</v>
      </c>
      <c r="F1025" s="1">
        <f>IFERROR(__xludf.DUMMYFUNCTION("""COMPUTED_VALUE"""),260188.0)</f>
        <v>260188</v>
      </c>
    </row>
    <row r="1026">
      <c r="A1026" s="2">
        <f>IFERROR(__xludf.DUMMYFUNCTION("""COMPUTED_VALUE"""),42065.64583333333)</f>
        <v>42065.64583</v>
      </c>
      <c r="B1026" s="1">
        <f>IFERROR(__xludf.DUMMYFUNCTION("""COMPUTED_VALUE"""),27500.0)</f>
        <v>27500</v>
      </c>
      <c r="C1026" s="1">
        <f>IFERROR(__xludf.DUMMYFUNCTION("""COMPUTED_VALUE"""),28460.0)</f>
        <v>28460</v>
      </c>
      <c r="D1026" s="1">
        <f>IFERROR(__xludf.DUMMYFUNCTION("""COMPUTED_VALUE"""),27340.0)</f>
        <v>27340</v>
      </c>
      <c r="E1026" s="1">
        <f>IFERROR(__xludf.DUMMYFUNCTION("""COMPUTED_VALUE"""),28460.0)</f>
        <v>28460</v>
      </c>
      <c r="F1026" s="1">
        <f>IFERROR(__xludf.DUMMYFUNCTION("""COMPUTED_VALUE"""),436112.0)</f>
        <v>436112</v>
      </c>
    </row>
    <row r="1027">
      <c r="A1027" s="2">
        <f>IFERROR(__xludf.DUMMYFUNCTION("""COMPUTED_VALUE"""),42066.64583333333)</f>
        <v>42066.64583</v>
      </c>
      <c r="B1027" s="1">
        <f>IFERROR(__xludf.DUMMYFUNCTION("""COMPUTED_VALUE"""),28700.0)</f>
        <v>28700</v>
      </c>
      <c r="C1027" s="1">
        <f>IFERROR(__xludf.DUMMYFUNCTION("""COMPUTED_VALUE"""),28740.0)</f>
        <v>28740</v>
      </c>
      <c r="D1027" s="1">
        <f>IFERROR(__xludf.DUMMYFUNCTION("""COMPUTED_VALUE"""),28120.0)</f>
        <v>28120</v>
      </c>
      <c r="E1027" s="1">
        <f>IFERROR(__xludf.DUMMYFUNCTION("""COMPUTED_VALUE"""),28360.0)</f>
        <v>28360</v>
      </c>
      <c r="F1027" s="1">
        <f>IFERROR(__xludf.DUMMYFUNCTION("""COMPUTED_VALUE"""),274976.0)</f>
        <v>274976</v>
      </c>
    </row>
    <row r="1028">
      <c r="A1028" s="2">
        <f>IFERROR(__xludf.DUMMYFUNCTION("""COMPUTED_VALUE"""),42067.64583333333)</f>
        <v>42067.64583</v>
      </c>
      <c r="B1028" s="1">
        <f>IFERROR(__xludf.DUMMYFUNCTION("""COMPUTED_VALUE"""),28220.0)</f>
        <v>28220</v>
      </c>
      <c r="C1028" s="1">
        <f>IFERROR(__xludf.DUMMYFUNCTION("""COMPUTED_VALUE"""),28800.0)</f>
        <v>28800</v>
      </c>
      <c r="D1028" s="1">
        <f>IFERROR(__xludf.DUMMYFUNCTION("""COMPUTED_VALUE"""),28200.0)</f>
        <v>28200</v>
      </c>
      <c r="E1028" s="1">
        <f>IFERROR(__xludf.DUMMYFUNCTION("""COMPUTED_VALUE"""),28740.0)</f>
        <v>28740</v>
      </c>
      <c r="F1028" s="1">
        <f>IFERROR(__xludf.DUMMYFUNCTION("""COMPUTED_VALUE"""),232062.0)</f>
        <v>232062</v>
      </c>
    </row>
    <row r="1029">
      <c r="A1029" s="2">
        <f>IFERROR(__xludf.DUMMYFUNCTION("""COMPUTED_VALUE"""),42068.64583333333)</f>
        <v>42068.64583</v>
      </c>
      <c r="B1029" s="1">
        <f>IFERROR(__xludf.DUMMYFUNCTION("""COMPUTED_VALUE"""),28780.0)</f>
        <v>28780</v>
      </c>
      <c r="C1029" s="1">
        <f>IFERROR(__xludf.DUMMYFUNCTION("""COMPUTED_VALUE"""),28860.0)</f>
        <v>28860</v>
      </c>
      <c r="D1029" s="1">
        <f>IFERROR(__xludf.DUMMYFUNCTION("""COMPUTED_VALUE"""),28340.0)</f>
        <v>28340</v>
      </c>
      <c r="E1029" s="1">
        <f>IFERROR(__xludf.DUMMYFUNCTION("""COMPUTED_VALUE"""),28440.0)</f>
        <v>28440</v>
      </c>
      <c r="F1029" s="1">
        <f>IFERROR(__xludf.DUMMYFUNCTION("""COMPUTED_VALUE"""),192312.0)</f>
        <v>192312</v>
      </c>
    </row>
    <row r="1030">
      <c r="A1030" s="2">
        <f>IFERROR(__xludf.DUMMYFUNCTION("""COMPUTED_VALUE"""),42069.64583333333)</f>
        <v>42069.64583</v>
      </c>
      <c r="B1030" s="1">
        <f>IFERROR(__xludf.DUMMYFUNCTION("""COMPUTED_VALUE"""),28280.0)</f>
        <v>28280</v>
      </c>
      <c r="C1030" s="1">
        <f>IFERROR(__xludf.DUMMYFUNCTION("""COMPUTED_VALUE"""),28980.0)</f>
        <v>28980</v>
      </c>
      <c r="D1030" s="1">
        <f>IFERROR(__xludf.DUMMYFUNCTION("""COMPUTED_VALUE"""),28120.0)</f>
        <v>28120</v>
      </c>
      <c r="E1030" s="1">
        <f>IFERROR(__xludf.DUMMYFUNCTION("""COMPUTED_VALUE"""),28840.0)</f>
        <v>28840</v>
      </c>
      <c r="F1030" s="1">
        <f>IFERROR(__xludf.DUMMYFUNCTION("""COMPUTED_VALUE"""),234670.0)</f>
        <v>234670</v>
      </c>
    </row>
    <row r="1031">
      <c r="A1031" s="2">
        <f>IFERROR(__xludf.DUMMYFUNCTION("""COMPUTED_VALUE"""),42072.64583333333)</f>
        <v>42072.64583</v>
      </c>
      <c r="B1031" s="1">
        <f>IFERROR(__xludf.DUMMYFUNCTION("""COMPUTED_VALUE"""),28800.0)</f>
        <v>28800</v>
      </c>
      <c r="C1031" s="1">
        <f>IFERROR(__xludf.DUMMYFUNCTION("""COMPUTED_VALUE"""),28800.0)</f>
        <v>28800</v>
      </c>
      <c r="D1031" s="1">
        <f>IFERROR(__xludf.DUMMYFUNCTION("""COMPUTED_VALUE"""),28400.0)</f>
        <v>28400</v>
      </c>
      <c r="E1031" s="1">
        <f>IFERROR(__xludf.DUMMYFUNCTION("""COMPUTED_VALUE"""),28400.0)</f>
        <v>28400</v>
      </c>
      <c r="F1031" s="1">
        <f>IFERROR(__xludf.DUMMYFUNCTION("""COMPUTED_VALUE"""),156292.0)</f>
        <v>156292</v>
      </c>
    </row>
    <row r="1032">
      <c r="A1032" s="2">
        <f>IFERROR(__xludf.DUMMYFUNCTION("""COMPUTED_VALUE"""),42073.64583333333)</f>
        <v>42073.64583</v>
      </c>
      <c r="B1032" s="1">
        <f>IFERROR(__xludf.DUMMYFUNCTION("""COMPUTED_VALUE"""),28680.0)</f>
        <v>28680</v>
      </c>
      <c r="C1032" s="1">
        <f>IFERROR(__xludf.DUMMYFUNCTION("""COMPUTED_VALUE"""),28860.0)</f>
        <v>28860</v>
      </c>
      <c r="D1032" s="1">
        <f>IFERROR(__xludf.DUMMYFUNCTION("""COMPUTED_VALUE"""),28400.0)</f>
        <v>28400</v>
      </c>
      <c r="E1032" s="1">
        <f>IFERROR(__xludf.DUMMYFUNCTION("""COMPUTED_VALUE"""),28420.0)</f>
        <v>28420</v>
      </c>
      <c r="F1032" s="1">
        <f>IFERROR(__xludf.DUMMYFUNCTION("""COMPUTED_VALUE"""),208397.0)</f>
        <v>208397</v>
      </c>
    </row>
    <row r="1033">
      <c r="A1033" s="2">
        <f>IFERROR(__xludf.DUMMYFUNCTION("""COMPUTED_VALUE"""),42074.64583333333)</f>
        <v>42074.64583</v>
      </c>
      <c r="B1033" s="1">
        <f>IFERROR(__xludf.DUMMYFUNCTION("""COMPUTED_VALUE"""),28380.0)</f>
        <v>28380</v>
      </c>
      <c r="C1033" s="1">
        <f>IFERROR(__xludf.DUMMYFUNCTION("""COMPUTED_VALUE"""),29580.0)</f>
        <v>29580</v>
      </c>
      <c r="D1033" s="1">
        <f>IFERROR(__xludf.DUMMYFUNCTION("""COMPUTED_VALUE"""),28360.0)</f>
        <v>28360</v>
      </c>
      <c r="E1033" s="1">
        <f>IFERROR(__xludf.DUMMYFUNCTION("""COMPUTED_VALUE"""),29480.0)</f>
        <v>29480</v>
      </c>
      <c r="F1033" s="1">
        <f>IFERROR(__xludf.DUMMYFUNCTION("""COMPUTED_VALUE"""),422173.0)</f>
        <v>422173</v>
      </c>
    </row>
    <row r="1034">
      <c r="A1034" s="2">
        <f>IFERROR(__xludf.DUMMYFUNCTION("""COMPUTED_VALUE"""),42075.64583333333)</f>
        <v>42075.64583</v>
      </c>
      <c r="B1034" s="1">
        <f>IFERROR(__xludf.DUMMYFUNCTION("""COMPUTED_VALUE"""),29200.0)</f>
        <v>29200</v>
      </c>
      <c r="C1034" s="1">
        <f>IFERROR(__xludf.DUMMYFUNCTION("""COMPUTED_VALUE"""),29460.0)</f>
        <v>29460</v>
      </c>
      <c r="D1034" s="1">
        <f>IFERROR(__xludf.DUMMYFUNCTION("""COMPUTED_VALUE"""),28940.0)</f>
        <v>28940</v>
      </c>
      <c r="E1034" s="1">
        <f>IFERROR(__xludf.DUMMYFUNCTION("""COMPUTED_VALUE"""),28940.0)</f>
        <v>28940</v>
      </c>
      <c r="F1034" s="1">
        <f>IFERROR(__xludf.DUMMYFUNCTION("""COMPUTED_VALUE"""),383064.0)</f>
        <v>383064</v>
      </c>
    </row>
    <row r="1035">
      <c r="A1035" s="2">
        <f>IFERROR(__xludf.DUMMYFUNCTION("""COMPUTED_VALUE"""),42076.64583333333)</f>
        <v>42076.64583</v>
      </c>
      <c r="B1035" s="1">
        <f>IFERROR(__xludf.DUMMYFUNCTION("""COMPUTED_VALUE"""),29220.0)</f>
        <v>29220</v>
      </c>
      <c r="C1035" s="1">
        <f>IFERROR(__xludf.DUMMYFUNCTION("""COMPUTED_VALUE"""),29580.0)</f>
        <v>29580</v>
      </c>
      <c r="D1035" s="1">
        <f>IFERROR(__xludf.DUMMYFUNCTION("""COMPUTED_VALUE"""),29100.0)</f>
        <v>29100</v>
      </c>
      <c r="E1035" s="1">
        <f>IFERROR(__xludf.DUMMYFUNCTION("""COMPUTED_VALUE"""),29420.0)</f>
        <v>29420</v>
      </c>
      <c r="F1035" s="1">
        <f>IFERROR(__xludf.DUMMYFUNCTION("""COMPUTED_VALUE"""),188262.0)</f>
        <v>188262</v>
      </c>
    </row>
    <row r="1036">
      <c r="A1036" s="2">
        <f>IFERROR(__xludf.DUMMYFUNCTION("""COMPUTED_VALUE"""),42079.64583333333)</f>
        <v>42079.64583</v>
      </c>
      <c r="B1036" s="1">
        <f>IFERROR(__xludf.DUMMYFUNCTION("""COMPUTED_VALUE"""),29160.0)</f>
        <v>29160</v>
      </c>
      <c r="C1036" s="1">
        <f>IFERROR(__xludf.DUMMYFUNCTION("""COMPUTED_VALUE"""),29740.0)</f>
        <v>29740</v>
      </c>
      <c r="D1036" s="1">
        <f>IFERROR(__xludf.DUMMYFUNCTION("""COMPUTED_VALUE"""),29100.0)</f>
        <v>29100</v>
      </c>
      <c r="E1036" s="1">
        <f>IFERROR(__xludf.DUMMYFUNCTION("""COMPUTED_VALUE"""),29400.0)</f>
        <v>29400</v>
      </c>
      <c r="F1036" s="1">
        <f>IFERROR(__xludf.DUMMYFUNCTION("""COMPUTED_VALUE"""),179491.0)</f>
        <v>179491</v>
      </c>
    </row>
    <row r="1037">
      <c r="A1037" s="2">
        <f>IFERROR(__xludf.DUMMYFUNCTION("""COMPUTED_VALUE"""),42080.64583333333)</f>
        <v>42080.64583</v>
      </c>
      <c r="B1037" s="1">
        <f>IFERROR(__xludf.DUMMYFUNCTION("""COMPUTED_VALUE"""),29400.0)</f>
        <v>29400</v>
      </c>
      <c r="C1037" s="1">
        <f>IFERROR(__xludf.DUMMYFUNCTION("""COMPUTED_VALUE"""),30000.0)</f>
        <v>30000</v>
      </c>
      <c r="D1037" s="1">
        <f>IFERROR(__xludf.DUMMYFUNCTION("""COMPUTED_VALUE"""),29200.0)</f>
        <v>29200</v>
      </c>
      <c r="E1037" s="1">
        <f>IFERROR(__xludf.DUMMYFUNCTION("""COMPUTED_VALUE"""),29940.0)</f>
        <v>29940</v>
      </c>
      <c r="F1037" s="1">
        <f>IFERROR(__xludf.DUMMYFUNCTION("""COMPUTED_VALUE"""),273223.0)</f>
        <v>273223</v>
      </c>
    </row>
    <row r="1038">
      <c r="A1038" s="2">
        <f>IFERROR(__xludf.DUMMYFUNCTION("""COMPUTED_VALUE"""),42081.64583333333)</f>
        <v>42081.64583</v>
      </c>
      <c r="B1038" s="1">
        <f>IFERROR(__xludf.DUMMYFUNCTION("""COMPUTED_VALUE"""),29920.0)</f>
        <v>29920</v>
      </c>
      <c r="C1038" s="1">
        <f>IFERROR(__xludf.DUMMYFUNCTION("""COMPUTED_VALUE"""),30120.0)</f>
        <v>30120</v>
      </c>
      <c r="D1038" s="1">
        <f>IFERROR(__xludf.DUMMYFUNCTION("""COMPUTED_VALUE"""),29720.0)</f>
        <v>29720</v>
      </c>
      <c r="E1038" s="1">
        <f>IFERROR(__xludf.DUMMYFUNCTION("""COMPUTED_VALUE"""),30060.0)</f>
        <v>30060</v>
      </c>
      <c r="F1038" s="1">
        <f>IFERROR(__xludf.DUMMYFUNCTION("""COMPUTED_VALUE"""),249287.0)</f>
        <v>249287</v>
      </c>
    </row>
    <row r="1039">
      <c r="A1039" s="2">
        <f>IFERROR(__xludf.DUMMYFUNCTION("""COMPUTED_VALUE"""),42082.64583333333)</f>
        <v>42082.64583</v>
      </c>
      <c r="B1039" s="1">
        <f>IFERROR(__xludf.DUMMYFUNCTION("""COMPUTED_VALUE"""),30200.0)</f>
        <v>30200</v>
      </c>
      <c r="C1039" s="1">
        <f>IFERROR(__xludf.DUMMYFUNCTION("""COMPUTED_VALUE"""),30200.0)</f>
        <v>30200</v>
      </c>
      <c r="D1039" s="1">
        <f>IFERROR(__xludf.DUMMYFUNCTION("""COMPUTED_VALUE"""),29400.0)</f>
        <v>29400</v>
      </c>
      <c r="E1039" s="1">
        <f>IFERROR(__xludf.DUMMYFUNCTION("""COMPUTED_VALUE"""),29400.0)</f>
        <v>29400</v>
      </c>
      <c r="F1039" s="1">
        <f>IFERROR(__xludf.DUMMYFUNCTION("""COMPUTED_VALUE"""),264516.0)</f>
        <v>264516</v>
      </c>
    </row>
    <row r="1040">
      <c r="A1040" s="2">
        <f>IFERROR(__xludf.DUMMYFUNCTION("""COMPUTED_VALUE"""),42083.64583333333)</f>
        <v>42083.64583</v>
      </c>
      <c r="B1040" s="1">
        <f>IFERROR(__xludf.DUMMYFUNCTION("""COMPUTED_VALUE"""),29500.0)</f>
        <v>29500</v>
      </c>
      <c r="C1040" s="1">
        <f>IFERROR(__xludf.DUMMYFUNCTION("""COMPUTED_VALUE"""),29600.0)</f>
        <v>29600</v>
      </c>
      <c r="D1040" s="1">
        <f>IFERROR(__xludf.DUMMYFUNCTION("""COMPUTED_VALUE"""),29200.0)</f>
        <v>29200</v>
      </c>
      <c r="E1040" s="1">
        <f>IFERROR(__xludf.DUMMYFUNCTION("""COMPUTED_VALUE"""),29280.0)</f>
        <v>29280</v>
      </c>
      <c r="F1040" s="1">
        <f>IFERROR(__xludf.DUMMYFUNCTION("""COMPUTED_VALUE"""),254099.0)</f>
        <v>254099</v>
      </c>
    </row>
    <row r="1041">
      <c r="A1041" s="2">
        <f>IFERROR(__xludf.DUMMYFUNCTION("""COMPUTED_VALUE"""),42086.64583333333)</f>
        <v>42086.64583</v>
      </c>
      <c r="B1041" s="1">
        <f>IFERROR(__xludf.DUMMYFUNCTION("""COMPUTED_VALUE"""),29240.0)</f>
        <v>29240</v>
      </c>
      <c r="C1041" s="1">
        <f>IFERROR(__xludf.DUMMYFUNCTION("""COMPUTED_VALUE"""),29480.0)</f>
        <v>29480</v>
      </c>
      <c r="D1041" s="1">
        <f>IFERROR(__xludf.DUMMYFUNCTION("""COMPUTED_VALUE"""),29160.0)</f>
        <v>29160</v>
      </c>
      <c r="E1041" s="1">
        <f>IFERROR(__xludf.DUMMYFUNCTION("""COMPUTED_VALUE"""),29340.0)</f>
        <v>29340</v>
      </c>
      <c r="F1041" s="1">
        <f>IFERROR(__xludf.DUMMYFUNCTION("""COMPUTED_VALUE"""),162458.0)</f>
        <v>162458</v>
      </c>
    </row>
    <row r="1042">
      <c r="A1042" s="2">
        <f>IFERROR(__xludf.DUMMYFUNCTION("""COMPUTED_VALUE"""),42087.64583333333)</f>
        <v>42087.64583</v>
      </c>
      <c r="B1042" s="1">
        <f>IFERROR(__xludf.DUMMYFUNCTION("""COMPUTED_VALUE"""),29100.0)</f>
        <v>29100</v>
      </c>
      <c r="C1042" s="1">
        <f>IFERROR(__xludf.DUMMYFUNCTION("""COMPUTED_VALUE"""),29560.0)</f>
        <v>29560</v>
      </c>
      <c r="D1042" s="1">
        <f>IFERROR(__xludf.DUMMYFUNCTION("""COMPUTED_VALUE"""),29100.0)</f>
        <v>29100</v>
      </c>
      <c r="E1042" s="1">
        <f>IFERROR(__xludf.DUMMYFUNCTION("""COMPUTED_VALUE"""),29520.0)</f>
        <v>29520</v>
      </c>
      <c r="F1042" s="1">
        <f>IFERROR(__xludf.DUMMYFUNCTION("""COMPUTED_VALUE"""),182263.0)</f>
        <v>182263</v>
      </c>
    </row>
    <row r="1043">
      <c r="A1043" s="2">
        <f>IFERROR(__xludf.DUMMYFUNCTION("""COMPUTED_VALUE"""),42088.64583333333)</f>
        <v>42088.64583</v>
      </c>
      <c r="B1043" s="1">
        <f>IFERROR(__xludf.DUMMYFUNCTION("""COMPUTED_VALUE"""),29740.0)</f>
        <v>29740</v>
      </c>
      <c r="C1043" s="1">
        <f>IFERROR(__xludf.DUMMYFUNCTION("""COMPUTED_VALUE"""),29760.0)</f>
        <v>29760</v>
      </c>
      <c r="D1043" s="1">
        <f>IFERROR(__xludf.DUMMYFUNCTION("""COMPUTED_VALUE"""),29440.0)</f>
        <v>29440</v>
      </c>
      <c r="E1043" s="1">
        <f>IFERROR(__xludf.DUMMYFUNCTION("""COMPUTED_VALUE"""),29700.0)</f>
        <v>29700</v>
      </c>
      <c r="F1043" s="1">
        <f>IFERROR(__xludf.DUMMYFUNCTION("""COMPUTED_VALUE"""),187381.0)</f>
        <v>187381</v>
      </c>
    </row>
    <row r="1044">
      <c r="A1044" s="2">
        <f>IFERROR(__xludf.DUMMYFUNCTION("""COMPUTED_VALUE"""),42089.64583333333)</f>
        <v>42089.64583</v>
      </c>
      <c r="B1044" s="1">
        <f>IFERROR(__xludf.DUMMYFUNCTION("""COMPUTED_VALUE"""),29000.0)</f>
        <v>29000</v>
      </c>
      <c r="C1044" s="1">
        <f>IFERROR(__xludf.DUMMYFUNCTION("""COMPUTED_VALUE"""),29120.0)</f>
        <v>29120</v>
      </c>
      <c r="D1044" s="1">
        <f>IFERROR(__xludf.DUMMYFUNCTION("""COMPUTED_VALUE"""),28420.0)</f>
        <v>28420</v>
      </c>
      <c r="E1044" s="1">
        <f>IFERROR(__xludf.DUMMYFUNCTION("""COMPUTED_VALUE"""),28420.0)</f>
        <v>28420</v>
      </c>
      <c r="F1044" s="1">
        <f>IFERROR(__xludf.DUMMYFUNCTION("""COMPUTED_VALUE"""),420119.0)</f>
        <v>420119</v>
      </c>
    </row>
    <row r="1045">
      <c r="A1045" s="2">
        <f>IFERROR(__xludf.DUMMYFUNCTION("""COMPUTED_VALUE"""),42090.64583333333)</f>
        <v>42090.64583</v>
      </c>
      <c r="B1045" s="1">
        <f>IFERROR(__xludf.DUMMYFUNCTION("""COMPUTED_VALUE"""),28300.0)</f>
        <v>28300</v>
      </c>
      <c r="C1045" s="1">
        <f>IFERROR(__xludf.DUMMYFUNCTION("""COMPUTED_VALUE"""),28960.0)</f>
        <v>28960</v>
      </c>
      <c r="D1045" s="1">
        <f>IFERROR(__xludf.DUMMYFUNCTION("""COMPUTED_VALUE"""),28300.0)</f>
        <v>28300</v>
      </c>
      <c r="E1045" s="1">
        <f>IFERROR(__xludf.DUMMYFUNCTION("""COMPUTED_VALUE"""),28420.0)</f>
        <v>28420</v>
      </c>
      <c r="F1045" s="1">
        <f>IFERROR(__xludf.DUMMYFUNCTION("""COMPUTED_VALUE"""),321316.0)</f>
        <v>321316</v>
      </c>
    </row>
    <row r="1046">
      <c r="A1046" s="2">
        <f>IFERROR(__xludf.DUMMYFUNCTION("""COMPUTED_VALUE"""),42093.64583333333)</f>
        <v>42093.64583</v>
      </c>
      <c r="B1046" s="1">
        <f>IFERROR(__xludf.DUMMYFUNCTION("""COMPUTED_VALUE"""),28500.0)</f>
        <v>28500</v>
      </c>
      <c r="C1046" s="1">
        <f>IFERROR(__xludf.DUMMYFUNCTION("""COMPUTED_VALUE"""),28680.0)</f>
        <v>28680</v>
      </c>
      <c r="D1046" s="1">
        <f>IFERROR(__xludf.DUMMYFUNCTION("""COMPUTED_VALUE"""),28240.0)</f>
        <v>28240</v>
      </c>
      <c r="E1046" s="1">
        <f>IFERROR(__xludf.DUMMYFUNCTION("""COMPUTED_VALUE"""),28560.0)</f>
        <v>28560</v>
      </c>
      <c r="F1046" s="1">
        <f>IFERROR(__xludf.DUMMYFUNCTION("""COMPUTED_VALUE"""),179110.0)</f>
        <v>179110</v>
      </c>
    </row>
    <row r="1047">
      <c r="A1047" s="2">
        <f>IFERROR(__xludf.DUMMYFUNCTION("""COMPUTED_VALUE"""),42094.64583333333)</f>
        <v>42094.64583</v>
      </c>
      <c r="B1047" s="1">
        <f>IFERROR(__xludf.DUMMYFUNCTION("""COMPUTED_VALUE"""),28980.0)</f>
        <v>28980</v>
      </c>
      <c r="C1047" s="1">
        <f>IFERROR(__xludf.DUMMYFUNCTION("""COMPUTED_VALUE"""),29040.0)</f>
        <v>29040</v>
      </c>
      <c r="D1047" s="1">
        <f>IFERROR(__xludf.DUMMYFUNCTION("""COMPUTED_VALUE"""),28600.0)</f>
        <v>28600</v>
      </c>
      <c r="E1047" s="1">
        <f>IFERROR(__xludf.DUMMYFUNCTION("""COMPUTED_VALUE"""),28820.0)</f>
        <v>28820</v>
      </c>
      <c r="F1047" s="1">
        <f>IFERROR(__xludf.DUMMYFUNCTION("""COMPUTED_VALUE"""),196853.0)</f>
        <v>196853</v>
      </c>
    </row>
    <row r="1048">
      <c r="A1048" s="2">
        <f>IFERROR(__xludf.DUMMYFUNCTION("""COMPUTED_VALUE"""),42095.64583333333)</f>
        <v>42095.64583</v>
      </c>
      <c r="B1048" s="1">
        <f>IFERROR(__xludf.DUMMYFUNCTION("""COMPUTED_VALUE"""),28740.0)</f>
        <v>28740</v>
      </c>
      <c r="C1048" s="1">
        <f>IFERROR(__xludf.DUMMYFUNCTION("""COMPUTED_VALUE"""),28740.0)</f>
        <v>28740</v>
      </c>
      <c r="D1048" s="1">
        <f>IFERROR(__xludf.DUMMYFUNCTION("""COMPUTED_VALUE"""),28400.0)</f>
        <v>28400</v>
      </c>
      <c r="E1048" s="1">
        <f>IFERROR(__xludf.DUMMYFUNCTION("""COMPUTED_VALUE"""),28460.0)</f>
        <v>28460</v>
      </c>
      <c r="F1048" s="1">
        <f>IFERROR(__xludf.DUMMYFUNCTION("""COMPUTED_VALUE"""),145321.0)</f>
        <v>145321</v>
      </c>
    </row>
    <row r="1049">
      <c r="A1049" s="2">
        <f>IFERROR(__xludf.DUMMYFUNCTION("""COMPUTED_VALUE"""),42096.64583333333)</f>
        <v>42096.64583</v>
      </c>
      <c r="B1049" s="1">
        <f>IFERROR(__xludf.DUMMYFUNCTION("""COMPUTED_VALUE"""),28680.0)</f>
        <v>28680</v>
      </c>
      <c r="C1049" s="1">
        <f>IFERROR(__xludf.DUMMYFUNCTION("""COMPUTED_VALUE"""),28800.0)</f>
        <v>28800</v>
      </c>
      <c r="D1049" s="1">
        <f>IFERROR(__xludf.DUMMYFUNCTION("""COMPUTED_VALUE"""),28460.0)</f>
        <v>28460</v>
      </c>
      <c r="E1049" s="1">
        <f>IFERROR(__xludf.DUMMYFUNCTION("""COMPUTED_VALUE"""),28680.0)</f>
        <v>28680</v>
      </c>
      <c r="F1049" s="1">
        <f>IFERROR(__xludf.DUMMYFUNCTION("""COMPUTED_VALUE"""),138068.0)</f>
        <v>138068</v>
      </c>
    </row>
    <row r="1050">
      <c r="A1050" s="2">
        <f>IFERROR(__xludf.DUMMYFUNCTION("""COMPUTED_VALUE"""),42097.64583333333)</f>
        <v>42097.64583</v>
      </c>
      <c r="B1050" s="1">
        <f>IFERROR(__xludf.DUMMYFUNCTION("""COMPUTED_VALUE"""),28680.0)</f>
        <v>28680</v>
      </c>
      <c r="C1050" s="1">
        <f>IFERROR(__xludf.DUMMYFUNCTION("""COMPUTED_VALUE"""),28800.0)</f>
        <v>28800</v>
      </c>
      <c r="D1050" s="1">
        <f>IFERROR(__xludf.DUMMYFUNCTION("""COMPUTED_VALUE"""),28400.0)</f>
        <v>28400</v>
      </c>
      <c r="E1050" s="1">
        <f>IFERROR(__xludf.DUMMYFUNCTION("""COMPUTED_VALUE"""),28680.0)</f>
        <v>28680</v>
      </c>
      <c r="F1050" s="1">
        <f>IFERROR(__xludf.DUMMYFUNCTION("""COMPUTED_VALUE"""),125403.0)</f>
        <v>125403</v>
      </c>
    </row>
    <row r="1051">
      <c r="A1051" s="2">
        <f>IFERROR(__xludf.DUMMYFUNCTION("""COMPUTED_VALUE"""),42100.64583333333)</f>
        <v>42100.64583</v>
      </c>
      <c r="B1051" s="1">
        <f>IFERROR(__xludf.DUMMYFUNCTION("""COMPUTED_VALUE"""),28860.0)</f>
        <v>28860</v>
      </c>
      <c r="C1051" s="1">
        <f>IFERROR(__xludf.DUMMYFUNCTION("""COMPUTED_VALUE"""),29800.0)</f>
        <v>29800</v>
      </c>
      <c r="D1051" s="1">
        <f>IFERROR(__xludf.DUMMYFUNCTION("""COMPUTED_VALUE"""),28700.0)</f>
        <v>28700</v>
      </c>
      <c r="E1051" s="1">
        <f>IFERROR(__xludf.DUMMYFUNCTION("""COMPUTED_VALUE"""),29400.0)</f>
        <v>29400</v>
      </c>
      <c r="F1051" s="1">
        <f>IFERROR(__xludf.DUMMYFUNCTION("""COMPUTED_VALUE"""),211652.0)</f>
        <v>211652</v>
      </c>
    </row>
    <row r="1052">
      <c r="A1052" s="2">
        <f>IFERROR(__xludf.DUMMYFUNCTION("""COMPUTED_VALUE"""),42101.64583333333)</f>
        <v>42101.64583</v>
      </c>
      <c r="B1052" s="1">
        <f>IFERROR(__xludf.DUMMYFUNCTION("""COMPUTED_VALUE"""),29560.0)</f>
        <v>29560</v>
      </c>
      <c r="C1052" s="1">
        <f>IFERROR(__xludf.DUMMYFUNCTION("""COMPUTED_VALUE"""),29700.0)</f>
        <v>29700</v>
      </c>
      <c r="D1052" s="1">
        <f>IFERROR(__xludf.DUMMYFUNCTION("""COMPUTED_VALUE"""),29240.0)</f>
        <v>29240</v>
      </c>
      <c r="E1052" s="1">
        <f>IFERROR(__xludf.DUMMYFUNCTION("""COMPUTED_VALUE"""),29240.0)</f>
        <v>29240</v>
      </c>
      <c r="F1052" s="1">
        <f>IFERROR(__xludf.DUMMYFUNCTION("""COMPUTED_VALUE"""),190521.0)</f>
        <v>190521</v>
      </c>
    </row>
    <row r="1053">
      <c r="A1053" s="2">
        <f>IFERROR(__xludf.DUMMYFUNCTION("""COMPUTED_VALUE"""),42102.64583333333)</f>
        <v>42102.64583</v>
      </c>
      <c r="B1053" s="1">
        <f>IFERROR(__xludf.DUMMYFUNCTION("""COMPUTED_VALUE"""),29400.0)</f>
        <v>29400</v>
      </c>
      <c r="C1053" s="1">
        <f>IFERROR(__xludf.DUMMYFUNCTION("""COMPUTED_VALUE"""),29700.0)</f>
        <v>29700</v>
      </c>
      <c r="D1053" s="1">
        <f>IFERROR(__xludf.DUMMYFUNCTION("""COMPUTED_VALUE"""),29200.0)</f>
        <v>29200</v>
      </c>
      <c r="E1053" s="1">
        <f>IFERROR(__xludf.DUMMYFUNCTION("""COMPUTED_VALUE"""),29580.0)</f>
        <v>29580</v>
      </c>
      <c r="F1053" s="1">
        <f>IFERROR(__xludf.DUMMYFUNCTION("""COMPUTED_VALUE"""),155468.0)</f>
        <v>155468</v>
      </c>
    </row>
    <row r="1054">
      <c r="A1054" s="2">
        <f>IFERROR(__xludf.DUMMYFUNCTION("""COMPUTED_VALUE"""),42103.64583333333)</f>
        <v>42103.64583</v>
      </c>
      <c r="B1054" s="1">
        <f>IFERROR(__xludf.DUMMYFUNCTION("""COMPUTED_VALUE"""),29400.0)</f>
        <v>29400</v>
      </c>
      <c r="C1054" s="1">
        <f>IFERROR(__xludf.DUMMYFUNCTION("""COMPUTED_VALUE"""),29780.0)</f>
        <v>29780</v>
      </c>
      <c r="D1054" s="1">
        <f>IFERROR(__xludf.DUMMYFUNCTION("""COMPUTED_VALUE"""),29400.0)</f>
        <v>29400</v>
      </c>
      <c r="E1054" s="1">
        <f>IFERROR(__xludf.DUMMYFUNCTION("""COMPUTED_VALUE"""),29660.0)</f>
        <v>29660</v>
      </c>
      <c r="F1054" s="1">
        <f>IFERROR(__xludf.DUMMYFUNCTION("""COMPUTED_VALUE"""),182151.0)</f>
        <v>182151</v>
      </c>
    </row>
    <row r="1055">
      <c r="A1055" s="2">
        <f>IFERROR(__xludf.DUMMYFUNCTION("""COMPUTED_VALUE"""),42104.64583333333)</f>
        <v>42104.64583</v>
      </c>
      <c r="B1055" s="1">
        <f>IFERROR(__xludf.DUMMYFUNCTION("""COMPUTED_VALUE"""),29600.0)</f>
        <v>29600</v>
      </c>
      <c r="C1055" s="1">
        <f>IFERROR(__xludf.DUMMYFUNCTION("""COMPUTED_VALUE"""),29880.0)</f>
        <v>29880</v>
      </c>
      <c r="D1055" s="1">
        <f>IFERROR(__xludf.DUMMYFUNCTION("""COMPUTED_VALUE"""),29560.0)</f>
        <v>29560</v>
      </c>
      <c r="E1055" s="1">
        <f>IFERROR(__xludf.DUMMYFUNCTION("""COMPUTED_VALUE"""),29800.0)</f>
        <v>29800</v>
      </c>
      <c r="F1055" s="1">
        <f>IFERROR(__xludf.DUMMYFUNCTION("""COMPUTED_VALUE"""),199202.0)</f>
        <v>199202</v>
      </c>
    </row>
    <row r="1056">
      <c r="A1056" s="2">
        <f>IFERROR(__xludf.DUMMYFUNCTION("""COMPUTED_VALUE"""),42107.64583333333)</f>
        <v>42107.64583</v>
      </c>
      <c r="B1056" s="1">
        <f>IFERROR(__xludf.DUMMYFUNCTION("""COMPUTED_VALUE"""),29580.0)</f>
        <v>29580</v>
      </c>
      <c r="C1056" s="1">
        <f>IFERROR(__xludf.DUMMYFUNCTION("""COMPUTED_VALUE"""),29820.0)</f>
        <v>29820</v>
      </c>
      <c r="D1056" s="1">
        <f>IFERROR(__xludf.DUMMYFUNCTION("""COMPUTED_VALUE"""),29360.0)</f>
        <v>29360</v>
      </c>
      <c r="E1056" s="1">
        <f>IFERROR(__xludf.DUMMYFUNCTION("""COMPUTED_VALUE"""),29580.0)</f>
        <v>29580</v>
      </c>
      <c r="F1056" s="1">
        <f>IFERROR(__xludf.DUMMYFUNCTION("""COMPUTED_VALUE"""),205866.0)</f>
        <v>205866</v>
      </c>
    </row>
    <row r="1057">
      <c r="A1057" s="2">
        <f>IFERROR(__xludf.DUMMYFUNCTION("""COMPUTED_VALUE"""),42108.64583333333)</f>
        <v>42108.64583</v>
      </c>
      <c r="B1057" s="1">
        <f>IFERROR(__xludf.DUMMYFUNCTION("""COMPUTED_VALUE"""),29700.0)</f>
        <v>29700</v>
      </c>
      <c r="C1057" s="1">
        <f>IFERROR(__xludf.DUMMYFUNCTION("""COMPUTED_VALUE"""),29700.0)</f>
        <v>29700</v>
      </c>
      <c r="D1057" s="1">
        <f>IFERROR(__xludf.DUMMYFUNCTION("""COMPUTED_VALUE"""),29300.0)</f>
        <v>29300</v>
      </c>
      <c r="E1057" s="1">
        <f>IFERROR(__xludf.DUMMYFUNCTION("""COMPUTED_VALUE"""),29480.0)</f>
        <v>29480</v>
      </c>
      <c r="F1057" s="1">
        <f>IFERROR(__xludf.DUMMYFUNCTION("""COMPUTED_VALUE"""),188595.0)</f>
        <v>188595</v>
      </c>
    </row>
    <row r="1058">
      <c r="A1058" s="2">
        <f>IFERROR(__xludf.DUMMYFUNCTION("""COMPUTED_VALUE"""),42109.64583333333)</f>
        <v>42109.64583</v>
      </c>
      <c r="B1058" s="1">
        <f>IFERROR(__xludf.DUMMYFUNCTION("""COMPUTED_VALUE"""),29200.0)</f>
        <v>29200</v>
      </c>
      <c r="C1058" s="1">
        <f>IFERROR(__xludf.DUMMYFUNCTION("""COMPUTED_VALUE"""),29400.0)</f>
        <v>29400</v>
      </c>
      <c r="D1058" s="1">
        <f>IFERROR(__xludf.DUMMYFUNCTION("""COMPUTED_VALUE"""),28540.0)</f>
        <v>28540</v>
      </c>
      <c r="E1058" s="1">
        <f>IFERROR(__xludf.DUMMYFUNCTION("""COMPUTED_VALUE"""),28920.0)</f>
        <v>28920</v>
      </c>
      <c r="F1058" s="1">
        <f>IFERROR(__xludf.DUMMYFUNCTION("""COMPUTED_VALUE"""),271021.0)</f>
        <v>271021</v>
      </c>
    </row>
    <row r="1059">
      <c r="A1059" s="2">
        <f>IFERROR(__xludf.DUMMYFUNCTION("""COMPUTED_VALUE"""),42110.64583333333)</f>
        <v>42110.64583</v>
      </c>
      <c r="B1059" s="1">
        <f>IFERROR(__xludf.DUMMYFUNCTION("""COMPUTED_VALUE"""),29240.0)</f>
        <v>29240</v>
      </c>
      <c r="C1059" s="1">
        <f>IFERROR(__xludf.DUMMYFUNCTION("""COMPUTED_VALUE"""),29540.0)</f>
        <v>29540</v>
      </c>
      <c r="D1059" s="1">
        <f>IFERROR(__xludf.DUMMYFUNCTION("""COMPUTED_VALUE"""),28940.0)</f>
        <v>28940</v>
      </c>
      <c r="E1059" s="1">
        <f>IFERROR(__xludf.DUMMYFUNCTION("""COMPUTED_VALUE"""),29540.0)</f>
        <v>29540</v>
      </c>
      <c r="F1059" s="1">
        <f>IFERROR(__xludf.DUMMYFUNCTION("""COMPUTED_VALUE"""),215247.0)</f>
        <v>215247</v>
      </c>
    </row>
    <row r="1060">
      <c r="A1060" s="2">
        <f>IFERROR(__xludf.DUMMYFUNCTION("""COMPUTED_VALUE"""),42111.64583333333)</f>
        <v>42111.64583</v>
      </c>
      <c r="B1060" s="1">
        <f>IFERROR(__xludf.DUMMYFUNCTION("""COMPUTED_VALUE"""),29540.0)</f>
        <v>29540</v>
      </c>
      <c r="C1060" s="1">
        <f>IFERROR(__xludf.DUMMYFUNCTION("""COMPUTED_VALUE"""),29560.0)</f>
        <v>29560</v>
      </c>
      <c r="D1060" s="1">
        <f>IFERROR(__xludf.DUMMYFUNCTION("""COMPUTED_VALUE"""),28940.0)</f>
        <v>28940</v>
      </c>
      <c r="E1060" s="1">
        <f>IFERROR(__xludf.DUMMYFUNCTION("""COMPUTED_VALUE"""),29000.0)</f>
        <v>29000</v>
      </c>
      <c r="F1060" s="1">
        <f>IFERROR(__xludf.DUMMYFUNCTION("""COMPUTED_VALUE"""),203446.0)</f>
        <v>203446</v>
      </c>
    </row>
    <row r="1061">
      <c r="A1061" s="2">
        <f>IFERROR(__xludf.DUMMYFUNCTION("""COMPUTED_VALUE"""),42114.64583333333)</f>
        <v>42114.64583</v>
      </c>
      <c r="B1061" s="1">
        <f>IFERROR(__xludf.DUMMYFUNCTION("""COMPUTED_VALUE"""),28920.0)</f>
        <v>28920</v>
      </c>
      <c r="C1061" s="1">
        <f>IFERROR(__xludf.DUMMYFUNCTION("""COMPUTED_VALUE"""),28960.0)</f>
        <v>28960</v>
      </c>
      <c r="D1061" s="1">
        <f>IFERROR(__xludf.DUMMYFUNCTION("""COMPUTED_VALUE"""),28460.0)</f>
        <v>28460</v>
      </c>
      <c r="E1061" s="1">
        <f>IFERROR(__xludf.DUMMYFUNCTION("""COMPUTED_VALUE"""),28600.0)</f>
        <v>28600</v>
      </c>
      <c r="F1061" s="1">
        <f>IFERROR(__xludf.DUMMYFUNCTION("""COMPUTED_VALUE"""),247898.0)</f>
        <v>247898</v>
      </c>
    </row>
    <row r="1062">
      <c r="A1062" s="2">
        <f>IFERROR(__xludf.DUMMYFUNCTION("""COMPUTED_VALUE"""),42115.64583333333)</f>
        <v>42115.64583</v>
      </c>
      <c r="B1062" s="1">
        <f>IFERROR(__xludf.DUMMYFUNCTION("""COMPUTED_VALUE"""),28420.0)</f>
        <v>28420</v>
      </c>
      <c r="C1062" s="1">
        <f>IFERROR(__xludf.DUMMYFUNCTION("""COMPUTED_VALUE"""),28900.0)</f>
        <v>28900</v>
      </c>
      <c r="D1062" s="1">
        <f>IFERROR(__xludf.DUMMYFUNCTION("""COMPUTED_VALUE"""),28400.0)</f>
        <v>28400</v>
      </c>
      <c r="E1062" s="1">
        <f>IFERROR(__xludf.DUMMYFUNCTION("""COMPUTED_VALUE"""),28880.0)</f>
        <v>28880</v>
      </c>
      <c r="F1062" s="1">
        <f>IFERROR(__xludf.DUMMYFUNCTION("""COMPUTED_VALUE"""),237053.0)</f>
        <v>237053</v>
      </c>
    </row>
    <row r="1063">
      <c r="A1063" s="2">
        <f>IFERROR(__xludf.DUMMYFUNCTION("""COMPUTED_VALUE"""),42116.64583333333)</f>
        <v>42116.64583</v>
      </c>
      <c r="B1063" s="1">
        <f>IFERROR(__xludf.DUMMYFUNCTION("""COMPUTED_VALUE"""),28880.0)</f>
        <v>28880</v>
      </c>
      <c r="C1063" s="1">
        <f>IFERROR(__xludf.DUMMYFUNCTION("""COMPUTED_VALUE"""),29460.0)</f>
        <v>29460</v>
      </c>
      <c r="D1063" s="1">
        <f>IFERROR(__xludf.DUMMYFUNCTION("""COMPUTED_VALUE"""),28720.0)</f>
        <v>28720</v>
      </c>
      <c r="E1063" s="1">
        <f>IFERROR(__xludf.DUMMYFUNCTION("""COMPUTED_VALUE"""),29220.0)</f>
        <v>29220</v>
      </c>
      <c r="F1063" s="1">
        <f>IFERROR(__xludf.DUMMYFUNCTION("""COMPUTED_VALUE"""),253111.0)</f>
        <v>253111</v>
      </c>
    </row>
    <row r="1064">
      <c r="A1064" s="2">
        <f>IFERROR(__xludf.DUMMYFUNCTION("""COMPUTED_VALUE"""),42117.64583333333)</f>
        <v>42117.64583</v>
      </c>
      <c r="B1064" s="1">
        <f>IFERROR(__xludf.DUMMYFUNCTION("""COMPUTED_VALUE"""),29400.0)</f>
        <v>29400</v>
      </c>
      <c r="C1064" s="1">
        <f>IFERROR(__xludf.DUMMYFUNCTION("""COMPUTED_VALUE"""),29400.0)</f>
        <v>29400</v>
      </c>
      <c r="D1064" s="1">
        <f>IFERROR(__xludf.DUMMYFUNCTION("""COMPUTED_VALUE"""),28800.0)</f>
        <v>28800</v>
      </c>
      <c r="E1064" s="1">
        <f>IFERROR(__xludf.DUMMYFUNCTION("""COMPUTED_VALUE"""),29020.0)</f>
        <v>29020</v>
      </c>
      <c r="F1064" s="1">
        <f>IFERROR(__xludf.DUMMYFUNCTION("""COMPUTED_VALUE"""),184903.0)</f>
        <v>184903</v>
      </c>
    </row>
    <row r="1065">
      <c r="A1065" s="2">
        <f>IFERROR(__xludf.DUMMYFUNCTION("""COMPUTED_VALUE"""),42118.64583333333)</f>
        <v>42118.64583</v>
      </c>
      <c r="B1065" s="1">
        <f>IFERROR(__xludf.DUMMYFUNCTION("""COMPUTED_VALUE"""),28980.0)</f>
        <v>28980</v>
      </c>
      <c r="C1065" s="1">
        <f>IFERROR(__xludf.DUMMYFUNCTION("""COMPUTED_VALUE"""),29100.0)</f>
        <v>29100</v>
      </c>
      <c r="D1065" s="1">
        <f>IFERROR(__xludf.DUMMYFUNCTION("""COMPUTED_VALUE"""),28000.0)</f>
        <v>28000</v>
      </c>
      <c r="E1065" s="1">
        <f>IFERROR(__xludf.DUMMYFUNCTION("""COMPUTED_VALUE"""),28200.0)</f>
        <v>28200</v>
      </c>
      <c r="F1065" s="1">
        <f>IFERROR(__xludf.DUMMYFUNCTION("""COMPUTED_VALUE"""),381798.0)</f>
        <v>381798</v>
      </c>
    </row>
    <row r="1066">
      <c r="A1066" s="2">
        <f>IFERROR(__xludf.DUMMYFUNCTION("""COMPUTED_VALUE"""),42121.64583333333)</f>
        <v>42121.64583</v>
      </c>
      <c r="B1066" s="1">
        <f>IFERROR(__xludf.DUMMYFUNCTION("""COMPUTED_VALUE"""),28200.0)</f>
        <v>28200</v>
      </c>
      <c r="C1066" s="1">
        <f>IFERROR(__xludf.DUMMYFUNCTION("""COMPUTED_VALUE"""),28220.0)</f>
        <v>28220</v>
      </c>
      <c r="D1066" s="1">
        <f>IFERROR(__xludf.DUMMYFUNCTION("""COMPUTED_VALUE"""),27500.0)</f>
        <v>27500</v>
      </c>
      <c r="E1066" s="1">
        <f>IFERROR(__xludf.DUMMYFUNCTION("""COMPUTED_VALUE"""),27900.0)</f>
        <v>27900</v>
      </c>
      <c r="F1066" s="1">
        <f>IFERROR(__xludf.DUMMYFUNCTION("""COMPUTED_VALUE"""),330343.0)</f>
        <v>330343</v>
      </c>
    </row>
    <row r="1067">
      <c r="A1067" s="2">
        <f>IFERROR(__xludf.DUMMYFUNCTION("""COMPUTED_VALUE"""),42122.64583333333)</f>
        <v>42122.64583</v>
      </c>
      <c r="B1067" s="1">
        <f>IFERROR(__xludf.DUMMYFUNCTION("""COMPUTED_VALUE"""),27800.0)</f>
        <v>27800</v>
      </c>
      <c r="C1067" s="1">
        <f>IFERROR(__xludf.DUMMYFUNCTION("""COMPUTED_VALUE"""),28000.0)</f>
        <v>28000</v>
      </c>
      <c r="D1067" s="1">
        <f>IFERROR(__xludf.DUMMYFUNCTION("""COMPUTED_VALUE"""),27180.0)</f>
        <v>27180</v>
      </c>
      <c r="E1067" s="1">
        <f>IFERROR(__xludf.DUMMYFUNCTION("""COMPUTED_VALUE"""),27320.0)</f>
        <v>27320</v>
      </c>
      <c r="F1067" s="1">
        <f>IFERROR(__xludf.DUMMYFUNCTION("""COMPUTED_VALUE"""),313946.0)</f>
        <v>313946</v>
      </c>
    </row>
    <row r="1068">
      <c r="A1068" s="2">
        <f>IFERROR(__xludf.DUMMYFUNCTION("""COMPUTED_VALUE"""),42123.64583333333)</f>
        <v>42123.64583</v>
      </c>
      <c r="B1068" s="1">
        <f>IFERROR(__xludf.DUMMYFUNCTION("""COMPUTED_VALUE"""),27340.0)</f>
        <v>27340</v>
      </c>
      <c r="C1068" s="1">
        <f>IFERROR(__xludf.DUMMYFUNCTION("""COMPUTED_VALUE"""),27880.0)</f>
        <v>27880</v>
      </c>
      <c r="D1068" s="1">
        <f>IFERROR(__xludf.DUMMYFUNCTION("""COMPUTED_VALUE"""),27280.0)</f>
        <v>27280</v>
      </c>
      <c r="E1068" s="1">
        <f>IFERROR(__xludf.DUMMYFUNCTION("""COMPUTED_VALUE"""),27700.0)</f>
        <v>27700</v>
      </c>
      <c r="F1068" s="1">
        <f>IFERROR(__xludf.DUMMYFUNCTION("""COMPUTED_VALUE"""),217913.0)</f>
        <v>217913</v>
      </c>
    </row>
    <row r="1069">
      <c r="A1069" s="2">
        <f>IFERROR(__xludf.DUMMYFUNCTION("""COMPUTED_VALUE"""),42124.64583333333)</f>
        <v>42124.64583</v>
      </c>
      <c r="B1069" s="1">
        <f>IFERROR(__xludf.DUMMYFUNCTION("""COMPUTED_VALUE"""),27700.0)</f>
        <v>27700</v>
      </c>
      <c r="C1069" s="1">
        <f>IFERROR(__xludf.DUMMYFUNCTION("""COMPUTED_VALUE"""),28360.0)</f>
        <v>28360</v>
      </c>
      <c r="D1069" s="1">
        <f>IFERROR(__xludf.DUMMYFUNCTION("""COMPUTED_VALUE"""),27580.0)</f>
        <v>27580</v>
      </c>
      <c r="E1069" s="1">
        <f>IFERROR(__xludf.DUMMYFUNCTION("""COMPUTED_VALUE"""),28200.0)</f>
        <v>28200</v>
      </c>
      <c r="F1069" s="1">
        <f>IFERROR(__xludf.DUMMYFUNCTION("""COMPUTED_VALUE"""),367057.0)</f>
        <v>367057</v>
      </c>
    </row>
    <row r="1070">
      <c r="A1070" s="2">
        <f>IFERROR(__xludf.DUMMYFUNCTION("""COMPUTED_VALUE"""),42128.64583333333)</f>
        <v>42128.64583</v>
      </c>
      <c r="B1070" s="1">
        <f>IFERROR(__xludf.DUMMYFUNCTION("""COMPUTED_VALUE"""),28140.0)</f>
        <v>28140</v>
      </c>
      <c r="C1070" s="1">
        <f>IFERROR(__xludf.DUMMYFUNCTION("""COMPUTED_VALUE"""),28460.0)</f>
        <v>28460</v>
      </c>
      <c r="D1070" s="1">
        <f>IFERROR(__xludf.DUMMYFUNCTION("""COMPUTED_VALUE"""),27940.0)</f>
        <v>27940</v>
      </c>
      <c r="E1070" s="1">
        <f>IFERROR(__xludf.DUMMYFUNCTION("""COMPUTED_VALUE"""),28000.0)</f>
        <v>28000</v>
      </c>
      <c r="F1070" s="1">
        <f>IFERROR(__xludf.DUMMYFUNCTION("""COMPUTED_VALUE"""),165674.0)</f>
        <v>165674</v>
      </c>
    </row>
    <row r="1071">
      <c r="A1071" s="2">
        <f>IFERROR(__xludf.DUMMYFUNCTION("""COMPUTED_VALUE"""),42130.64583333333)</f>
        <v>42130.64583</v>
      </c>
      <c r="B1071" s="1">
        <f>IFERROR(__xludf.DUMMYFUNCTION("""COMPUTED_VALUE"""),27800.0)</f>
        <v>27800</v>
      </c>
      <c r="C1071" s="1">
        <f>IFERROR(__xludf.DUMMYFUNCTION("""COMPUTED_VALUE"""),27820.0)</f>
        <v>27820</v>
      </c>
      <c r="D1071" s="1">
        <f>IFERROR(__xludf.DUMMYFUNCTION("""COMPUTED_VALUE"""),27120.0)</f>
        <v>27120</v>
      </c>
      <c r="E1071" s="1">
        <f>IFERROR(__xludf.DUMMYFUNCTION("""COMPUTED_VALUE"""),27240.0)</f>
        <v>27240</v>
      </c>
      <c r="F1071" s="1">
        <f>IFERROR(__xludf.DUMMYFUNCTION("""COMPUTED_VALUE"""),265410.0)</f>
        <v>265410</v>
      </c>
    </row>
    <row r="1072">
      <c r="A1072" s="2">
        <f>IFERROR(__xludf.DUMMYFUNCTION("""COMPUTED_VALUE"""),42131.64583333333)</f>
        <v>42131.64583</v>
      </c>
      <c r="B1072" s="1">
        <f>IFERROR(__xludf.DUMMYFUNCTION("""COMPUTED_VALUE"""),27240.0)</f>
        <v>27240</v>
      </c>
      <c r="C1072" s="1">
        <f>IFERROR(__xludf.DUMMYFUNCTION("""COMPUTED_VALUE"""),27500.0)</f>
        <v>27500</v>
      </c>
      <c r="D1072" s="1">
        <f>IFERROR(__xludf.DUMMYFUNCTION("""COMPUTED_VALUE"""),27080.0)</f>
        <v>27080</v>
      </c>
      <c r="E1072" s="1">
        <f>IFERROR(__xludf.DUMMYFUNCTION("""COMPUTED_VALUE"""),27400.0)</f>
        <v>27400</v>
      </c>
      <c r="F1072" s="1">
        <f>IFERROR(__xludf.DUMMYFUNCTION("""COMPUTED_VALUE"""),205148.0)</f>
        <v>205148</v>
      </c>
    </row>
    <row r="1073">
      <c r="A1073" s="2">
        <f>IFERROR(__xludf.DUMMYFUNCTION("""COMPUTED_VALUE"""),42132.64583333333)</f>
        <v>42132.64583</v>
      </c>
      <c r="B1073" s="1">
        <f>IFERROR(__xludf.DUMMYFUNCTION("""COMPUTED_VALUE"""),27320.0)</f>
        <v>27320</v>
      </c>
      <c r="C1073" s="1">
        <f>IFERROR(__xludf.DUMMYFUNCTION("""COMPUTED_VALUE"""),27400.0)</f>
        <v>27400</v>
      </c>
      <c r="D1073" s="1">
        <f>IFERROR(__xludf.DUMMYFUNCTION("""COMPUTED_VALUE"""),26760.0)</f>
        <v>26760</v>
      </c>
      <c r="E1073" s="1">
        <f>IFERROR(__xludf.DUMMYFUNCTION("""COMPUTED_VALUE"""),26760.0)</f>
        <v>26760</v>
      </c>
      <c r="F1073" s="1">
        <f>IFERROR(__xludf.DUMMYFUNCTION("""COMPUTED_VALUE"""),189762.0)</f>
        <v>189762</v>
      </c>
    </row>
    <row r="1074">
      <c r="A1074" s="2">
        <f>IFERROR(__xludf.DUMMYFUNCTION("""COMPUTED_VALUE"""),42135.64583333333)</f>
        <v>42135.64583</v>
      </c>
      <c r="B1074" s="1">
        <f>IFERROR(__xludf.DUMMYFUNCTION("""COMPUTED_VALUE"""),27200.0)</f>
        <v>27200</v>
      </c>
      <c r="C1074" s="1">
        <f>IFERROR(__xludf.DUMMYFUNCTION("""COMPUTED_VALUE"""),27200.0)</f>
        <v>27200</v>
      </c>
      <c r="D1074" s="1">
        <f>IFERROR(__xludf.DUMMYFUNCTION("""COMPUTED_VALUE"""),26720.0)</f>
        <v>26720</v>
      </c>
      <c r="E1074" s="1">
        <f>IFERROR(__xludf.DUMMYFUNCTION("""COMPUTED_VALUE"""),26720.0)</f>
        <v>26720</v>
      </c>
      <c r="F1074" s="1">
        <f>IFERROR(__xludf.DUMMYFUNCTION("""COMPUTED_VALUE"""),192809.0)</f>
        <v>192809</v>
      </c>
    </row>
    <row r="1075">
      <c r="A1075" s="2">
        <f>IFERROR(__xludf.DUMMYFUNCTION("""COMPUTED_VALUE"""),42136.64583333333)</f>
        <v>42136.64583</v>
      </c>
      <c r="B1075" s="1">
        <f>IFERROR(__xludf.DUMMYFUNCTION("""COMPUTED_VALUE"""),26900.0)</f>
        <v>26900</v>
      </c>
      <c r="C1075" s="1">
        <f>IFERROR(__xludf.DUMMYFUNCTION("""COMPUTED_VALUE"""),27060.0)</f>
        <v>27060</v>
      </c>
      <c r="D1075" s="1">
        <f>IFERROR(__xludf.DUMMYFUNCTION("""COMPUTED_VALUE"""),26480.0)</f>
        <v>26480</v>
      </c>
      <c r="E1075" s="1">
        <f>IFERROR(__xludf.DUMMYFUNCTION("""COMPUTED_VALUE"""),26620.0)</f>
        <v>26620</v>
      </c>
      <c r="F1075" s="1">
        <f>IFERROR(__xludf.DUMMYFUNCTION("""COMPUTED_VALUE"""),212664.0)</f>
        <v>212664</v>
      </c>
    </row>
    <row r="1076">
      <c r="A1076" s="2">
        <f>IFERROR(__xludf.DUMMYFUNCTION("""COMPUTED_VALUE"""),42137.64583333333)</f>
        <v>42137.64583</v>
      </c>
      <c r="B1076" s="1">
        <f>IFERROR(__xludf.DUMMYFUNCTION("""COMPUTED_VALUE"""),26980.0)</f>
        <v>26980</v>
      </c>
      <c r="C1076" s="1">
        <f>IFERROR(__xludf.DUMMYFUNCTION("""COMPUTED_VALUE"""),26980.0)</f>
        <v>26980</v>
      </c>
      <c r="D1076" s="1">
        <f>IFERROR(__xludf.DUMMYFUNCTION("""COMPUTED_VALUE"""),26520.0)</f>
        <v>26520</v>
      </c>
      <c r="E1076" s="1">
        <f>IFERROR(__xludf.DUMMYFUNCTION("""COMPUTED_VALUE"""),26660.0)</f>
        <v>26660</v>
      </c>
      <c r="F1076" s="1">
        <f>IFERROR(__xludf.DUMMYFUNCTION("""COMPUTED_VALUE"""),197545.0)</f>
        <v>197545</v>
      </c>
    </row>
    <row r="1077">
      <c r="A1077" s="2">
        <f>IFERROR(__xludf.DUMMYFUNCTION("""COMPUTED_VALUE"""),42138.64583333333)</f>
        <v>42138.64583</v>
      </c>
      <c r="B1077" s="1">
        <f>IFERROR(__xludf.DUMMYFUNCTION("""COMPUTED_VALUE"""),26820.0)</f>
        <v>26820</v>
      </c>
      <c r="C1077" s="1">
        <f>IFERROR(__xludf.DUMMYFUNCTION("""COMPUTED_VALUE"""),26860.0)</f>
        <v>26860</v>
      </c>
      <c r="D1077" s="1">
        <f>IFERROR(__xludf.DUMMYFUNCTION("""COMPUTED_VALUE"""),26560.0)</f>
        <v>26560</v>
      </c>
      <c r="E1077" s="1">
        <f>IFERROR(__xludf.DUMMYFUNCTION("""COMPUTED_VALUE"""),26800.0)</f>
        <v>26800</v>
      </c>
      <c r="F1077" s="1">
        <f>IFERROR(__xludf.DUMMYFUNCTION("""COMPUTED_VALUE"""),169770.0)</f>
        <v>169770</v>
      </c>
    </row>
    <row r="1078">
      <c r="A1078" s="2">
        <f>IFERROR(__xludf.DUMMYFUNCTION("""COMPUTED_VALUE"""),42139.64583333333)</f>
        <v>42139.64583</v>
      </c>
      <c r="B1078" s="1">
        <f>IFERROR(__xludf.DUMMYFUNCTION("""COMPUTED_VALUE"""),27100.0)</f>
        <v>27100</v>
      </c>
      <c r="C1078" s="1">
        <f>IFERROR(__xludf.DUMMYFUNCTION("""COMPUTED_VALUE"""),27120.0)</f>
        <v>27120</v>
      </c>
      <c r="D1078" s="1">
        <f>IFERROR(__xludf.DUMMYFUNCTION("""COMPUTED_VALUE"""),26420.0)</f>
        <v>26420</v>
      </c>
      <c r="E1078" s="1">
        <f>IFERROR(__xludf.DUMMYFUNCTION("""COMPUTED_VALUE"""),26520.0)</f>
        <v>26520</v>
      </c>
      <c r="F1078" s="1">
        <f>IFERROR(__xludf.DUMMYFUNCTION("""COMPUTED_VALUE"""),178447.0)</f>
        <v>178447</v>
      </c>
    </row>
    <row r="1079">
      <c r="A1079" s="2">
        <f>IFERROR(__xludf.DUMMYFUNCTION("""COMPUTED_VALUE"""),42142.64583333333)</f>
        <v>42142.64583</v>
      </c>
      <c r="B1079" s="1">
        <f>IFERROR(__xludf.DUMMYFUNCTION("""COMPUTED_VALUE"""),26700.0)</f>
        <v>26700</v>
      </c>
      <c r="C1079" s="1">
        <f>IFERROR(__xludf.DUMMYFUNCTION("""COMPUTED_VALUE"""),26700.0)</f>
        <v>26700</v>
      </c>
      <c r="D1079" s="1">
        <f>IFERROR(__xludf.DUMMYFUNCTION("""COMPUTED_VALUE"""),26180.0)</f>
        <v>26180</v>
      </c>
      <c r="E1079" s="1">
        <f>IFERROR(__xludf.DUMMYFUNCTION("""COMPUTED_VALUE"""),26400.0)</f>
        <v>26400</v>
      </c>
      <c r="F1079" s="1">
        <f>IFERROR(__xludf.DUMMYFUNCTION("""COMPUTED_VALUE"""),192537.0)</f>
        <v>192537</v>
      </c>
    </row>
    <row r="1080">
      <c r="A1080" s="2">
        <f>IFERROR(__xludf.DUMMYFUNCTION("""COMPUTED_VALUE"""),42143.64583333333)</f>
        <v>42143.64583</v>
      </c>
      <c r="B1080" s="1">
        <f>IFERROR(__xludf.DUMMYFUNCTION("""COMPUTED_VALUE"""),26420.0)</f>
        <v>26420</v>
      </c>
      <c r="C1080" s="1">
        <f>IFERROR(__xludf.DUMMYFUNCTION("""COMPUTED_VALUE"""),27100.0)</f>
        <v>27100</v>
      </c>
      <c r="D1080" s="1">
        <f>IFERROR(__xludf.DUMMYFUNCTION("""COMPUTED_VALUE"""),26140.0)</f>
        <v>26140</v>
      </c>
      <c r="E1080" s="1">
        <f>IFERROR(__xludf.DUMMYFUNCTION("""COMPUTED_VALUE"""),26760.0)</f>
        <v>26760</v>
      </c>
      <c r="F1080" s="1">
        <f>IFERROR(__xludf.DUMMYFUNCTION("""COMPUTED_VALUE"""),173618.0)</f>
        <v>173618</v>
      </c>
    </row>
    <row r="1081">
      <c r="A1081" s="2">
        <f>IFERROR(__xludf.DUMMYFUNCTION("""COMPUTED_VALUE"""),42144.64583333333)</f>
        <v>42144.64583</v>
      </c>
      <c r="B1081" s="1">
        <f>IFERROR(__xludf.DUMMYFUNCTION("""COMPUTED_VALUE"""),26980.0)</f>
        <v>26980</v>
      </c>
      <c r="C1081" s="1">
        <f>IFERROR(__xludf.DUMMYFUNCTION("""COMPUTED_VALUE"""),27400.0)</f>
        <v>27400</v>
      </c>
      <c r="D1081" s="1">
        <f>IFERROR(__xludf.DUMMYFUNCTION("""COMPUTED_VALUE"""),26820.0)</f>
        <v>26820</v>
      </c>
      <c r="E1081" s="1">
        <f>IFERROR(__xludf.DUMMYFUNCTION("""COMPUTED_VALUE"""),27320.0)</f>
        <v>27320</v>
      </c>
      <c r="F1081" s="1">
        <f>IFERROR(__xludf.DUMMYFUNCTION("""COMPUTED_VALUE"""),205829.0)</f>
        <v>205829</v>
      </c>
    </row>
    <row r="1082">
      <c r="A1082" s="2">
        <f>IFERROR(__xludf.DUMMYFUNCTION("""COMPUTED_VALUE"""),42145.64583333333)</f>
        <v>42145.64583</v>
      </c>
      <c r="B1082" s="1">
        <f>IFERROR(__xludf.DUMMYFUNCTION("""COMPUTED_VALUE"""),27420.0)</f>
        <v>27420</v>
      </c>
      <c r="C1082" s="1">
        <f>IFERROR(__xludf.DUMMYFUNCTION("""COMPUTED_VALUE"""),27440.0)</f>
        <v>27440</v>
      </c>
      <c r="D1082" s="1">
        <f>IFERROR(__xludf.DUMMYFUNCTION("""COMPUTED_VALUE"""),26880.0)</f>
        <v>26880</v>
      </c>
      <c r="E1082" s="1">
        <f>IFERROR(__xludf.DUMMYFUNCTION("""COMPUTED_VALUE"""),27040.0)</f>
        <v>27040</v>
      </c>
      <c r="F1082" s="1">
        <f>IFERROR(__xludf.DUMMYFUNCTION("""COMPUTED_VALUE"""),144212.0)</f>
        <v>144212</v>
      </c>
    </row>
    <row r="1083">
      <c r="A1083" s="2">
        <f>IFERROR(__xludf.DUMMYFUNCTION("""COMPUTED_VALUE"""),42146.64583333333)</f>
        <v>42146.64583</v>
      </c>
      <c r="B1083" s="1">
        <f>IFERROR(__xludf.DUMMYFUNCTION("""COMPUTED_VALUE"""),27060.0)</f>
        <v>27060</v>
      </c>
      <c r="C1083" s="1">
        <f>IFERROR(__xludf.DUMMYFUNCTION("""COMPUTED_VALUE"""),27060.0)</f>
        <v>27060</v>
      </c>
      <c r="D1083" s="1">
        <f>IFERROR(__xludf.DUMMYFUNCTION("""COMPUTED_VALUE"""),26700.0)</f>
        <v>26700</v>
      </c>
      <c r="E1083" s="1">
        <f>IFERROR(__xludf.DUMMYFUNCTION("""COMPUTED_VALUE"""),27000.0)</f>
        <v>27000</v>
      </c>
      <c r="F1083" s="1">
        <f>IFERROR(__xludf.DUMMYFUNCTION("""COMPUTED_VALUE"""),163916.0)</f>
        <v>163916</v>
      </c>
    </row>
    <row r="1084">
      <c r="A1084" s="2">
        <f>IFERROR(__xludf.DUMMYFUNCTION("""COMPUTED_VALUE"""),42150.64583333333)</f>
        <v>42150.64583</v>
      </c>
      <c r="B1084" s="1">
        <f>IFERROR(__xludf.DUMMYFUNCTION("""COMPUTED_VALUE"""),27320.0)</f>
        <v>27320</v>
      </c>
      <c r="C1084" s="1">
        <f>IFERROR(__xludf.DUMMYFUNCTION("""COMPUTED_VALUE"""),27380.0)</f>
        <v>27380</v>
      </c>
      <c r="D1084" s="1">
        <f>IFERROR(__xludf.DUMMYFUNCTION("""COMPUTED_VALUE"""),26720.0)</f>
        <v>26720</v>
      </c>
      <c r="E1084" s="1">
        <f>IFERROR(__xludf.DUMMYFUNCTION("""COMPUTED_VALUE"""),27240.0)</f>
        <v>27240</v>
      </c>
      <c r="F1084" s="1">
        <f>IFERROR(__xludf.DUMMYFUNCTION("""COMPUTED_VALUE"""),200683.0)</f>
        <v>200683</v>
      </c>
    </row>
    <row r="1085">
      <c r="A1085" s="2">
        <f>IFERROR(__xludf.DUMMYFUNCTION("""COMPUTED_VALUE"""),42151.64583333333)</f>
        <v>42151.64583</v>
      </c>
      <c r="B1085" s="1">
        <f>IFERROR(__xludf.DUMMYFUNCTION("""COMPUTED_VALUE"""),27200.0)</f>
        <v>27200</v>
      </c>
      <c r="C1085" s="1">
        <f>IFERROR(__xludf.DUMMYFUNCTION("""COMPUTED_VALUE"""),27320.0)</f>
        <v>27320</v>
      </c>
      <c r="D1085" s="1">
        <f>IFERROR(__xludf.DUMMYFUNCTION("""COMPUTED_VALUE"""),26260.0)</f>
        <v>26260</v>
      </c>
      <c r="E1085" s="1">
        <f>IFERROR(__xludf.DUMMYFUNCTION("""COMPUTED_VALUE"""),26280.0)</f>
        <v>26280</v>
      </c>
      <c r="F1085" s="1">
        <f>IFERROR(__xludf.DUMMYFUNCTION("""COMPUTED_VALUE"""),345309.0)</f>
        <v>345309</v>
      </c>
    </row>
    <row r="1086">
      <c r="A1086" s="2">
        <f>IFERROR(__xludf.DUMMYFUNCTION("""COMPUTED_VALUE"""),42152.64583333333)</f>
        <v>42152.64583</v>
      </c>
      <c r="B1086" s="1">
        <f>IFERROR(__xludf.DUMMYFUNCTION("""COMPUTED_VALUE"""),26340.0)</f>
        <v>26340</v>
      </c>
      <c r="C1086" s="1">
        <f>IFERROR(__xludf.DUMMYFUNCTION("""COMPUTED_VALUE"""),26420.0)</f>
        <v>26420</v>
      </c>
      <c r="D1086" s="1">
        <f>IFERROR(__xludf.DUMMYFUNCTION("""COMPUTED_VALUE"""),26020.0)</f>
        <v>26020</v>
      </c>
      <c r="E1086" s="1">
        <f>IFERROR(__xludf.DUMMYFUNCTION("""COMPUTED_VALUE"""),26180.0)</f>
        <v>26180</v>
      </c>
      <c r="F1086" s="1">
        <f>IFERROR(__xludf.DUMMYFUNCTION("""COMPUTED_VALUE"""),300963.0)</f>
        <v>300963</v>
      </c>
    </row>
    <row r="1087">
      <c r="A1087" s="2">
        <f>IFERROR(__xludf.DUMMYFUNCTION("""COMPUTED_VALUE"""),42153.64583333333)</f>
        <v>42153.64583</v>
      </c>
      <c r="B1087" s="1">
        <f>IFERROR(__xludf.DUMMYFUNCTION("""COMPUTED_VALUE"""),26400.0)</f>
        <v>26400</v>
      </c>
      <c r="C1087" s="1">
        <f>IFERROR(__xludf.DUMMYFUNCTION("""COMPUTED_VALUE"""),26420.0)</f>
        <v>26420</v>
      </c>
      <c r="D1087" s="1">
        <f>IFERROR(__xludf.DUMMYFUNCTION("""COMPUTED_VALUE"""),25940.0)</f>
        <v>25940</v>
      </c>
      <c r="E1087" s="1">
        <f>IFERROR(__xludf.DUMMYFUNCTION("""COMPUTED_VALUE"""),26140.0)</f>
        <v>26140</v>
      </c>
      <c r="F1087" s="1">
        <f>IFERROR(__xludf.DUMMYFUNCTION("""COMPUTED_VALUE"""),347615.0)</f>
        <v>347615</v>
      </c>
    </row>
    <row r="1088">
      <c r="A1088" s="2">
        <f>IFERROR(__xludf.DUMMYFUNCTION("""COMPUTED_VALUE"""),42156.64583333333)</f>
        <v>42156.64583</v>
      </c>
      <c r="B1088" s="1">
        <f>IFERROR(__xludf.DUMMYFUNCTION("""COMPUTED_VALUE"""),26000.0)</f>
        <v>26000</v>
      </c>
      <c r="C1088" s="1">
        <f>IFERROR(__xludf.DUMMYFUNCTION("""COMPUTED_VALUE"""),26020.0)</f>
        <v>26020</v>
      </c>
      <c r="D1088" s="1">
        <f>IFERROR(__xludf.DUMMYFUNCTION("""COMPUTED_VALUE"""),25760.0)</f>
        <v>25760</v>
      </c>
      <c r="E1088" s="1">
        <f>IFERROR(__xludf.DUMMYFUNCTION("""COMPUTED_VALUE"""),25820.0)</f>
        <v>25820</v>
      </c>
      <c r="F1088" s="1">
        <f>IFERROR(__xludf.DUMMYFUNCTION("""COMPUTED_VALUE"""),218439.0)</f>
        <v>218439</v>
      </c>
    </row>
    <row r="1089">
      <c r="A1089" s="2">
        <f>IFERROR(__xludf.DUMMYFUNCTION("""COMPUTED_VALUE"""),42157.64583333333)</f>
        <v>42157.64583</v>
      </c>
      <c r="B1089" s="1">
        <f>IFERROR(__xludf.DUMMYFUNCTION("""COMPUTED_VALUE"""),26000.0)</f>
        <v>26000</v>
      </c>
      <c r="C1089" s="1">
        <f>IFERROR(__xludf.DUMMYFUNCTION("""COMPUTED_VALUE"""),26060.0)</f>
        <v>26060</v>
      </c>
      <c r="D1089" s="1">
        <f>IFERROR(__xludf.DUMMYFUNCTION("""COMPUTED_VALUE"""),25760.0)</f>
        <v>25760</v>
      </c>
      <c r="E1089" s="1">
        <f>IFERROR(__xludf.DUMMYFUNCTION("""COMPUTED_VALUE"""),26060.0)</f>
        <v>26060</v>
      </c>
      <c r="F1089" s="1">
        <f>IFERROR(__xludf.DUMMYFUNCTION("""COMPUTED_VALUE"""),175151.0)</f>
        <v>175151</v>
      </c>
    </row>
    <row r="1090">
      <c r="A1090" s="2">
        <f>IFERROR(__xludf.DUMMYFUNCTION("""COMPUTED_VALUE"""),42158.64583333333)</f>
        <v>42158.64583</v>
      </c>
      <c r="B1090" s="1">
        <f>IFERROR(__xludf.DUMMYFUNCTION("""COMPUTED_VALUE"""),26060.0)</f>
        <v>26060</v>
      </c>
      <c r="C1090" s="1">
        <f>IFERROR(__xludf.DUMMYFUNCTION("""COMPUTED_VALUE"""),26320.0)</f>
        <v>26320</v>
      </c>
      <c r="D1090" s="1">
        <f>IFERROR(__xludf.DUMMYFUNCTION("""COMPUTED_VALUE"""),25300.0)</f>
        <v>25300</v>
      </c>
      <c r="E1090" s="1">
        <f>IFERROR(__xludf.DUMMYFUNCTION("""COMPUTED_VALUE"""),25460.0)</f>
        <v>25460</v>
      </c>
      <c r="F1090" s="1">
        <f>IFERROR(__xludf.DUMMYFUNCTION("""COMPUTED_VALUE"""),235388.0)</f>
        <v>235388</v>
      </c>
    </row>
    <row r="1091">
      <c r="A1091" s="2">
        <f>IFERROR(__xludf.DUMMYFUNCTION("""COMPUTED_VALUE"""),42159.64583333333)</f>
        <v>42159.64583</v>
      </c>
      <c r="B1091" s="1">
        <f>IFERROR(__xludf.DUMMYFUNCTION("""COMPUTED_VALUE"""),26300.0)</f>
        <v>26300</v>
      </c>
      <c r="C1091" s="1">
        <f>IFERROR(__xludf.DUMMYFUNCTION("""COMPUTED_VALUE"""),26820.0)</f>
        <v>26820</v>
      </c>
      <c r="D1091" s="1">
        <f>IFERROR(__xludf.DUMMYFUNCTION("""COMPUTED_VALUE"""),26100.0)</f>
        <v>26100</v>
      </c>
      <c r="E1091" s="1">
        <f>IFERROR(__xludf.DUMMYFUNCTION("""COMPUTED_VALUE"""),26740.0)</f>
        <v>26740</v>
      </c>
      <c r="F1091" s="1">
        <f>IFERROR(__xludf.DUMMYFUNCTION("""COMPUTED_VALUE"""),388239.0)</f>
        <v>388239</v>
      </c>
    </row>
    <row r="1092">
      <c r="A1092" s="2">
        <f>IFERROR(__xludf.DUMMYFUNCTION("""COMPUTED_VALUE"""),42160.64583333333)</f>
        <v>42160.64583</v>
      </c>
      <c r="B1092" s="1">
        <f>IFERROR(__xludf.DUMMYFUNCTION("""COMPUTED_VALUE"""),26500.0)</f>
        <v>26500</v>
      </c>
      <c r="C1092" s="1">
        <f>IFERROR(__xludf.DUMMYFUNCTION("""COMPUTED_VALUE"""),27100.0)</f>
        <v>27100</v>
      </c>
      <c r="D1092" s="1">
        <f>IFERROR(__xludf.DUMMYFUNCTION("""COMPUTED_VALUE"""),26400.0)</f>
        <v>26400</v>
      </c>
      <c r="E1092" s="1">
        <f>IFERROR(__xludf.DUMMYFUNCTION("""COMPUTED_VALUE"""),26820.0)</f>
        <v>26820</v>
      </c>
      <c r="F1092" s="1">
        <f>IFERROR(__xludf.DUMMYFUNCTION("""COMPUTED_VALUE"""),196563.0)</f>
        <v>196563</v>
      </c>
    </row>
    <row r="1093">
      <c r="A1093" s="2">
        <f>IFERROR(__xludf.DUMMYFUNCTION("""COMPUTED_VALUE"""),42163.64583333333)</f>
        <v>42163.64583</v>
      </c>
      <c r="B1093" s="1">
        <f>IFERROR(__xludf.DUMMYFUNCTION("""COMPUTED_VALUE"""),26900.0)</f>
        <v>26900</v>
      </c>
      <c r="C1093" s="1">
        <f>IFERROR(__xludf.DUMMYFUNCTION("""COMPUTED_VALUE"""),26940.0)</f>
        <v>26940</v>
      </c>
      <c r="D1093" s="1">
        <f>IFERROR(__xludf.DUMMYFUNCTION("""COMPUTED_VALUE"""),26260.0)</f>
        <v>26260</v>
      </c>
      <c r="E1093" s="1">
        <f>IFERROR(__xludf.DUMMYFUNCTION("""COMPUTED_VALUE"""),26280.0)</f>
        <v>26280</v>
      </c>
      <c r="F1093" s="1">
        <f>IFERROR(__xludf.DUMMYFUNCTION("""COMPUTED_VALUE"""),202379.0)</f>
        <v>202379</v>
      </c>
    </row>
    <row r="1094">
      <c r="A1094" s="2">
        <f>IFERROR(__xludf.DUMMYFUNCTION("""COMPUTED_VALUE"""),42164.64583333333)</f>
        <v>42164.64583</v>
      </c>
      <c r="B1094" s="1">
        <f>IFERROR(__xludf.DUMMYFUNCTION("""COMPUTED_VALUE"""),26000.0)</f>
        <v>26000</v>
      </c>
      <c r="C1094" s="1">
        <f>IFERROR(__xludf.DUMMYFUNCTION("""COMPUTED_VALUE"""),26200.0)</f>
        <v>26200</v>
      </c>
      <c r="D1094" s="1">
        <f>IFERROR(__xludf.DUMMYFUNCTION("""COMPUTED_VALUE"""),25360.0)</f>
        <v>25360</v>
      </c>
      <c r="E1094" s="1">
        <f>IFERROR(__xludf.DUMMYFUNCTION("""COMPUTED_VALUE"""),25640.0)</f>
        <v>25640</v>
      </c>
      <c r="F1094" s="1">
        <f>IFERROR(__xludf.DUMMYFUNCTION("""COMPUTED_VALUE"""),274705.0)</f>
        <v>274705</v>
      </c>
    </row>
    <row r="1095">
      <c r="A1095" s="2">
        <f>IFERROR(__xludf.DUMMYFUNCTION("""COMPUTED_VALUE"""),42165.64583333333)</f>
        <v>42165.64583</v>
      </c>
      <c r="B1095" s="1">
        <f>IFERROR(__xludf.DUMMYFUNCTION("""COMPUTED_VALUE"""),25640.0)</f>
        <v>25640</v>
      </c>
      <c r="C1095" s="1">
        <f>IFERROR(__xludf.DUMMYFUNCTION("""COMPUTED_VALUE"""),25880.0)</f>
        <v>25880</v>
      </c>
      <c r="D1095" s="1">
        <f>IFERROR(__xludf.DUMMYFUNCTION("""COMPUTED_VALUE"""),25240.0)</f>
        <v>25240</v>
      </c>
      <c r="E1095" s="1">
        <f>IFERROR(__xludf.DUMMYFUNCTION("""COMPUTED_VALUE"""),25240.0)</f>
        <v>25240</v>
      </c>
      <c r="F1095" s="1">
        <f>IFERROR(__xludf.DUMMYFUNCTION("""COMPUTED_VALUE"""),250034.0)</f>
        <v>250034</v>
      </c>
    </row>
    <row r="1096">
      <c r="A1096" s="2">
        <f>IFERROR(__xludf.DUMMYFUNCTION("""COMPUTED_VALUE"""),42166.64583333333)</f>
        <v>42166.64583</v>
      </c>
      <c r="B1096" s="1">
        <f>IFERROR(__xludf.DUMMYFUNCTION("""COMPUTED_VALUE"""),25260.0)</f>
        <v>25260</v>
      </c>
      <c r="C1096" s="1">
        <f>IFERROR(__xludf.DUMMYFUNCTION("""COMPUTED_VALUE"""),25480.0)</f>
        <v>25480</v>
      </c>
      <c r="D1096" s="1">
        <f>IFERROR(__xludf.DUMMYFUNCTION("""COMPUTED_VALUE"""),25060.0)</f>
        <v>25060</v>
      </c>
      <c r="E1096" s="1">
        <f>IFERROR(__xludf.DUMMYFUNCTION("""COMPUTED_VALUE"""),25140.0)</f>
        <v>25140</v>
      </c>
      <c r="F1096" s="1">
        <f>IFERROR(__xludf.DUMMYFUNCTION("""COMPUTED_VALUE"""),306281.0)</f>
        <v>306281</v>
      </c>
    </row>
    <row r="1097">
      <c r="A1097" s="2">
        <f>IFERROR(__xludf.DUMMYFUNCTION("""COMPUTED_VALUE"""),42167.64583333333)</f>
        <v>42167.64583</v>
      </c>
      <c r="B1097" s="1">
        <f>IFERROR(__xludf.DUMMYFUNCTION("""COMPUTED_VALUE"""),25560.0)</f>
        <v>25560</v>
      </c>
      <c r="C1097" s="1">
        <f>IFERROR(__xludf.DUMMYFUNCTION("""COMPUTED_VALUE"""),25740.0)</f>
        <v>25740</v>
      </c>
      <c r="D1097" s="1">
        <f>IFERROR(__xludf.DUMMYFUNCTION("""COMPUTED_VALUE"""),25280.0)</f>
        <v>25280</v>
      </c>
      <c r="E1097" s="1">
        <f>IFERROR(__xludf.DUMMYFUNCTION("""COMPUTED_VALUE"""),25540.0)</f>
        <v>25540</v>
      </c>
      <c r="F1097" s="1">
        <f>IFERROR(__xludf.DUMMYFUNCTION("""COMPUTED_VALUE"""),234830.0)</f>
        <v>234830</v>
      </c>
    </row>
    <row r="1098">
      <c r="A1098" s="2">
        <f>IFERROR(__xludf.DUMMYFUNCTION("""COMPUTED_VALUE"""),42170.64583333333)</f>
        <v>42170.64583</v>
      </c>
      <c r="B1098" s="1">
        <f>IFERROR(__xludf.DUMMYFUNCTION("""COMPUTED_VALUE"""),25100.0)</f>
        <v>25100</v>
      </c>
      <c r="C1098" s="1">
        <f>IFERROR(__xludf.DUMMYFUNCTION("""COMPUTED_VALUE"""),25480.0)</f>
        <v>25480</v>
      </c>
      <c r="D1098" s="1">
        <f>IFERROR(__xludf.DUMMYFUNCTION("""COMPUTED_VALUE"""),25100.0)</f>
        <v>25100</v>
      </c>
      <c r="E1098" s="1">
        <f>IFERROR(__xludf.DUMMYFUNCTION("""COMPUTED_VALUE"""),25400.0)</f>
        <v>25400</v>
      </c>
      <c r="F1098" s="1">
        <f>IFERROR(__xludf.DUMMYFUNCTION("""COMPUTED_VALUE"""),161356.0)</f>
        <v>161356</v>
      </c>
    </row>
    <row r="1099">
      <c r="A1099" s="2">
        <f>IFERROR(__xludf.DUMMYFUNCTION("""COMPUTED_VALUE"""),42171.64583333333)</f>
        <v>42171.64583</v>
      </c>
      <c r="B1099" s="1">
        <f>IFERROR(__xludf.DUMMYFUNCTION("""COMPUTED_VALUE"""),25400.0)</f>
        <v>25400</v>
      </c>
      <c r="C1099" s="1">
        <f>IFERROR(__xludf.DUMMYFUNCTION("""COMPUTED_VALUE"""),25480.0)</f>
        <v>25480</v>
      </c>
      <c r="D1099" s="1">
        <f>IFERROR(__xludf.DUMMYFUNCTION("""COMPUTED_VALUE"""),24900.0)</f>
        <v>24900</v>
      </c>
      <c r="E1099" s="1">
        <f>IFERROR(__xludf.DUMMYFUNCTION("""COMPUTED_VALUE"""),25100.0)</f>
        <v>25100</v>
      </c>
      <c r="F1099" s="1">
        <f>IFERROR(__xludf.DUMMYFUNCTION("""COMPUTED_VALUE"""),255352.0)</f>
        <v>255352</v>
      </c>
    </row>
    <row r="1100">
      <c r="A1100" s="2">
        <f>IFERROR(__xludf.DUMMYFUNCTION("""COMPUTED_VALUE"""),42172.64583333333)</f>
        <v>42172.64583</v>
      </c>
      <c r="B1100" s="1">
        <f>IFERROR(__xludf.DUMMYFUNCTION("""COMPUTED_VALUE"""),25000.0)</f>
        <v>25000</v>
      </c>
      <c r="C1100" s="1">
        <f>IFERROR(__xludf.DUMMYFUNCTION("""COMPUTED_VALUE"""),25320.0)</f>
        <v>25320</v>
      </c>
      <c r="D1100" s="1">
        <f>IFERROR(__xludf.DUMMYFUNCTION("""COMPUTED_VALUE"""),24800.0)</f>
        <v>24800</v>
      </c>
      <c r="E1100" s="1">
        <f>IFERROR(__xludf.DUMMYFUNCTION("""COMPUTED_VALUE"""),25080.0)</f>
        <v>25080</v>
      </c>
      <c r="F1100" s="1">
        <f>IFERROR(__xludf.DUMMYFUNCTION("""COMPUTED_VALUE"""),189046.0)</f>
        <v>189046</v>
      </c>
    </row>
    <row r="1101">
      <c r="A1101" s="2">
        <f>IFERROR(__xludf.DUMMYFUNCTION("""COMPUTED_VALUE"""),42173.64583333333)</f>
        <v>42173.64583</v>
      </c>
      <c r="B1101" s="1">
        <f>IFERROR(__xludf.DUMMYFUNCTION("""COMPUTED_VALUE"""),25180.0)</f>
        <v>25180</v>
      </c>
      <c r="C1101" s="1">
        <f>IFERROR(__xludf.DUMMYFUNCTION("""COMPUTED_VALUE"""),25580.0)</f>
        <v>25580</v>
      </c>
      <c r="D1101" s="1">
        <f>IFERROR(__xludf.DUMMYFUNCTION("""COMPUTED_VALUE"""),25020.0)</f>
        <v>25020</v>
      </c>
      <c r="E1101" s="1">
        <f>IFERROR(__xludf.DUMMYFUNCTION("""COMPUTED_VALUE"""),25300.0)</f>
        <v>25300</v>
      </c>
      <c r="F1101" s="1">
        <f>IFERROR(__xludf.DUMMYFUNCTION("""COMPUTED_VALUE"""),164952.0)</f>
        <v>164952</v>
      </c>
    </row>
    <row r="1102">
      <c r="A1102" s="2">
        <f>IFERROR(__xludf.DUMMYFUNCTION("""COMPUTED_VALUE"""),42174.64583333333)</f>
        <v>42174.64583</v>
      </c>
      <c r="B1102" s="1">
        <f>IFERROR(__xludf.DUMMYFUNCTION("""COMPUTED_VALUE"""),25320.0)</f>
        <v>25320</v>
      </c>
      <c r="C1102" s="1">
        <f>IFERROR(__xludf.DUMMYFUNCTION("""COMPUTED_VALUE"""),25560.0)</f>
        <v>25560</v>
      </c>
      <c r="D1102" s="1">
        <f>IFERROR(__xludf.DUMMYFUNCTION("""COMPUTED_VALUE"""),25200.0)</f>
        <v>25200</v>
      </c>
      <c r="E1102" s="1">
        <f>IFERROR(__xludf.DUMMYFUNCTION("""COMPUTED_VALUE"""),25320.0)</f>
        <v>25320</v>
      </c>
      <c r="F1102" s="1">
        <f>IFERROR(__xludf.DUMMYFUNCTION("""COMPUTED_VALUE"""),141895.0)</f>
        <v>141895</v>
      </c>
    </row>
    <row r="1103">
      <c r="A1103" s="2">
        <f>IFERROR(__xludf.DUMMYFUNCTION("""COMPUTED_VALUE"""),42177.64583333333)</f>
        <v>42177.64583</v>
      </c>
      <c r="B1103" s="1">
        <f>IFERROR(__xludf.DUMMYFUNCTION("""COMPUTED_VALUE"""),25820.0)</f>
        <v>25820</v>
      </c>
      <c r="C1103" s="1">
        <f>IFERROR(__xludf.DUMMYFUNCTION("""COMPUTED_VALUE"""),25920.0)</f>
        <v>25920</v>
      </c>
      <c r="D1103" s="1">
        <f>IFERROR(__xludf.DUMMYFUNCTION("""COMPUTED_VALUE"""),25520.0)</f>
        <v>25520</v>
      </c>
      <c r="E1103" s="1">
        <f>IFERROR(__xludf.DUMMYFUNCTION("""COMPUTED_VALUE"""),25620.0)</f>
        <v>25620</v>
      </c>
      <c r="F1103" s="1">
        <f>IFERROR(__xludf.DUMMYFUNCTION("""COMPUTED_VALUE"""),127418.0)</f>
        <v>127418</v>
      </c>
    </row>
    <row r="1104">
      <c r="A1104" s="2">
        <f>IFERROR(__xludf.DUMMYFUNCTION("""COMPUTED_VALUE"""),42178.64583333333)</f>
        <v>42178.64583</v>
      </c>
      <c r="B1104" s="1">
        <f>IFERROR(__xludf.DUMMYFUNCTION("""COMPUTED_VALUE"""),26180.0)</f>
        <v>26180</v>
      </c>
      <c r="C1104" s="1">
        <f>IFERROR(__xludf.DUMMYFUNCTION("""COMPUTED_VALUE"""),26560.0)</f>
        <v>26560</v>
      </c>
      <c r="D1104" s="1">
        <f>IFERROR(__xludf.DUMMYFUNCTION("""COMPUTED_VALUE"""),25820.0)</f>
        <v>25820</v>
      </c>
      <c r="E1104" s="1">
        <f>IFERROR(__xludf.DUMMYFUNCTION("""COMPUTED_VALUE"""),26420.0)</f>
        <v>26420</v>
      </c>
      <c r="F1104" s="1">
        <f>IFERROR(__xludf.DUMMYFUNCTION("""COMPUTED_VALUE"""),203180.0)</f>
        <v>203180</v>
      </c>
    </row>
    <row r="1105">
      <c r="A1105" s="2">
        <f>IFERROR(__xludf.DUMMYFUNCTION("""COMPUTED_VALUE"""),42179.64583333333)</f>
        <v>42179.64583</v>
      </c>
      <c r="B1105" s="1">
        <f>IFERROR(__xludf.DUMMYFUNCTION("""COMPUTED_VALUE"""),26000.0)</f>
        <v>26000</v>
      </c>
      <c r="C1105" s="1">
        <f>IFERROR(__xludf.DUMMYFUNCTION("""COMPUTED_VALUE"""),26220.0)</f>
        <v>26220</v>
      </c>
      <c r="D1105" s="1">
        <f>IFERROR(__xludf.DUMMYFUNCTION("""COMPUTED_VALUE"""),25820.0)</f>
        <v>25820</v>
      </c>
      <c r="E1105" s="1">
        <f>IFERROR(__xludf.DUMMYFUNCTION("""COMPUTED_VALUE"""),26040.0)</f>
        <v>26040</v>
      </c>
      <c r="F1105" s="1">
        <f>IFERROR(__xludf.DUMMYFUNCTION("""COMPUTED_VALUE"""),203960.0)</f>
        <v>203960</v>
      </c>
    </row>
    <row r="1106">
      <c r="A1106" s="2">
        <f>IFERROR(__xludf.DUMMYFUNCTION("""COMPUTED_VALUE"""),42180.64583333333)</f>
        <v>42180.64583</v>
      </c>
      <c r="B1106" s="1">
        <f>IFERROR(__xludf.DUMMYFUNCTION("""COMPUTED_VALUE"""),25800.0)</f>
        <v>25800</v>
      </c>
      <c r="C1106" s="1">
        <f>IFERROR(__xludf.DUMMYFUNCTION("""COMPUTED_VALUE"""),26060.0)</f>
        <v>26060</v>
      </c>
      <c r="D1106" s="1">
        <f>IFERROR(__xludf.DUMMYFUNCTION("""COMPUTED_VALUE"""),25380.0)</f>
        <v>25380</v>
      </c>
      <c r="E1106" s="1">
        <f>IFERROR(__xludf.DUMMYFUNCTION("""COMPUTED_VALUE"""),25380.0)</f>
        <v>25380</v>
      </c>
      <c r="F1106" s="1">
        <f>IFERROR(__xludf.DUMMYFUNCTION("""COMPUTED_VALUE"""),213916.0)</f>
        <v>213916</v>
      </c>
    </row>
    <row r="1107">
      <c r="A1107" s="2">
        <f>IFERROR(__xludf.DUMMYFUNCTION("""COMPUTED_VALUE"""),42181.64583333333)</f>
        <v>42181.64583</v>
      </c>
      <c r="B1107" s="1">
        <f>IFERROR(__xludf.DUMMYFUNCTION("""COMPUTED_VALUE"""),25040.0)</f>
        <v>25040</v>
      </c>
      <c r="C1107" s="1">
        <f>IFERROR(__xludf.DUMMYFUNCTION("""COMPUTED_VALUE"""),25800.0)</f>
        <v>25800</v>
      </c>
      <c r="D1107" s="1">
        <f>IFERROR(__xludf.DUMMYFUNCTION("""COMPUTED_VALUE"""),25040.0)</f>
        <v>25040</v>
      </c>
      <c r="E1107" s="1">
        <f>IFERROR(__xludf.DUMMYFUNCTION("""COMPUTED_VALUE"""),25560.0)</f>
        <v>25560</v>
      </c>
      <c r="F1107" s="1">
        <f>IFERROR(__xludf.DUMMYFUNCTION("""COMPUTED_VALUE"""),206950.0)</f>
        <v>206950</v>
      </c>
    </row>
    <row r="1108">
      <c r="A1108" s="2">
        <f>IFERROR(__xludf.DUMMYFUNCTION("""COMPUTED_VALUE"""),42184.64583333333)</f>
        <v>42184.64583</v>
      </c>
      <c r="B1108" s="1">
        <f>IFERROR(__xludf.DUMMYFUNCTION("""COMPUTED_VALUE"""),25380.0)</f>
        <v>25380</v>
      </c>
      <c r="C1108" s="1">
        <f>IFERROR(__xludf.DUMMYFUNCTION("""COMPUTED_VALUE"""),25700.0)</f>
        <v>25700</v>
      </c>
      <c r="D1108" s="1">
        <f>IFERROR(__xludf.DUMMYFUNCTION("""COMPUTED_VALUE"""),25120.0)</f>
        <v>25120</v>
      </c>
      <c r="E1108" s="1">
        <f>IFERROR(__xludf.DUMMYFUNCTION("""COMPUTED_VALUE"""),25620.0)</f>
        <v>25620</v>
      </c>
      <c r="F1108" s="1">
        <f>IFERROR(__xludf.DUMMYFUNCTION("""COMPUTED_VALUE"""),230399.0)</f>
        <v>230399</v>
      </c>
    </row>
    <row r="1109">
      <c r="A1109" s="2">
        <f>IFERROR(__xludf.DUMMYFUNCTION("""COMPUTED_VALUE"""),42185.64583333333)</f>
        <v>42185.64583</v>
      </c>
      <c r="B1109" s="1">
        <f>IFERROR(__xludf.DUMMYFUNCTION("""COMPUTED_VALUE"""),25520.0)</f>
        <v>25520</v>
      </c>
      <c r="C1109" s="1">
        <f>IFERROR(__xludf.DUMMYFUNCTION("""COMPUTED_VALUE"""),25700.0)</f>
        <v>25700</v>
      </c>
      <c r="D1109" s="1">
        <f>IFERROR(__xludf.DUMMYFUNCTION("""COMPUTED_VALUE"""),25320.0)</f>
        <v>25320</v>
      </c>
      <c r="E1109" s="1">
        <f>IFERROR(__xludf.DUMMYFUNCTION("""COMPUTED_VALUE"""),25360.0)</f>
        <v>25360</v>
      </c>
      <c r="F1109" s="1">
        <f>IFERROR(__xludf.DUMMYFUNCTION("""COMPUTED_VALUE"""),197407.0)</f>
        <v>197407</v>
      </c>
    </row>
    <row r="1110">
      <c r="A1110" s="2">
        <f>IFERROR(__xludf.DUMMYFUNCTION("""COMPUTED_VALUE"""),42186.64583333333)</f>
        <v>42186.64583</v>
      </c>
      <c r="B1110" s="1">
        <f>IFERROR(__xludf.DUMMYFUNCTION("""COMPUTED_VALUE"""),25360.0)</f>
        <v>25360</v>
      </c>
      <c r="C1110" s="1">
        <f>IFERROR(__xludf.DUMMYFUNCTION("""COMPUTED_VALUE"""),26040.0)</f>
        <v>26040</v>
      </c>
      <c r="D1110" s="1">
        <f>IFERROR(__xludf.DUMMYFUNCTION("""COMPUTED_VALUE"""),25180.0)</f>
        <v>25180</v>
      </c>
      <c r="E1110" s="1">
        <f>IFERROR(__xludf.DUMMYFUNCTION("""COMPUTED_VALUE"""),25900.0)</f>
        <v>25900</v>
      </c>
      <c r="F1110" s="1">
        <f>IFERROR(__xludf.DUMMYFUNCTION("""COMPUTED_VALUE"""),166498.0)</f>
        <v>166498</v>
      </c>
    </row>
    <row r="1111">
      <c r="A1111" s="2">
        <f>IFERROR(__xludf.DUMMYFUNCTION("""COMPUTED_VALUE"""),42187.64583333333)</f>
        <v>42187.64583</v>
      </c>
      <c r="B1111" s="1">
        <f>IFERROR(__xludf.DUMMYFUNCTION("""COMPUTED_VALUE"""),25720.0)</f>
        <v>25720</v>
      </c>
      <c r="C1111" s="1">
        <f>IFERROR(__xludf.DUMMYFUNCTION("""COMPUTED_VALUE"""),26080.0)</f>
        <v>26080</v>
      </c>
      <c r="D1111" s="1">
        <f>IFERROR(__xludf.DUMMYFUNCTION("""COMPUTED_VALUE"""),25700.0)</f>
        <v>25700</v>
      </c>
      <c r="E1111" s="1">
        <f>IFERROR(__xludf.DUMMYFUNCTION("""COMPUTED_VALUE"""),25980.0)</f>
        <v>25980</v>
      </c>
      <c r="F1111" s="1">
        <f>IFERROR(__xludf.DUMMYFUNCTION("""COMPUTED_VALUE"""),164460.0)</f>
        <v>164460</v>
      </c>
    </row>
    <row r="1112">
      <c r="A1112" s="2">
        <f>IFERROR(__xludf.DUMMYFUNCTION("""COMPUTED_VALUE"""),42188.64583333333)</f>
        <v>42188.64583</v>
      </c>
      <c r="B1112" s="1">
        <f>IFERROR(__xludf.DUMMYFUNCTION("""COMPUTED_VALUE"""),25740.0)</f>
        <v>25740</v>
      </c>
      <c r="C1112" s="1">
        <f>IFERROR(__xludf.DUMMYFUNCTION("""COMPUTED_VALUE"""),25880.0)</f>
        <v>25880</v>
      </c>
      <c r="D1112" s="1">
        <f>IFERROR(__xludf.DUMMYFUNCTION("""COMPUTED_VALUE"""),25340.0)</f>
        <v>25340</v>
      </c>
      <c r="E1112" s="1">
        <f>IFERROR(__xludf.DUMMYFUNCTION("""COMPUTED_VALUE"""),25360.0)</f>
        <v>25360</v>
      </c>
      <c r="F1112" s="1">
        <f>IFERROR(__xludf.DUMMYFUNCTION("""COMPUTED_VALUE"""),142604.0)</f>
        <v>142604</v>
      </c>
    </row>
    <row r="1113">
      <c r="A1113" s="2">
        <f>IFERROR(__xludf.DUMMYFUNCTION("""COMPUTED_VALUE"""),42191.64583333333)</f>
        <v>42191.64583</v>
      </c>
      <c r="B1113" s="1">
        <f>IFERROR(__xludf.DUMMYFUNCTION("""COMPUTED_VALUE"""),25060.0)</f>
        <v>25060</v>
      </c>
      <c r="C1113" s="1">
        <f>IFERROR(__xludf.DUMMYFUNCTION("""COMPUTED_VALUE"""),25200.0)</f>
        <v>25200</v>
      </c>
      <c r="D1113" s="1">
        <f>IFERROR(__xludf.DUMMYFUNCTION("""COMPUTED_VALUE"""),24460.0)</f>
        <v>24460</v>
      </c>
      <c r="E1113" s="1">
        <f>IFERROR(__xludf.DUMMYFUNCTION("""COMPUTED_VALUE"""),24600.0)</f>
        <v>24600</v>
      </c>
      <c r="F1113" s="1">
        <f>IFERROR(__xludf.DUMMYFUNCTION("""COMPUTED_VALUE"""),201999.0)</f>
        <v>201999</v>
      </c>
    </row>
    <row r="1114">
      <c r="A1114" s="2">
        <f>IFERROR(__xludf.DUMMYFUNCTION("""COMPUTED_VALUE"""),42192.64583333333)</f>
        <v>42192.64583</v>
      </c>
      <c r="B1114" s="1">
        <f>IFERROR(__xludf.DUMMYFUNCTION("""COMPUTED_VALUE"""),24400.0)</f>
        <v>24400</v>
      </c>
      <c r="C1114" s="1">
        <f>IFERROR(__xludf.DUMMYFUNCTION("""COMPUTED_VALUE"""),25180.0)</f>
        <v>25180</v>
      </c>
      <c r="D1114" s="1">
        <f>IFERROR(__xludf.DUMMYFUNCTION("""COMPUTED_VALUE"""),24400.0)</f>
        <v>24400</v>
      </c>
      <c r="E1114" s="1">
        <f>IFERROR(__xludf.DUMMYFUNCTION("""COMPUTED_VALUE"""),24800.0)</f>
        <v>24800</v>
      </c>
      <c r="F1114" s="1">
        <f>IFERROR(__xludf.DUMMYFUNCTION("""COMPUTED_VALUE"""),249565.0)</f>
        <v>249565</v>
      </c>
    </row>
    <row r="1115">
      <c r="A1115" s="2">
        <f>IFERROR(__xludf.DUMMYFUNCTION("""COMPUTED_VALUE"""),42193.64583333333)</f>
        <v>42193.64583</v>
      </c>
      <c r="B1115" s="1">
        <f>IFERROR(__xludf.DUMMYFUNCTION("""COMPUTED_VALUE"""),24800.0)</f>
        <v>24800</v>
      </c>
      <c r="C1115" s="1">
        <f>IFERROR(__xludf.DUMMYFUNCTION("""COMPUTED_VALUE"""),25020.0)</f>
        <v>25020</v>
      </c>
      <c r="D1115" s="1">
        <f>IFERROR(__xludf.DUMMYFUNCTION("""COMPUTED_VALUE"""),24640.0)</f>
        <v>24640</v>
      </c>
      <c r="E1115" s="1">
        <f>IFERROR(__xludf.DUMMYFUNCTION("""COMPUTED_VALUE"""),24780.0)</f>
        <v>24780</v>
      </c>
      <c r="F1115" s="1">
        <f>IFERROR(__xludf.DUMMYFUNCTION("""COMPUTED_VALUE"""),235619.0)</f>
        <v>235619</v>
      </c>
    </row>
    <row r="1116">
      <c r="A1116" s="2">
        <f>IFERROR(__xludf.DUMMYFUNCTION("""COMPUTED_VALUE"""),42194.64583333333)</f>
        <v>42194.64583</v>
      </c>
      <c r="B1116" s="1">
        <f>IFERROR(__xludf.DUMMYFUNCTION("""COMPUTED_VALUE"""),24600.0)</f>
        <v>24600</v>
      </c>
      <c r="C1116" s="1">
        <f>IFERROR(__xludf.DUMMYFUNCTION("""COMPUTED_VALUE"""),25300.0)</f>
        <v>25300</v>
      </c>
      <c r="D1116" s="1">
        <f>IFERROR(__xludf.DUMMYFUNCTION("""COMPUTED_VALUE"""),24520.0)</f>
        <v>24520</v>
      </c>
      <c r="E1116" s="1">
        <f>IFERROR(__xludf.DUMMYFUNCTION("""COMPUTED_VALUE"""),25300.0)</f>
        <v>25300</v>
      </c>
      <c r="F1116" s="1">
        <f>IFERROR(__xludf.DUMMYFUNCTION("""COMPUTED_VALUE"""),280610.0)</f>
        <v>280610</v>
      </c>
    </row>
    <row r="1117">
      <c r="A1117" s="2">
        <f>IFERROR(__xludf.DUMMYFUNCTION("""COMPUTED_VALUE"""),42195.64583333333)</f>
        <v>42195.64583</v>
      </c>
      <c r="B1117" s="1">
        <f>IFERROR(__xludf.DUMMYFUNCTION("""COMPUTED_VALUE"""),25140.0)</f>
        <v>25140</v>
      </c>
      <c r="C1117" s="1">
        <f>IFERROR(__xludf.DUMMYFUNCTION("""COMPUTED_VALUE"""),25320.0)</f>
        <v>25320</v>
      </c>
      <c r="D1117" s="1">
        <f>IFERROR(__xludf.DUMMYFUNCTION("""COMPUTED_VALUE"""),24960.0)</f>
        <v>24960</v>
      </c>
      <c r="E1117" s="1">
        <f>IFERROR(__xludf.DUMMYFUNCTION("""COMPUTED_VALUE"""),25180.0)</f>
        <v>25180</v>
      </c>
      <c r="F1117" s="1">
        <f>IFERROR(__xludf.DUMMYFUNCTION("""COMPUTED_VALUE"""),191468.0)</f>
        <v>191468</v>
      </c>
    </row>
    <row r="1118">
      <c r="A1118" s="2">
        <f>IFERROR(__xludf.DUMMYFUNCTION("""COMPUTED_VALUE"""),42198.64583333333)</f>
        <v>42198.64583</v>
      </c>
      <c r="B1118" s="1">
        <f>IFERROR(__xludf.DUMMYFUNCTION("""COMPUTED_VALUE"""),25000.0)</f>
        <v>25000</v>
      </c>
      <c r="C1118" s="1">
        <f>IFERROR(__xludf.DUMMYFUNCTION("""COMPUTED_VALUE"""),25440.0)</f>
        <v>25440</v>
      </c>
      <c r="D1118" s="1">
        <f>IFERROR(__xludf.DUMMYFUNCTION("""COMPUTED_VALUE"""),24900.0)</f>
        <v>24900</v>
      </c>
      <c r="E1118" s="1">
        <f>IFERROR(__xludf.DUMMYFUNCTION("""COMPUTED_VALUE"""),25320.0)</f>
        <v>25320</v>
      </c>
      <c r="F1118" s="1">
        <f>IFERROR(__xludf.DUMMYFUNCTION("""COMPUTED_VALUE"""),153441.0)</f>
        <v>153441</v>
      </c>
    </row>
    <row r="1119">
      <c r="A1119" s="2">
        <f>IFERROR(__xludf.DUMMYFUNCTION("""COMPUTED_VALUE"""),42199.64583333333)</f>
        <v>42199.64583</v>
      </c>
      <c r="B1119" s="1">
        <f>IFERROR(__xludf.DUMMYFUNCTION("""COMPUTED_VALUE"""),25300.0)</f>
        <v>25300</v>
      </c>
      <c r="C1119" s="1">
        <f>IFERROR(__xludf.DUMMYFUNCTION("""COMPUTED_VALUE"""),25400.0)</f>
        <v>25400</v>
      </c>
      <c r="D1119" s="1">
        <f>IFERROR(__xludf.DUMMYFUNCTION("""COMPUTED_VALUE"""),24420.0)</f>
        <v>24420</v>
      </c>
      <c r="E1119" s="1">
        <f>IFERROR(__xludf.DUMMYFUNCTION("""COMPUTED_VALUE"""),24500.0)</f>
        <v>24500</v>
      </c>
      <c r="F1119" s="1">
        <f>IFERROR(__xludf.DUMMYFUNCTION("""COMPUTED_VALUE"""),399794.0)</f>
        <v>399794</v>
      </c>
    </row>
    <row r="1120">
      <c r="A1120" s="2">
        <f>IFERROR(__xludf.DUMMYFUNCTION("""COMPUTED_VALUE"""),42200.64583333333)</f>
        <v>42200.64583</v>
      </c>
      <c r="B1120" s="1">
        <f>IFERROR(__xludf.DUMMYFUNCTION("""COMPUTED_VALUE"""),24500.0)</f>
        <v>24500</v>
      </c>
      <c r="C1120" s="1">
        <f>IFERROR(__xludf.DUMMYFUNCTION("""COMPUTED_VALUE"""),24760.0)</f>
        <v>24760</v>
      </c>
      <c r="D1120" s="1">
        <f>IFERROR(__xludf.DUMMYFUNCTION("""COMPUTED_VALUE"""),24480.0)</f>
        <v>24480</v>
      </c>
      <c r="E1120" s="1">
        <f>IFERROR(__xludf.DUMMYFUNCTION("""COMPUTED_VALUE"""),24700.0)</f>
        <v>24700</v>
      </c>
      <c r="F1120" s="1">
        <f>IFERROR(__xludf.DUMMYFUNCTION("""COMPUTED_VALUE"""),167413.0)</f>
        <v>167413</v>
      </c>
    </row>
    <row r="1121">
      <c r="A1121" s="2">
        <f>IFERROR(__xludf.DUMMYFUNCTION("""COMPUTED_VALUE"""),42201.64583333333)</f>
        <v>42201.64583</v>
      </c>
      <c r="B1121" s="1">
        <f>IFERROR(__xludf.DUMMYFUNCTION("""COMPUTED_VALUE"""),24460.0)</f>
        <v>24460</v>
      </c>
      <c r="C1121" s="1">
        <f>IFERROR(__xludf.DUMMYFUNCTION("""COMPUTED_VALUE"""),25740.0)</f>
        <v>25740</v>
      </c>
      <c r="D1121" s="1">
        <f>IFERROR(__xludf.DUMMYFUNCTION("""COMPUTED_VALUE"""),24460.0)</f>
        <v>24460</v>
      </c>
      <c r="E1121" s="1">
        <f>IFERROR(__xludf.DUMMYFUNCTION("""COMPUTED_VALUE"""),25640.0)</f>
        <v>25640</v>
      </c>
      <c r="F1121" s="1">
        <f>IFERROR(__xludf.DUMMYFUNCTION("""COMPUTED_VALUE"""),223469.0)</f>
        <v>223469</v>
      </c>
    </row>
    <row r="1122">
      <c r="A1122" s="2">
        <f>IFERROR(__xludf.DUMMYFUNCTION("""COMPUTED_VALUE"""),42202.64583333333)</f>
        <v>42202.64583</v>
      </c>
      <c r="B1122" s="1">
        <f>IFERROR(__xludf.DUMMYFUNCTION("""COMPUTED_VALUE"""),26000.0)</f>
        <v>26000</v>
      </c>
      <c r="C1122" s="1">
        <f>IFERROR(__xludf.DUMMYFUNCTION("""COMPUTED_VALUE"""),26220.0)</f>
        <v>26220</v>
      </c>
      <c r="D1122" s="1">
        <f>IFERROR(__xludf.DUMMYFUNCTION("""COMPUTED_VALUE"""),25560.0)</f>
        <v>25560</v>
      </c>
      <c r="E1122" s="1">
        <f>IFERROR(__xludf.DUMMYFUNCTION("""COMPUTED_VALUE"""),26100.0)</f>
        <v>26100</v>
      </c>
      <c r="F1122" s="1">
        <f>IFERROR(__xludf.DUMMYFUNCTION("""COMPUTED_VALUE"""),297233.0)</f>
        <v>297233</v>
      </c>
    </row>
    <row r="1123">
      <c r="A1123" s="2">
        <f>IFERROR(__xludf.DUMMYFUNCTION("""COMPUTED_VALUE"""),42205.64583333333)</f>
        <v>42205.64583</v>
      </c>
      <c r="B1123" s="1">
        <f>IFERROR(__xludf.DUMMYFUNCTION("""COMPUTED_VALUE"""),25820.0)</f>
        <v>25820</v>
      </c>
      <c r="C1123" s="1">
        <f>IFERROR(__xludf.DUMMYFUNCTION("""COMPUTED_VALUE"""),26080.0)</f>
        <v>26080</v>
      </c>
      <c r="D1123" s="1">
        <f>IFERROR(__xludf.DUMMYFUNCTION("""COMPUTED_VALUE"""),25460.0)</f>
        <v>25460</v>
      </c>
      <c r="E1123" s="1">
        <f>IFERROR(__xludf.DUMMYFUNCTION("""COMPUTED_VALUE"""),25500.0)</f>
        <v>25500</v>
      </c>
      <c r="F1123" s="1">
        <f>IFERROR(__xludf.DUMMYFUNCTION("""COMPUTED_VALUE"""),128928.0)</f>
        <v>128928</v>
      </c>
    </row>
    <row r="1124">
      <c r="A1124" s="2">
        <f>IFERROR(__xludf.DUMMYFUNCTION("""COMPUTED_VALUE"""),42206.64583333333)</f>
        <v>42206.64583</v>
      </c>
      <c r="B1124" s="1">
        <f>IFERROR(__xludf.DUMMYFUNCTION("""COMPUTED_VALUE"""),25500.0)</f>
        <v>25500</v>
      </c>
      <c r="C1124" s="1">
        <f>IFERROR(__xludf.DUMMYFUNCTION("""COMPUTED_VALUE"""),25540.0)</f>
        <v>25540</v>
      </c>
      <c r="D1124" s="1">
        <f>IFERROR(__xludf.DUMMYFUNCTION("""COMPUTED_VALUE"""),24940.0)</f>
        <v>24940</v>
      </c>
      <c r="E1124" s="1">
        <f>IFERROR(__xludf.DUMMYFUNCTION("""COMPUTED_VALUE"""),25260.0)</f>
        <v>25260</v>
      </c>
      <c r="F1124" s="1">
        <f>IFERROR(__xludf.DUMMYFUNCTION("""COMPUTED_VALUE"""),194055.0)</f>
        <v>194055</v>
      </c>
    </row>
    <row r="1125">
      <c r="A1125" s="2">
        <f>IFERROR(__xludf.DUMMYFUNCTION("""COMPUTED_VALUE"""),42207.64583333333)</f>
        <v>42207.64583</v>
      </c>
      <c r="B1125" s="1">
        <f>IFERROR(__xludf.DUMMYFUNCTION("""COMPUTED_VALUE"""),24880.0)</f>
        <v>24880</v>
      </c>
      <c r="C1125" s="1">
        <f>IFERROR(__xludf.DUMMYFUNCTION("""COMPUTED_VALUE"""),25200.0)</f>
        <v>25200</v>
      </c>
      <c r="D1125" s="1">
        <f>IFERROR(__xludf.DUMMYFUNCTION("""COMPUTED_VALUE"""),24700.0)</f>
        <v>24700</v>
      </c>
      <c r="E1125" s="1">
        <f>IFERROR(__xludf.DUMMYFUNCTION("""COMPUTED_VALUE"""),25060.0)</f>
        <v>25060</v>
      </c>
      <c r="F1125" s="1">
        <f>IFERROR(__xludf.DUMMYFUNCTION("""COMPUTED_VALUE"""),268323.0)</f>
        <v>268323</v>
      </c>
    </row>
    <row r="1126">
      <c r="A1126" s="2">
        <f>IFERROR(__xludf.DUMMYFUNCTION("""COMPUTED_VALUE"""),42208.64583333333)</f>
        <v>42208.64583</v>
      </c>
      <c r="B1126" s="1">
        <f>IFERROR(__xludf.DUMMYFUNCTION("""COMPUTED_VALUE"""),24880.0)</f>
        <v>24880</v>
      </c>
      <c r="C1126" s="1">
        <f>IFERROR(__xludf.DUMMYFUNCTION("""COMPUTED_VALUE"""),25060.0)</f>
        <v>25060</v>
      </c>
      <c r="D1126" s="1">
        <f>IFERROR(__xludf.DUMMYFUNCTION("""COMPUTED_VALUE"""),24680.0)</f>
        <v>24680</v>
      </c>
      <c r="E1126" s="1">
        <f>IFERROR(__xludf.DUMMYFUNCTION("""COMPUTED_VALUE"""),24680.0)</f>
        <v>24680</v>
      </c>
      <c r="F1126" s="1">
        <f>IFERROR(__xludf.DUMMYFUNCTION("""COMPUTED_VALUE"""),208965.0)</f>
        <v>208965</v>
      </c>
    </row>
    <row r="1127">
      <c r="A1127" s="2">
        <f>IFERROR(__xludf.DUMMYFUNCTION("""COMPUTED_VALUE"""),42209.64583333333)</f>
        <v>42209.64583</v>
      </c>
      <c r="B1127" s="1">
        <f>IFERROR(__xludf.DUMMYFUNCTION("""COMPUTED_VALUE"""),24540.0)</f>
        <v>24540</v>
      </c>
      <c r="C1127" s="1">
        <f>IFERROR(__xludf.DUMMYFUNCTION("""COMPUTED_VALUE"""),24760.0)</f>
        <v>24760</v>
      </c>
      <c r="D1127" s="1">
        <f>IFERROR(__xludf.DUMMYFUNCTION("""COMPUTED_VALUE"""),24480.0)</f>
        <v>24480</v>
      </c>
      <c r="E1127" s="1">
        <f>IFERROR(__xludf.DUMMYFUNCTION("""COMPUTED_VALUE"""),24580.0)</f>
        <v>24580</v>
      </c>
      <c r="F1127" s="1">
        <f>IFERROR(__xludf.DUMMYFUNCTION("""COMPUTED_VALUE"""),196584.0)</f>
        <v>196584</v>
      </c>
    </row>
    <row r="1128">
      <c r="A1128" s="2">
        <f>IFERROR(__xludf.DUMMYFUNCTION("""COMPUTED_VALUE"""),42212.64583333333)</f>
        <v>42212.64583</v>
      </c>
      <c r="B1128" s="1">
        <f>IFERROR(__xludf.DUMMYFUNCTION("""COMPUTED_VALUE"""),24580.0)</f>
        <v>24580</v>
      </c>
      <c r="C1128" s="1">
        <f>IFERROR(__xludf.DUMMYFUNCTION("""COMPUTED_VALUE"""),24940.0)</f>
        <v>24940</v>
      </c>
      <c r="D1128" s="1">
        <f>IFERROR(__xludf.DUMMYFUNCTION("""COMPUTED_VALUE"""),24560.0)</f>
        <v>24560</v>
      </c>
      <c r="E1128" s="1">
        <f>IFERROR(__xludf.DUMMYFUNCTION("""COMPUTED_VALUE"""),24600.0)</f>
        <v>24600</v>
      </c>
      <c r="F1128" s="1">
        <f>IFERROR(__xludf.DUMMYFUNCTION("""COMPUTED_VALUE"""),243040.0)</f>
        <v>243040</v>
      </c>
    </row>
    <row r="1129">
      <c r="A1129" s="2">
        <f>IFERROR(__xludf.DUMMYFUNCTION("""COMPUTED_VALUE"""),42213.64583333333)</f>
        <v>42213.64583</v>
      </c>
      <c r="B1129" s="1">
        <f>IFERROR(__xludf.DUMMYFUNCTION("""COMPUTED_VALUE"""),24480.0)</f>
        <v>24480</v>
      </c>
      <c r="C1129" s="1">
        <f>IFERROR(__xludf.DUMMYFUNCTION("""COMPUTED_VALUE"""),25020.0)</f>
        <v>25020</v>
      </c>
      <c r="D1129" s="1">
        <f>IFERROR(__xludf.DUMMYFUNCTION("""COMPUTED_VALUE"""),24380.0)</f>
        <v>24380</v>
      </c>
      <c r="E1129" s="1">
        <f>IFERROR(__xludf.DUMMYFUNCTION("""COMPUTED_VALUE"""),24600.0)</f>
        <v>24600</v>
      </c>
      <c r="F1129" s="1">
        <f>IFERROR(__xludf.DUMMYFUNCTION("""COMPUTED_VALUE"""),267627.0)</f>
        <v>267627</v>
      </c>
    </row>
    <row r="1130">
      <c r="A1130" s="2">
        <f>IFERROR(__xludf.DUMMYFUNCTION("""COMPUTED_VALUE"""),42214.64583333333)</f>
        <v>42214.64583</v>
      </c>
      <c r="B1130" s="1">
        <f>IFERROR(__xludf.DUMMYFUNCTION("""COMPUTED_VALUE"""),25000.0)</f>
        <v>25000</v>
      </c>
      <c r="C1130" s="1">
        <f>IFERROR(__xludf.DUMMYFUNCTION("""COMPUTED_VALUE"""),25500.0)</f>
        <v>25500</v>
      </c>
      <c r="D1130" s="1">
        <f>IFERROR(__xludf.DUMMYFUNCTION("""COMPUTED_VALUE"""),24620.0)</f>
        <v>24620</v>
      </c>
      <c r="E1130" s="1">
        <f>IFERROR(__xludf.DUMMYFUNCTION("""COMPUTED_VALUE"""),25260.0)</f>
        <v>25260</v>
      </c>
      <c r="F1130" s="1">
        <f>IFERROR(__xludf.DUMMYFUNCTION("""COMPUTED_VALUE"""),274689.0)</f>
        <v>274689</v>
      </c>
    </row>
    <row r="1131">
      <c r="A1131" s="2">
        <f>IFERROR(__xludf.DUMMYFUNCTION("""COMPUTED_VALUE"""),42215.64583333333)</f>
        <v>42215.64583</v>
      </c>
      <c r="B1131" s="1">
        <f>IFERROR(__xludf.DUMMYFUNCTION("""COMPUTED_VALUE"""),25160.0)</f>
        <v>25160</v>
      </c>
      <c r="C1131" s="1">
        <f>IFERROR(__xludf.DUMMYFUNCTION("""COMPUTED_VALUE"""),25200.0)</f>
        <v>25200</v>
      </c>
      <c r="D1131" s="1">
        <f>IFERROR(__xludf.DUMMYFUNCTION("""COMPUTED_VALUE"""),24300.0)</f>
        <v>24300</v>
      </c>
      <c r="E1131" s="1">
        <f>IFERROR(__xludf.DUMMYFUNCTION("""COMPUTED_VALUE"""),24300.0)</f>
        <v>24300</v>
      </c>
      <c r="F1131" s="1">
        <f>IFERROR(__xludf.DUMMYFUNCTION("""COMPUTED_VALUE"""),308392.0)</f>
        <v>308392</v>
      </c>
    </row>
    <row r="1132">
      <c r="A1132" s="2">
        <f>IFERROR(__xludf.DUMMYFUNCTION("""COMPUTED_VALUE"""),42216.64583333333)</f>
        <v>42216.64583</v>
      </c>
      <c r="B1132" s="1">
        <f>IFERROR(__xludf.DUMMYFUNCTION("""COMPUTED_VALUE"""),24400.0)</f>
        <v>24400</v>
      </c>
      <c r="C1132" s="1">
        <f>IFERROR(__xludf.DUMMYFUNCTION("""COMPUTED_VALUE"""),24440.0)</f>
        <v>24440</v>
      </c>
      <c r="D1132" s="1">
        <f>IFERROR(__xludf.DUMMYFUNCTION("""COMPUTED_VALUE"""),23500.0)</f>
        <v>23500</v>
      </c>
      <c r="E1132" s="1">
        <f>IFERROR(__xludf.DUMMYFUNCTION("""COMPUTED_VALUE"""),23700.0)</f>
        <v>23700</v>
      </c>
      <c r="F1132" s="1">
        <f>IFERROR(__xludf.DUMMYFUNCTION("""COMPUTED_VALUE"""),391589.0)</f>
        <v>391589</v>
      </c>
    </row>
    <row r="1133">
      <c r="A1133" s="2">
        <f>IFERROR(__xludf.DUMMYFUNCTION("""COMPUTED_VALUE"""),42219.64583333333)</f>
        <v>42219.64583</v>
      </c>
      <c r="B1133" s="1">
        <f>IFERROR(__xludf.DUMMYFUNCTION("""COMPUTED_VALUE"""),23680.0)</f>
        <v>23680</v>
      </c>
      <c r="C1133" s="1">
        <f>IFERROR(__xludf.DUMMYFUNCTION("""COMPUTED_VALUE"""),23680.0)</f>
        <v>23680</v>
      </c>
      <c r="D1133" s="1">
        <f>IFERROR(__xludf.DUMMYFUNCTION("""COMPUTED_VALUE"""),23320.0)</f>
        <v>23320</v>
      </c>
      <c r="E1133" s="1">
        <f>IFERROR(__xludf.DUMMYFUNCTION("""COMPUTED_VALUE"""),23500.0)</f>
        <v>23500</v>
      </c>
      <c r="F1133" s="1">
        <f>IFERROR(__xludf.DUMMYFUNCTION("""COMPUTED_VALUE"""),196891.0)</f>
        <v>196891</v>
      </c>
    </row>
    <row r="1134">
      <c r="A1134" s="2">
        <f>IFERROR(__xludf.DUMMYFUNCTION("""COMPUTED_VALUE"""),42220.64583333333)</f>
        <v>42220.64583</v>
      </c>
      <c r="B1134" s="1">
        <f>IFERROR(__xludf.DUMMYFUNCTION("""COMPUTED_VALUE"""),23500.0)</f>
        <v>23500</v>
      </c>
      <c r="C1134" s="1">
        <f>IFERROR(__xludf.DUMMYFUNCTION("""COMPUTED_VALUE"""),23740.0)</f>
        <v>23740</v>
      </c>
      <c r="D1134" s="1">
        <f>IFERROR(__xludf.DUMMYFUNCTION("""COMPUTED_VALUE"""),23400.0)</f>
        <v>23400</v>
      </c>
      <c r="E1134" s="1">
        <f>IFERROR(__xludf.DUMMYFUNCTION("""COMPUTED_VALUE"""),23640.0)</f>
        <v>23640</v>
      </c>
      <c r="F1134" s="1">
        <f>IFERROR(__xludf.DUMMYFUNCTION("""COMPUTED_VALUE"""),256887.0)</f>
        <v>256887</v>
      </c>
    </row>
    <row r="1135">
      <c r="A1135" s="2">
        <f>IFERROR(__xludf.DUMMYFUNCTION("""COMPUTED_VALUE"""),42221.64583333333)</f>
        <v>42221.64583</v>
      </c>
      <c r="B1135" s="1">
        <f>IFERROR(__xludf.DUMMYFUNCTION("""COMPUTED_VALUE"""),23640.0)</f>
        <v>23640</v>
      </c>
      <c r="C1135" s="1">
        <f>IFERROR(__xludf.DUMMYFUNCTION("""COMPUTED_VALUE"""),23640.0)</f>
        <v>23640</v>
      </c>
      <c r="D1135" s="1">
        <f>IFERROR(__xludf.DUMMYFUNCTION("""COMPUTED_VALUE"""),23160.0)</f>
        <v>23160</v>
      </c>
      <c r="E1135" s="1">
        <f>IFERROR(__xludf.DUMMYFUNCTION("""COMPUTED_VALUE"""),23180.0)</f>
        <v>23180</v>
      </c>
      <c r="F1135" s="1">
        <f>IFERROR(__xludf.DUMMYFUNCTION("""COMPUTED_VALUE"""),256050.0)</f>
        <v>256050</v>
      </c>
    </row>
    <row r="1136">
      <c r="A1136" s="2">
        <f>IFERROR(__xludf.DUMMYFUNCTION("""COMPUTED_VALUE"""),42222.64583333333)</f>
        <v>42222.64583</v>
      </c>
      <c r="B1136" s="1">
        <f>IFERROR(__xludf.DUMMYFUNCTION("""COMPUTED_VALUE"""),23100.0)</f>
        <v>23100</v>
      </c>
      <c r="C1136" s="1">
        <f>IFERROR(__xludf.DUMMYFUNCTION("""COMPUTED_VALUE"""),23120.0)</f>
        <v>23120</v>
      </c>
      <c r="D1136" s="1">
        <f>IFERROR(__xludf.DUMMYFUNCTION("""COMPUTED_VALUE"""),22300.0)</f>
        <v>22300</v>
      </c>
      <c r="E1136" s="1">
        <f>IFERROR(__xludf.DUMMYFUNCTION("""COMPUTED_VALUE"""),22300.0)</f>
        <v>22300</v>
      </c>
      <c r="F1136" s="1">
        <f>IFERROR(__xludf.DUMMYFUNCTION("""COMPUTED_VALUE"""),403981.0)</f>
        <v>403981</v>
      </c>
    </row>
    <row r="1137">
      <c r="A1137" s="2">
        <f>IFERROR(__xludf.DUMMYFUNCTION("""COMPUTED_VALUE"""),42223.64583333333)</f>
        <v>42223.64583</v>
      </c>
      <c r="B1137" s="1">
        <f>IFERROR(__xludf.DUMMYFUNCTION("""COMPUTED_VALUE"""),22400.0)</f>
        <v>22400</v>
      </c>
      <c r="C1137" s="1">
        <f>IFERROR(__xludf.DUMMYFUNCTION("""COMPUTED_VALUE"""),22740.0)</f>
        <v>22740</v>
      </c>
      <c r="D1137" s="1">
        <f>IFERROR(__xludf.DUMMYFUNCTION("""COMPUTED_VALUE"""),22300.0)</f>
        <v>22300</v>
      </c>
      <c r="E1137" s="1">
        <f>IFERROR(__xludf.DUMMYFUNCTION("""COMPUTED_VALUE"""),22720.0)</f>
        <v>22720</v>
      </c>
      <c r="F1137" s="1">
        <f>IFERROR(__xludf.DUMMYFUNCTION("""COMPUTED_VALUE"""),275742.0)</f>
        <v>275742</v>
      </c>
    </row>
    <row r="1138">
      <c r="A1138" s="2">
        <f>IFERROR(__xludf.DUMMYFUNCTION("""COMPUTED_VALUE"""),42226.64583333333)</f>
        <v>42226.64583</v>
      </c>
      <c r="B1138" s="1">
        <f>IFERROR(__xludf.DUMMYFUNCTION("""COMPUTED_VALUE"""),22800.0)</f>
        <v>22800</v>
      </c>
      <c r="C1138" s="1">
        <f>IFERROR(__xludf.DUMMYFUNCTION("""COMPUTED_VALUE"""),22840.0)</f>
        <v>22840</v>
      </c>
      <c r="D1138" s="1">
        <f>IFERROR(__xludf.DUMMYFUNCTION("""COMPUTED_VALUE"""),22600.0)</f>
        <v>22600</v>
      </c>
      <c r="E1138" s="1">
        <f>IFERROR(__xludf.DUMMYFUNCTION("""COMPUTED_VALUE"""),22820.0)</f>
        <v>22820</v>
      </c>
      <c r="F1138" s="1">
        <f>IFERROR(__xludf.DUMMYFUNCTION("""COMPUTED_VALUE"""),114450.0)</f>
        <v>114450</v>
      </c>
    </row>
    <row r="1139">
      <c r="A1139" s="2">
        <f>IFERROR(__xludf.DUMMYFUNCTION("""COMPUTED_VALUE"""),42227.64583333333)</f>
        <v>42227.64583</v>
      </c>
      <c r="B1139" s="1">
        <f>IFERROR(__xludf.DUMMYFUNCTION("""COMPUTED_VALUE"""),23020.0)</f>
        <v>23020</v>
      </c>
      <c r="C1139" s="1">
        <f>IFERROR(__xludf.DUMMYFUNCTION("""COMPUTED_VALUE"""),23580.0)</f>
        <v>23580</v>
      </c>
      <c r="D1139" s="1">
        <f>IFERROR(__xludf.DUMMYFUNCTION("""COMPUTED_VALUE"""),22960.0)</f>
        <v>22960</v>
      </c>
      <c r="E1139" s="1">
        <f>IFERROR(__xludf.DUMMYFUNCTION("""COMPUTED_VALUE"""),23140.0)</f>
        <v>23140</v>
      </c>
      <c r="F1139" s="1">
        <f>IFERROR(__xludf.DUMMYFUNCTION("""COMPUTED_VALUE"""),233286.0)</f>
        <v>233286</v>
      </c>
    </row>
    <row r="1140">
      <c r="A1140" s="2">
        <f>IFERROR(__xludf.DUMMYFUNCTION("""COMPUTED_VALUE"""),42228.64583333333)</f>
        <v>42228.64583</v>
      </c>
      <c r="B1140" s="1">
        <f>IFERROR(__xludf.DUMMYFUNCTION("""COMPUTED_VALUE"""),23000.0)</f>
        <v>23000</v>
      </c>
      <c r="C1140" s="1">
        <f>IFERROR(__xludf.DUMMYFUNCTION("""COMPUTED_VALUE"""),23280.0)</f>
        <v>23280</v>
      </c>
      <c r="D1140" s="1">
        <f>IFERROR(__xludf.DUMMYFUNCTION("""COMPUTED_VALUE"""),22800.0)</f>
        <v>22800</v>
      </c>
      <c r="E1140" s="1">
        <f>IFERROR(__xludf.DUMMYFUNCTION("""COMPUTED_VALUE"""),23080.0)</f>
        <v>23080</v>
      </c>
      <c r="F1140" s="1">
        <f>IFERROR(__xludf.DUMMYFUNCTION("""COMPUTED_VALUE"""),223080.0)</f>
        <v>223080</v>
      </c>
    </row>
    <row r="1141">
      <c r="A1141" s="2">
        <f>IFERROR(__xludf.DUMMYFUNCTION("""COMPUTED_VALUE"""),42229.64583333333)</f>
        <v>42229.64583</v>
      </c>
      <c r="B1141" s="1">
        <f>IFERROR(__xludf.DUMMYFUNCTION("""COMPUTED_VALUE"""),23060.0)</f>
        <v>23060</v>
      </c>
      <c r="C1141" s="1">
        <f>IFERROR(__xludf.DUMMYFUNCTION("""COMPUTED_VALUE"""),23060.0)</f>
        <v>23060</v>
      </c>
      <c r="D1141" s="1">
        <f>IFERROR(__xludf.DUMMYFUNCTION("""COMPUTED_VALUE"""),22760.0)</f>
        <v>22760</v>
      </c>
      <c r="E1141" s="1">
        <f>IFERROR(__xludf.DUMMYFUNCTION("""COMPUTED_VALUE"""),22800.0)</f>
        <v>22800</v>
      </c>
      <c r="F1141" s="1">
        <f>IFERROR(__xludf.DUMMYFUNCTION("""COMPUTED_VALUE"""),150411.0)</f>
        <v>150411</v>
      </c>
    </row>
    <row r="1142">
      <c r="A1142" s="2">
        <f>IFERROR(__xludf.DUMMYFUNCTION("""COMPUTED_VALUE"""),42233.64583333333)</f>
        <v>42233.64583</v>
      </c>
      <c r="B1142" s="1">
        <f>IFERROR(__xludf.DUMMYFUNCTION("""COMPUTED_VALUE"""),22800.0)</f>
        <v>22800</v>
      </c>
      <c r="C1142" s="1">
        <f>IFERROR(__xludf.DUMMYFUNCTION("""COMPUTED_VALUE"""),22820.0)</f>
        <v>22820</v>
      </c>
      <c r="D1142" s="1">
        <f>IFERROR(__xludf.DUMMYFUNCTION("""COMPUTED_VALUE"""),22080.0)</f>
        <v>22080</v>
      </c>
      <c r="E1142" s="1">
        <f>IFERROR(__xludf.DUMMYFUNCTION("""COMPUTED_VALUE"""),22080.0)</f>
        <v>22080</v>
      </c>
      <c r="F1142" s="1">
        <f>IFERROR(__xludf.DUMMYFUNCTION("""COMPUTED_VALUE"""),227217.0)</f>
        <v>227217</v>
      </c>
    </row>
    <row r="1143">
      <c r="A1143" s="2">
        <f>IFERROR(__xludf.DUMMYFUNCTION("""COMPUTED_VALUE"""),42234.64583333333)</f>
        <v>42234.64583</v>
      </c>
      <c r="B1143" s="1">
        <f>IFERROR(__xludf.DUMMYFUNCTION("""COMPUTED_VALUE"""),22360.0)</f>
        <v>22360</v>
      </c>
      <c r="C1143" s="1">
        <f>IFERROR(__xludf.DUMMYFUNCTION("""COMPUTED_VALUE"""),22820.0)</f>
        <v>22820</v>
      </c>
      <c r="D1143" s="1">
        <f>IFERROR(__xludf.DUMMYFUNCTION("""COMPUTED_VALUE"""),22340.0)</f>
        <v>22340</v>
      </c>
      <c r="E1143" s="1">
        <f>IFERROR(__xludf.DUMMYFUNCTION("""COMPUTED_VALUE"""),22620.0)</f>
        <v>22620</v>
      </c>
      <c r="F1143" s="1">
        <f>IFERROR(__xludf.DUMMYFUNCTION("""COMPUTED_VALUE"""),231672.0)</f>
        <v>231672</v>
      </c>
    </row>
    <row r="1144">
      <c r="A1144" s="2">
        <f>IFERROR(__xludf.DUMMYFUNCTION("""COMPUTED_VALUE"""),42235.64583333333)</f>
        <v>42235.64583</v>
      </c>
      <c r="B1144" s="1">
        <f>IFERROR(__xludf.DUMMYFUNCTION("""COMPUTED_VALUE"""),23380.0)</f>
        <v>23380</v>
      </c>
      <c r="C1144" s="1">
        <f>IFERROR(__xludf.DUMMYFUNCTION("""COMPUTED_VALUE"""),23520.0)</f>
        <v>23520</v>
      </c>
      <c r="D1144" s="1">
        <f>IFERROR(__xludf.DUMMYFUNCTION("""COMPUTED_VALUE"""),22820.0)</f>
        <v>22820</v>
      </c>
      <c r="E1144" s="1">
        <f>IFERROR(__xludf.DUMMYFUNCTION("""COMPUTED_VALUE"""),23080.0)</f>
        <v>23080</v>
      </c>
      <c r="F1144" s="1">
        <f>IFERROR(__xludf.DUMMYFUNCTION("""COMPUTED_VALUE"""),401415.0)</f>
        <v>401415</v>
      </c>
    </row>
    <row r="1145">
      <c r="A1145" s="2">
        <f>IFERROR(__xludf.DUMMYFUNCTION("""COMPUTED_VALUE"""),42236.64583333333)</f>
        <v>42236.64583</v>
      </c>
      <c r="B1145" s="1">
        <f>IFERROR(__xludf.DUMMYFUNCTION("""COMPUTED_VALUE"""),23260.0)</f>
        <v>23260</v>
      </c>
      <c r="C1145" s="1">
        <f>IFERROR(__xludf.DUMMYFUNCTION("""COMPUTED_VALUE"""),23420.0)</f>
        <v>23420</v>
      </c>
      <c r="D1145" s="1">
        <f>IFERROR(__xludf.DUMMYFUNCTION("""COMPUTED_VALUE"""),22600.0)</f>
        <v>22600</v>
      </c>
      <c r="E1145" s="1">
        <f>IFERROR(__xludf.DUMMYFUNCTION("""COMPUTED_VALUE"""),22780.0)</f>
        <v>22780</v>
      </c>
      <c r="F1145" s="1">
        <f>IFERROR(__xludf.DUMMYFUNCTION("""COMPUTED_VALUE"""),216119.0)</f>
        <v>216119</v>
      </c>
    </row>
    <row r="1146">
      <c r="A1146" s="2">
        <f>IFERROR(__xludf.DUMMYFUNCTION("""COMPUTED_VALUE"""),42237.64583333333)</f>
        <v>42237.64583</v>
      </c>
      <c r="B1146" s="1">
        <f>IFERROR(__xludf.DUMMYFUNCTION("""COMPUTED_VALUE"""),21980.0)</f>
        <v>21980</v>
      </c>
      <c r="C1146" s="1">
        <f>IFERROR(__xludf.DUMMYFUNCTION("""COMPUTED_VALUE"""),22560.0)</f>
        <v>22560</v>
      </c>
      <c r="D1146" s="1">
        <f>IFERROR(__xludf.DUMMYFUNCTION("""COMPUTED_VALUE"""),21920.0)</f>
        <v>21920</v>
      </c>
      <c r="E1146" s="1">
        <f>IFERROR(__xludf.DUMMYFUNCTION("""COMPUTED_VALUE"""),22020.0)</f>
        <v>22020</v>
      </c>
      <c r="F1146" s="1">
        <f>IFERROR(__xludf.DUMMYFUNCTION("""COMPUTED_VALUE"""),408851.0)</f>
        <v>408851</v>
      </c>
    </row>
    <row r="1147">
      <c r="A1147" s="2">
        <f>IFERROR(__xludf.DUMMYFUNCTION("""COMPUTED_VALUE"""),42240.64583333333)</f>
        <v>42240.64583</v>
      </c>
      <c r="B1147" s="1">
        <f>IFERROR(__xludf.DUMMYFUNCTION("""COMPUTED_VALUE"""),21760.0)</f>
        <v>21760</v>
      </c>
      <c r="C1147" s="1">
        <f>IFERROR(__xludf.DUMMYFUNCTION("""COMPUTED_VALUE"""),22300.0)</f>
        <v>22300</v>
      </c>
      <c r="D1147" s="1">
        <f>IFERROR(__xludf.DUMMYFUNCTION("""COMPUTED_VALUE"""),20660.0)</f>
        <v>20660</v>
      </c>
      <c r="E1147" s="1">
        <f>IFERROR(__xludf.DUMMYFUNCTION("""COMPUTED_VALUE"""),21580.0)</f>
        <v>21580</v>
      </c>
      <c r="F1147" s="1">
        <f>IFERROR(__xludf.DUMMYFUNCTION("""COMPUTED_VALUE"""),448592.0)</f>
        <v>448592</v>
      </c>
    </row>
    <row r="1148">
      <c r="A1148" s="2">
        <f>IFERROR(__xludf.DUMMYFUNCTION("""COMPUTED_VALUE"""),42241.64583333333)</f>
        <v>42241.64583</v>
      </c>
      <c r="B1148" s="1">
        <f>IFERROR(__xludf.DUMMYFUNCTION("""COMPUTED_VALUE"""),21580.0)</f>
        <v>21580</v>
      </c>
      <c r="C1148" s="1">
        <f>IFERROR(__xludf.DUMMYFUNCTION("""COMPUTED_VALUE"""),22140.0)</f>
        <v>22140</v>
      </c>
      <c r="D1148" s="1">
        <f>IFERROR(__xludf.DUMMYFUNCTION("""COMPUTED_VALUE"""),21340.0)</f>
        <v>21340</v>
      </c>
      <c r="E1148" s="1">
        <f>IFERROR(__xludf.DUMMYFUNCTION("""COMPUTED_VALUE"""),21580.0)</f>
        <v>21580</v>
      </c>
      <c r="F1148" s="1">
        <f>IFERROR(__xludf.DUMMYFUNCTION("""COMPUTED_VALUE"""),392519.0)</f>
        <v>392519</v>
      </c>
    </row>
    <row r="1149">
      <c r="A1149" s="2">
        <f>IFERROR(__xludf.DUMMYFUNCTION("""COMPUTED_VALUE"""),42242.64583333333)</f>
        <v>42242.64583</v>
      </c>
      <c r="B1149" s="1">
        <f>IFERROR(__xludf.DUMMYFUNCTION("""COMPUTED_VALUE"""),21360.0)</f>
        <v>21360</v>
      </c>
      <c r="C1149" s="1">
        <f>IFERROR(__xludf.DUMMYFUNCTION("""COMPUTED_VALUE"""),21480.0)</f>
        <v>21480</v>
      </c>
      <c r="D1149" s="1">
        <f>IFERROR(__xludf.DUMMYFUNCTION("""COMPUTED_VALUE"""),21000.0)</f>
        <v>21000</v>
      </c>
      <c r="E1149" s="1">
        <f>IFERROR(__xludf.DUMMYFUNCTION("""COMPUTED_VALUE"""),21340.0)</f>
        <v>21340</v>
      </c>
      <c r="F1149" s="1">
        <f>IFERROR(__xludf.DUMMYFUNCTION("""COMPUTED_VALUE"""),558952.0)</f>
        <v>558952</v>
      </c>
    </row>
    <row r="1150">
      <c r="A1150" s="2">
        <f>IFERROR(__xludf.DUMMYFUNCTION("""COMPUTED_VALUE"""),42243.64583333333)</f>
        <v>42243.64583</v>
      </c>
      <c r="B1150" s="1">
        <f>IFERROR(__xludf.DUMMYFUNCTION("""COMPUTED_VALUE"""),21640.0)</f>
        <v>21640</v>
      </c>
      <c r="C1150" s="1">
        <f>IFERROR(__xludf.DUMMYFUNCTION("""COMPUTED_VALUE"""),21720.0)</f>
        <v>21720</v>
      </c>
      <c r="D1150" s="1">
        <f>IFERROR(__xludf.DUMMYFUNCTION("""COMPUTED_VALUE"""),21260.0)</f>
        <v>21260</v>
      </c>
      <c r="E1150" s="1">
        <f>IFERROR(__xludf.DUMMYFUNCTION("""COMPUTED_VALUE"""),21340.0)</f>
        <v>21340</v>
      </c>
      <c r="F1150" s="1">
        <f>IFERROR(__xludf.DUMMYFUNCTION("""COMPUTED_VALUE"""),495388.0)</f>
        <v>495388</v>
      </c>
    </row>
    <row r="1151">
      <c r="A1151" s="2">
        <f>IFERROR(__xludf.DUMMYFUNCTION("""COMPUTED_VALUE"""),42244.64583333333)</f>
        <v>42244.64583</v>
      </c>
      <c r="B1151" s="1">
        <f>IFERROR(__xludf.DUMMYFUNCTION("""COMPUTED_VALUE"""),21720.0)</f>
        <v>21720</v>
      </c>
      <c r="C1151" s="1">
        <f>IFERROR(__xludf.DUMMYFUNCTION("""COMPUTED_VALUE"""),21720.0)</f>
        <v>21720</v>
      </c>
      <c r="D1151" s="1">
        <f>IFERROR(__xludf.DUMMYFUNCTION("""COMPUTED_VALUE"""),21460.0)</f>
        <v>21460</v>
      </c>
      <c r="E1151" s="1">
        <f>IFERROR(__xludf.DUMMYFUNCTION("""COMPUTED_VALUE"""),21620.0)</f>
        <v>21620</v>
      </c>
      <c r="F1151" s="1">
        <f>IFERROR(__xludf.DUMMYFUNCTION("""COMPUTED_VALUE"""),462223.0)</f>
        <v>462223</v>
      </c>
    </row>
    <row r="1152">
      <c r="A1152" s="2">
        <f>IFERROR(__xludf.DUMMYFUNCTION("""COMPUTED_VALUE"""),42247.64583333333)</f>
        <v>42247.64583</v>
      </c>
      <c r="B1152" s="1">
        <f>IFERROR(__xludf.DUMMYFUNCTION("""COMPUTED_VALUE"""),21420.0)</f>
        <v>21420</v>
      </c>
      <c r="C1152" s="1">
        <f>IFERROR(__xludf.DUMMYFUNCTION("""COMPUTED_VALUE"""),21780.0)</f>
        <v>21780</v>
      </c>
      <c r="D1152" s="1">
        <f>IFERROR(__xludf.DUMMYFUNCTION("""COMPUTED_VALUE"""),21040.0)</f>
        <v>21040</v>
      </c>
      <c r="E1152" s="1">
        <f>IFERROR(__xludf.DUMMYFUNCTION("""COMPUTED_VALUE"""),21780.0)</f>
        <v>21780</v>
      </c>
      <c r="F1152" s="1">
        <f>IFERROR(__xludf.DUMMYFUNCTION("""COMPUTED_VALUE"""),408309.0)</f>
        <v>408309</v>
      </c>
    </row>
    <row r="1153">
      <c r="A1153" s="2">
        <f>IFERROR(__xludf.DUMMYFUNCTION("""COMPUTED_VALUE"""),42248.64583333333)</f>
        <v>42248.64583</v>
      </c>
      <c r="B1153" s="1">
        <f>IFERROR(__xludf.DUMMYFUNCTION("""COMPUTED_VALUE"""),21780.0)</f>
        <v>21780</v>
      </c>
      <c r="C1153" s="1">
        <f>IFERROR(__xludf.DUMMYFUNCTION("""COMPUTED_VALUE"""),21960.0)</f>
        <v>21960</v>
      </c>
      <c r="D1153" s="1">
        <f>IFERROR(__xludf.DUMMYFUNCTION("""COMPUTED_VALUE"""),21620.0)</f>
        <v>21620</v>
      </c>
      <c r="E1153" s="1">
        <f>IFERROR(__xludf.DUMMYFUNCTION("""COMPUTED_VALUE"""),21700.0)</f>
        <v>21700</v>
      </c>
      <c r="F1153" s="1">
        <f>IFERROR(__xludf.DUMMYFUNCTION("""COMPUTED_VALUE"""),240372.0)</f>
        <v>240372</v>
      </c>
    </row>
    <row r="1154">
      <c r="A1154" s="2">
        <f>IFERROR(__xludf.DUMMYFUNCTION("""COMPUTED_VALUE"""),42249.64583333333)</f>
        <v>42249.64583</v>
      </c>
      <c r="B1154" s="1">
        <f>IFERROR(__xludf.DUMMYFUNCTION("""COMPUTED_VALUE"""),21380.0)</f>
        <v>21380</v>
      </c>
      <c r="C1154" s="1">
        <f>IFERROR(__xludf.DUMMYFUNCTION("""COMPUTED_VALUE"""),21900.0)</f>
        <v>21900</v>
      </c>
      <c r="D1154" s="1">
        <f>IFERROR(__xludf.DUMMYFUNCTION("""COMPUTED_VALUE"""),21300.0)</f>
        <v>21300</v>
      </c>
      <c r="E1154" s="1">
        <f>IFERROR(__xludf.DUMMYFUNCTION("""COMPUTED_VALUE"""),21800.0)</f>
        <v>21800</v>
      </c>
      <c r="F1154" s="1">
        <f>IFERROR(__xludf.DUMMYFUNCTION("""COMPUTED_VALUE"""),312683.0)</f>
        <v>312683</v>
      </c>
    </row>
    <row r="1155">
      <c r="A1155" s="2">
        <f>IFERROR(__xludf.DUMMYFUNCTION("""COMPUTED_VALUE"""),42250.64583333333)</f>
        <v>42250.64583</v>
      </c>
      <c r="B1155" s="1">
        <f>IFERROR(__xludf.DUMMYFUNCTION("""COMPUTED_VALUE"""),22040.0)</f>
        <v>22040</v>
      </c>
      <c r="C1155" s="1">
        <f>IFERROR(__xludf.DUMMYFUNCTION("""COMPUTED_VALUE"""),22500.0)</f>
        <v>22500</v>
      </c>
      <c r="D1155" s="1">
        <f>IFERROR(__xludf.DUMMYFUNCTION("""COMPUTED_VALUE"""),21860.0)</f>
        <v>21860</v>
      </c>
      <c r="E1155" s="1">
        <f>IFERROR(__xludf.DUMMYFUNCTION("""COMPUTED_VALUE"""),22440.0)</f>
        <v>22440</v>
      </c>
      <c r="F1155" s="1">
        <f>IFERROR(__xludf.DUMMYFUNCTION("""COMPUTED_VALUE"""),304007.0)</f>
        <v>304007</v>
      </c>
    </row>
    <row r="1156">
      <c r="A1156" s="2">
        <f>IFERROR(__xludf.DUMMYFUNCTION("""COMPUTED_VALUE"""),42251.64583333333)</f>
        <v>42251.64583</v>
      </c>
      <c r="B1156" s="1">
        <f>IFERROR(__xludf.DUMMYFUNCTION("""COMPUTED_VALUE"""),22440.0)</f>
        <v>22440</v>
      </c>
      <c r="C1156" s="1">
        <f>IFERROR(__xludf.DUMMYFUNCTION("""COMPUTED_VALUE"""),22880.0)</f>
        <v>22880</v>
      </c>
      <c r="D1156" s="1">
        <f>IFERROR(__xludf.DUMMYFUNCTION("""COMPUTED_VALUE"""),22360.0)</f>
        <v>22360</v>
      </c>
      <c r="E1156" s="1">
        <f>IFERROR(__xludf.DUMMYFUNCTION("""COMPUTED_VALUE"""),22580.0)</f>
        <v>22580</v>
      </c>
      <c r="F1156" s="1">
        <f>IFERROR(__xludf.DUMMYFUNCTION("""COMPUTED_VALUE"""),251413.0)</f>
        <v>251413</v>
      </c>
    </row>
    <row r="1157">
      <c r="A1157" s="2">
        <f>IFERROR(__xludf.DUMMYFUNCTION("""COMPUTED_VALUE"""),42254.64583333333)</f>
        <v>42254.64583</v>
      </c>
      <c r="B1157" s="1">
        <f>IFERROR(__xludf.DUMMYFUNCTION("""COMPUTED_VALUE"""),22580.0)</f>
        <v>22580</v>
      </c>
      <c r="C1157" s="1">
        <f>IFERROR(__xludf.DUMMYFUNCTION("""COMPUTED_VALUE"""),22580.0)</f>
        <v>22580</v>
      </c>
      <c r="D1157" s="1">
        <f>IFERROR(__xludf.DUMMYFUNCTION("""COMPUTED_VALUE"""),22100.0)</f>
        <v>22100</v>
      </c>
      <c r="E1157" s="1">
        <f>IFERROR(__xludf.DUMMYFUNCTION("""COMPUTED_VALUE"""),22240.0)</f>
        <v>22240</v>
      </c>
      <c r="F1157" s="1">
        <f>IFERROR(__xludf.DUMMYFUNCTION("""COMPUTED_VALUE"""),191805.0)</f>
        <v>191805</v>
      </c>
    </row>
    <row r="1158">
      <c r="A1158" s="2">
        <f>IFERROR(__xludf.DUMMYFUNCTION("""COMPUTED_VALUE"""),42255.64583333333)</f>
        <v>42255.64583</v>
      </c>
      <c r="B1158" s="1">
        <f>IFERROR(__xludf.DUMMYFUNCTION("""COMPUTED_VALUE"""),22260.0)</f>
        <v>22260</v>
      </c>
      <c r="C1158" s="1">
        <f>IFERROR(__xludf.DUMMYFUNCTION("""COMPUTED_VALUE"""),22720.0)</f>
        <v>22720</v>
      </c>
      <c r="D1158" s="1">
        <f>IFERROR(__xludf.DUMMYFUNCTION("""COMPUTED_VALUE"""),22120.0)</f>
        <v>22120</v>
      </c>
      <c r="E1158" s="1">
        <f>IFERROR(__xludf.DUMMYFUNCTION("""COMPUTED_VALUE"""),22620.0)</f>
        <v>22620</v>
      </c>
      <c r="F1158" s="1">
        <f>IFERROR(__xludf.DUMMYFUNCTION("""COMPUTED_VALUE"""),182330.0)</f>
        <v>182330</v>
      </c>
    </row>
    <row r="1159">
      <c r="A1159" s="2">
        <f>IFERROR(__xludf.DUMMYFUNCTION("""COMPUTED_VALUE"""),42256.64583333333)</f>
        <v>42256.64583</v>
      </c>
      <c r="B1159" s="1">
        <f>IFERROR(__xludf.DUMMYFUNCTION("""COMPUTED_VALUE"""),22920.0)</f>
        <v>22920</v>
      </c>
      <c r="C1159" s="1">
        <f>IFERROR(__xludf.DUMMYFUNCTION("""COMPUTED_VALUE"""),22940.0)</f>
        <v>22940</v>
      </c>
      <c r="D1159" s="1">
        <f>IFERROR(__xludf.DUMMYFUNCTION("""COMPUTED_VALUE"""),22720.0)</f>
        <v>22720</v>
      </c>
      <c r="E1159" s="1">
        <f>IFERROR(__xludf.DUMMYFUNCTION("""COMPUTED_VALUE"""),22940.0)</f>
        <v>22940</v>
      </c>
      <c r="F1159" s="1">
        <f>IFERROR(__xludf.DUMMYFUNCTION("""COMPUTED_VALUE"""),259376.0)</f>
        <v>259376</v>
      </c>
    </row>
    <row r="1160">
      <c r="A1160" s="2">
        <f>IFERROR(__xludf.DUMMYFUNCTION("""COMPUTED_VALUE"""),42257.64583333333)</f>
        <v>42257.64583</v>
      </c>
      <c r="B1160" s="1">
        <f>IFERROR(__xludf.DUMMYFUNCTION("""COMPUTED_VALUE"""),22600.0)</f>
        <v>22600</v>
      </c>
      <c r="C1160" s="1">
        <f>IFERROR(__xludf.DUMMYFUNCTION("""COMPUTED_VALUE"""),22780.0)</f>
        <v>22780</v>
      </c>
      <c r="D1160" s="1">
        <f>IFERROR(__xludf.DUMMYFUNCTION("""COMPUTED_VALUE"""),22360.0)</f>
        <v>22360</v>
      </c>
      <c r="E1160" s="1">
        <f>IFERROR(__xludf.DUMMYFUNCTION("""COMPUTED_VALUE"""),22680.0)</f>
        <v>22680</v>
      </c>
      <c r="F1160" s="1">
        <f>IFERROR(__xludf.DUMMYFUNCTION("""COMPUTED_VALUE"""),362568.0)</f>
        <v>362568</v>
      </c>
    </row>
    <row r="1161">
      <c r="A1161" s="2">
        <f>IFERROR(__xludf.DUMMYFUNCTION("""COMPUTED_VALUE"""),42258.64583333333)</f>
        <v>42258.64583</v>
      </c>
      <c r="B1161" s="1">
        <f>IFERROR(__xludf.DUMMYFUNCTION("""COMPUTED_VALUE"""),22520.0)</f>
        <v>22520</v>
      </c>
      <c r="C1161" s="1">
        <f>IFERROR(__xludf.DUMMYFUNCTION("""COMPUTED_VALUE"""),22660.0)</f>
        <v>22660</v>
      </c>
      <c r="D1161" s="1">
        <f>IFERROR(__xludf.DUMMYFUNCTION("""COMPUTED_VALUE"""),22300.0)</f>
        <v>22300</v>
      </c>
      <c r="E1161" s="1">
        <f>IFERROR(__xludf.DUMMYFUNCTION("""COMPUTED_VALUE"""),22300.0)</f>
        <v>22300</v>
      </c>
      <c r="F1161" s="1">
        <f>IFERROR(__xludf.DUMMYFUNCTION("""COMPUTED_VALUE"""),204167.0)</f>
        <v>204167</v>
      </c>
    </row>
    <row r="1162">
      <c r="A1162" s="2">
        <f>IFERROR(__xludf.DUMMYFUNCTION("""COMPUTED_VALUE"""),42261.64583333333)</f>
        <v>42261.64583</v>
      </c>
      <c r="B1162" s="1">
        <f>IFERROR(__xludf.DUMMYFUNCTION("""COMPUTED_VALUE"""),22400.0)</f>
        <v>22400</v>
      </c>
      <c r="C1162" s="1">
        <f>IFERROR(__xludf.DUMMYFUNCTION("""COMPUTED_VALUE"""),22480.0)</f>
        <v>22480</v>
      </c>
      <c r="D1162" s="1">
        <f>IFERROR(__xludf.DUMMYFUNCTION("""COMPUTED_VALUE"""),22200.0)</f>
        <v>22200</v>
      </c>
      <c r="E1162" s="1">
        <f>IFERROR(__xludf.DUMMYFUNCTION("""COMPUTED_VALUE"""),22480.0)</f>
        <v>22480</v>
      </c>
      <c r="F1162" s="1">
        <f>IFERROR(__xludf.DUMMYFUNCTION("""COMPUTED_VALUE"""),167073.0)</f>
        <v>167073</v>
      </c>
    </row>
    <row r="1163">
      <c r="A1163" s="2">
        <f>IFERROR(__xludf.DUMMYFUNCTION("""COMPUTED_VALUE"""),42262.64583333333)</f>
        <v>42262.64583</v>
      </c>
      <c r="B1163" s="1">
        <f>IFERROR(__xludf.DUMMYFUNCTION("""COMPUTED_VALUE"""),22280.0)</f>
        <v>22280</v>
      </c>
      <c r="C1163" s="1">
        <f>IFERROR(__xludf.DUMMYFUNCTION("""COMPUTED_VALUE"""),22560.0)</f>
        <v>22560</v>
      </c>
      <c r="D1163" s="1">
        <f>IFERROR(__xludf.DUMMYFUNCTION("""COMPUTED_VALUE"""),22260.0)</f>
        <v>22260</v>
      </c>
      <c r="E1163" s="1">
        <f>IFERROR(__xludf.DUMMYFUNCTION("""COMPUTED_VALUE"""),22460.0)</f>
        <v>22460</v>
      </c>
      <c r="F1163" s="1">
        <f>IFERROR(__xludf.DUMMYFUNCTION("""COMPUTED_VALUE"""),232956.0)</f>
        <v>232956</v>
      </c>
    </row>
    <row r="1164">
      <c r="A1164" s="2">
        <f>IFERROR(__xludf.DUMMYFUNCTION("""COMPUTED_VALUE"""),42263.64583333333)</f>
        <v>42263.64583</v>
      </c>
      <c r="B1164" s="1">
        <f>IFERROR(__xludf.DUMMYFUNCTION("""COMPUTED_VALUE"""),22420.0)</f>
        <v>22420</v>
      </c>
      <c r="C1164" s="1">
        <f>IFERROR(__xludf.DUMMYFUNCTION("""COMPUTED_VALUE"""),23140.0)</f>
        <v>23140</v>
      </c>
      <c r="D1164" s="1">
        <f>IFERROR(__xludf.DUMMYFUNCTION("""COMPUTED_VALUE"""),22420.0)</f>
        <v>22420</v>
      </c>
      <c r="E1164" s="1">
        <f>IFERROR(__xludf.DUMMYFUNCTION("""COMPUTED_VALUE"""),23040.0)</f>
        <v>23040</v>
      </c>
      <c r="F1164" s="1">
        <f>IFERROR(__xludf.DUMMYFUNCTION("""COMPUTED_VALUE"""),343763.0)</f>
        <v>343763</v>
      </c>
    </row>
    <row r="1165">
      <c r="A1165" s="2">
        <f>IFERROR(__xludf.DUMMYFUNCTION("""COMPUTED_VALUE"""),42264.64583333333)</f>
        <v>42264.64583</v>
      </c>
      <c r="B1165" s="1">
        <f>IFERROR(__xludf.DUMMYFUNCTION("""COMPUTED_VALUE"""),23060.0)</f>
        <v>23060</v>
      </c>
      <c r="C1165" s="1">
        <f>IFERROR(__xludf.DUMMYFUNCTION("""COMPUTED_VALUE"""),23140.0)</f>
        <v>23140</v>
      </c>
      <c r="D1165" s="1">
        <f>IFERROR(__xludf.DUMMYFUNCTION("""COMPUTED_VALUE"""),22880.0)</f>
        <v>22880</v>
      </c>
      <c r="E1165" s="1">
        <f>IFERROR(__xludf.DUMMYFUNCTION("""COMPUTED_VALUE"""),23140.0)</f>
        <v>23140</v>
      </c>
      <c r="F1165" s="1">
        <f>IFERROR(__xludf.DUMMYFUNCTION("""COMPUTED_VALUE"""),273960.0)</f>
        <v>273960</v>
      </c>
    </row>
    <row r="1166">
      <c r="A1166" s="2">
        <f>IFERROR(__xludf.DUMMYFUNCTION("""COMPUTED_VALUE"""),42265.64583333333)</f>
        <v>42265.64583</v>
      </c>
      <c r="B1166" s="1">
        <f>IFERROR(__xludf.DUMMYFUNCTION("""COMPUTED_VALUE"""),22900.0)</f>
        <v>22900</v>
      </c>
      <c r="C1166" s="1">
        <f>IFERROR(__xludf.DUMMYFUNCTION("""COMPUTED_VALUE"""),23840.0)</f>
        <v>23840</v>
      </c>
      <c r="D1166" s="1">
        <f>IFERROR(__xludf.DUMMYFUNCTION("""COMPUTED_VALUE"""),22700.0)</f>
        <v>22700</v>
      </c>
      <c r="E1166" s="1">
        <f>IFERROR(__xludf.DUMMYFUNCTION("""COMPUTED_VALUE"""),23800.0)</f>
        <v>23800</v>
      </c>
      <c r="F1166" s="1">
        <f>IFERROR(__xludf.DUMMYFUNCTION("""COMPUTED_VALUE"""),436270.0)</f>
        <v>436270</v>
      </c>
    </row>
    <row r="1167">
      <c r="A1167" s="2">
        <f>IFERROR(__xludf.DUMMYFUNCTION("""COMPUTED_VALUE"""),42268.64583333333)</f>
        <v>42268.64583</v>
      </c>
      <c r="B1167" s="1">
        <f>IFERROR(__xludf.DUMMYFUNCTION("""COMPUTED_VALUE"""),23260.0)</f>
        <v>23260</v>
      </c>
      <c r="C1167" s="1">
        <f>IFERROR(__xludf.DUMMYFUNCTION("""COMPUTED_VALUE"""),23460.0)</f>
        <v>23460</v>
      </c>
      <c r="D1167" s="1">
        <f>IFERROR(__xludf.DUMMYFUNCTION("""COMPUTED_VALUE"""),23000.0)</f>
        <v>23000</v>
      </c>
      <c r="E1167" s="1">
        <f>IFERROR(__xludf.DUMMYFUNCTION("""COMPUTED_VALUE"""),23000.0)</f>
        <v>23000</v>
      </c>
      <c r="F1167" s="1">
        <f>IFERROR(__xludf.DUMMYFUNCTION("""COMPUTED_VALUE"""),205359.0)</f>
        <v>205359</v>
      </c>
    </row>
    <row r="1168">
      <c r="A1168" s="2">
        <f>IFERROR(__xludf.DUMMYFUNCTION("""COMPUTED_VALUE"""),42269.64583333333)</f>
        <v>42269.64583</v>
      </c>
      <c r="B1168" s="1">
        <f>IFERROR(__xludf.DUMMYFUNCTION("""COMPUTED_VALUE"""),22860.0)</f>
        <v>22860</v>
      </c>
      <c r="C1168" s="1">
        <f>IFERROR(__xludf.DUMMYFUNCTION("""COMPUTED_VALUE"""),23000.0)</f>
        <v>23000</v>
      </c>
      <c r="D1168" s="1">
        <f>IFERROR(__xludf.DUMMYFUNCTION("""COMPUTED_VALUE"""),22600.0)</f>
        <v>22600</v>
      </c>
      <c r="E1168" s="1">
        <f>IFERROR(__xludf.DUMMYFUNCTION("""COMPUTED_VALUE"""),22900.0)</f>
        <v>22900</v>
      </c>
      <c r="F1168" s="1">
        <f>IFERROR(__xludf.DUMMYFUNCTION("""COMPUTED_VALUE"""),250675.0)</f>
        <v>250675</v>
      </c>
    </row>
    <row r="1169">
      <c r="A1169" s="2">
        <f>IFERROR(__xludf.DUMMYFUNCTION("""COMPUTED_VALUE"""),42270.64583333333)</f>
        <v>42270.64583</v>
      </c>
      <c r="B1169" s="1">
        <f>IFERROR(__xludf.DUMMYFUNCTION("""COMPUTED_VALUE"""),22880.0)</f>
        <v>22880</v>
      </c>
      <c r="C1169" s="1">
        <f>IFERROR(__xludf.DUMMYFUNCTION("""COMPUTED_VALUE"""),22880.0)</f>
        <v>22880</v>
      </c>
      <c r="D1169" s="1">
        <f>IFERROR(__xludf.DUMMYFUNCTION("""COMPUTED_VALUE"""),22500.0)</f>
        <v>22500</v>
      </c>
      <c r="E1169" s="1">
        <f>IFERROR(__xludf.DUMMYFUNCTION("""COMPUTED_VALUE"""),22620.0)</f>
        <v>22620</v>
      </c>
      <c r="F1169" s="1">
        <f>IFERROR(__xludf.DUMMYFUNCTION("""COMPUTED_VALUE"""),197649.0)</f>
        <v>197649</v>
      </c>
    </row>
    <row r="1170">
      <c r="A1170" s="2">
        <f>IFERROR(__xludf.DUMMYFUNCTION("""COMPUTED_VALUE"""),42271.64583333333)</f>
        <v>42271.64583</v>
      </c>
      <c r="B1170" s="1">
        <f>IFERROR(__xludf.DUMMYFUNCTION("""COMPUTED_VALUE"""),22520.0)</f>
        <v>22520</v>
      </c>
      <c r="C1170" s="1">
        <f>IFERROR(__xludf.DUMMYFUNCTION("""COMPUTED_VALUE"""),22700.0)</f>
        <v>22700</v>
      </c>
      <c r="D1170" s="1">
        <f>IFERROR(__xludf.DUMMYFUNCTION("""COMPUTED_VALUE"""),22500.0)</f>
        <v>22500</v>
      </c>
      <c r="E1170" s="1">
        <f>IFERROR(__xludf.DUMMYFUNCTION("""COMPUTED_VALUE"""),22520.0)</f>
        <v>22520</v>
      </c>
      <c r="F1170" s="1">
        <f>IFERROR(__xludf.DUMMYFUNCTION("""COMPUTED_VALUE"""),132721.0)</f>
        <v>132721</v>
      </c>
    </row>
    <row r="1171">
      <c r="A1171" s="2">
        <f>IFERROR(__xludf.DUMMYFUNCTION("""COMPUTED_VALUE"""),42272.64583333333)</f>
        <v>42272.64583</v>
      </c>
      <c r="B1171" s="1">
        <f>IFERROR(__xludf.DUMMYFUNCTION("""COMPUTED_VALUE"""),22400.0)</f>
        <v>22400</v>
      </c>
      <c r="C1171" s="1">
        <f>IFERROR(__xludf.DUMMYFUNCTION("""COMPUTED_VALUE"""),22500.0)</f>
        <v>22500</v>
      </c>
      <c r="D1171" s="1">
        <f>IFERROR(__xludf.DUMMYFUNCTION("""COMPUTED_VALUE"""),22180.0)</f>
        <v>22180</v>
      </c>
      <c r="E1171" s="1">
        <f>IFERROR(__xludf.DUMMYFUNCTION("""COMPUTED_VALUE"""),22240.0)</f>
        <v>22240</v>
      </c>
      <c r="F1171" s="1">
        <f>IFERROR(__xludf.DUMMYFUNCTION("""COMPUTED_VALUE"""),209160.0)</f>
        <v>209160</v>
      </c>
    </row>
    <row r="1172">
      <c r="A1172" s="2">
        <f>IFERROR(__xludf.DUMMYFUNCTION("""COMPUTED_VALUE"""),42277.64583333333)</f>
        <v>42277.64583</v>
      </c>
      <c r="B1172" s="1">
        <f>IFERROR(__xludf.DUMMYFUNCTION("""COMPUTED_VALUE"""),22000.0)</f>
        <v>22000</v>
      </c>
      <c r="C1172" s="1">
        <f>IFERROR(__xludf.DUMMYFUNCTION("""COMPUTED_VALUE"""),22680.0)</f>
        <v>22680</v>
      </c>
      <c r="D1172" s="1">
        <f>IFERROR(__xludf.DUMMYFUNCTION("""COMPUTED_VALUE"""),21800.0)</f>
        <v>21800</v>
      </c>
      <c r="E1172" s="1">
        <f>IFERROR(__xludf.DUMMYFUNCTION("""COMPUTED_VALUE"""),22680.0)</f>
        <v>22680</v>
      </c>
      <c r="F1172" s="1">
        <f>IFERROR(__xludf.DUMMYFUNCTION("""COMPUTED_VALUE"""),458936.0)</f>
        <v>458936</v>
      </c>
    </row>
    <row r="1173">
      <c r="A1173" s="2">
        <f>IFERROR(__xludf.DUMMYFUNCTION("""COMPUTED_VALUE"""),42278.64583333333)</f>
        <v>42278.64583</v>
      </c>
      <c r="B1173" s="1">
        <f>IFERROR(__xludf.DUMMYFUNCTION("""COMPUTED_VALUE"""),22800.0)</f>
        <v>22800</v>
      </c>
      <c r="C1173" s="1">
        <f>IFERROR(__xludf.DUMMYFUNCTION("""COMPUTED_VALUE"""),22900.0)</f>
        <v>22900</v>
      </c>
      <c r="D1173" s="1">
        <f>IFERROR(__xludf.DUMMYFUNCTION("""COMPUTED_VALUE"""),22420.0)</f>
        <v>22420</v>
      </c>
      <c r="E1173" s="1">
        <f>IFERROR(__xludf.DUMMYFUNCTION("""COMPUTED_VALUE"""),22680.0)</f>
        <v>22680</v>
      </c>
      <c r="F1173" s="1">
        <f>IFERROR(__xludf.DUMMYFUNCTION("""COMPUTED_VALUE"""),241041.0)</f>
        <v>241041</v>
      </c>
    </row>
    <row r="1174">
      <c r="A1174" s="2">
        <f>IFERROR(__xludf.DUMMYFUNCTION("""COMPUTED_VALUE"""),42279.64583333333)</f>
        <v>42279.64583</v>
      </c>
      <c r="B1174" s="1">
        <f>IFERROR(__xludf.DUMMYFUNCTION("""COMPUTED_VALUE"""),22240.0)</f>
        <v>22240</v>
      </c>
      <c r="C1174" s="1">
        <f>IFERROR(__xludf.DUMMYFUNCTION("""COMPUTED_VALUE"""),22660.0)</f>
        <v>22660</v>
      </c>
      <c r="D1174" s="1">
        <f>IFERROR(__xludf.DUMMYFUNCTION("""COMPUTED_VALUE"""),22240.0)</f>
        <v>22240</v>
      </c>
      <c r="E1174" s="1">
        <f>IFERROR(__xludf.DUMMYFUNCTION("""COMPUTED_VALUE"""),22380.0)</f>
        <v>22380</v>
      </c>
      <c r="F1174" s="1">
        <f>IFERROR(__xludf.DUMMYFUNCTION("""COMPUTED_VALUE"""),274302.0)</f>
        <v>274302</v>
      </c>
    </row>
    <row r="1175">
      <c r="A1175" s="2">
        <f>IFERROR(__xludf.DUMMYFUNCTION("""COMPUTED_VALUE"""),42282.64583333333)</f>
        <v>42282.64583</v>
      </c>
      <c r="B1175" s="1">
        <f>IFERROR(__xludf.DUMMYFUNCTION("""COMPUTED_VALUE"""),22380.0)</f>
        <v>22380</v>
      </c>
      <c r="C1175" s="1">
        <f>IFERROR(__xludf.DUMMYFUNCTION("""COMPUTED_VALUE"""),22620.0)</f>
        <v>22620</v>
      </c>
      <c r="D1175" s="1">
        <f>IFERROR(__xludf.DUMMYFUNCTION("""COMPUTED_VALUE"""),22300.0)</f>
        <v>22300</v>
      </c>
      <c r="E1175" s="1">
        <f>IFERROR(__xludf.DUMMYFUNCTION("""COMPUTED_VALUE"""),22300.0)</f>
        <v>22300</v>
      </c>
      <c r="F1175" s="1">
        <f>IFERROR(__xludf.DUMMYFUNCTION("""COMPUTED_VALUE"""),241935.0)</f>
        <v>241935</v>
      </c>
    </row>
    <row r="1176">
      <c r="A1176" s="2">
        <f>IFERROR(__xludf.DUMMYFUNCTION("""COMPUTED_VALUE"""),42283.64583333333)</f>
        <v>42283.64583</v>
      </c>
      <c r="B1176" s="1">
        <f>IFERROR(__xludf.DUMMYFUNCTION("""COMPUTED_VALUE"""),22600.0)</f>
        <v>22600</v>
      </c>
      <c r="C1176" s="1">
        <f>IFERROR(__xludf.DUMMYFUNCTION("""COMPUTED_VALUE"""),23100.0)</f>
        <v>23100</v>
      </c>
      <c r="D1176" s="1">
        <f>IFERROR(__xludf.DUMMYFUNCTION("""COMPUTED_VALUE"""),22540.0)</f>
        <v>22540</v>
      </c>
      <c r="E1176" s="1">
        <f>IFERROR(__xludf.DUMMYFUNCTION("""COMPUTED_VALUE"""),23020.0)</f>
        <v>23020</v>
      </c>
      <c r="F1176" s="1">
        <f>IFERROR(__xludf.DUMMYFUNCTION("""COMPUTED_VALUE"""),382987.0)</f>
        <v>382987</v>
      </c>
    </row>
    <row r="1177">
      <c r="A1177" s="2">
        <f>IFERROR(__xludf.DUMMYFUNCTION("""COMPUTED_VALUE"""),42284.64583333333)</f>
        <v>42284.64583</v>
      </c>
      <c r="B1177" s="1">
        <f>IFERROR(__xludf.DUMMYFUNCTION("""COMPUTED_VALUE"""),23960.0)</f>
        <v>23960</v>
      </c>
      <c r="C1177" s="1">
        <f>IFERROR(__xludf.DUMMYFUNCTION("""COMPUTED_VALUE"""),25040.0)</f>
        <v>25040</v>
      </c>
      <c r="D1177" s="1">
        <f>IFERROR(__xludf.DUMMYFUNCTION("""COMPUTED_VALUE"""),23720.0)</f>
        <v>23720</v>
      </c>
      <c r="E1177" s="1">
        <f>IFERROR(__xludf.DUMMYFUNCTION("""COMPUTED_VALUE"""),25020.0)</f>
        <v>25020</v>
      </c>
      <c r="F1177" s="1">
        <f>IFERROR(__xludf.DUMMYFUNCTION("""COMPUTED_VALUE"""),799502.0)</f>
        <v>799502</v>
      </c>
    </row>
    <row r="1178">
      <c r="A1178" s="2">
        <f>IFERROR(__xludf.DUMMYFUNCTION("""COMPUTED_VALUE"""),42285.64583333333)</f>
        <v>42285.64583</v>
      </c>
      <c r="B1178" s="1">
        <f>IFERROR(__xludf.DUMMYFUNCTION("""COMPUTED_VALUE"""),25000.0)</f>
        <v>25000</v>
      </c>
      <c r="C1178" s="1">
        <f>IFERROR(__xludf.DUMMYFUNCTION("""COMPUTED_VALUE"""),25580.0)</f>
        <v>25580</v>
      </c>
      <c r="D1178" s="1">
        <f>IFERROR(__xludf.DUMMYFUNCTION("""COMPUTED_VALUE"""),25000.0)</f>
        <v>25000</v>
      </c>
      <c r="E1178" s="1">
        <f>IFERROR(__xludf.DUMMYFUNCTION("""COMPUTED_VALUE"""),25400.0)</f>
        <v>25400</v>
      </c>
      <c r="F1178" s="1">
        <f>IFERROR(__xludf.DUMMYFUNCTION("""COMPUTED_VALUE"""),570677.0)</f>
        <v>570677</v>
      </c>
    </row>
    <row r="1179">
      <c r="A1179" s="2">
        <f>IFERROR(__xludf.DUMMYFUNCTION("""COMPUTED_VALUE"""),42289.64583333333)</f>
        <v>42289.64583</v>
      </c>
      <c r="B1179" s="1">
        <f>IFERROR(__xludf.DUMMYFUNCTION("""COMPUTED_VALUE"""),25200.0)</f>
        <v>25200</v>
      </c>
      <c r="C1179" s="1">
        <f>IFERROR(__xludf.DUMMYFUNCTION("""COMPUTED_VALUE"""),25260.0)</f>
        <v>25260</v>
      </c>
      <c r="D1179" s="1">
        <f>IFERROR(__xludf.DUMMYFUNCTION("""COMPUTED_VALUE"""),24940.0)</f>
        <v>24940</v>
      </c>
      <c r="E1179" s="1">
        <f>IFERROR(__xludf.DUMMYFUNCTION("""COMPUTED_VALUE"""),25200.0)</f>
        <v>25200</v>
      </c>
      <c r="F1179" s="1">
        <f>IFERROR(__xludf.DUMMYFUNCTION("""COMPUTED_VALUE"""),378974.0)</f>
        <v>378974</v>
      </c>
    </row>
    <row r="1180">
      <c r="A1180" s="2">
        <f>IFERROR(__xludf.DUMMYFUNCTION("""COMPUTED_VALUE"""),42290.64583333333)</f>
        <v>42290.64583</v>
      </c>
      <c r="B1180" s="1">
        <f>IFERROR(__xludf.DUMMYFUNCTION("""COMPUTED_VALUE"""),25200.0)</f>
        <v>25200</v>
      </c>
      <c r="C1180" s="1">
        <f>IFERROR(__xludf.DUMMYFUNCTION("""COMPUTED_VALUE"""),25440.0)</f>
        <v>25440</v>
      </c>
      <c r="D1180" s="1">
        <f>IFERROR(__xludf.DUMMYFUNCTION("""COMPUTED_VALUE"""),24960.0)</f>
        <v>24960</v>
      </c>
      <c r="E1180" s="1">
        <f>IFERROR(__xludf.DUMMYFUNCTION("""COMPUTED_VALUE"""),25040.0)</f>
        <v>25040</v>
      </c>
      <c r="F1180" s="1">
        <f>IFERROR(__xludf.DUMMYFUNCTION("""COMPUTED_VALUE"""),198000.0)</f>
        <v>198000</v>
      </c>
    </row>
    <row r="1181">
      <c r="A1181" s="2">
        <f>IFERROR(__xludf.DUMMYFUNCTION("""COMPUTED_VALUE"""),42291.64583333333)</f>
        <v>42291.64583</v>
      </c>
      <c r="B1181" s="1">
        <f>IFERROR(__xludf.DUMMYFUNCTION("""COMPUTED_VALUE"""),24960.0)</f>
        <v>24960</v>
      </c>
      <c r="C1181" s="1">
        <f>IFERROR(__xludf.DUMMYFUNCTION("""COMPUTED_VALUE"""),25200.0)</f>
        <v>25200</v>
      </c>
      <c r="D1181" s="1">
        <f>IFERROR(__xludf.DUMMYFUNCTION("""COMPUTED_VALUE"""),24740.0)</f>
        <v>24740</v>
      </c>
      <c r="E1181" s="1">
        <f>IFERROR(__xludf.DUMMYFUNCTION("""COMPUTED_VALUE"""),25080.0)</f>
        <v>25080</v>
      </c>
      <c r="F1181" s="1">
        <f>IFERROR(__xludf.DUMMYFUNCTION("""COMPUTED_VALUE"""),175051.0)</f>
        <v>175051</v>
      </c>
    </row>
    <row r="1182">
      <c r="A1182" s="2">
        <f>IFERROR(__xludf.DUMMYFUNCTION("""COMPUTED_VALUE"""),42292.64583333333)</f>
        <v>42292.64583</v>
      </c>
      <c r="B1182" s="1">
        <f>IFERROR(__xludf.DUMMYFUNCTION("""COMPUTED_VALUE"""),24880.0)</f>
        <v>24880</v>
      </c>
      <c r="C1182" s="1">
        <f>IFERROR(__xludf.DUMMYFUNCTION("""COMPUTED_VALUE"""),25640.0)</f>
        <v>25640</v>
      </c>
      <c r="D1182" s="1">
        <f>IFERROR(__xludf.DUMMYFUNCTION("""COMPUTED_VALUE"""),24860.0)</f>
        <v>24860</v>
      </c>
      <c r="E1182" s="1">
        <f>IFERROR(__xludf.DUMMYFUNCTION("""COMPUTED_VALUE"""),25380.0)</f>
        <v>25380</v>
      </c>
      <c r="F1182" s="1">
        <f>IFERROR(__xludf.DUMMYFUNCTION("""COMPUTED_VALUE"""),248503.0)</f>
        <v>248503</v>
      </c>
    </row>
    <row r="1183">
      <c r="A1183" s="2">
        <f>IFERROR(__xludf.DUMMYFUNCTION("""COMPUTED_VALUE"""),42293.64583333333)</f>
        <v>42293.64583</v>
      </c>
      <c r="B1183" s="1">
        <f>IFERROR(__xludf.DUMMYFUNCTION("""COMPUTED_VALUE"""),25300.0)</f>
        <v>25300</v>
      </c>
      <c r="C1183" s="1">
        <f>IFERROR(__xludf.DUMMYFUNCTION("""COMPUTED_VALUE"""),25380.0)</f>
        <v>25380</v>
      </c>
      <c r="D1183" s="1">
        <f>IFERROR(__xludf.DUMMYFUNCTION("""COMPUTED_VALUE"""),25180.0)</f>
        <v>25180</v>
      </c>
      <c r="E1183" s="1">
        <f>IFERROR(__xludf.DUMMYFUNCTION("""COMPUTED_VALUE"""),25300.0)</f>
        <v>25300</v>
      </c>
      <c r="F1183" s="1">
        <f>IFERROR(__xludf.DUMMYFUNCTION("""COMPUTED_VALUE"""),143968.0)</f>
        <v>143968</v>
      </c>
    </row>
    <row r="1184">
      <c r="A1184" s="2">
        <f>IFERROR(__xludf.DUMMYFUNCTION("""COMPUTED_VALUE"""),42296.64583333333)</f>
        <v>42296.64583</v>
      </c>
      <c r="B1184" s="1">
        <f>IFERROR(__xludf.DUMMYFUNCTION("""COMPUTED_VALUE"""),25140.0)</f>
        <v>25140</v>
      </c>
      <c r="C1184" s="1">
        <f>IFERROR(__xludf.DUMMYFUNCTION("""COMPUTED_VALUE"""),25300.0)</f>
        <v>25300</v>
      </c>
      <c r="D1184" s="1">
        <f>IFERROR(__xludf.DUMMYFUNCTION("""COMPUTED_VALUE"""),24980.0)</f>
        <v>24980</v>
      </c>
      <c r="E1184" s="1">
        <f>IFERROR(__xludf.DUMMYFUNCTION("""COMPUTED_VALUE"""),25120.0)</f>
        <v>25120</v>
      </c>
      <c r="F1184" s="1">
        <f>IFERROR(__xludf.DUMMYFUNCTION("""COMPUTED_VALUE"""),117070.0)</f>
        <v>117070</v>
      </c>
    </row>
    <row r="1185">
      <c r="A1185" s="2">
        <f>IFERROR(__xludf.DUMMYFUNCTION("""COMPUTED_VALUE"""),42297.64583333333)</f>
        <v>42297.64583</v>
      </c>
      <c r="B1185" s="1">
        <f>IFERROR(__xludf.DUMMYFUNCTION("""COMPUTED_VALUE"""),25200.0)</f>
        <v>25200</v>
      </c>
      <c r="C1185" s="1">
        <f>IFERROR(__xludf.DUMMYFUNCTION("""COMPUTED_VALUE"""),25460.0)</f>
        <v>25460</v>
      </c>
      <c r="D1185" s="1">
        <f>IFERROR(__xludf.DUMMYFUNCTION("""COMPUTED_VALUE"""),25120.0)</f>
        <v>25120</v>
      </c>
      <c r="E1185" s="1">
        <f>IFERROR(__xludf.DUMMYFUNCTION("""COMPUTED_VALUE"""),25320.0)</f>
        <v>25320</v>
      </c>
      <c r="F1185" s="1">
        <f>IFERROR(__xludf.DUMMYFUNCTION("""COMPUTED_VALUE"""),150347.0)</f>
        <v>150347</v>
      </c>
    </row>
    <row r="1186">
      <c r="A1186" s="2">
        <f>IFERROR(__xludf.DUMMYFUNCTION("""COMPUTED_VALUE"""),42298.64583333333)</f>
        <v>42298.64583</v>
      </c>
      <c r="B1186" s="1">
        <f>IFERROR(__xludf.DUMMYFUNCTION("""COMPUTED_VALUE"""),25300.0)</f>
        <v>25300</v>
      </c>
      <c r="C1186" s="1">
        <f>IFERROR(__xludf.DUMMYFUNCTION("""COMPUTED_VALUE"""),25640.0)</f>
        <v>25640</v>
      </c>
      <c r="D1186" s="1">
        <f>IFERROR(__xludf.DUMMYFUNCTION("""COMPUTED_VALUE"""),25180.0)</f>
        <v>25180</v>
      </c>
      <c r="E1186" s="1">
        <f>IFERROR(__xludf.DUMMYFUNCTION("""COMPUTED_VALUE"""),25400.0)</f>
        <v>25400</v>
      </c>
      <c r="F1186" s="1">
        <f>IFERROR(__xludf.DUMMYFUNCTION("""COMPUTED_VALUE"""),139567.0)</f>
        <v>139567</v>
      </c>
    </row>
    <row r="1187">
      <c r="A1187" s="2">
        <f>IFERROR(__xludf.DUMMYFUNCTION("""COMPUTED_VALUE"""),42299.64583333333)</f>
        <v>42299.64583</v>
      </c>
      <c r="B1187" s="1">
        <f>IFERROR(__xludf.DUMMYFUNCTION("""COMPUTED_VALUE"""),25600.0)</f>
        <v>25600</v>
      </c>
      <c r="C1187" s="1">
        <f>IFERROR(__xludf.DUMMYFUNCTION("""COMPUTED_VALUE"""),25900.0)</f>
        <v>25900</v>
      </c>
      <c r="D1187" s="1">
        <f>IFERROR(__xludf.DUMMYFUNCTION("""COMPUTED_VALUE"""),25380.0)</f>
        <v>25380</v>
      </c>
      <c r="E1187" s="1">
        <f>IFERROR(__xludf.DUMMYFUNCTION("""COMPUTED_VALUE"""),25600.0)</f>
        <v>25600</v>
      </c>
      <c r="F1187" s="1">
        <f>IFERROR(__xludf.DUMMYFUNCTION("""COMPUTED_VALUE"""),230673.0)</f>
        <v>230673</v>
      </c>
    </row>
    <row r="1188">
      <c r="A1188" s="2">
        <f>IFERROR(__xludf.DUMMYFUNCTION("""COMPUTED_VALUE"""),42300.64583333333)</f>
        <v>42300.64583</v>
      </c>
      <c r="B1188" s="1">
        <f>IFERROR(__xludf.DUMMYFUNCTION("""COMPUTED_VALUE"""),26000.0)</f>
        <v>26000</v>
      </c>
      <c r="C1188" s="1">
        <f>IFERROR(__xludf.DUMMYFUNCTION("""COMPUTED_VALUE"""),26000.0)</f>
        <v>26000</v>
      </c>
      <c r="D1188" s="1">
        <f>IFERROR(__xludf.DUMMYFUNCTION("""COMPUTED_VALUE"""),25560.0)</f>
        <v>25560</v>
      </c>
      <c r="E1188" s="1">
        <f>IFERROR(__xludf.DUMMYFUNCTION("""COMPUTED_VALUE"""),25780.0)</f>
        <v>25780</v>
      </c>
      <c r="F1188" s="1">
        <f>IFERROR(__xludf.DUMMYFUNCTION("""COMPUTED_VALUE"""),263071.0)</f>
        <v>263071</v>
      </c>
    </row>
    <row r="1189">
      <c r="A1189" s="2">
        <f>IFERROR(__xludf.DUMMYFUNCTION("""COMPUTED_VALUE"""),42303.64583333333)</f>
        <v>42303.64583</v>
      </c>
      <c r="B1189" s="1">
        <f>IFERROR(__xludf.DUMMYFUNCTION("""COMPUTED_VALUE"""),25960.0)</f>
        <v>25960</v>
      </c>
      <c r="C1189" s="1">
        <f>IFERROR(__xludf.DUMMYFUNCTION("""COMPUTED_VALUE"""),25960.0)</f>
        <v>25960</v>
      </c>
      <c r="D1189" s="1">
        <f>IFERROR(__xludf.DUMMYFUNCTION("""COMPUTED_VALUE"""),25440.0)</f>
        <v>25440</v>
      </c>
      <c r="E1189" s="1">
        <f>IFERROR(__xludf.DUMMYFUNCTION("""COMPUTED_VALUE"""),25840.0)</f>
        <v>25840</v>
      </c>
      <c r="F1189" s="1">
        <f>IFERROR(__xludf.DUMMYFUNCTION("""COMPUTED_VALUE"""),152165.0)</f>
        <v>152165</v>
      </c>
    </row>
    <row r="1190">
      <c r="A1190" s="2">
        <f>IFERROR(__xludf.DUMMYFUNCTION("""COMPUTED_VALUE"""),42304.64583333333)</f>
        <v>42304.64583</v>
      </c>
      <c r="B1190" s="1">
        <f>IFERROR(__xludf.DUMMYFUNCTION("""COMPUTED_VALUE"""),25640.0)</f>
        <v>25640</v>
      </c>
      <c r="C1190" s="1">
        <f>IFERROR(__xludf.DUMMYFUNCTION("""COMPUTED_VALUE"""),25980.0)</f>
        <v>25980</v>
      </c>
      <c r="D1190" s="1">
        <f>IFERROR(__xludf.DUMMYFUNCTION("""COMPUTED_VALUE"""),25620.0)</f>
        <v>25620</v>
      </c>
      <c r="E1190" s="1">
        <f>IFERROR(__xludf.DUMMYFUNCTION("""COMPUTED_VALUE"""),25960.0)</f>
        <v>25960</v>
      </c>
      <c r="F1190" s="1">
        <f>IFERROR(__xludf.DUMMYFUNCTION("""COMPUTED_VALUE"""),132241.0)</f>
        <v>132241</v>
      </c>
    </row>
    <row r="1191">
      <c r="A1191" s="2">
        <f>IFERROR(__xludf.DUMMYFUNCTION("""COMPUTED_VALUE"""),42305.64583333333)</f>
        <v>42305.64583</v>
      </c>
      <c r="B1191" s="1">
        <f>IFERROR(__xludf.DUMMYFUNCTION("""COMPUTED_VALUE"""),25880.0)</f>
        <v>25880</v>
      </c>
      <c r="C1191" s="1">
        <f>IFERROR(__xludf.DUMMYFUNCTION("""COMPUTED_VALUE"""),26160.0)</f>
        <v>26160</v>
      </c>
      <c r="D1191" s="1">
        <f>IFERROR(__xludf.DUMMYFUNCTION("""COMPUTED_VALUE"""),25820.0)</f>
        <v>25820</v>
      </c>
      <c r="E1191" s="1">
        <f>IFERROR(__xludf.DUMMYFUNCTION("""COMPUTED_VALUE"""),26160.0)</f>
        <v>26160</v>
      </c>
      <c r="F1191" s="1">
        <f>IFERROR(__xludf.DUMMYFUNCTION("""COMPUTED_VALUE"""),271303.0)</f>
        <v>271303</v>
      </c>
    </row>
    <row r="1192">
      <c r="A1192" s="2">
        <f>IFERROR(__xludf.DUMMYFUNCTION("""COMPUTED_VALUE"""),42306.64583333333)</f>
        <v>42306.64583</v>
      </c>
      <c r="B1192" s="1">
        <f>IFERROR(__xludf.DUMMYFUNCTION("""COMPUTED_VALUE"""),26600.0)</f>
        <v>26600</v>
      </c>
      <c r="C1192" s="1">
        <f>IFERROR(__xludf.DUMMYFUNCTION("""COMPUTED_VALUE"""),27840.0)</f>
        <v>27840</v>
      </c>
      <c r="D1192" s="1">
        <f>IFERROR(__xludf.DUMMYFUNCTION("""COMPUTED_VALUE"""),26480.0)</f>
        <v>26480</v>
      </c>
      <c r="E1192" s="1">
        <f>IFERROR(__xludf.DUMMYFUNCTION("""COMPUTED_VALUE"""),26500.0)</f>
        <v>26500</v>
      </c>
      <c r="F1192" s="1">
        <f>IFERROR(__xludf.DUMMYFUNCTION("""COMPUTED_VALUE"""),630471.0)</f>
        <v>630471</v>
      </c>
    </row>
    <row r="1193">
      <c r="A1193" s="2">
        <f>IFERROR(__xludf.DUMMYFUNCTION("""COMPUTED_VALUE"""),42307.64583333333)</f>
        <v>42307.64583</v>
      </c>
      <c r="B1193" s="1">
        <f>IFERROR(__xludf.DUMMYFUNCTION("""COMPUTED_VALUE"""),26900.0)</f>
        <v>26900</v>
      </c>
      <c r="C1193" s="1">
        <f>IFERROR(__xludf.DUMMYFUNCTION("""COMPUTED_VALUE"""),27800.0)</f>
        <v>27800</v>
      </c>
      <c r="D1193" s="1">
        <f>IFERROR(__xludf.DUMMYFUNCTION("""COMPUTED_VALUE"""),26820.0)</f>
        <v>26820</v>
      </c>
      <c r="E1193" s="1">
        <f>IFERROR(__xludf.DUMMYFUNCTION("""COMPUTED_VALUE"""),27440.0)</f>
        <v>27440</v>
      </c>
      <c r="F1193" s="1">
        <f>IFERROR(__xludf.DUMMYFUNCTION("""COMPUTED_VALUE"""),509385.0)</f>
        <v>509385</v>
      </c>
    </row>
    <row r="1194">
      <c r="A1194" s="2">
        <f>IFERROR(__xludf.DUMMYFUNCTION("""COMPUTED_VALUE"""),42310.64583333333)</f>
        <v>42310.64583</v>
      </c>
      <c r="B1194" s="1">
        <f>IFERROR(__xludf.DUMMYFUNCTION("""COMPUTED_VALUE"""),27700.0)</f>
        <v>27700</v>
      </c>
      <c r="C1194" s="1">
        <f>IFERROR(__xludf.DUMMYFUNCTION("""COMPUTED_VALUE"""),27860.0)</f>
        <v>27860</v>
      </c>
      <c r="D1194" s="1">
        <f>IFERROR(__xludf.DUMMYFUNCTION("""COMPUTED_VALUE"""),27480.0)</f>
        <v>27480</v>
      </c>
      <c r="E1194" s="1">
        <f>IFERROR(__xludf.DUMMYFUNCTION("""COMPUTED_VALUE"""),27660.0)</f>
        <v>27660</v>
      </c>
      <c r="F1194" s="1">
        <f>IFERROR(__xludf.DUMMYFUNCTION("""COMPUTED_VALUE"""),386546.0)</f>
        <v>386546</v>
      </c>
    </row>
    <row r="1195">
      <c r="A1195" s="2">
        <f>IFERROR(__xludf.DUMMYFUNCTION("""COMPUTED_VALUE"""),42311.64583333333)</f>
        <v>42311.64583</v>
      </c>
      <c r="B1195" s="1">
        <f>IFERROR(__xludf.DUMMYFUNCTION("""COMPUTED_VALUE"""),27620.0)</f>
        <v>27620</v>
      </c>
      <c r="C1195" s="1">
        <f>IFERROR(__xludf.DUMMYFUNCTION("""COMPUTED_VALUE"""),27620.0)</f>
        <v>27620</v>
      </c>
      <c r="D1195" s="1">
        <f>IFERROR(__xludf.DUMMYFUNCTION("""COMPUTED_VALUE"""),27000.0)</f>
        <v>27000</v>
      </c>
      <c r="E1195" s="1">
        <f>IFERROR(__xludf.DUMMYFUNCTION("""COMPUTED_VALUE"""),27040.0)</f>
        <v>27040</v>
      </c>
      <c r="F1195" s="1">
        <f>IFERROR(__xludf.DUMMYFUNCTION("""COMPUTED_VALUE"""),301840.0)</f>
        <v>301840</v>
      </c>
    </row>
    <row r="1196">
      <c r="A1196" s="2">
        <f>IFERROR(__xludf.DUMMYFUNCTION("""COMPUTED_VALUE"""),42312.64583333333)</f>
        <v>42312.64583</v>
      </c>
      <c r="B1196" s="1">
        <f>IFERROR(__xludf.DUMMYFUNCTION("""COMPUTED_VALUE"""),27040.0)</f>
        <v>27040</v>
      </c>
      <c r="C1196" s="1">
        <f>IFERROR(__xludf.DUMMYFUNCTION("""COMPUTED_VALUE"""),27220.0)</f>
        <v>27220</v>
      </c>
      <c r="D1196" s="1">
        <f>IFERROR(__xludf.DUMMYFUNCTION("""COMPUTED_VALUE"""),26520.0)</f>
        <v>26520</v>
      </c>
      <c r="E1196" s="1">
        <f>IFERROR(__xludf.DUMMYFUNCTION("""COMPUTED_VALUE"""),26600.0)</f>
        <v>26600</v>
      </c>
      <c r="F1196" s="1">
        <f>IFERROR(__xludf.DUMMYFUNCTION("""COMPUTED_VALUE"""),281070.0)</f>
        <v>281070</v>
      </c>
    </row>
    <row r="1197">
      <c r="A1197" s="2">
        <f>IFERROR(__xludf.DUMMYFUNCTION("""COMPUTED_VALUE"""),42313.64583333333)</f>
        <v>42313.64583</v>
      </c>
      <c r="B1197" s="1">
        <f>IFERROR(__xludf.DUMMYFUNCTION("""COMPUTED_VALUE"""),26600.0)</f>
        <v>26600</v>
      </c>
      <c r="C1197" s="1">
        <f>IFERROR(__xludf.DUMMYFUNCTION("""COMPUTED_VALUE"""),27080.0)</f>
        <v>27080</v>
      </c>
      <c r="D1197" s="1">
        <f>IFERROR(__xludf.DUMMYFUNCTION("""COMPUTED_VALUE"""),26600.0)</f>
        <v>26600</v>
      </c>
      <c r="E1197" s="1">
        <f>IFERROR(__xludf.DUMMYFUNCTION("""COMPUTED_VALUE"""),26840.0)</f>
        <v>26840</v>
      </c>
      <c r="F1197" s="1">
        <f>IFERROR(__xludf.DUMMYFUNCTION("""COMPUTED_VALUE"""),173042.0)</f>
        <v>173042</v>
      </c>
    </row>
    <row r="1198">
      <c r="A1198" s="2">
        <f>IFERROR(__xludf.DUMMYFUNCTION("""COMPUTED_VALUE"""),42314.64583333333)</f>
        <v>42314.64583</v>
      </c>
      <c r="B1198" s="1">
        <f>IFERROR(__xludf.DUMMYFUNCTION("""COMPUTED_VALUE"""),26860.0)</f>
        <v>26860</v>
      </c>
      <c r="C1198" s="1">
        <f>IFERROR(__xludf.DUMMYFUNCTION("""COMPUTED_VALUE"""),26960.0)</f>
        <v>26960</v>
      </c>
      <c r="D1198" s="1">
        <f>IFERROR(__xludf.DUMMYFUNCTION("""COMPUTED_VALUE"""),26600.0)</f>
        <v>26600</v>
      </c>
      <c r="E1198" s="1">
        <f>IFERROR(__xludf.DUMMYFUNCTION("""COMPUTED_VALUE"""),26760.0)</f>
        <v>26760</v>
      </c>
      <c r="F1198" s="1">
        <f>IFERROR(__xludf.DUMMYFUNCTION("""COMPUTED_VALUE"""),164322.0)</f>
        <v>164322</v>
      </c>
    </row>
    <row r="1199">
      <c r="A1199" s="2">
        <f>IFERROR(__xludf.DUMMYFUNCTION("""COMPUTED_VALUE"""),42317.64583333333)</f>
        <v>42317.64583</v>
      </c>
      <c r="B1199" s="1">
        <f>IFERROR(__xludf.DUMMYFUNCTION("""COMPUTED_VALUE"""),26760.0)</f>
        <v>26760</v>
      </c>
      <c r="C1199" s="1">
        <f>IFERROR(__xludf.DUMMYFUNCTION("""COMPUTED_VALUE"""),26880.0)</f>
        <v>26880</v>
      </c>
      <c r="D1199" s="1">
        <f>IFERROR(__xludf.DUMMYFUNCTION("""COMPUTED_VALUE"""),26420.0)</f>
        <v>26420</v>
      </c>
      <c r="E1199" s="1">
        <f>IFERROR(__xludf.DUMMYFUNCTION("""COMPUTED_VALUE"""),26880.0)</f>
        <v>26880</v>
      </c>
      <c r="F1199" s="1">
        <f>IFERROR(__xludf.DUMMYFUNCTION("""COMPUTED_VALUE"""),185661.0)</f>
        <v>185661</v>
      </c>
    </row>
    <row r="1200">
      <c r="A1200" s="2">
        <f>IFERROR(__xludf.DUMMYFUNCTION("""COMPUTED_VALUE"""),42318.64583333333)</f>
        <v>42318.64583</v>
      </c>
      <c r="B1200" s="1">
        <f>IFERROR(__xludf.DUMMYFUNCTION("""COMPUTED_VALUE"""),26720.0)</f>
        <v>26720</v>
      </c>
      <c r="C1200" s="1">
        <f>IFERROR(__xludf.DUMMYFUNCTION("""COMPUTED_VALUE"""),26820.0)</f>
        <v>26820</v>
      </c>
      <c r="D1200" s="1">
        <f>IFERROR(__xludf.DUMMYFUNCTION("""COMPUTED_VALUE"""),26280.0)</f>
        <v>26280</v>
      </c>
      <c r="E1200" s="1">
        <f>IFERROR(__xludf.DUMMYFUNCTION("""COMPUTED_VALUE"""),26420.0)</f>
        <v>26420</v>
      </c>
      <c r="F1200" s="1">
        <f>IFERROR(__xludf.DUMMYFUNCTION("""COMPUTED_VALUE"""),197551.0)</f>
        <v>197551</v>
      </c>
    </row>
    <row r="1201">
      <c r="A1201" s="2">
        <f>IFERROR(__xludf.DUMMYFUNCTION("""COMPUTED_VALUE"""),42319.64583333333)</f>
        <v>42319.64583</v>
      </c>
      <c r="B1201" s="1">
        <f>IFERROR(__xludf.DUMMYFUNCTION("""COMPUTED_VALUE"""),26420.0)</f>
        <v>26420</v>
      </c>
      <c r="C1201" s="1">
        <f>IFERROR(__xludf.DUMMYFUNCTION("""COMPUTED_VALUE"""),26900.0)</f>
        <v>26900</v>
      </c>
      <c r="D1201" s="1">
        <f>IFERROR(__xludf.DUMMYFUNCTION("""COMPUTED_VALUE"""),26420.0)</f>
        <v>26420</v>
      </c>
      <c r="E1201" s="1">
        <f>IFERROR(__xludf.DUMMYFUNCTION("""COMPUTED_VALUE"""),26660.0)</f>
        <v>26660</v>
      </c>
      <c r="F1201" s="1">
        <f>IFERROR(__xludf.DUMMYFUNCTION("""COMPUTED_VALUE"""),140449.0)</f>
        <v>140449</v>
      </c>
    </row>
    <row r="1202">
      <c r="A1202" s="2">
        <f>IFERROR(__xludf.DUMMYFUNCTION("""COMPUTED_VALUE"""),42320.64583333333)</f>
        <v>42320.64583</v>
      </c>
      <c r="B1202" s="1">
        <f>IFERROR(__xludf.DUMMYFUNCTION("""COMPUTED_VALUE"""),26660.0)</f>
        <v>26660</v>
      </c>
      <c r="C1202" s="1">
        <f>IFERROR(__xludf.DUMMYFUNCTION("""COMPUTED_VALUE"""),26680.0)</f>
        <v>26680</v>
      </c>
      <c r="D1202" s="1">
        <f>IFERROR(__xludf.DUMMYFUNCTION("""COMPUTED_VALUE"""),26340.0)</f>
        <v>26340</v>
      </c>
      <c r="E1202" s="1">
        <f>IFERROR(__xludf.DUMMYFUNCTION("""COMPUTED_VALUE"""),26340.0)</f>
        <v>26340</v>
      </c>
      <c r="F1202" s="1">
        <f>IFERROR(__xludf.DUMMYFUNCTION("""COMPUTED_VALUE"""),157417.0)</f>
        <v>157417</v>
      </c>
    </row>
    <row r="1203">
      <c r="A1203" s="2">
        <f>IFERROR(__xludf.DUMMYFUNCTION("""COMPUTED_VALUE"""),42321.64583333333)</f>
        <v>42321.64583</v>
      </c>
      <c r="B1203" s="1">
        <f>IFERROR(__xludf.DUMMYFUNCTION("""COMPUTED_VALUE"""),26340.0)</f>
        <v>26340</v>
      </c>
      <c r="C1203" s="1">
        <f>IFERROR(__xludf.DUMMYFUNCTION("""COMPUTED_VALUE"""),26340.0)</f>
        <v>26340</v>
      </c>
      <c r="D1203" s="1">
        <f>IFERROR(__xludf.DUMMYFUNCTION("""COMPUTED_VALUE"""),26000.0)</f>
        <v>26000</v>
      </c>
      <c r="E1203" s="1">
        <f>IFERROR(__xludf.DUMMYFUNCTION("""COMPUTED_VALUE"""),26000.0)</f>
        <v>26000</v>
      </c>
      <c r="F1203" s="1">
        <f>IFERROR(__xludf.DUMMYFUNCTION("""COMPUTED_VALUE"""),177677.0)</f>
        <v>177677</v>
      </c>
    </row>
    <row r="1204">
      <c r="A1204" s="2">
        <f>IFERROR(__xludf.DUMMYFUNCTION("""COMPUTED_VALUE"""),42324.64583333333)</f>
        <v>42324.64583</v>
      </c>
      <c r="B1204" s="1">
        <f>IFERROR(__xludf.DUMMYFUNCTION("""COMPUTED_VALUE"""),25820.0)</f>
        <v>25820</v>
      </c>
      <c r="C1204" s="1">
        <f>IFERROR(__xludf.DUMMYFUNCTION("""COMPUTED_VALUE"""),25820.0)</f>
        <v>25820</v>
      </c>
      <c r="D1204" s="1">
        <f>IFERROR(__xludf.DUMMYFUNCTION("""COMPUTED_VALUE"""),25260.0)</f>
        <v>25260</v>
      </c>
      <c r="E1204" s="1">
        <f>IFERROR(__xludf.DUMMYFUNCTION("""COMPUTED_VALUE"""),25260.0)</f>
        <v>25260</v>
      </c>
      <c r="F1204" s="1">
        <f>IFERROR(__xludf.DUMMYFUNCTION("""COMPUTED_VALUE"""),275705.0)</f>
        <v>275705</v>
      </c>
    </row>
    <row r="1205">
      <c r="A1205" s="2">
        <f>IFERROR(__xludf.DUMMYFUNCTION("""COMPUTED_VALUE"""),42325.64583333333)</f>
        <v>42325.64583</v>
      </c>
      <c r="B1205" s="1">
        <f>IFERROR(__xludf.DUMMYFUNCTION("""COMPUTED_VALUE"""),25500.0)</f>
        <v>25500</v>
      </c>
      <c r="C1205" s="1">
        <f>IFERROR(__xludf.DUMMYFUNCTION("""COMPUTED_VALUE"""),25800.0)</f>
        <v>25800</v>
      </c>
      <c r="D1205" s="1">
        <f>IFERROR(__xludf.DUMMYFUNCTION("""COMPUTED_VALUE"""),25400.0)</f>
        <v>25400</v>
      </c>
      <c r="E1205" s="1">
        <f>IFERROR(__xludf.DUMMYFUNCTION("""COMPUTED_VALUE"""),25400.0)</f>
        <v>25400</v>
      </c>
      <c r="F1205" s="1">
        <f>IFERROR(__xludf.DUMMYFUNCTION("""COMPUTED_VALUE"""),186184.0)</f>
        <v>186184</v>
      </c>
    </row>
    <row r="1206">
      <c r="A1206" s="2">
        <f>IFERROR(__xludf.DUMMYFUNCTION("""COMPUTED_VALUE"""),42326.64583333333)</f>
        <v>42326.64583</v>
      </c>
      <c r="B1206" s="1">
        <f>IFERROR(__xludf.DUMMYFUNCTION("""COMPUTED_VALUE"""),25440.0)</f>
        <v>25440</v>
      </c>
      <c r="C1206" s="1">
        <f>IFERROR(__xludf.DUMMYFUNCTION("""COMPUTED_VALUE"""),25800.0)</f>
        <v>25800</v>
      </c>
      <c r="D1206" s="1">
        <f>IFERROR(__xludf.DUMMYFUNCTION("""COMPUTED_VALUE"""),25440.0)</f>
        <v>25440</v>
      </c>
      <c r="E1206" s="1">
        <f>IFERROR(__xludf.DUMMYFUNCTION("""COMPUTED_VALUE"""),25620.0)</f>
        <v>25620</v>
      </c>
      <c r="F1206" s="1">
        <f>IFERROR(__xludf.DUMMYFUNCTION("""COMPUTED_VALUE"""),167735.0)</f>
        <v>167735</v>
      </c>
    </row>
    <row r="1207">
      <c r="A1207" s="2">
        <f>IFERROR(__xludf.DUMMYFUNCTION("""COMPUTED_VALUE"""),42327.64583333333)</f>
        <v>42327.64583</v>
      </c>
      <c r="B1207" s="1">
        <f>IFERROR(__xludf.DUMMYFUNCTION("""COMPUTED_VALUE"""),25800.0)</f>
        <v>25800</v>
      </c>
      <c r="C1207" s="1">
        <f>IFERROR(__xludf.DUMMYFUNCTION("""COMPUTED_VALUE"""),25800.0)</f>
        <v>25800</v>
      </c>
      <c r="D1207" s="1">
        <f>IFERROR(__xludf.DUMMYFUNCTION("""COMPUTED_VALUE"""),25420.0)</f>
        <v>25420</v>
      </c>
      <c r="E1207" s="1">
        <f>IFERROR(__xludf.DUMMYFUNCTION("""COMPUTED_VALUE"""),25780.0)</f>
        <v>25780</v>
      </c>
      <c r="F1207" s="1">
        <f>IFERROR(__xludf.DUMMYFUNCTION("""COMPUTED_VALUE"""),192850.0)</f>
        <v>192850</v>
      </c>
    </row>
    <row r="1208">
      <c r="A1208" s="2">
        <f>IFERROR(__xludf.DUMMYFUNCTION("""COMPUTED_VALUE"""),42328.64583333333)</f>
        <v>42328.64583</v>
      </c>
      <c r="B1208" s="1">
        <f>IFERROR(__xludf.DUMMYFUNCTION("""COMPUTED_VALUE"""),25780.0)</f>
        <v>25780</v>
      </c>
      <c r="C1208" s="1">
        <f>IFERROR(__xludf.DUMMYFUNCTION("""COMPUTED_VALUE"""),25920.0)</f>
        <v>25920</v>
      </c>
      <c r="D1208" s="1">
        <f>IFERROR(__xludf.DUMMYFUNCTION("""COMPUTED_VALUE"""),25560.0)</f>
        <v>25560</v>
      </c>
      <c r="E1208" s="1">
        <f>IFERROR(__xludf.DUMMYFUNCTION("""COMPUTED_VALUE"""),25700.0)</f>
        <v>25700</v>
      </c>
      <c r="F1208" s="1">
        <f>IFERROR(__xludf.DUMMYFUNCTION("""COMPUTED_VALUE"""),168720.0)</f>
        <v>168720</v>
      </c>
    </row>
    <row r="1209">
      <c r="A1209" s="2">
        <f>IFERROR(__xludf.DUMMYFUNCTION("""COMPUTED_VALUE"""),42331.64583333333)</f>
        <v>42331.64583</v>
      </c>
      <c r="B1209" s="1">
        <f>IFERROR(__xludf.DUMMYFUNCTION("""COMPUTED_VALUE"""),25700.0)</f>
        <v>25700</v>
      </c>
      <c r="C1209" s="1">
        <f>IFERROR(__xludf.DUMMYFUNCTION("""COMPUTED_VALUE"""),26040.0)</f>
        <v>26040</v>
      </c>
      <c r="D1209" s="1">
        <f>IFERROR(__xludf.DUMMYFUNCTION("""COMPUTED_VALUE"""),25620.0)</f>
        <v>25620</v>
      </c>
      <c r="E1209" s="1">
        <f>IFERROR(__xludf.DUMMYFUNCTION("""COMPUTED_VALUE"""),25640.0)</f>
        <v>25640</v>
      </c>
      <c r="F1209" s="1">
        <f>IFERROR(__xludf.DUMMYFUNCTION("""COMPUTED_VALUE"""),198820.0)</f>
        <v>198820</v>
      </c>
    </row>
    <row r="1210">
      <c r="A1210" s="2">
        <f>IFERROR(__xludf.DUMMYFUNCTION("""COMPUTED_VALUE"""),42332.64583333333)</f>
        <v>42332.64583</v>
      </c>
      <c r="B1210" s="1">
        <f>IFERROR(__xludf.DUMMYFUNCTION("""COMPUTED_VALUE"""),25640.0)</f>
        <v>25640</v>
      </c>
      <c r="C1210" s="1">
        <f>IFERROR(__xludf.DUMMYFUNCTION("""COMPUTED_VALUE"""),26100.0)</f>
        <v>26100</v>
      </c>
      <c r="D1210" s="1">
        <f>IFERROR(__xludf.DUMMYFUNCTION("""COMPUTED_VALUE"""),25640.0)</f>
        <v>25640</v>
      </c>
      <c r="E1210" s="1">
        <f>IFERROR(__xludf.DUMMYFUNCTION("""COMPUTED_VALUE"""),25980.0)</f>
        <v>25980</v>
      </c>
      <c r="F1210" s="1">
        <f>IFERROR(__xludf.DUMMYFUNCTION("""COMPUTED_VALUE"""),159560.0)</f>
        <v>159560</v>
      </c>
    </row>
    <row r="1211">
      <c r="A1211" s="2">
        <f>IFERROR(__xludf.DUMMYFUNCTION("""COMPUTED_VALUE"""),42333.64583333333)</f>
        <v>42333.64583</v>
      </c>
      <c r="B1211" s="1">
        <f>IFERROR(__xludf.DUMMYFUNCTION("""COMPUTED_VALUE"""),26000.0)</f>
        <v>26000</v>
      </c>
      <c r="C1211" s="1">
        <f>IFERROR(__xludf.DUMMYFUNCTION("""COMPUTED_VALUE"""),26200.0)</f>
        <v>26200</v>
      </c>
      <c r="D1211" s="1">
        <f>IFERROR(__xludf.DUMMYFUNCTION("""COMPUTED_VALUE"""),25980.0)</f>
        <v>25980</v>
      </c>
      <c r="E1211" s="1">
        <f>IFERROR(__xludf.DUMMYFUNCTION("""COMPUTED_VALUE"""),25980.0)</f>
        <v>25980</v>
      </c>
      <c r="F1211" s="1">
        <f>IFERROR(__xludf.DUMMYFUNCTION("""COMPUTED_VALUE"""),142627.0)</f>
        <v>142627</v>
      </c>
    </row>
    <row r="1212">
      <c r="A1212" s="2">
        <f>IFERROR(__xludf.DUMMYFUNCTION("""COMPUTED_VALUE"""),42334.64583333333)</f>
        <v>42334.64583</v>
      </c>
      <c r="B1212" s="1">
        <f>IFERROR(__xludf.DUMMYFUNCTION("""COMPUTED_VALUE"""),25980.0)</f>
        <v>25980</v>
      </c>
      <c r="C1212" s="1">
        <f>IFERROR(__xludf.DUMMYFUNCTION("""COMPUTED_VALUE"""),26800.0)</f>
        <v>26800</v>
      </c>
      <c r="D1212" s="1">
        <f>IFERROR(__xludf.DUMMYFUNCTION("""COMPUTED_VALUE"""),25980.0)</f>
        <v>25980</v>
      </c>
      <c r="E1212" s="1">
        <f>IFERROR(__xludf.DUMMYFUNCTION("""COMPUTED_VALUE"""),26700.0)</f>
        <v>26700</v>
      </c>
      <c r="F1212" s="1">
        <f>IFERROR(__xludf.DUMMYFUNCTION("""COMPUTED_VALUE"""),185800.0)</f>
        <v>185800</v>
      </c>
    </row>
    <row r="1213">
      <c r="A1213" s="2">
        <f>IFERROR(__xludf.DUMMYFUNCTION("""COMPUTED_VALUE"""),42335.64583333333)</f>
        <v>42335.64583</v>
      </c>
      <c r="B1213" s="1">
        <f>IFERROR(__xludf.DUMMYFUNCTION("""COMPUTED_VALUE"""),26900.0)</f>
        <v>26900</v>
      </c>
      <c r="C1213" s="1">
        <f>IFERROR(__xludf.DUMMYFUNCTION("""COMPUTED_VALUE"""),26980.0)</f>
        <v>26980</v>
      </c>
      <c r="D1213" s="1">
        <f>IFERROR(__xludf.DUMMYFUNCTION("""COMPUTED_VALUE"""),26540.0)</f>
        <v>26540</v>
      </c>
      <c r="E1213" s="1">
        <f>IFERROR(__xludf.DUMMYFUNCTION("""COMPUTED_VALUE"""),26540.0)</f>
        <v>26540</v>
      </c>
      <c r="F1213" s="1">
        <f>IFERROR(__xludf.DUMMYFUNCTION("""COMPUTED_VALUE"""),169854.0)</f>
        <v>169854</v>
      </c>
    </row>
    <row r="1214">
      <c r="A1214" s="2">
        <f>IFERROR(__xludf.DUMMYFUNCTION("""COMPUTED_VALUE"""),42338.64583333333)</f>
        <v>42338.64583</v>
      </c>
      <c r="B1214" s="1">
        <f>IFERROR(__xludf.DUMMYFUNCTION("""COMPUTED_VALUE"""),26500.0)</f>
        <v>26500</v>
      </c>
      <c r="C1214" s="1">
        <f>IFERROR(__xludf.DUMMYFUNCTION("""COMPUTED_VALUE"""),26500.0)</f>
        <v>26500</v>
      </c>
      <c r="D1214" s="1">
        <f>IFERROR(__xludf.DUMMYFUNCTION("""COMPUTED_VALUE"""),25680.0)</f>
        <v>25680</v>
      </c>
      <c r="E1214" s="1">
        <f>IFERROR(__xludf.DUMMYFUNCTION("""COMPUTED_VALUE"""),25680.0)</f>
        <v>25680</v>
      </c>
      <c r="F1214" s="1">
        <f>IFERROR(__xludf.DUMMYFUNCTION("""COMPUTED_VALUE"""),534006.0)</f>
        <v>534006</v>
      </c>
    </row>
    <row r="1215">
      <c r="A1215" s="2">
        <f>IFERROR(__xludf.DUMMYFUNCTION("""COMPUTED_VALUE"""),42339.64583333333)</f>
        <v>42339.64583</v>
      </c>
      <c r="B1215" s="1">
        <f>IFERROR(__xludf.DUMMYFUNCTION("""COMPUTED_VALUE"""),25880.0)</f>
        <v>25880</v>
      </c>
      <c r="C1215" s="1">
        <f>IFERROR(__xludf.DUMMYFUNCTION("""COMPUTED_VALUE"""),26440.0)</f>
        <v>26440</v>
      </c>
      <c r="D1215" s="1">
        <f>IFERROR(__xludf.DUMMYFUNCTION("""COMPUTED_VALUE"""),25760.0)</f>
        <v>25760</v>
      </c>
      <c r="E1215" s="1">
        <f>IFERROR(__xludf.DUMMYFUNCTION("""COMPUTED_VALUE"""),26420.0)</f>
        <v>26420</v>
      </c>
      <c r="F1215" s="1">
        <f>IFERROR(__xludf.DUMMYFUNCTION("""COMPUTED_VALUE"""),252113.0)</f>
        <v>252113</v>
      </c>
    </row>
    <row r="1216">
      <c r="A1216" s="2">
        <f>IFERROR(__xludf.DUMMYFUNCTION("""COMPUTED_VALUE"""),42340.64583333333)</f>
        <v>42340.64583</v>
      </c>
      <c r="B1216" s="1">
        <f>IFERROR(__xludf.DUMMYFUNCTION("""COMPUTED_VALUE"""),26420.0)</f>
        <v>26420</v>
      </c>
      <c r="C1216" s="1">
        <f>IFERROR(__xludf.DUMMYFUNCTION("""COMPUTED_VALUE"""),26440.0)</f>
        <v>26440</v>
      </c>
      <c r="D1216" s="1">
        <f>IFERROR(__xludf.DUMMYFUNCTION("""COMPUTED_VALUE"""),25880.0)</f>
        <v>25880</v>
      </c>
      <c r="E1216" s="1">
        <f>IFERROR(__xludf.DUMMYFUNCTION("""COMPUTED_VALUE"""),26000.0)</f>
        <v>26000</v>
      </c>
      <c r="F1216" s="1">
        <f>IFERROR(__xludf.DUMMYFUNCTION("""COMPUTED_VALUE"""),229628.0)</f>
        <v>229628</v>
      </c>
    </row>
    <row r="1217">
      <c r="A1217" s="2">
        <f>IFERROR(__xludf.DUMMYFUNCTION("""COMPUTED_VALUE"""),42341.64583333333)</f>
        <v>42341.64583</v>
      </c>
      <c r="B1217" s="1">
        <f>IFERROR(__xludf.DUMMYFUNCTION("""COMPUTED_VALUE"""),25900.0)</f>
        <v>25900</v>
      </c>
      <c r="C1217" s="1">
        <f>IFERROR(__xludf.DUMMYFUNCTION("""COMPUTED_VALUE"""),25940.0)</f>
        <v>25940</v>
      </c>
      <c r="D1217" s="1">
        <f>IFERROR(__xludf.DUMMYFUNCTION("""COMPUTED_VALUE"""),25720.0)</f>
        <v>25720</v>
      </c>
      <c r="E1217" s="1">
        <f>IFERROR(__xludf.DUMMYFUNCTION("""COMPUTED_VALUE"""),25800.0)</f>
        <v>25800</v>
      </c>
      <c r="F1217" s="1">
        <f>IFERROR(__xludf.DUMMYFUNCTION("""COMPUTED_VALUE"""),166695.0)</f>
        <v>166695</v>
      </c>
    </row>
    <row r="1218">
      <c r="A1218" s="2">
        <f>IFERROR(__xludf.DUMMYFUNCTION("""COMPUTED_VALUE"""),42342.64583333333)</f>
        <v>42342.64583</v>
      </c>
      <c r="B1218" s="1">
        <f>IFERROR(__xludf.DUMMYFUNCTION("""COMPUTED_VALUE"""),25500.0)</f>
        <v>25500</v>
      </c>
      <c r="C1218" s="1">
        <f>IFERROR(__xludf.DUMMYFUNCTION("""COMPUTED_VALUE"""),25600.0)</f>
        <v>25600</v>
      </c>
      <c r="D1218" s="1">
        <f>IFERROR(__xludf.DUMMYFUNCTION("""COMPUTED_VALUE"""),25340.0)</f>
        <v>25340</v>
      </c>
      <c r="E1218" s="1">
        <f>IFERROR(__xludf.DUMMYFUNCTION("""COMPUTED_VALUE"""),25380.0)</f>
        <v>25380</v>
      </c>
      <c r="F1218" s="1">
        <f>IFERROR(__xludf.DUMMYFUNCTION("""COMPUTED_VALUE"""),192711.0)</f>
        <v>192711</v>
      </c>
    </row>
    <row r="1219">
      <c r="A1219" s="2">
        <f>IFERROR(__xludf.DUMMYFUNCTION("""COMPUTED_VALUE"""),42345.64583333333)</f>
        <v>42345.64583</v>
      </c>
      <c r="B1219" s="1">
        <f>IFERROR(__xludf.DUMMYFUNCTION("""COMPUTED_VALUE"""),25380.0)</f>
        <v>25380</v>
      </c>
      <c r="C1219" s="1">
        <f>IFERROR(__xludf.DUMMYFUNCTION("""COMPUTED_VALUE"""),25500.0)</f>
        <v>25500</v>
      </c>
      <c r="D1219" s="1">
        <f>IFERROR(__xludf.DUMMYFUNCTION("""COMPUTED_VALUE"""),25240.0)</f>
        <v>25240</v>
      </c>
      <c r="E1219" s="1">
        <f>IFERROR(__xludf.DUMMYFUNCTION("""COMPUTED_VALUE"""),25240.0)</f>
        <v>25240</v>
      </c>
      <c r="F1219" s="1">
        <f>IFERROR(__xludf.DUMMYFUNCTION("""COMPUTED_VALUE"""),196107.0)</f>
        <v>196107</v>
      </c>
    </row>
    <row r="1220">
      <c r="A1220" s="2">
        <f>IFERROR(__xludf.DUMMYFUNCTION("""COMPUTED_VALUE"""),42346.64583333333)</f>
        <v>42346.64583</v>
      </c>
      <c r="B1220" s="1">
        <f>IFERROR(__xludf.DUMMYFUNCTION("""COMPUTED_VALUE"""),25240.0)</f>
        <v>25240</v>
      </c>
      <c r="C1220" s="1">
        <f>IFERROR(__xludf.DUMMYFUNCTION("""COMPUTED_VALUE"""),25440.0)</f>
        <v>25440</v>
      </c>
      <c r="D1220" s="1">
        <f>IFERROR(__xludf.DUMMYFUNCTION("""COMPUTED_VALUE"""),25240.0)</f>
        <v>25240</v>
      </c>
      <c r="E1220" s="1">
        <f>IFERROR(__xludf.DUMMYFUNCTION("""COMPUTED_VALUE"""),25240.0)</f>
        <v>25240</v>
      </c>
      <c r="F1220" s="1">
        <f>IFERROR(__xludf.DUMMYFUNCTION("""COMPUTED_VALUE"""),138322.0)</f>
        <v>138322</v>
      </c>
    </row>
    <row r="1221">
      <c r="A1221" s="2">
        <f>IFERROR(__xludf.DUMMYFUNCTION("""COMPUTED_VALUE"""),42347.64583333333)</f>
        <v>42347.64583</v>
      </c>
      <c r="B1221" s="1">
        <f>IFERROR(__xludf.DUMMYFUNCTION("""COMPUTED_VALUE"""),25240.0)</f>
        <v>25240</v>
      </c>
      <c r="C1221" s="1">
        <f>IFERROR(__xludf.DUMMYFUNCTION("""COMPUTED_VALUE"""),25500.0)</f>
        <v>25500</v>
      </c>
      <c r="D1221" s="1">
        <f>IFERROR(__xludf.DUMMYFUNCTION("""COMPUTED_VALUE"""),25240.0)</f>
        <v>25240</v>
      </c>
      <c r="E1221" s="1">
        <f>IFERROR(__xludf.DUMMYFUNCTION("""COMPUTED_VALUE"""),25260.0)</f>
        <v>25260</v>
      </c>
      <c r="F1221" s="1">
        <f>IFERROR(__xludf.DUMMYFUNCTION("""COMPUTED_VALUE"""),181812.0)</f>
        <v>181812</v>
      </c>
    </row>
    <row r="1222">
      <c r="A1222" s="2">
        <f>IFERROR(__xludf.DUMMYFUNCTION("""COMPUTED_VALUE"""),42348.64583333333)</f>
        <v>42348.64583</v>
      </c>
      <c r="B1222" s="1">
        <f>IFERROR(__xludf.DUMMYFUNCTION("""COMPUTED_VALUE"""),25260.0)</f>
        <v>25260</v>
      </c>
      <c r="C1222" s="1">
        <f>IFERROR(__xludf.DUMMYFUNCTION("""COMPUTED_VALUE"""),25860.0)</f>
        <v>25860</v>
      </c>
      <c r="D1222" s="1">
        <f>IFERROR(__xludf.DUMMYFUNCTION("""COMPUTED_VALUE"""),25260.0)</f>
        <v>25260</v>
      </c>
      <c r="E1222" s="1">
        <f>IFERROR(__xludf.DUMMYFUNCTION("""COMPUTED_VALUE"""),25660.0)</f>
        <v>25660</v>
      </c>
      <c r="F1222" s="1">
        <f>IFERROR(__xludf.DUMMYFUNCTION("""COMPUTED_VALUE"""),303867.0)</f>
        <v>303867</v>
      </c>
    </row>
    <row r="1223">
      <c r="A1223" s="2">
        <f>IFERROR(__xludf.DUMMYFUNCTION("""COMPUTED_VALUE"""),42349.64583333333)</f>
        <v>42349.64583</v>
      </c>
      <c r="B1223" s="1">
        <f>IFERROR(__xludf.DUMMYFUNCTION("""COMPUTED_VALUE"""),25660.0)</f>
        <v>25660</v>
      </c>
      <c r="C1223" s="1">
        <f>IFERROR(__xludf.DUMMYFUNCTION("""COMPUTED_VALUE"""),25900.0)</f>
        <v>25900</v>
      </c>
      <c r="D1223" s="1">
        <f>IFERROR(__xludf.DUMMYFUNCTION("""COMPUTED_VALUE"""),25440.0)</f>
        <v>25440</v>
      </c>
      <c r="E1223" s="1">
        <f>IFERROR(__xludf.DUMMYFUNCTION("""COMPUTED_VALUE"""),25680.0)</f>
        <v>25680</v>
      </c>
      <c r="F1223" s="1">
        <f>IFERROR(__xludf.DUMMYFUNCTION("""COMPUTED_VALUE"""),206729.0)</f>
        <v>206729</v>
      </c>
    </row>
    <row r="1224">
      <c r="A1224" s="2">
        <f>IFERROR(__xludf.DUMMYFUNCTION("""COMPUTED_VALUE"""),42352.64583333333)</f>
        <v>42352.64583</v>
      </c>
      <c r="B1224" s="1">
        <f>IFERROR(__xludf.DUMMYFUNCTION("""COMPUTED_VALUE"""),25460.0)</f>
        <v>25460</v>
      </c>
      <c r="C1224" s="1">
        <f>IFERROR(__xludf.DUMMYFUNCTION("""COMPUTED_VALUE"""),25460.0)</f>
        <v>25460</v>
      </c>
      <c r="D1224" s="1">
        <f>IFERROR(__xludf.DUMMYFUNCTION("""COMPUTED_VALUE"""),25100.0)</f>
        <v>25100</v>
      </c>
      <c r="E1224" s="1">
        <f>IFERROR(__xludf.DUMMYFUNCTION("""COMPUTED_VALUE"""),25220.0)</f>
        <v>25220</v>
      </c>
      <c r="F1224" s="1">
        <f>IFERROR(__xludf.DUMMYFUNCTION("""COMPUTED_VALUE"""),222801.0)</f>
        <v>222801</v>
      </c>
    </row>
    <row r="1225">
      <c r="A1225" s="2">
        <f>IFERROR(__xludf.DUMMYFUNCTION("""COMPUTED_VALUE"""),42353.64583333333)</f>
        <v>42353.64583</v>
      </c>
      <c r="B1225" s="1">
        <f>IFERROR(__xludf.DUMMYFUNCTION("""COMPUTED_VALUE"""),25220.0)</f>
        <v>25220</v>
      </c>
      <c r="C1225" s="1">
        <f>IFERROR(__xludf.DUMMYFUNCTION("""COMPUTED_VALUE"""),25600.0)</f>
        <v>25600</v>
      </c>
      <c r="D1225" s="1">
        <f>IFERROR(__xludf.DUMMYFUNCTION("""COMPUTED_VALUE"""),25200.0)</f>
        <v>25200</v>
      </c>
      <c r="E1225" s="1">
        <f>IFERROR(__xludf.DUMMYFUNCTION("""COMPUTED_VALUE"""),25540.0)</f>
        <v>25540</v>
      </c>
      <c r="F1225" s="1">
        <f>IFERROR(__xludf.DUMMYFUNCTION("""COMPUTED_VALUE"""),175494.0)</f>
        <v>175494</v>
      </c>
    </row>
    <row r="1226">
      <c r="A1226" s="2">
        <f>IFERROR(__xludf.DUMMYFUNCTION("""COMPUTED_VALUE"""),42354.64583333333)</f>
        <v>42354.64583</v>
      </c>
      <c r="B1226" s="1">
        <f>IFERROR(__xludf.DUMMYFUNCTION("""COMPUTED_VALUE"""),25560.0)</f>
        <v>25560</v>
      </c>
      <c r="C1226" s="1">
        <f>IFERROR(__xludf.DUMMYFUNCTION("""COMPUTED_VALUE"""),26200.0)</f>
        <v>26200</v>
      </c>
      <c r="D1226" s="1">
        <f>IFERROR(__xludf.DUMMYFUNCTION("""COMPUTED_VALUE"""),25560.0)</f>
        <v>25560</v>
      </c>
      <c r="E1226" s="1">
        <f>IFERROR(__xludf.DUMMYFUNCTION("""COMPUTED_VALUE"""),25980.0)</f>
        <v>25980</v>
      </c>
      <c r="F1226" s="1">
        <f>IFERROR(__xludf.DUMMYFUNCTION("""COMPUTED_VALUE"""),207962.0)</f>
        <v>207962</v>
      </c>
    </row>
    <row r="1227">
      <c r="A1227" s="2">
        <f>IFERROR(__xludf.DUMMYFUNCTION("""COMPUTED_VALUE"""),42355.64583333333)</f>
        <v>42355.64583</v>
      </c>
      <c r="B1227" s="1">
        <f>IFERROR(__xludf.DUMMYFUNCTION("""COMPUTED_VALUE"""),26020.0)</f>
        <v>26020</v>
      </c>
      <c r="C1227" s="1">
        <f>IFERROR(__xludf.DUMMYFUNCTION("""COMPUTED_VALUE"""),26160.0)</f>
        <v>26160</v>
      </c>
      <c r="D1227" s="1">
        <f>IFERROR(__xludf.DUMMYFUNCTION("""COMPUTED_VALUE"""),25500.0)</f>
        <v>25500</v>
      </c>
      <c r="E1227" s="1">
        <f>IFERROR(__xludf.DUMMYFUNCTION("""COMPUTED_VALUE"""),25800.0)</f>
        <v>25800</v>
      </c>
      <c r="F1227" s="1">
        <f>IFERROR(__xludf.DUMMYFUNCTION("""COMPUTED_VALUE"""),174677.0)</f>
        <v>174677</v>
      </c>
    </row>
    <row r="1228">
      <c r="A1228" s="2">
        <f>IFERROR(__xludf.DUMMYFUNCTION("""COMPUTED_VALUE"""),42356.64583333333)</f>
        <v>42356.64583</v>
      </c>
      <c r="B1228" s="1">
        <f>IFERROR(__xludf.DUMMYFUNCTION("""COMPUTED_VALUE"""),25300.0)</f>
        <v>25300</v>
      </c>
      <c r="C1228" s="1">
        <f>IFERROR(__xludf.DUMMYFUNCTION("""COMPUTED_VALUE"""),25760.0)</f>
        <v>25760</v>
      </c>
      <c r="D1228" s="1">
        <f>IFERROR(__xludf.DUMMYFUNCTION("""COMPUTED_VALUE"""),25280.0)</f>
        <v>25280</v>
      </c>
      <c r="E1228" s="1">
        <f>IFERROR(__xludf.DUMMYFUNCTION("""COMPUTED_VALUE"""),25560.0)</f>
        <v>25560</v>
      </c>
      <c r="F1228" s="1">
        <f>IFERROR(__xludf.DUMMYFUNCTION("""COMPUTED_VALUE"""),168369.0)</f>
        <v>168369</v>
      </c>
    </row>
    <row r="1229">
      <c r="A1229" s="2">
        <f>IFERROR(__xludf.DUMMYFUNCTION("""COMPUTED_VALUE"""),42359.64583333333)</f>
        <v>42359.64583</v>
      </c>
      <c r="B1229" s="1">
        <f>IFERROR(__xludf.DUMMYFUNCTION("""COMPUTED_VALUE"""),25560.0)</f>
        <v>25560</v>
      </c>
      <c r="C1229" s="1">
        <f>IFERROR(__xludf.DUMMYFUNCTION("""COMPUTED_VALUE"""),25700.0)</f>
        <v>25700</v>
      </c>
      <c r="D1229" s="1">
        <f>IFERROR(__xludf.DUMMYFUNCTION("""COMPUTED_VALUE"""),25220.0)</f>
        <v>25220</v>
      </c>
      <c r="E1229" s="1">
        <f>IFERROR(__xludf.DUMMYFUNCTION("""COMPUTED_VALUE"""),25600.0)</f>
        <v>25600</v>
      </c>
      <c r="F1229" s="1">
        <f>IFERROR(__xludf.DUMMYFUNCTION("""COMPUTED_VALUE"""),160466.0)</f>
        <v>160466</v>
      </c>
    </row>
    <row r="1230">
      <c r="A1230" s="2">
        <f>IFERROR(__xludf.DUMMYFUNCTION("""COMPUTED_VALUE"""),42360.64583333333)</f>
        <v>42360.64583</v>
      </c>
      <c r="B1230" s="1">
        <f>IFERROR(__xludf.DUMMYFUNCTION("""COMPUTED_VALUE"""),25600.0)</f>
        <v>25600</v>
      </c>
      <c r="C1230" s="1">
        <f>IFERROR(__xludf.DUMMYFUNCTION("""COMPUTED_VALUE"""),25840.0)</f>
        <v>25840</v>
      </c>
      <c r="D1230" s="1">
        <f>IFERROR(__xludf.DUMMYFUNCTION("""COMPUTED_VALUE"""),25340.0)</f>
        <v>25340</v>
      </c>
      <c r="E1230" s="1">
        <f>IFERROR(__xludf.DUMMYFUNCTION("""COMPUTED_VALUE"""),25840.0)</f>
        <v>25840</v>
      </c>
      <c r="F1230" s="1">
        <f>IFERROR(__xludf.DUMMYFUNCTION("""COMPUTED_VALUE"""),206192.0)</f>
        <v>206192</v>
      </c>
    </row>
    <row r="1231">
      <c r="A1231" s="2">
        <f>IFERROR(__xludf.DUMMYFUNCTION("""COMPUTED_VALUE"""),42361.64583333333)</f>
        <v>42361.64583</v>
      </c>
      <c r="B1231" s="1">
        <f>IFERROR(__xludf.DUMMYFUNCTION("""COMPUTED_VALUE"""),25840.0)</f>
        <v>25840</v>
      </c>
      <c r="C1231" s="1">
        <f>IFERROR(__xludf.DUMMYFUNCTION("""COMPUTED_VALUE"""),25980.0)</f>
        <v>25980</v>
      </c>
      <c r="D1231" s="1">
        <f>IFERROR(__xludf.DUMMYFUNCTION("""COMPUTED_VALUE"""),25640.0)</f>
        <v>25640</v>
      </c>
      <c r="E1231" s="1">
        <f>IFERROR(__xludf.DUMMYFUNCTION("""COMPUTED_VALUE"""),25900.0)</f>
        <v>25900</v>
      </c>
      <c r="F1231" s="1">
        <f>IFERROR(__xludf.DUMMYFUNCTION("""COMPUTED_VALUE"""),207148.0)</f>
        <v>207148</v>
      </c>
    </row>
    <row r="1232">
      <c r="A1232" s="2">
        <f>IFERROR(__xludf.DUMMYFUNCTION("""COMPUTED_VALUE"""),42362.64583333333)</f>
        <v>42362.64583</v>
      </c>
      <c r="B1232" s="1">
        <f>IFERROR(__xludf.DUMMYFUNCTION("""COMPUTED_VALUE"""),25900.0)</f>
        <v>25900</v>
      </c>
      <c r="C1232" s="1">
        <f>IFERROR(__xludf.DUMMYFUNCTION("""COMPUTED_VALUE"""),26000.0)</f>
        <v>26000</v>
      </c>
      <c r="D1232" s="1">
        <f>IFERROR(__xludf.DUMMYFUNCTION("""COMPUTED_VALUE"""),25700.0)</f>
        <v>25700</v>
      </c>
      <c r="E1232" s="1">
        <f>IFERROR(__xludf.DUMMYFUNCTION("""COMPUTED_VALUE"""),25700.0)</f>
        <v>25700</v>
      </c>
      <c r="F1232" s="1">
        <f>IFERROR(__xludf.DUMMYFUNCTION("""COMPUTED_VALUE"""),156151.0)</f>
        <v>156151</v>
      </c>
    </row>
    <row r="1233">
      <c r="A1233" s="2">
        <f>IFERROR(__xludf.DUMMYFUNCTION("""COMPUTED_VALUE"""),42366.64583333333)</f>
        <v>42366.64583</v>
      </c>
      <c r="B1233" s="1">
        <f>IFERROR(__xludf.DUMMYFUNCTION("""COMPUTED_VALUE"""),25700.0)</f>
        <v>25700</v>
      </c>
      <c r="C1233" s="1">
        <f>IFERROR(__xludf.DUMMYFUNCTION("""COMPUTED_VALUE"""),25780.0)</f>
        <v>25780</v>
      </c>
      <c r="D1233" s="1">
        <f>IFERROR(__xludf.DUMMYFUNCTION("""COMPUTED_VALUE"""),25320.0)</f>
        <v>25320</v>
      </c>
      <c r="E1233" s="1">
        <f>IFERROR(__xludf.DUMMYFUNCTION("""COMPUTED_VALUE"""),25320.0)</f>
        <v>25320</v>
      </c>
      <c r="F1233" s="1">
        <f>IFERROR(__xludf.DUMMYFUNCTION("""COMPUTED_VALUE"""),227230.0)</f>
        <v>227230</v>
      </c>
    </row>
    <row r="1234">
      <c r="A1234" s="2">
        <f>IFERROR(__xludf.DUMMYFUNCTION("""COMPUTED_VALUE"""),42367.64583333333)</f>
        <v>42367.64583</v>
      </c>
      <c r="B1234" s="1">
        <f>IFERROR(__xludf.DUMMYFUNCTION("""COMPUTED_VALUE"""),25300.0)</f>
        <v>25300</v>
      </c>
      <c r="C1234" s="1">
        <f>IFERROR(__xludf.DUMMYFUNCTION("""COMPUTED_VALUE"""),25320.0)</f>
        <v>25320</v>
      </c>
      <c r="D1234" s="1">
        <f>IFERROR(__xludf.DUMMYFUNCTION("""COMPUTED_VALUE"""),24820.0)</f>
        <v>24820</v>
      </c>
      <c r="E1234" s="1">
        <f>IFERROR(__xludf.DUMMYFUNCTION("""COMPUTED_VALUE"""),25080.0)</f>
        <v>25080</v>
      </c>
      <c r="F1234" s="1">
        <f>IFERROR(__xludf.DUMMYFUNCTION("""COMPUTED_VALUE"""),232944.0)</f>
        <v>232944</v>
      </c>
    </row>
    <row r="1235">
      <c r="A1235" s="2">
        <f>IFERROR(__xludf.DUMMYFUNCTION("""COMPUTED_VALUE"""),42368.64583333333)</f>
        <v>42368.64583</v>
      </c>
      <c r="B1235" s="1">
        <f>IFERROR(__xludf.DUMMYFUNCTION("""COMPUTED_VALUE"""),25200.0)</f>
        <v>25200</v>
      </c>
      <c r="C1235" s="1">
        <f>IFERROR(__xludf.DUMMYFUNCTION("""COMPUTED_VALUE"""),25440.0)</f>
        <v>25440</v>
      </c>
      <c r="D1235" s="1">
        <f>IFERROR(__xludf.DUMMYFUNCTION("""COMPUTED_VALUE"""),25080.0)</f>
        <v>25080</v>
      </c>
      <c r="E1235" s="1">
        <f>IFERROR(__xludf.DUMMYFUNCTION("""COMPUTED_VALUE"""),25200.0)</f>
        <v>25200</v>
      </c>
      <c r="F1235" s="1">
        <f>IFERROR(__xludf.DUMMYFUNCTION("""COMPUTED_VALUE"""),203958.0)</f>
        <v>203958</v>
      </c>
    </row>
    <row r="1236">
      <c r="A1236" s="2">
        <f>IFERROR(__xludf.DUMMYFUNCTION("""COMPUTED_VALUE"""),42373.64583333333)</f>
        <v>42373.64583</v>
      </c>
      <c r="B1236" s="1">
        <f>IFERROR(__xludf.DUMMYFUNCTION("""COMPUTED_VALUE"""),25200.0)</f>
        <v>25200</v>
      </c>
      <c r="C1236" s="1">
        <f>IFERROR(__xludf.DUMMYFUNCTION("""COMPUTED_VALUE"""),25200.0)</f>
        <v>25200</v>
      </c>
      <c r="D1236" s="1">
        <f>IFERROR(__xludf.DUMMYFUNCTION("""COMPUTED_VALUE"""),24100.0)</f>
        <v>24100</v>
      </c>
      <c r="E1236" s="1">
        <f>IFERROR(__xludf.DUMMYFUNCTION("""COMPUTED_VALUE"""),24100.0)</f>
        <v>24100</v>
      </c>
      <c r="F1236" s="1">
        <f>IFERROR(__xludf.DUMMYFUNCTION("""COMPUTED_VALUE"""),306939.0)</f>
        <v>306939</v>
      </c>
    </row>
    <row r="1237">
      <c r="A1237" s="2">
        <f>IFERROR(__xludf.DUMMYFUNCTION("""COMPUTED_VALUE"""),42374.64583333333)</f>
        <v>42374.64583</v>
      </c>
      <c r="B1237" s="1">
        <f>IFERROR(__xludf.DUMMYFUNCTION("""COMPUTED_VALUE"""),24040.0)</f>
        <v>24040</v>
      </c>
      <c r="C1237" s="1">
        <f>IFERROR(__xludf.DUMMYFUNCTION("""COMPUTED_VALUE"""),24360.0)</f>
        <v>24360</v>
      </c>
      <c r="D1237" s="1">
        <f>IFERROR(__xludf.DUMMYFUNCTION("""COMPUTED_VALUE"""),23720.0)</f>
        <v>23720</v>
      </c>
      <c r="E1237" s="1">
        <f>IFERROR(__xludf.DUMMYFUNCTION("""COMPUTED_VALUE"""),24160.0)</f>
        <v>24160</v>
      </c>
      <c r="F1237" s="1">
        <f>IFERROR(__xludf.DUMMYFUNCTION("""COMPUTED_VALUE"""),216002.0)</f>
        <v>216002</v>
      </c>
    </row>
    <row r="1238">
      <c r="A1238" s="2">
        <f>IFERROR(__xludf.DUMMYFUNCTION("""COMPUTED_VALUE"""),42375.64583333333)</f>
        <v>42375.64583</v>
      </c>
      <c r="B1238" s="1">
        <f>IFERROR(__xludf.DUMMYFUNCTION("""COMPUTED_VALUE"""),24160.0)</f>
        <v>24160</v>
      </c>
      <c r="C1238" s="1">
        <f>IFERROR(__xludf.DUMMYFUNCTION("""COMPUTED_VALUE"""),24160.0)</f>
        <v>24160</v>
      </c>
      <c r="D1238" s="1">
        <f>IFERROR(__xludf.DUMMYFUNCTION("""COMPUTED_VALUE"""),23360.0)</f>
        <v>23360</v>
      </c>
      <c r="E1238" s="1">
        <f>IFERROR(__xludf.DUMMYFUNCTION("""COMPUTED_VALUE"""),23500.0)</f>
        <v>23500</v>
      </c>
      <c r="F1238" s="1">
        <f>IFERROR(__xludf.DUMMYFUNCTION("""COMPUTED_VALUE"""),366752.0)</f>
        <v>366752</v>
      </c>
    </row>
    <row r="1239">
      <c r="A1239" s="2">
        <f>IFERROR(__xludf.DUMMYFUNCTION("""COMPUTED_VALUE"""),42376.64583333333)</f>
        <v>42376.64583</v>
      </c>
      <c r="B1239" s="1">
        <f>IFERROR(__xludf.DUMMYFUNCTION("""COMPUTED_VALUE"""),23320.0)</f>
        <v>23320</v>
      </c>
      <c r="C1239" s="1">
        <f>IFERROR(__xludf.DUMMYFUNCTION("""COMPUTED_VALUE"""),23660.0)</f>
        <v>23660</v>
      </c>
      <c r="D1239" s="1">
        <f>IFERROR(__xludf.DUMMYFUNCTION("""COMPUTED_VALUE"""),23020.0)</f>
        <v>23020</v>
      </c>
      <c r="E1239" s="1">
        <f>IFERROR(__xludf.DUMMYFUNCTION("""COMPUTED_VALUE"""),23260.0)</f>
        <v>23260</v>
      </c>
      <c r="F1239" s="1">
        <f>IFERROR(__xludf.DUMMYFUNCTION("""COMPUTED_VALUE"""),282388.0)</f>
        <v>282388</v>
      </c>
    </row>
    <row r="1240">
      <c r="A1240" s="2">
        <f>IFERROR(__xludf.DUMMYFUNCTION("""COMPUTED_VALUE"""),42377.64583333333)</f>
        <v>42377.64583</v>
      </c>
      <c r="B1240" s="1">
        <f>IFERROR(__xludf.DUMMYFUNCTION("""COMPUTED_VALUE"""),23260.0)</f>
        <v>23260</v>
      </c>
      <c r="C1240" s="1">
        <f>IFERROR(__xludf.DUMMYFUNCTION("""COMPUTED_VALUE"""),23720.0)</f>
        <v>23720</v>
      </c>
      <c r="D1240" s="1">
        <f>IFERROR(__xludf.DUMMYFUNCTION("""COMPUTED_VALUE"""),23260.0)</f>
        <v>23260</v>
      </c>
      <c r="E1240" s="1">
        <f>IFERROR(__xludf.DUMMYFUNCTION("""COMPUTED_VALUE"""),23420.0)</f>
        <v>23420</v>
      </c>
      <c r="F1240" s="1">
        <f>IFERROR(__xludf.DUMMYFUNCTION("""COMPUTED_VALUE"""),257763.0)</f>
        <v>257763</v>
      </c>
    </row>
    <row r="1241">
      <c r="A1241" s="2">
        <f>IFERROR(__xludf.DUMMYFUNCTION("""COMPUTED_VALUE"""),42380.64583333333)</f>
        <v>42380.64583</v>
      </c>
      <c r="B1241" s="1">
        <f>IFERROR(__xludf.DUMMYFUNCTION("""COMPUTED_VALUE"""),23120.0)</f>
        <v>23120</v>
      </c>
      <c r="C1241" s="1">
        <f>IFERROR(__xludf.DUMMYFUNCTION("""COMPUTED_VALUE"""),23320.0)</f>
        <v>23320</v>
      </c>
      <c r="D1241" s="1">
        <f>IFERROR(__xludf.DUMMYFUNCTION("""COMPUTED_VALUE"""),22920.0)</f>
        <v>22920</v>
      </c>
      <c r="E1241" s="1">
        <f>IFERROR(__xludf.DUMMYFUNCTION("""COMPUTED_VALUE"""),23040.0)</f>
        <v>23040</v>
      </c>
      <c r="F1241" s="1">
        <f>IFERROR(__xludf.DUMMYFUNCTION("""COMPUTED_VALUE"""),241277.0)</f>
        <v>241277</v>
      </c>
    </row>
    <row r="1242">
      <c r="A1242" s="2">
        <f>IFERROR(__xludf.DUMMYFUNCTION("""COMPUTED_VALUE"""),42381.64583333333)</f>
        <v>42381.64583</v>
      </c>
      <c r="B1242" s="1">
        <f>IFERROR(__xludf.DUMMYFUNCTION("""COMPUTED_VALUE"""),22960.0)</f>
        <v>22960</v>
      </c>
      <c r="C1242" s="1">
        <f>IFERROR(__xludf.DUMMYFUNCTION("""COMPUTED_VALUE"""),23320.0)</f>
        <v>23320</v>
      </c>
      <c r="D1242" s="1">
        <f>IFERROR(__xludf.DUMMYFUNCTION("""COMPUTED_VALUE"""),22880.0)</f>
        <v>22880</v>
      </c>
      <c r="E1242" s="1">
        <f>IFERROR(__xludf.DUMMYFUNCTION("""COMPUTED_VALUE"""),22920.0)</f>
        <v>22920</v>
      </c>
      <c r="F1242" s="1">
        <f>IFERROR(__xludf.DUMMYFUNCTION("""COMPUTED_VALUE"""),206283.0)</f>
        <v>206283</v>
      </c>
    </row>
    <row r="1243">
      <c r="A1243" s="2">
        <f>IFERROR(__xludf.DUMMYFUNCTION("""COMPUTED_VALUE"""),42382.64583333333)</f>
        <v>42382.64583</v>
      </c>
      <c r="B1243" s="1">
        <f>IFERROR(__xludf.DUMMYFUNCTION("""COMPUTED_VALUE"""),23060.0)</f>
        <v>23060</v>
      </c>
      <c r="C1243" s="1">
        <f>IFERROR(__xludf.DUMMYFUNCTION("""COMPUTED_VALUE"""),23180.0)</f>
        <v>23180</v>
      </c>
      <c r="D1243" s="1">
        <f>IFERROR(__xludf.DUMMYFUNCTION("""COMPUTED_VALUE"""),22960.0)</f>
        <v>22960</v>
      </c>
      <c r="E1243" s="1">
        <f>IFERROR(__xludf.DUMMYFUNCTION("""COMPUTED_VALUE"""),22960.0)</f>
        <v>22960</v>
      </c>
      <c r="F1243" s="1">
        <f>IFERROR(__xludf.DUMMYFUNCTION("""COMPUTED_VALUE"""),143316.0)</f>
        <v>143316</v>
      </c>
    </row>
    <row r="1244">
      <c r="A1244" s="2">
        <f>IFERROR(__xludf.DUMMYFUNCTION("""COMPUTED_VALUE"""),42383.64583333333)</f>
        <v>42383.64583</v>
      </c>
      <c r="B1244" s="1">
        <f>IFERROR(__xludf.DUMMYFUNCTION("""COMPUTED_VALUE"""),22620.0)</f>
        <v>22620</v>
      </c>
      <c r="C1244" s="1">
        <f>IFERROR(__xludf.DUMMYFUNCTION("""COMPUTED_VALUE"""),22840.0)</f>
        <v>22840</v>
      </c>
      <c r="D1244" s="1">
        <f>IFERROR(__xludf.DUMMYFUNCTION("""COMPUTED_VALUE"""),22620.0)</f>
        <v>22620</v>
      </c>
      <c r="E1244" s="1">
        <f>IFERROR(__xludf.DUMMYFUNCTION("""COMPUTED_VALUE"""),22760.0)</f>
        <v>22760</v>
      </c>
      <c r="F1244" s="1">
        <f>IFERROR(__xludf.DUMMYFUNCTION("""COMPUTED_VALUE"""),209022.0)</f>
        <v>209022</v>
      </c>
    </row>
    <row r="1245">
      <c r="A1245" s="2">
        <f>IFERROR(__xludf.DUMMYFUNCTION("""COMPUTED_VALUE"""),42384.64583333333)</f>
        <v>42384.64583</v>
      </c>
      <c r="B1245" s="1">
        <f>IFERROR(__xludf.DUMMYFUNCTION("""COMPUTED_VALUE"""),22800.0)</f>
        <v>22800</v>
      </c>
      <c r="C1245" s="1">
        <f>IFERROR(__xludf.DUMMYFUNCTION("""COMPUTED_VALUE"""),23040.0)</f>
        <v>23040</v>
      </c>
      <c r="D1245" s="1">
        <f>IFERROR(__xludf.DUMMYFUNCTION("""COMPUTED_VALUE"""),22480.0)</f>
        <v>22480</v>
      </c>
      <c r="E1245" s="1">
        <f>IFERROR(__xludf.DUMMYFUNCTION("""COMPUTED_VALUE"""),22640.0)</f>
        <v>22640</v>
      </c>
      <c r="F1245" s="1">
        <f>IFERROR(__xludf.DUMMYFUNCTION("""COMPUTED_VALUE"""),209464.0)</f>
        <v>209464</v>
      </c>
    </row>
    <row r="1246">
      <c r="A1246" s="2">
        <f>IFERROR(__xludf.DUMMYFUNCTION("""COMPUTED_VALUE"""),42387.64583333333)</f>
        <v>42387.64583</v>
      </c>
      <c r="B1246" s="1">
        <f>IFERROR(__xludf.DUMMYFUNCTION("""COMPUTED_VALUE"""),21760.0)</f>
        <v>21760</v>
      </c>
      <c r="C1246" s="1">
        <f>IFERROR(__xludf.DUMMYFUNCTION("""COMPUTED_VALUE"""),22660.0)</f>
        <v>22660</v>
      </c>
      <c r="D1246" s="1">
        <f>IFERROR(__xludf.DUMMYFUNCTION("""COMPUTED_VALUE"""),21760.0)</f>
        <v>21760</v>
      </c>
      <c r="E1246" s="1">
        <f>IFERROR(__xludf.DUMMYFUNCTION("""COMPUTED_VALUE"""),22520.0)</f>
        <v>22520</v>
      </c>
      <c r="F1246" s="1">
        <f>IFERROR(__xludf.DUMMYFUNCTION("""COMPUTED_VALUE"""),320214.0)</f>
        <v>320214</v>
      </c>
    </row>
    <row r="1247">
      <c r="A1247" s="2">
        <f>IFERROR(__xludf.DUMMYFUNCTION("""COMPUTED_VALUE"""),42388.64583333333)</f>
        <v>42388.64583</v>
      </c>
      <c r="B1247" s="1">
        <f>IFERROR(__xludf.DUMMYFUNCTION("""COMPUTED_VALUE"""),22560.0)</f>
        <v>22560</v>
      </c>
      <c r="C1247" s="1">
        <f>IFERROR(__xludf.DUMMYFUNCTION("""COMPUTED_VALUE"""),23420.0)</f>
        <v>23420</v>
      </c>
      <c r="D1247" s="1">
        <f>IFERROR(__xludf.DUMMYFUNCTION("""COMPUTED_VALUE"""),22560.0)</f>
        <v>22560</v>
      </c>
      <c r="E1247" s="1">
        <f>IFERROR(__xludf.DUMMYFUNCTION("""COMPUTED_VALUE"""),23420.0)</f>
        <v>23420</v>
      </c>
      <c r="F1247" s="1">
        <f>IFERROR(__xludf.DUMMYFUNCTION("""COMPUTED_VALUE"""),207242.0)</f>
        <v>207242</v>
      </c>
    </row>
    <row r="1248">
      <c r="A1248" s="2">
        <f>IFERROR(__xludf.DUMMYFUNCTION("""COMPUTED_VALUE"""),42389.64583333333)</f>
        <v>42389.64583</v>
      </c>
      <c r="B1248" s="1">
        <f>IFERROR(__xludf.DUMMYFUNCTION("""COMPUTED_VALUE"""),23200.0)</f>
        <v>23200</v>
      </c>
      <c r="C1248" s="1">
        <f>IFERROR(__xludf.DUMMYFUNCTION("""COMPUTED_VALUE"""),23200.0)</f>
        <v>23200</v>
      </c>
      <c r="D1248" s="1">
        <f>IFERROR(__xludf.DUMMYFUNCTION("""COMPUTED_VALUE"""),22640.0)</f>
        <v>22640</v>
      </c>
      <c r="E1248" s="1">
        <f>IFERROR(__xludf.DUMMYFUNCTION("""COMPUTED_VALUE"""),22760.0)</f>
        <v>22760</v>
      </c>
      <c r="F1248" s="1">
        <f>IFERROR(__xludf.DUMMYFUNCTION("""COMPUTED_VALUE"""),167052.0)</f>
        <v>167052</v>
      </c>
    </row>
    <row r="1249">
      <c r="A1249" s="2">
        <f>IFERROR(__xludf.DUMMYFUNCTION("""COMPUTED_VALUE"""),42390.64583333333)</f>
        <v>42390.64583</v>
      </c>
      <c r="B1249" s="1">
        <f>IFERROR(__xludf.DUMMYFUNCTION("""COMPUTED_VALUE"""),22660.0)</f>
        <v>22660</v>
      </c>
      <c r="C1249" s="1">
        <f>IFERROR(__xludf.DUMMYFUNCTION("""COMPUTED_VALUE"""),23100.0)</f>
        <v>23100</v>
      </c>
      <c r="D1249" s="1">
        <f>IFERROR(__xludf.DUMMYFUNCTION("""COMPUTED_VALUE"""),22500.0)</f>
        <v>22500</v>
      </c>
      <c r="E1249" s="1">
        <f>IFERROR(__xludf.DUMMYFUNCTION("""COMPUTED_VALUE"""),22620.0)</f>
        <v>22620</v>
      </c>
      <c r="F1249" s="1">
        <f>IFERROR(__xludf.DUMMYFUNCTION("""COMPUTED_VALUE"""),190352.0)</f>
        <v>190352</v>
      </c>
    </row>
    <row r="1250">
      <c r="A1250" s="2">
        <f>IFERROR(__xludf.DUMMYFUNCTION("""COMPUTED_VALUE"""),42394.64583333333)</f>
        <v>42394.64583</v>
      </c>
      <c r="B1250" s="1">
        <f>IFERROR(__xludf.DUMMYFUNCTION("""COMPUTED_VALUE"""),23440.0)</f>
        <v>23440</v>
      </c>
      <c r="C1250" s="1">
        <f>IFERROR(__xludf.DUMMYFUNCTION("""COMPUTED_VALUE"""),23520.0)</f>
        <v>23520</v>
      </c>
      <c r="D1250" s="1">
        <f>IFERROR(__xludf.DUMMYFUNCTION("""COMPUTED_VALUE"""),23120.0)</f>
        <v>23120</v>
      </c>
      <c r="E1250" s="1">
        <f>IFERROR(__xludf.DUMMYFUNCTION("""COMPUTED_VALUE"""),23240.0)</f>
        <v>23240</v>
      </c>
      <c r="F1250" s="1">
        <f>IFERROR(__xludf.DUMMYFUNCTION("""COMPUTED_VALUE"""),159913.0)</f>
        <v>159913</v>
      </c>
    </row>
    <row r="1251">
      <c r="A1251" s="2">
        <f>IFERROR(__xludf.DUMMYFUNCTION("""COMPUTED_VALUE"""),42395.64583333333)</f>
        <v>42395.64583</v>
      </c>
      <c r="B1251" s="1">
        <f>IFERROR(__xludf.DUMMYFUNCTION("""COMPUTED_VALUE"""),23100.0)</f>
        <v>23100</v>
      </c>
      <c r="C1251" s="1">
        <f>IFERROR(__xludf.DUMMYFUNCTION("""COMPUTED_VALUE"""),23140.0)</f>
        <v>23140</v>
      </c>
      <c r="D1251" s="1">
        <f>IFERROR(__xludf.DUMMYFUNCTION("""COMPUTED_VALUE"""),22720.0)</f>
        <v>22720</v>
      </c>
      <c r="E1251" s="1">
        <f>IFERROR(__xludf.DUMMYFUNCTION("""COMPUTED_VALUE"""),22740.0)</f>
        <v>22740</v>
      </c>
      <c r="F1251" s="1">
        <f>IFERROR(__xludf.DUMMYFUNCTION("""COMPUTED_VALUE"""),152399.0)</f>
        <v>152399</v>
      </c>
    </row>
    <row r="1252">
      <c r="A1252" s="2">
        <f>IFERROR(__xludf.DUMMYFUNCTION("""COMPUTED_VALUE"""),42396.64583333333)</f>
        <v>42396.64583</v>
      </c>
      <c r="B1252" s="1">
        <f>IFERROR(__xludf.DUMMYFUNCTION("""COMPUTED_VALUE"""),22520.0)</f>
        <v>22520</v>
      </c>
      <c r="C1252" s="1">
        <f>IFERROR(__xludf.DUMMYFUNCTION("""COMPUTED_VALUE"""),23500.0)</f>
        <v>23500</v>
      </c>
      <c r="D1252" s="1">
        <f>IFERROR(__xludf.DUMMYFUNCTION("""COMPUTED_VALUE"""),22520.0)</f>
        <v>22520</v>
      </c>
      <c r="E1252" s="1">
        <f>IFERROR(__xludf.DUMMYFUNCTION("""COMPUTED_VALUE"""),23500.0)</f>
        <v>23500</v>
      </c>
      <c r="F1252" s="1">
        <f>IFERROR(__xludf.DUMMYFUNCTION("""COMPUTED_VALUE"""),276237.0)</f>
        <v>276237</v>
      </c>
    </row>
    <row r="1253">
      <c r="A1253" s="2">
        <f>IFERROR(__xludf.DUMMYFUNCTION("""COMPUTED_VALUE"""),42397.64583333333)</f>
        <v>42397.64583</v>
      </c>
      <c r="B1253" s="1">
        <f>IFERROR(__xludf.DUMMYFUNCTION("""COMPUTED_VALUE"""),23280.0)</f>
        <v>23280</v>
      </c>
      <c r="C1253" s="1">
        <f>IFERROR(__xludf.DUMMYFUNCTION("""COMPUTED_VALUE"""),23360.0)</f>
        <v>23360</v>
      </c>
      <c r="D1253" s="1">
        <f>IFERROR(__xludf.DUMMYFUNCTION("""COMPUTED_VALUE"""),22780.0)</f>
        <v>22780</v>
      </c>
      <c r="E1253" s="1">
        <f>IFERROR(__xludf.DUMMYFUNCTION("""COMPUTED_VALUE"""),22900.0)</f>
        <v>22900</v>
      </c>
      <c r="F1253" s="1">
        <f>IFERROR(__xludf.DUMMYFUNCTION("""COMPUTED_VALUE"""),315912.0)</f>
        <v>315912</v>
      </c>
    </row>
    <row r="1254">
      <c r="A1254" s="2">
        <f>IFERROR(__xludf.DUMMYFUNCTION("""COMPUTED_VALUE"""),42398.64583333333)</f>
        <v>42398.64583</v>
      </c>
      <c r="B1254" s="1">
        <f>IFERROR(__xludf.DUMMYFUNCTION("""COMPUTED_VALUE"""),22800.0)</f>
        <v>22800</v>
      </c>
      <c r="C1254" s="1">
        <f>IFERROR(__xludf.DUMMYFUNCTION("""COMPUTED_VALUE"""),23000.0)</f>
        <v>23000</v>
      </c>
      <c r="D1254" s="1">
        <f>IFERROR(__xludf.DUMMYFUNCTION("""COMPUTED_VALUE"""),22320.0)</f>
        <v>22320</v>
      </c>
      <c r="E1254" s="1">
        <f>IFERROR(__xludf.DUMMYFUNCTION("""COMPUTED_VALUE"""),23000.0)</f>
        <v>23000</v>
      </c>
      <c r="F1254" s="1">
        <f>IFERROR(__xludf.DUMMYFUNCTION("""COMPUTED_VALUE"""),436983.0)</f>
        <v>436983</v>
      </c>
    </row>
    <row r="1255">
      <c r="A1255" s="2">
        <f>IFERROR(__xludf.DUMMYFUNCTION("""COMPUTED_VALUE"""),42401.64583333333)</f>
        <v>42401.64583</v>
      </c>
      <c r="B1255" s="1">
        <f>IFERROR(__xludf.DUMMYFUNCTION("""COMPUTED_VALUE"""),23040.0)</f>
        <v>23040</v>
      </c>
      <c r="C1255" s="1">
        <f>IFERROR(__xludf.DUMMYFUNCTION("""COMPUTED_VALUE"""),23260.0)</f>
        <v>23260</v>
      </c>
      <c r="D1255" s="1">
        <f>IFERROR(__xludf.DUMMYFUNCTION("""COMPUTED_VALUE"""),23020.0)</f>
        <v>23020</v>
      </c>
      <c r="E1255" s="1">
        <f>IFERROR(__xludf.DUMMYFUNCTION("""COMPUTED_VALUE"""),23260.0)</f>
        <v>23260</v>
      </c>
      <c r="F1255" s="1">
        <f>IFERROR(__xludf.DUMMYFUNCTION("""COMPUTED_VALUE"""),259979.0)</f>
        <v>259979</v>
      </c>
    </row>
    <row r="1256">
      <c r="A1256" s="2">
        <f>IFERROR(__xludf.DUMMYFUNCTION("""COMPUTED_VALUE"""),42403.64583333333)</f>
        <v>42403.64583</v>
      </c>
      <c r="B1256" s="1">
        <f>IFERROR(__xludf.DUMMYFUNCTION("""COMPUTED_VALUE"""),23000.0)</f>
        <v>23000</v>
      </c>
      <c r="C1256" s="1">
        <f>IFERROR(__xludf.DUMMYFUNCTION("""COMPUTED_VALUE"""),23040.0)</f>
        <v>23040</v>
      </c>
      <c r="D1256" s="1">
        <f>IFERROR(__xludf.DUMMYFUNCTION("""COMPUTED_VALUE"""),22740.0)</f>
        <v>22740</v>
      </c>
      <c r="E1256" s="1">
        <f>IFERROR(__xludf.DUMMYFUNCTION("""COMPUTED_VALUE"""),22920.0)</f>
        <v>22920</v>
      </c>
      <c r="F1256" s="1">
        <f>IFERROR(__xludf.DUMMYFUNCTION("""COMPUTED_VALUE"""),174507.0)</f>
        <v>174507</v>
      </c>
    </row>
    <row r="1257">
      <c r="A1257" s="2">
        <f>IFERROR(__xludf.DUMMYFUNCTION("""COMPUTED_VALUE"""),42404.64583333333)</f>
        <v>42404.64583</v>
      </c>
      <c r="B1257" s="1">
        <f>IFERROR(__xludf.DUMMYFUNCTION("""COMPUTED_VALUE"""),23000.0)</f>
        <v>23000</v>
      </c>
      <c r="C1257" s="1">
        <f>IFERROR(__xludf.DUMMYFUNCTION("""COMPUTED_VALUE"""),23220.0)</f>
        <v>23220</v>
      </c>
      <c r="D1257" s="1">
        <f>IFERROR(__xludf.DUMMYFUNCTION("""COMPUTED_VALUE"""),22960.0)</f>
        <v>22960</v>
      </c>
      <c r="E1257" s="1">
        <f>IFERROR(__xludf.DUMMYFUNCTION("""COMPUTED_VALUE"""),23120.0)</f>
        <v>23120</v>
      </c>
      <c r="F1257" s="1">
        <f>IFERROR(__xludf.DUMMYFUNCTION("""COMPUTED_VALUE"""),247959.0)</f>
        <v>247959</v>
      </c>
    </row>
    <row r="1258">
      <c r="A1258" s="2">
        <f>IFERROR(__xludf.DUMMYFUNCTION("""COMPUTED_VALUE"""),42405.64583333333)</f>
        <v>42405.64583</v>
      </c>
      <c r="B1258" s="1">
        <f>IFERROR(__xludf.DUMMYFUNCTION("""COMPUTED_VALUE"""),23120.0)</f>
        <v>23120</v>
      </c>
      <c r="C1258" s="1">
        <f>IFERROR(__xludf.DUMMYFUNCTION("""COMPUTED_VALUE"""),23380.0)</f>
        <v>23380</v>
      </c>
      <c r="D1258" s="1">
        <f>IFERROR(__xludf.DUMMYFUNCTION("""COMPUTED_VALUE"""),23120.0)</f>
        <v>23120</v>
      </c>
      <c r="E1258" s="1">
        <f>IFERROR(__xludf.DUMMYFUNCTION("""COMPUTED_VALUE"""),23280.0)</f>
        <v>23280</v>
      </c>
      <c r="F1258" s="1">
        <f>IFERROR(__xludf.DUMMYFUNCTION("""COMPUTED_VALUE"""),188094.0)</f>
        <v>188094</v>
      </c>
    </row>
    <row r="1259">
      <c r="A1259" s="2">
        <f>IFERROR(__xludf.DUMMYFUNCTION("""COMPUTED_VALUE"""),42411.64583333333)</f>
        <v>42411.64583</v>
      </c>
      <c r="B1259" s="1">
        <f>IFERROR(__xludf.DUMMYFUNCTION("""COMPUTED_VALUE"""),22360.0)</f>
        <v>22360</v>
      </c>
      <c r="C1259" s="1">
        <f>IFERROR(__xludf.DUMMYFUNCTION("""COMPUTED_VALUE"""),22740.0)</f>
        <v>22740</v>
      </c>
      <c r="D1259" s="1">
        <f>IFERROR(__xludf.DUMMYFUNCTION("""COMPUTED_VALUE"""),22360.0)</f>
        <v>22360</v>
      </c>
      <c r="E1259" s="1">
        <f>IFERROR(__xludf.DUMMYFUNCTION("""COMPUTED_VALUE"""),22600.0)</f>
        <v>22600</v>
      </c>
      <c r="F1259" s="1">
        <f>IFERROR(__xludf.DUMMYFUNCTION("""COMPUTED_VALUE"""),305262.0)</f>
        <v>305262</v>
      </c>
    </row>
    <row r="1260">
      <c r="A1260" s="2">
        <f>IFERROR(__xludf.DUMMYFUNCTION("""COMPUTED_VALUE"""),42412.64583333333)</f>
        <v>42412.64583</v>
      </c>
      <c r="B1260" s="1">
        <f>IFERROR(__xludf.DUMMYFUNCTION("""COMPUTED_VALUE"""),22600.0)</f>
        <v>22600</v>
      </c>
      <c r="C1260" s="1">
        <f>IFERROR(__xludf.DUMMYFUNCTION("""COMPUTED_VALUE"""),23020.0)</f>
        <v>23020</v>
      </c>
      <c r="D1260" s="1">
        <f>IFERROR(__xludf.DUMMYFUNCTION("""COMPUTED_VALUE"""),22440.0)</f>
        <v>22440</v>
      </c>
      <c r="E1260" s="1">
        <f>IFERROR(__xludf.DUMMYFUNCTION("""COMPUTED_VALUE"""),22600.0)</f>
        <v>22600</v>
      </c>
      <c r="F1260" s="1">
        <f>IFERROR(__xludf.DUMMYFUNCTION("""COMPUTED_VALUE"""),256232.0)</f>
        <v>256232</v>
      </c>
    </row>
    <row r="1261">
      <c r="A1261" s="2">
        <f>IFERROR(__xludf.DUMMYFUNCTION("""COMPUTED_VALUE"""),42415.64583333333)</f>
        <v>42415.64583</v>
      </c>
      <c r="B1261" s="1">
        <f>IFERROR(__xludf.DUMMYFUNCTION("""COMPUTED_VALUE"""),23080.0)</f>
        <v>23080</v>
      </c>
      <c r="C1261" s="1">
        <f>IFERROR(__xludf.DUMMYFUNCTION("""COMPUTED_VALUE"""),23200.0)</f>
        <v>23200</v>
      </c>
      <c r="D1261" s="1">
        <f>IFERROR(__xludf.DUMMYFUNCTION("""COMPUTED_VALUE"""),22880.0)</f>
        <v>22880</v>
      </c>
      <c r="E1261" s="1">
        <f>IFERROR(__xludf.DUMMYFUNCTION("""COMPUTED_VALUE"""),23080.0)</f>
        <v>23080</v>
      </c>
      <c r="F1261" s="1">
        <f>IFERROR(__xludf.DUMMYFUNCTION("""COMPUTED_VALUE"""),183146.0)</f>
        <v>183146</v>
      </c>
    </row>
    <row r="1262">
      <c r="A1262" s="2">
        <f>IFERROR(__xludf.DUMMYFUNCTION("""COMPUTED_VALUE"""),42416.64583333333)</f>
        <v>42416.64583</v>
      </c>
      <c r="B1262" s="1">
        <f>IFERROR(__xludf.DUMMYFUNCTION("""COMPUTED_VALUE"""),23160.0)</f>
        <v>23160</v>
      </c>
      <c r="C1262" s="1">
        <f>IFERROR(__xludf.DUMMYFUNCTION("""COMPUTED_VALUE"""),23580.0)</f>
        <v>23580</v>
      </c>
      <c r="D1262" s="1">
        <f>IFERROR(__xludf.DUMMYFUNCTION("""COMPUTED_VALUE"""),23140.0)</f>
        <v>23140</v>
      </c>
      <c r="E1262" s="1">
        <f>IFERROR(__xludf.DUMMYFUNCTION("""COMPUTED_VALUE"""),23360.0)</f>
        <v>23360</v>
      </c>
      <c r="F1262" s="1">
        <f>IFERROR(__xludf.DUMMYFUNCTION("""COMPUTED_VALUE"""),180401.0)</f>
        <v>180401</v>
      </c>
    </row>
    <row r="1263">
      <c r="A1263" s="2">
        <f>IFERROR(__xludf.DUMMYFUNCTION("""COMPUTED_VALUE"""),42417.64583333333)</f>
        <v>42417.64583</v>
      </c>
      <c r="B1263" s="1">
        <f>IFERROR(__xludf.DUMMYFUNCTION("""COMPUTED_VALUE"""),23580.0)</f>
        <v>23580</v>
      </c>
      <c r="C1263" s="1">
        <f>IFERROR(__xludf.DUMMYFUNCTION("""COMPUTED_VALUE"""),24020.0)</f>
        <v>24020</v>
      </c>
      <c r="D1263" s="1">
        <f>IFERROR(__xludf.DUMMYFUNCTION("""COMPUTED_VALUE"""),23380.0)</f>
        <v>23380</v>
      </c>
      <c r="E1263" s="1">
        <f>IFERROR(__xludf.DUMMYFUNCTION("""COMPUTED_VALUE"""),23700.0)</f>
        <v>23700</v>
      </c>
      <c r="F1263" s="1">
        <f>IFERROR(__xludf.DUMMYFUNCTION("""COMPUTED_VALUE"""),246062.0)</f>
        <v>246062</v>
      </c>
    </row>
    <row r="1264">
      <c r="A1264" s="2">
        <f>IFERROR(__xludf.DUMMYFUNCTION("""COMPUTED_VALUE"""),42418.64583333333)</f>
        <v>42418.64583</v>
      </c>
      <c r="B1264" s="1">
        <f>IFERROR(__xludf.DUMMYFUNCTION("""COMPUTED_VALUE"""),24060.0)</f>
        <v>24060</v>
      </c>
      <c r="C1264" s="1">
        <f>IFERROR(__xludf.DUMMYFUNCTION("""COMPUTED_VALUE"""),24060.0)</f>
        <v>24060</v>
      </c>
      <c r="D1264" s="1">
        <f>IFERROR(__xludf.DUMMYFUNCTION("""COMPUTED_VALUE"""),23560.0)</f>
        <v>23560</v>
      </c>
      <c r="E1264" s="1">
        <f>IFERROR(__xludf.DUMMYFUNCTION("""COMPUTED_VALUE"""),23740.0)</f>
        <v>23740</v>
      </c>
      <c r="F1264" s="1">
        <f>IFERROR(__xludf.DUMMYFUNCTION("""COMPUTED_VALUE"""),222481.0)</f>
        <v>222481</v>
      </c>
    </row>
    <row r="1265">
      <c r="A1265" s="2">
        <f>IFERROR(__xludf.DUMMYFUNCTION("""COMPUTED_VALUE"""),42419.64583333333)</f>
        <v>42419.64583</v>
      </c>
      <c r="B1265" s="1">
        <f>IFERROR(__xludf.DUMMYFUNCTION("""COMPUTED_VALUE"""),23740.0)</f>
        <v>23740</v>
      </c>
      <c r="C1265" s="1">
        <f>IFERROR(__xludf.DUMMYFUNCTION("""COMPUTED_VALUE"""),23900.0)</f>
        <v>23900</v>
      </c>
      <c r="D1265" s="1">
        <f>IFERROR(__xludf.DUMMYFUNCTION("""COMPUTED_VALUE"""),23480.0)</f>
        <v>23480</v>
      </c>
      <c r="E1265" s="1">
        <f>IFERROR(__xludf.DUMMYFUNCTION("""COMPUTED_VALUE"""),23800.0)</f>
        <v>23800</v>
      </c>
      <c r="F1265" s="1">
        <f>IFERROR(__xludf.DUMMYFUNCTION("""COMPUTED_VALUE"""),176852.0)</f>
        <v>176852</v>
      </c>
    </row>
    <row r="1266">
      <c r="A1266" s="2">
        <f>IFERROR(__xludf.DUMMYFUNCTION("""COMPUTED_VALUE"""),42423.64583333333)</f>
        <v>42423.64583</v>
      </c>
      <c r="B1266" s="1">
        <f>IFERROR(__xludf.DUMMYFUNCTION("""COMPUTED_VALUE"""),23580.0)</f>
        <v>23580</v>
      </c>
      <c r="C1266" s="1">
        <f>IFERROR(__xludf.DUMMYFUNCTION("""COMPUTED_VALUE"""),23780.0)</f>
        <v>23780</v>
      </c>
      <c r="D1266" s="1">
        <f>IFERROR(__xludf.DUMMYFUNCTION("""COMPUTED_VALUE"""),23460.0)</f>
        <v>23460</v>
      </c>
      <c r="E1266" s="1">
        <f>IFERROR(__xludf.DUMMYFUNCTION("""COMPUTED_VALUE"""),23620.0)</f>
        <v>23620</v>
      </c>
      <c r="F1266" s="1">
        <f>IFERROR(__xludf.DUMMYFUNCTION("""COMPUTED_VALUE"""),147674.0)</f>
        <v>147674</v>
      </c>
    </row>
    <row r="1267">
      <c r="A1267" s="2">
        <f>IFERROR(__xludf.DUMMYFUNCTION("""COMPUTED_VALUE"""),42424.64583333333)</f>
        <v>42424.64583</v>
      </c>
      <c r="B1267" s="1">
        <f>IFERROR(__xludf.DUMMYFUNCTION("""COMPUTED_VALUE"""),23560.0)</f>
        <v>23560</v>
      </c>
      <c r="C1267" s="1">
        <f>IFERROR(__xludf.DUMMYFUNCTION("""COMPUTED_VALUE"""),23580.0)</f>
        <v>23580</v>
      </c>
      <c r="D1267" s="1">
        <f>IFERROR(__xludf.DUMMYFUNCTION("""COMPUTED_VALUE"""),23220.0)</f>
        <v>23220</v>
      </c>
      <c r="E1267" s="1">
        <f>IFERROR(__xludf.DUMMYFUNCTION("""COMPUTED_VALUE"""),23440.0)</f>
        <v>23440</v>
      </c>
      <c r="F1267" s="1">
        <f>IFERROR(__xludf.DUMMYFUNCTION("""COMPUTED_VALUE"""),140484.0)</f>
        <v>140484</v>
      </c>
    </row>
    <row r="1268">
      <c r="A1268" s="2">
        <f>IFERROR(__xludf.DUMMYFUNCTION("""COMPUTED_VALUE"""),42425.64583333333)</f>
        <v>42425.64583</v>
      </c>
      <c r="B1268" s="1">
        <f>IFERROR(__xludf.DUMMYFUNCTION("""COMPUTED_VALUE"""),23440.0)</f>
        <v>23440</v>
      </c>
      <c r="C1268" s="1">
        <f>IFERROR(__xludf.DUMMYFUNCTION("""COMPUTED_VALUE"""),23740.0)</f>
        <v>23740</v>
      </c>
      <c r="D1268" s="1">
        <f>IFERROR(__xludf.DUMMYFUNCTION("""COMPUTED_VALUE"""),23440.0)</f>
        <v>23440</v>
      </c>
      <c r="E1268" s="1">
        <f>IFERROR(__xludf.DUMMYFUNCTION("""COMPUTED_VALUE"""),23580.0)</f>
        <v>23580</v>
      </c>
      <c r="F1268" s="1">
        <f>IFERROR(__xludf.DUMMYFUNCTION("""COMPUTED_VALUE"""),133635.0)</f>
        <v>133635</v>
      </c>
    </row>
    <row r="1269">
      <c r="A1269" s="2">
        <f>IFERROR(__xludf.DUMMYFUNCTION("""COMPUTED_VALUE"""),42426.64583333333)</f>
        <v>42426.64583</v>
      </c>
      <c r="B1269" s="1">
        <f>IFERROR(__xludf.DUMMYFUNCTION("""COMPUTED_VALUE"""),23600.0)</f>
        <v>23600</v>
      </c>
      <c r="C1269" s="1">
        <f>IFERROR(__xludf.DUMMYFUNCTION("""COMPUTED_VALUE"""),23740.0)</f>
        <v>23740</v>
      </c>
      <c r="D1269" s="1">
        <f>IFERROR(__xludf.DUMMYFUNCTION("""COMPUTED_VALUE"""),23440.0)</f>
        <v>23440</v>
      </c>
      <c r="E1269" s="1">
        <f>IFERROR(__xludf.DUMMYFUNCTION("""COMPUTED_VALUE"""),23440.0)</f>
        <v>23440</v>
      </c>
      <c r="F1269" s="1">
        <f>IFERROR(__xludf.DUMMYFUNCTION("""COMPUTED_VALUE"""),177344.0)</f>
        <v>177344</v>
      </c>
    </row>
    <row r="1270">
      <c r="A1270" s="2">
        <f>IFERROR(__xludf.DUMMYFUNCTION("""COMPUTED_VALUE"""),42429.64583333333)</f>
        <v>42429.64583</v>
      </c>
      <c r="B1270" s="1">
        <f>IFERROR(__xludf.DUMMYFUNCTION("""COMPUTED_VALUE"""),23580.0)</f>
        <v>23580</v>
      </c>
      <c r="C1270" s="1">
        <f>IFERROR(__xludf.DUMMYFUNCTION("""COMPUTED_VALUE"""),23880.0)</f>
        <v>23880</v>
      </c>
      <c r="D1270" s="1">
        <f>IFERROR(__xludf.DUMMYFUNCTION("""COMPUTED_VALUE"""),23520.0)</f>
        <v>23520</v>
      </c>
      <c r="E1270" s="1">
        <f>IFERROR(__xludf.DUMMYFUNCTION("""COMPUTED_VALUE"""),23560.0)</f>
        <v>23560</v>
      </c>
      <c r="F1270" s="1">
        <f>IFERROR(__xludf.DUMMYFUNCTION("""COMPUTED_VALUE"""),288680.0)</f>
        <v>288680</v>
      </c>
    </row>
    <row r="1271">
      <c r="A1271" s="2">
        <f>IFERROR(__xludf.DUMMYFUNCTION("""COMPUTED_VALUE"""),42431.64583333333)</f>
        <v>42431.64583</v>
      </c>
      <c r="B1271" s="1">
        <f>IFERROR(__xludf.DUMMYFUNCTION("""COMPUTED_VALUE"""),24000.0)</f>
        <v>24000</v>
      </c>
      <c r="C1271" s="1">
        <f>IFERROR(__xludf.DUMMYFUNCTION("""COMPUTED_VALUE"""),24140.0)</f>
        <v>24140</v>
      </c>
      <c r="D1271" s="1">
        <f>IFERROR(__xludf.DUMMYFUNCTION("""COMPUTED_VALUE"""),23920.0)</f>
        <v>23920</v>
      </c>
      <c r="E1271" s="1">
        <f>IFERROR(__xludf.DUMMYFUNCTION("""COMPUTED_VALUE"""),23940.0)</f>
        <v>23940</v>
      </c>
      <c r="F1271" s="1">
        <f>IFERROR(__xludf.DUMMYFUNCTION("""COMPUTED_VALUE"""),236372.0)</f>
        <v>236372</v>
      </c>
    </row>
    <row r="1272">
      <c r="A1272" s="2">
        <f>IFERROR(__xludf.DUMMYFUNCTION("""COMPUTED_VALUE"""),42432.64583333333)</f>
        <v>42432.64583</v>
      </c>
      <c r="B1272" s="1">
        <f>IFERROR(__xludf.DUMMYFUNCTION("""COMPUTED_VALUE"""),24260.0)</f>
        <v>24260</v>
      </c>
      <c r="C1272" s="1">
        <f>IFERROR(__xludf.DUMMYFUNCTION("""COMPUTED_VALUE"""),24400.0)</f>
        <v>24400</v>
      </c>
      <c r="D1272" s="1">
        <f>IFERROR(__xludf.DUMMYFUNCTION("""COMPUTED_VALUE"""),24040.0)</f>
        <v>24040</v>
      </c>
      <c r="E1272" s="1">
        <f>IFERROR(__xludf.DUMMYFUNCTION("""COMPUTED_VALUE"""),24400.0)</f>
        <v>24400</v>
      </c>
      <c r="F1272" s="1">
        <f>IFERROR(__xludf.DUMMYFUNCTION("""COMPUTED_VALUE"""),218991.0)</f>
        <v>218991</v>
      </c>
    </row>
    <row r="1273">
      <c r="A1273" s="2">
        <f>IFERROR(__xludf.DUMMYFUNCTION("""COMPUTED_VALUE"""),42433.64583333333)</f>
        <v>42433.64583</v>
      </c>
      <c r="B1273" s="1">
        <f>IFERROR(__xludf.DUMMYFUNCTION("""COMPUTED_VALUE"""),24400.0)</f>
        <v>24400</v>
      </c>
      <c r="C1273" s="1">
        <f>IFERROR(__xludf.DUMMYFUNCTION("""COMPUTED_VALUE"""),24560.0)</f>
        <v>24560</v>
      </c>
      <c r="D1273" s="1">
        <f>IFERROR(__xludf.DUMMYFUNCTION("""COMPUTED_VALUE"""),24040.0)</f>
        <v>24040</v>
      </c>
      <c r="E1273" s="1">
        <f>IFERROR(__xludf.DUMMYFUNCTION("""COMPUTED_VALUE"""),24300.0)</f>
        <v>24300</v>
      </c>
      <c r="F1273" s="1">
        <f>IFERROR(__xludf.DUMMYFUNCTION("""COMPUTED_VALUE"""),201490.0)</f>
        <v>201490</v>
      </c>
    </row>
    <row r="1274">
      <c r="A1274" s="2">
        <f>IFERROR(__xludf.DUMMYFUNCTION("""COMPUTED_VALUE"""),42436.64583333333)</f>
        <v>42436.64583</v>
      </c>
      <c r="B1274" s="1">
        <f>IFERROR(__xludf.DUMMYFUNCTION("""COMPUTED_VALUE"""),24400.0)</f>
        <v>24400</v>
      </c>
      <c r="C1274" s="1">
        <f>IFERROR(__xludf.DUMMYFUNCTION("""COMPUTED_VALUE"""),24620.0)</f>
        <v>24620</v>
      </c>
      <c r="D1274" s="1">
        <f>IFERROR(__xludf.DUMMYFUNCTION("""COMPUTED_VALUE"""),24300.0)</f>
        <v>24300</v>
      </c>
      <c r="E1274" s="1">
        <f>IFERROR(__xludf.DUMMYFUNCTION("""COMPUTED_VALUE"""),24460.0)</f>
        <v>24460</v>
      </c>
      <c r="F1274" s="1">
        <f>IFERROR(__xludf.DUMMYFUNCTION("""COMPUTED_VALUE"""),131376.0)</f>
        <v>131376</v>
      </c>
    </row>
    <row r="1275">
      <c r="A1275" s="2">
        <f>IFERROR(__xludf.DUMMYFUNCTION("""COMPUTED_VALUE"""),42437.64583333333)</f>
        <v>42437.64583</v>
      </c>
      <c r="B1275" s="1">
        <f>IFERROR(__xludf.DUMMYFUNCTION("""COMPUTED_VALUE"""),24460.0)</f>
        <v>24460</v>
      </c>
      <c r="C1275" s="1">
        <f>IFERROR(__xludf.DUMMYFUNCTION("""COMPUTED_VALUE"""),24480.0)</f>
        <v>24480</v>
      </c>
      <c r="D1275" s="1">
        <f>IFERROR(__xludf.DUMMYFUNCTION("""COMPUTED_VALUE"""),23720.0)</f>
        <v>23720</v>
      </c>
      <c r="E1275" s="1">
        <f>IFERROR(__xludf.DUMMYFUNCTION("""COMPUTED_VALUE"""),23840.0)</f>
        <v>23840</v>
      </c>
      <c r="F1275" s="1">
        <f>IFERROR(__xludf.DUMMYFUNCTION("""COMPUTED_VALUE"""),216202.0)</f>
        <v>216202</v>
      </c>
    </row>
    <row r="1276">
      <c r="A1276" s="2">
        <f>IFERROR(__xludf.DUMMYFUNCTION("""COMPUTED_VALUE"""),42438.64583333333)</f>
        <v>42438.64583</v>
      </c>
      <c r="B1276" s="1">
        <f>IFERROR(__xludf.DUMMYFUNCTION("""COMPUTED_VALUE"""),23760.0)</f>
        <v>23760</v>
      </c>
      <c r="C1276" s="1">
        <f>IFERROR(__xludf.DUMMYFUNCTION("""COMPUTED_VALUE"""),23980.0)</f>
        <v>23980</v>
      </c>
      <c r="D1276" s="1">
        <f>IFERROR(__xludf.DUMMYFUNCTION("""COMPUTED_VALUE"""),23540.0)</f>
        <v>23540</v>
      </c>
      <c r="E1276" s="1">
        <f>IFERROR(__xludf.DUMMYFUNCTION("""COMPUTED_VALUE"""),23880.0)</f>
        <v>23880</v>
      </c>
      <c r="F1276" s="1">
        <f>IFERROR(__xludf.DUMMYFUNCTION("""COMPUTED_VALUE"""),183380.0)</f>
        <v>183380</v>
      </c>
    </row>
    <row r="1277">
      <c r="A1277" s="2">
        <f>IFERROR(__xludf.DUMMYFUNCTION("""COMPUTED_VALUE"""),42439.64583333333)</f>
        <v>42439.64583</v>
      </c>
      <c r="B1277" s="1">
        <f>IFERROR(__xludf.DUMMYFUNCTION("""COMPUTED_VALUE"""),24160.0)</f>
        <v>24160</v>
      </c>
      <c r="C1277" s="1">
        <f>IFERROR(__xludf.DUMMYFUNCTION("""COMPUTED_VALUE"""),24720.0)</f>
        <v>24720</v>
      </c>
      <c r="D1277" s="1">
        <f>IFERROR(__xludf.DUMMYFUNCTION("""COMPUTED_VALUE"""),24020.0)</f>
        <v>24020</v>
      </c>
      <c r="E1277" s="1">
        <f>IFERROR(__xludf.DUMMYFUNCTION("""COMPUTED_VALUE"""),24500.0)</f>
        <v>24500</v>
      </c>
      <c r="F1277" s="1">
        <f>IFERROR(__xludf.DUMMYFUNCTION("""COMPUTED_VALUE"""),283540.0)</f>
        <v>283540</v>
      </c>
    </row>
    <row r="1278">
      <c r="A1278" s="2">
        <f>IFERROR(__xludf.DUMMYFUNCTION("""COMPUTED_VALUE"""),42440.64583333333)</f>
        <v>42440.64583</v>
      </c>
      <c r="B1278" s="1">
        <f>IFERROR(__xludf.DUMMYFUNCTION("""COMPUTED_VALUE"""),24500.0)</f>
        <v>24500</v>
      </c>
      <c r="C1278" s="1">
        <f>IFERROR(__xludf.DUMMYFUNCTION("""COMPUTED_VALUE"""),25060.0)</f>
        <v>25060</v>
      </c>
      <c r="D1278" s="1">
        <f>IFERROR(__xludf.DUMMYFUNCTION("""COMPUTED_VALUE"""),24320.0)</f>
        <v>24320</v>
      </c>
      <c r="E1278" s="1">
        <f>IFERROR(__xludf.DUMMYFUNCTION("""COMPUTED_VALUE"""),24980.0)</f>
        <v>24980</v>
      </c>
      <c r="F1278" s="1">
        <f>IFERROR(__xludf.DUMMYFUNCTION("""COMPUTED_VALUE"""),267225.0)</f>
        <v>267225</v>
      </c>
    </row>
    <row r="1279">
      <c r="A1279" s="2">
        <f>IFERROR(__xludf.DUMMYFUNCTION("""COMPUTED_VALUE"""),42443.64583333333)</f>
        <v>42443.64583</v>
      </c>
      <c r="B1279" s="1">
        <f>IFERROR(__xludf.DUMMYFUNCTION("""COMPUTED_VALUE"""),25340.0)</f>
        <v>25340</v>
      </c>
      <c r="C1279" s="1">
        <f>IFERROR(__xludf.DUMMYFUNCTION("""COMPUTED_VALUE"""),25460.0)</f>
        <v>25460</v>
      </c>
      <c r="D1279" s="1">
        <f>IFERROR(__xludf.DUMMYFUNCTION("""COMPUTED_VALUE"""),24980.0)</f>
        <v>24980</v>
      </c>
      <c r="E1279" s="1">
        <f>IFERROR(__xludf.DUMMYFUNCTION("""COMPUTED_VALUE"""),25100.0)</f>
        <v>25100</v>
      </c>
      <c r="F1279" s="1">
        <f>IFERROR(__xludf.DUMMYFUNCTION("""COMPUTED_VALUE"""),217154.0)</f>
        <v>217154</v>
      </c>
    </row>
    <row r="1280">
      <c r="A1280" s="2">
        <f>IFERROR(__xludf.DUMMYFUNCTION("""COMPUTED_VALUE"""),42444.64583333333)</f>
        <v>42444.64583</v>
      </c>
      <c r="B1280" s="1">
        <f>IFERROR(__xludf.DUMMYFUNCTION("""COMPUTED_VALUE"""),25100.0)</f>
        <v>25100</v>
      </c>
      <c r="C1280" s="1">
        <f>IFERROR(__xludf.DUMMYFUNCTION("""COMPUTED_VALUE"""),25280.0)</f>
        <v>25280</v>
      </c>
      <c r="D1280" s="1">
        <f>IFERROR(__xludf.DUMMYFUNCTION("""COMPUTED_VALUE"""),24920.0)</f>
        <v>24920</v>
      </c>
      <c r="E1280" s="1">
        <f>IFERROR(__xludf.DUMMYFUNCTION("""COMPUTED_VALUE"""),25060.0)</f>
        <v>25060</v>
      </c>
      <c r="F1280" s="1">
        <f>IFERROR(__xludf.DUMMYFUNCTION("""COMPUTED_VALUE"""),172808.0)</f>
        <v>172808</v>
      </c>
    </row>
    <row r="1281">
      <c r="A1281" s="2">
        <f>IFERROR(__xludf.DUMMYFUNCTION("""COMPUTED_VALUE"""),42445.64583333333)</f>
        <v>42445.64583</v>
      </c>
      <c r="B1281" s="1">
        <f>IFERROR(__xludf.DUMMYFUNCTION("""COMPUTED_VALUE"""),25120.0)</f>
        <v>25120</v>
      </c>
      <c r="C1281" s="1">
        <f>IFERROR(__xludf.DUMMYFUNCTION("""COMPUTED_VALUE"""),25260.0)</f>
        <v>25260</v>
      </c>
      <c r="D1281" s="1">
        <f>IFERROR(__xludf.DUMMYFUNCTION("""COMPUTED_VALUE"""),25060.0)</f>
        <v>25060</v>
      </c>
      <c r="E1281" s="1">
        <f>IFERROR(__xludf.DUMMYFUNCTION("""COMPUTED_VALUE"""),25120.0)</f>
        <v>25120</v>
      </c>
      <c r="F1281" s="1">
        <f>IFERROR(__xludf.DUMMYFUNCTION("""COMPUTED_VALUE"""),146856.0)</f>
        <v>146856</v>
      </c>
    </row>
    <row r="1282">
      <c r="A1282" s="2">
        <f>IFERROR(__xludf.DUMMYFUNCTION("""COMPUTED_VALUE"""),42446.64583333333)</f>
        <v>42446.64583</v>
      </c>
      <c r="B1282" s="1">
        <f>IFERROR(__xludf.DUMMYFUNCTION("""COMPUTED_VALUE"""),25300.0)</f>
        <v>25300</v>
      </c>
      <c r="C1282" s="1">
        <f>IFERROR(__xludf.DUMMYFUNCTION("""COMPUTED_VALUE"""),25920.0)</f>
        <v>25920</v>
      </c>
      <c r="D1282" s="1">
        <f>IFERROR(__xludf.DUMMYFUNCTION("""COMPUTED_VALUE"""),25140.0)</f>
        <v>25140</v>
      </c>
      <c r="E1282" s="1">
        <f>IFERROR(__xludf.DUMMYFUNCTION("""COMPUTED_VALUE"""),25260.0)</f>
        <v>25260</v>
      </c>
      <c r="F1282" s="1">
        <f>IFERROR(__xludf.DUMMYFUNCTION("""COMPUTED_VALUE"""),246869.0)</f>
        <v>246869</v>
      </c>
    </row>
    <row r="1283">
      <c r="A1283" s="2">
        <f>IFERROR(__xludf.DUMMYFUNCTION("""COMPUTED_VALUE"""),42447.64583333333)</f>
        <v>42447.64583</v>
      </c>
      <c r="B1283" s="1">
        <f>IFERROR(__xludf.DUMMYFUNCTION("""COMPUTED_VALUE"""),25560.0)</f>
        <v>25560</v>
      </c>
      <c r="C1283" s="1">
        <f>IFERROR(__xludf.DUMMYFUNCTION("""COMPUTED_VALUE"""),25560.0)</f>
        <v>25560</v>
      </c>
      <c r="D1283" s="1">
        <f>IFERROR(__xludf.DUMMYFUNCTION("""COMPUTED_VALUE"""),25260.0)</f>
        <v>25260</v>
      </c>
      <c r="E1283" s="1">
        <f>IFERROR(__xludf.DUMMYFUNCTION("""COMPUTED_VALUE"""),25460.0)</f>
        <v>25460</v>
      </c>
      <c r="F1283" s="1">
        <f>IFERROR(__xludf.DUMMYFUNCTION("""COMPUTED_VALUE"""),225314.0)</f>
        <v>225314</v>
      </c>
    </row>
    <row r="1284">
      <c r="A1284" s="2">
        <f>IFERROR(__xludf.DUMMYFUNCTION("""COMPUTED_VALUE"""),42450.64583333333)</f>
        <v>42450.64583</v>
      </c>
      <c r="B1284" s="1">
        <f>IFERROR(__xludf.DUMMYFUNCTION("""COMPUTED_VALUE"""),25480.0)</f>
        <v>25480</v>
      </c>
      <c r="C1284" s="1">
        <f>IFERROR(__xludf.DUMMYFUNCTION("""COMPUTED_VALUE"""),25580.0)</f>
        <v>25580</v>
      </c>
      <c r="D1284" s="1">
        <f>IFERROR(__xludf.DUMMYFUNCTION("""COMPUTED_VALUE"""),25160.0)</f>
        <v>25160</v>
      </c>
      <c r="E1284" s="1">
        <f>IFERROR(__xludf.DUMMYFUNCTION("""COMPUTED_VALUE"""),25340.0)</f>
        <v>25340</v>
      </c>
      <c r="F1284" s="1">
        <f>IFERROR(__xludf.DUMMYFUNCTION("""COMPUTED_VALUE"""),181170.0)</f>
        <v>181170</v>
      </c>
    </row>
    <row r="1285">
      <c r="A1285" s="2">
        <f>IFERROR(__xludf.DUMMYFUNCTION("""COMPUTED_VALUE"""),42451.64583333333)</f>
        <v>42451.64583</v>
      </c>
      <c r="B1285" s="1">
        <f>IFERROR(__xludf.DUMMYFUNCTION("""COMPUTED_VALUE"""),25340.0)</f>
        <v>25340</v>
      </c>
      <c r="C1285" s="1">
        <f>IFERROR(__xludf.DUMMYFUNCTION("""COMPUTED_VALUE"""),25580.0)</f>
        <v>25580</v>
      </c>
      <c r="D1285" s="1">
        <f>IFERROR(__xludf.DUMMYFUNCTION("""COMPUTED_VALUE"""),25240.0)</f>
        <v>25240</v>
      </c>
      <c r="E1285" s="1">
        <f>IFERROR(__xludf.DUMMYFUNCTION("""COMPUTED_VALUE"""),25380.0)</f>
        <v>25380</v>
      </c>
      <c r="F1285" s="1">
        <f>IFERROR(__xludf.DUMMYFUNCTION("""COMPUTED_VALUE"""),202872.0)</f>
        <v>202872</v>
      </c>
    </row>
    <row r="1286">
      <c r="A1286" s="2">
        <f>IFERROR(__xludf.DUMMYFUNCTION("""COMPUTED_VALUE"""),42452.64583333333)</f>
        <v>42452.64583</v>
      </c>
      <c r="B1286" s="1">
        <f>IFERROR(__xludf.DUMMYFUNCTION("""COMPUTED_VALUE"""),25380.0)</f>
        <v>25380</v>
      </c>
      <c r="C1286" s="1">
        <f>IFERROR(__xludf.DUMMYFUNCTION("""COMPUTED_VALUE"""),25580.0)</f>
        <v>25580</v>
      </c>
      <c r="D1286" s="1">
        <f>IFERROR(__xludf.DUMMYFUNCTION("""COMPUTED_VALUE"""),25240.0)</f>
        <v>25240</v>
      </c>
      <c r="E1286" s="1">
        <f>IFERROR(__xludf.DUMMYFUNCTION("""COMPUTED_VALUE"""),25580.0)</f>
        <v>25580</v>
      </c>
      <c r="F1286" s="1">
        <f>IFERROR(__xludf.DUMMYFUNCTION("""COMPUTED_VALUE"""),197418.0)</f>
        <v>197418</v>
      </c>
    </row>
    <row r="1287">
      <c r="A1287" s="2">
        <f>IFERROR(__xludf.DUMMYFUNCTION("""COMPUTED_VALUE"""),42453.64583333333)</f>
        <v>42453.64583</v>
      </c>
      <c r="B1287" s="1">
        <f>IFERROR(__xludf.DUMMYFUNCTION("""COMPUTED_VALUE"""),25580.0)</f>
        <v>25580</v>
      </c>
      <c r="C1287" s="1">
        <f>IFERROR(__xludf.DUMMYFUNCTION("""COMPUTED_VALUE"""),25800.0)</f>
        <v>25800</v>
      </c>
      <c r="D1287" s="1">
        <f>IFERROR(__xludf.DUMMYFUNCTION("""COMPUTED_VALUE"""),25320.0)</f>
        <v>25320</v>
      </c>
      <c r="E1287" s="1">
        <f>IFERROR(__xludf.DUMMYFUNCTION("""COMPUTED_VALUE"""),25640.0)</f>
        <v>25640</v>
      </c>
      <c r="F1287" s="1">
        <f>IFERROR(__xludf.DUMMYFUNCTION("""COMPUTED_VALUE"""),218795.0)</f>
        <v>218795</v>
      </c>
    </row>
    <row r="1288">
      <c r="A1288" s="2">
        <f>IFERROR(__xludf.DUMMYFUNCTION("""COMPUTED_VALUE"""),42454.64583333333)</f>
        <v>42454.64583</v>
      </c>
      <c r="B1288" s="1">
        <f>IFERROR(__xludf.DUMMYFUNCTION("""COMPUTED_VALUE"""),25660.0)</f>
        <v>25660</v>
      </c>
      <c r="C1288" s="1">
        <f>IFERROR(__xludf.DUMMYFUNCTION("""COMPUTED_VALUE"""),25800.0)</f>
        <v>25800</v>
      </c>
      <c r="D1288" s="1">
        <f>IFERROR(__xludf.DUMMYFUNCTION("""COMPUTED_VALUE"""),25560.0)</f>
        <v>25560</v>
      </c>
      <c r="E1288" s="1">
        <f>IFERROR(__xludf.DUMMYFUNCTION("""COMPUTED_VALUE"""),25760.0)</f>
        <v>25760</v>
      </c>
      <c r="F1288" s="1">
        <f>IFERROR(__xludf.DUMMYFUNCTION("""COMPUTED_VALUE"""),143446.0)</f>
        <v>143446</v>
      </c>
    </row>
    <row r="1289">
      <c r="A1289" s="2">
        <f>IFERROR(__xludf.DUMMYFUNCTION("""COMPUTED_VALUE"""),42457.64583333333)</f>
        <v>42457.64583</v>
      </c>
      <c r="B1289" s="1">
        <f>IFERROR(__xludf.DUMMYFUNCTION("""COMPUTED_VALUE"""),25760.0)</f>
        <v>25760</v>
      </c>
      <c r="C1289" s="1">
        <f>IFERROR(__xludf.DUMMYFUNCTION("""COMPUTED_VALUE"""),26000.0)</f>
        <v>26000</v>
      </c>
      <c r="D1289" s="1">
        <f>IFERROR(__xludf.DUMMYFUNCTION("""COMPUTED_VALUE"""),25760.0)</f>
        <v>25760</v>
      </c>
      <c r="E1289" s="1">
        <f>IFERROR(__xludf.DUMMYFUNCTION("""COMPUTED_VALUE"""),25880.0)</f>
        <v>25880</v>
      </c>
      <c r="F1289" s="1">
        <f>IFERROR(__xludf.DUMMYFUNCTION("""COMPUTED_VALUE"""),121218.0)</f>
        <v>121218</v>
      </c>
    </row>
    <row r="1290">
      <c r="A1290" s="2">
        <f>IFERROR(__xludf.DUMMYFUNCTION("""COMPUTED_VALUE"""),42458.64583333333)</f>
        <v>42458.64583</v>
      </c>
      <c r="B1290" s="1">
        <f>IFERROR(__xludf.DUMMYFUNCTION("""COMPUTED_VALUE"""),25880.0)</f>
        <v>25880</v>
      </c>
      <c r="C1290" s="1">
        <f>IFERROR(__xludf.DUMMYFUNCTION("""COMPUTED_VALUE"""),26000.0)</f>
        <v>26000</v>
      </c>
      <c r="D1290" s="1">
        <f>IFERROR(__xludf.DUMMYFUNCTION("""COMPUTED_VALUE"""),25700.0)</f>
        <v>25700</v>
      </c>
      <c r="E1290" s="1">
        <f>IFERROR(__xludf.DUMMYFUNCTION("""COMPUTED_VALUE"""),25800.0)</f>
        <v>25800</v>
      </c>
      <c r="F1290" s="1">
        <f>IFERROR(__xludf.DUMMYFUNCTION("""COMPUTED_VALUE"""),172454.0)</f>
        <v>172454</v>
      </c>
    </row>
    <row r="1291">
      <c r="A1291" s="2">
        <f>IFERROR(__xludf.DUMMYFUNCTION("""COMPUTED_VALUE"""),42459.64583333333)</f>
        <v>42459.64583</v>
      </c>
      <c r="B1291" s="1">
        <f>IFERROR(__xludf.DUMMYFUNCTION("""COMPUTED_VALUE"""),26200.0)</f>
        <v>26200</v>
      </c>
      <c r="C1291" s="1">
        <f>IFERROR(__xludf.DUMMYFUNCTION("""COMPUTED_VALUE"""),26420.0)</f>
        <v>26420</v>
      </c>
      <c r="D1291" s="1">
        <f>IFERROR(__xludf.DUMMYFUNCTION("""COMPUTED_VALUE"""),26040.0)</f>
        <v>26040</v>
      </c>
      <c r="E1291" s="1">
        <f>IFERROR(__xludf.DUMMYFUNCTION("""COMPUTED_VALUE"""),26160.0)</f>
        <v>26160</v>
      </c>
      <c r="F1291" s="1">
        <f>IFERROR(__xludf.DUMMYFUNCTION("""COMPUTED_VALUE"""),267605.0)</f>
        <v>267605</v>
      </c>
    </row>
    <row r="1292">
      <c r="A1292" s="2">
        <f>IFERROR(__xludf.DUMMYFUNCTION("""COMPUTED_VALUE"""),42460.64583333333)</f>
        <v>42460.64583</v>
      </c>
      <c r="B1292" s="1">
        <f>IFERROR(__xludf.DUMMYFUNCTION("""COMPUTED_VALUE"""),26120.0)</f>
        <v>26120</v>
      </c>
      <c r="C1292" s="1">
        <f>IFERROR(__xludf.DUMMYFUNCTION("""COMPUTED_VALUE"""),26280.0)</f>
        <v>26280</v>
      </c>
      <c r="D1292" s="1">
        <f>IFERROR(__xludf.DUMMYFUNCTION("""COMPUTED_VALUE"""),25960.0)</f>
        <v>25960</v>
      </c>
      <c r="E1292" s="1">
        <f>IFERROR(__xludf.DUMMYFUNCTION("""COMPUTED_VALUE"""),26240.0)</f>
        <v>26240</v>
      </c>
      <c r="F1292" s="1">
        <f>IFERROR(__xludf.DUMMYFUNCTION("""COMPUTED_VALUE"""),382615.0)</f>
        <v>382615</v>
      </c>
    </row>
    <row r="1293">
      <c r="A1293" s="2">
        <f>IFERROR(__xludf.DUMMYFUNCTION("""COMPUTED_VALUE"""),42461.64583333333)</f>
        <v>42461.64583</v>
      </c>
      <c r="B1293" s="1">
        <f>IFERROR(__xludf.DUMMYFUNCTION("""COMPUTED_VALUE"""),25980.0)</f>
        <v>25980</v>
      </c>
      <c r="C1293" s="1">
        <f>IFERROR(__xludf.DUMMYFUNCTION("""COMPUTED_VALUE"""),26180.0)</f>
        <v>26180</v>
      </c>
      <c r="D1293" s="1">
        <f>IFERROR(__xludf.DUMMYFUNCTION("""COMPUTED_VALUE"""),25420.0)</f>
        <v>25420</v>
      </c>
      <c r="E1293" s="1">
        <f>IFERROR(__xludf.DUMMYFUNCTION("""COMPUTED_VALUE"""),25580.0)</f>
        <v>25580</v>
      </c>
      <c r="F1293" s="1">
        <f>IFERROR(__xludf.DUMMYFUNCTION("""COMPUTED_VALUE"""),271156.0)</f>
        <v>271156</v>
      </c>
    </row>
    <row r="1294">
      <c r="A1294" s="2">
        <f>IFERROR(__xludf.DUMMYFUNCTION("""COMPUTED_VALUE"""),42464.64583333333)</f>
        <v>42464.64583</v>
      </c>
      <c r="B1294" s="1">
        <f>IFERROR(__xludf.DUMMYFUNCTION("""COMPUTED_VALUE"""),25580.0)</f>
        <v>25580</v>
      </c>
      <c r="C1294" s="1">
        <f>IFERROR(__xludf.DUMMYFUNCTION("""COMPUTED_VALUE"""),26100.0)</f>
        <v>26100</v>
      </c>
      <c r="D1294" s="1">
        <f>IFERROR(__xludf.DUMMYFUNCTION("""COMPUTED_VALUE"""),25580.0)</f>
        <v>25580</v>
      </c>
      <c r="E1294" s="1">
        <f>IFERROR(__xludf.DUMMYFUNCTION("""COMPUTED_VALUE"""),26100.0)</f>
        <v>26100</v>
      </c>
      <c r="F1294" s="1">
        <f>IFERROR(__xludf.DUMMYFUNCTION("""COMPUTED_VALUE"""),188046.0)</f>
        <v>188046</v>
      </c>
    </row>
    <row r="1295">
      <c r="A1295" s="2">
        <f>IFERROR(__xludf.DUMMYFUNCTION("""COMPUTED_VALUE"""),42465.64583333333)</f>
        <v>42465.64583</v>
      </c>
      <c r="B1295" s="1">
        <f>IFERROR(__xludf.DUMMYFUNCTION("""COMPUTED_VALUE"""),25980.0)</f>
        <v>25980</v>
      </c>
      <c r="C1295" s="1">
        <f>IFERROR(__xludf.DUMMYFUNCTION("""COMPUTED_VALUE"""),25980.0)</f>
        <v>25980</v>
      </c>
      <c r="D1295" s="1">
        <f>IFERROR(__xludf.DUMMYFUNCTION("""COMPUTED_VALUE"""),25200.0)</f>
        <v>25200</v>
      </c>
      <c r="E1295" s="1">
        <f>IFERROR(__xludf.DUMMYFUNCTION("""COMPUTED_VALUE"""),25200.0)</f>
        <v>25200</v>
      </c>
      <c r="F1295" s="1">
        <f>IFERROR(__xludf.DUMMYFUNCTION("""COMPUTED_VALUE"""),236319.0)</f>
        <v>236319</v>
      </c>
    </row>
    <row r="1296">
      <c r="A1296" s="2">
        <f>IFERROR(__xludf.DUMMYFUNCTION("""COMPUTED_VALUE"""),42466.64583333333)</f>
        <v>42466.64583</v>
      </c>
      <c r="B1296" s="1">
        <f>IFERROR(__xludf.DUMMYFUNCTION("""COMPUTED_VALUE"""),25380.0)</f>
        <v>25380</v>
      </c>
      <c r="C1296" s="1">
        <f>IFERROR(__xludf.DUMMYFUNCTION("""COMPUTED_VALUE"""),25820.0)</f>
        <v>25820</v>
      </c>
      <c r="D1296" s="1">
        <f>IFERROR(__xludf.DUMMYFUNCTION("""COMPUTED_VALUE"""),25360.0)</f>
        <v>25360</v>
      </c>
      <c r="E1296" s="1">
        <f>IFERROR(__xludf.DUMMYFUNCTION("""COMPUTED_VALUE"""),25700.0)</f>
        <v>25700</v>
      </c>
      <c r="F1296" s="1">
        <f>IFERROR(__xludf.DUMMYFUNCTION("""COMPUTED_VALUE"""),184234.0)</f>
        <v>184234</v>
      </c>
    </row>
    <row r="1297">
      <c r="A1297" s="2">
        <f>IFERROR(__xludf.DUMMYFUNCTION("""COMPUTED_VALUE"""),42467.64583333333)</f>
        <v>42467.64583</v>
      </c>
      <c r="B1297" s="1">
        <f>IFERROR(__xludf.DUMMYFUNCTION("""COMPUTED_VALUE"""),26000.0)</f>
        <v>26000</v>
      </c>
      <c r="C1297" s="1">
        <f>IFERROR(__xludf.DUMMYFUNCTION("""COMPUTED_VALUE"""),26000.0)</f>
        <v>26000</v>
      </c>
      <c r="D1297" s="1">
        <f>IFERROR(__xludf.DUMMYFUNCTION("""COMPUTED_VALUE"""),25160.0)</f>
        <v>25160</v>
      </c>
      <c r="E1297" s="1">
        <f>IFERROR(__xludf.DUMMYFUNCTION("""COMPUTED_VALUE"""),25380.0)</f>
        <v>25380</v>
      </c>
      <c r="F1297" s="1">
        <f>IFERROR(__xludf.DUMMYFUNCTION("""COMPUTED_VALUE"""),258795.0)</f>
        <v>258795</v>
      </c>
    </row>
    <row r="1298">
      <c r="A1298" s="2">
        <f>IFERROR(__xludf.DUMMYFUNCTION("""COMPUTED_VALUE"""),42468.64583333333)</f>
        <v>42468.64583</v>
      </c>
      <c r="B1298" s="1">
        <f>IFERROR(__xludf.DUMMYFUNCTION("""COMPUTED_VALUE"""),25380.0)</f>
        <v>25380</v>
      </c>
      <c r="C1298" s="1">
        <f>IFERROR(__xludf.DUMMYFUNCTION("""COMPUTED_VALUE"""),25380.0)</f>
        <v>25380</v>
      </c>
      <c r="D1298" s="1">
        <f>IFERROR(__xludf.DUMMYFUNCTION("""COMPUTED_VALUE"""),24800.0)</f>
        <v>24800</v>
      </c>
      <c r="E1298" s="1">
        <f>IFERROR(__xludf.DUMMYFUNCTION("""COMPUTED_VALUE"""),24920.0)</f>
        <v>24920</v>
      </c>
      <c r="F1298" s="1">
        <f>IFERROR(__xludf.DUMMYFUNCTION("""COMPUTED_VALUE"""),251868.0)</f>
        <v>251868</v>
      </c>
    </row>
    <row r="1299">
      <c r="A1299" s="2">
        <f>IFERROR(__xludf.DUMMYFUNCTION("""COMPUTED_VALUE"""),42471.64583333333)</f>
        <v>42471.64583</v>
      </c>
      <c r="B1299" s="1">
        <f>IFERROR(__xludf.DUMMYFUNCTION("""COMPUTED_VALUE"""),24920.0)</f>
        <v>24920</v>
      </c>
      <c r="C1299" s="1">
        <f>IFERROR(__xludf.DUMMYFUNCTION("""COMPUTED_VALUE"""),25420.0)</f>
        <v>25420</v>
      </c>
      <c r="D1299" s="1">
        <f>IFERROR(__xludf.DUMMYFUNCTION("""COMPUTED_VALUE"""),24920.0)</f>
        <v>24920</v>
      </c>
      <c r="E1299" s="1">
        <f>IFERROR(__xludf.DUMMYFUNCTION("""COMPUTED_VALUE"""),25320.0)</f>
        <v>25320</v>
      </c>
      <c r="F1299" s="1">
        <f>IFERROR(__xludf.DUMMYFUNCTION("""COMPUTED_VALUE"""),120693.0)</f>
        <v>120693</v>
      </c>
    </row>
    <row r="1300">
      <c r="A1300" s="2">
        <f>IFERROR(__xludf.DUMMYFUNCTION("""COMPUTED_VALUE"""),42472.64583333333)</f>
        <v>42472.64583</v>
      </c>
      <c r="B1300" s="1">
        <f>IFERROR(__xludf.DUMMYFUNCTION("""COMPUTED_VALUE"""),25400.0)</f>
        <v>25400</v>
      </c>
      <c r="C1300" s="1">
        <f>IFERROR(__xludf.DUMMYFUNCTION("""COMPUTED_VALUE"""),25620.0)</f>
        <v>25620</v>
      </c>
      <c r="D1300" s="1">
        <f>IFERROR(__xludf.DUMMYFUNCTION("""COMPUTED_VALUE"""),25320.0)</f>
        <v>25320</v>
      </c>
      <c r="E1300" s="1">
        <f>IFERROR(__xludf.DUMMYFUNCTION("""COMPUTED_VALUE"""),25500.0)</f>
        <v>25500</v>
      </c>
      <c r="F1300" s="1">
        <f>IFERROR(__xludf.DUMMYFUNCTION("""COMPUTED_VALUE"""),134054.0)</f>
        <v>134054</v>
      </c>
    </row>
    <row r="1301">
      <c r="A1301" s="2">
        <f>IFERROR(__xludf.DUMMYFUNCTION("""COMPUTED_VALUE"""),42474.64583333333)</f>
        <v>42474.64583</v>
      </c>
      <c r="B1301" s="1">
        <f>IFERROR(__xludf.DUMMYFUNCTION("""COMPUTED_VALUE"""),26000.0)</f>
        <v>26000</v>
      </c>
      <c r="C1301" s="1">
        <f>IFERROR(__xludf.DUMMYFUNCTION("""COMPUTED_VALUE"""),26040.0)</f>
        <v>26040</v>
      </c>
      <c r="D1301" s="1">
        <f>IFERROR(__xludf.DUMMYFUNCTION("""COMPUTED_VALUE"""),25780.0)</f>
        <v>25780</v>
      </c>
      <c r="E1301" s="1">
        <f>IFERROR(__xludf.DUMMYFUNCTION("""COMPUTED_VALUE"""),26000.0)</f>
        <v>26000</v>
      </c>
      <c r="F1301" s="1">
        <f>IFERROR(__xludf.DUMMYFUNCTION("""COMPUTED_VALUE"""),335327.0)</f>
        <v>335327</v>
      </c>
    </row>
    <row r="1302">
      <c r="A1302" s="2">
        <f>IFERROR(__xludf.DUMMYFUNCTION("""COMPUTED_VALUE"""),42475.64583333333)</f>
        <v>42475.64583</v>
      </c>
      <c r="B1302" s="1">
        <f>IFERROR(__xludf.DUMMYFUNCTION("""COMPUTED_VALUE"""),26180.0)</f>
        <v>26180</v>
      </c>
      <c r="C1302" s="1">
        <f>IFERROR(__xludf.DUMMYFUNCTION("""COMPUTED_VALUE"""),26200.0)</f>
        <v>26200</v>
      </c>
      <c r="D1302" s="1">
        <f>IFERROR(__xludf.DUMMYFUNCTION("""COMPUTED_VALUE"""),25800.0)</f>
        <v>25800</v>
      </c>
      <c r="E1302" s="1">
        <f>IFERROR(__xludf.DUMMYFUNCTION("""COMPUTED_VALUE"""),26000.0)</f>
        <v>26000</v>
      </c>
      <c r="F1302" s="1">
        <f>IFERROR(__xludf.DUMMYFUNCTION("""COMPUTED_VALUE"""),136599.0)</f>
        <v>136599</v>
      </c>
    </row>
    <row r="1303">
      <c r="A1303" s="2">
        <f>IFERROR(__xludf.DUMMYFUNCTION("""COMPUTED_VALUE"""),42478.64583333333)</f>
        <v>42478.64583</v>
      </c>
      <c r="B1303" s="1">
        <f>IFERROR(__xludf.DUMMYFUNCTION("""COMPUTED_VALUE"""),25900.0)</f>
        <v>25900</v>
      </c>
      <c r="C1303" s="1">
        <f>IFERROR(__xludf.DUMMYFUNCTION("""COMPUTED_VALUE"""),26100.0)</f>
        <v>26100</v>
      </c>
      <c r="D1303" s="1">
        <f>IFERROR(__xludf.DUMMYFUNCTION("""COMPUTED_VALUE"""),25840.0)</f>
        <v>25840</v>
      </c>
      <c r="E1303" s="1">
        <f>IFERROR(__xludf.DUMMYFUNCTION("""COMPUTED_VALUE"""),25980.0)</f>
        <v>25980</v>
      </c>
      <c r="F1303" s="1">
        <f>IFERROR(__xludf.DUMMYFUNCTION("""COMPUTED_VALUE"""),128474.0)</f>
        <v>128474</v>
      </c>
    </row>
    <row r="1304">
      <c r="A1304" s="2">
        <f>IFERROR(__xludf.DUMMYFUNCTION("""COMPUTED_VALUE"""),42479.64583333333)</f>
        <v>42479.64583</v>
      </c>
      <c r="B1304" s="1">
        <f>IFERROR(__xludf.DUMMYFUNCTION("""COMPUTED_VALUE"""),25880.0)</f>
        <v>25880</v>
      </c>
      <c r="C1304" s="1">
        <f>IFERROR(__xludf.DUMMYFUNCTION("""COMPUTED_VALUE"""),25920.0)</f>
        <v>25920</v>
      </c>
      <c r="D1304" s="1">
        <f>IFERROR(__xludf.DUMMYFUNCTION("""COMPUTED_VALUE"""),25660.0)</f>
        <v>25660</v>
      </c>
      <c r="E1304" s="1">
        <f>IFERROR(__xludf.DUMMYFUNCTION("""COMPUTED_VALUE"""),25760.0)</f>
        <v>25760</v>
      </c>
      <c r="F1304" s="1">
        <f>IFERROR(__xludf.DUMMYFUNCTION("""COMPUTED_VALUE"""),144766.0)</f>
        <v>144766</v>
      </c>
    </row>
    <row r="1305">
      <c r="A1305" s="2">
        <f>IFERROR(__xludf.DUMMYFUNCTION("""COMPUTED_VALUE"""),42480.64583333333)</f>
        <v>42480.64583</v>
      </c>
      <c r="B1305" s="1">
        <f>IFERROR(__xludf.DUMMYFUNCTION("""COMPUTED_VALUE"""),25640.0)</f>
        <v>25640</v>
      </c>
      <c r="C1305" s="1">
        <f>IFERROR(__xludf.DUMMYFUNCTION("""COMPUTED_VALUE"""),26000.0)</f>
        <v>26000</v>
      </c>
      <c r="D1305" s="1">
        <f>IFERROR(__xludf.DUMMYFUNCTION("""COMPUTED_VALUE"""),25640.0)</f>
        <v>25640</v>
      </c>
      <c r="E1305" s="1">
        <f>IFERROR(__xludf.DUMMYFUNCTION("""COMPUTED_VALUE"""),25980.0)</f>
        <v>25980</v>
      </c>
      <c r="F1305" s="1">
        <f>IFERROR(__xludf.DUMMYFUNCTION("""COMPUTED_VALUE"""),171972.0)</f>
        <v>171972</v>
      </c>
    </row>
    <row r="1306">
      <c r="A1306" s="2">
        <f>IFERROR(__xludf.DUMMYFUNCTION("""COMPUTED_VALUE"""),42481.64583333333)</f>
        <v>42481.64583</v>
      </c>
      <c r="B1306" s="1">
        <f>IFERROR(__xludf.DUMMYFUNCTION("""COMPUTED_VALUE"""),26000.0)</f>
        <v>26000</v>
      </c>
      <c r="C1306" s="1">
        <f>IFERROR(__xludf.DUMMYFUNCTION("""COMPUTED_VALUE"""),26020.0)</f>
        <v>26020</v>
      </c>
      <c r="D1306" s="1">
        <f>IFERROR(__xludf.DUMMYFUNCTION("""COMPUTED_VALUE"""),25760.0)</f>
        <v>25760</v>
      </c>
      <c r="E1306" s="1">
        <f>IFERROR(__xludf.DUMMYFUNCTION("""COMPUTED_VALUE"""),25880.0)</f>
        <v>25880</v>
      </c>
      <c r="F1306" s="1">
        <f>IFERROR(__xludf.DUMMYFUNCTION("""COMPUTED_VALUE"""),145089.0)</f>
        <v>145089</v>
      </c>
    </row>
    <row r="1307">
      <c r="A1307" s="2">
        <f>IFERROR(__xludf.DUMMYFUNCTION("""COMPUTED_VALUE"""),42482.64583333333)</f>
        <v>42482.64583</v>
      </c>
      <c r="B1307" s="1">
        <f>IFERROR(__xludf.DUMMYFUNCTION("""COMPUTED_VALUE"""),25880.0)</f>
        <v>25880</v>
      </c>
      <c r="C1307" s="1">
        <f>IFERROR(__xludf.DUMMYFUNCTION("""COMPUTED_VALUE"""),25880.0)</f>
        <v>25880</v>
      </c>
      <c r="D1307" s="1">
        <f>IFERROR(__xludf.DUMMYFUNCTION("""COMPUTED_VALUE"""),25540.0)</f>
        <v>25540</v>
      </c>
      <c r="E1307" s="1">
        <f>IFERROR(__xludf.DUMMYFUNCTION("""COMPUTED_VALUE"""),25600.0)</f>
        <v>25600</v>
      </c>
      <c r="F1307" s="1">
        <f>IFERROR(__xludf.DUMMYFUNCTION("""COMPUTED_VALUE"""),114830.0)</f>
        <v>114830</v>
      </c>
    </row>
    <row r="1308">
      <c r="A1308" s="2">
        <f>IFERROR(__xludf.DUMMYFUNCTION("""COMPUTED_VALUE"""),42485.64583333333)</f>
        <v>42485.64583</v>
      </c>
      <c r="B1308" s="1">
        <f>IFERROR(__xludf.DUMMYFUNCTION("""COMPUTED_VALUE"""),25700.0)</f>
        <v>25700</v>
      </c>
      <c r="C1308" s="1">
        <f>IFERROR(__xludf.DUMMYFUNCTION("""COMPUTED_VALUE"""),25700.0)</f>
        <v>25700</v>
      </c>
      <c r="D1308" s="1">
        <f>IFERROR(__xludf.DUMMYFUNCTION("""COMPUTED_VALUE"""),25420.0)</f>
        <v>25420</v>
      </c>
      <c r="E1308" s="1">
        <f>IFERROR(__xludf.DUMMYFUNCTION("""COMPUTED_VALUE"""),25620.0)</f>
        <v>25620</v>
      </c>
      <c r="F1308" s="1">
        <f>IFERROR(__xludf.DUMMYFUNCTION("""COMPUTED_VALUE"""),91957.0)</f>
        <v>91957</v>
      </c>
    </row>
    <row r="1309">
      <c r="A1309" s="2">
        <f>IFERROR(__xludf.DUMMYFUNCTION("""COMPUTED_VALUE"""),42486.64583333333)</f>
        <v>42486.64583</v>
      </c>
      <c r="B1309" s="1">
        <f>IFERROR(__xludf.DUMMYFUNCTION("""COMPUTED_VALUE"""),25700.0)</f>
        <v>25700</v>
      </c>
      <c r="C1309" s="1">
        <f>IFERROR(__xludf.DUMMYFUNCTION("""COMPUTED_VALUE"""),26100.0)</f>
        <v>26100</v>
      </c>
      <c r="D1309" s="1">
        <f>IFERROR(__xludf.DUMMYFUNCTION("""COMPUTED_VALUE"""),25660.0)</f>
        <v>25660</v>
      </c>
      <c r="E1309" s="1">
        <f>IFERROR(__xludf.DUMMYFUNCTION("""COMPUTED_VALUE"""),25920.0)</f>
        <v>25920</v>
      </c>
      <c r="F1309" s="1">
        <f>IFERROR(__xludf.DUMMYFUNCTION("""COMPUTED_VALUE"""),166901.0)</f>
        <v>166901</v>
      </c>
    </row>
    <row r="1310">
      <c r="A1310" s="2">
        <f>IFERROR(__xludf.DUMMYFUNCTION("""COMPUTED_VALUE"""),42487.64583333333)</f>
        <v>42487.64583</v>
      </c>
      <c r="B1310" s="1">
        <f>IFERROR(__xludf.DUMMYFUNCTION("""COMPUTED_VALUE"""),25880.0)</f>
        <v>25880</v>
      </c>
      <c r="C1310" s="1">
        <f>IFERROR(__xludf.DUMMYFUNCTION("""COMPUTED_VALUE"""),26000.0)</f>
        <v>26000</v>
      </c>
      <c r="D1310" s="1">
        <f>IFERROR(__xludf.DUMMYFUNCTION("""COMPUTED_VALUE"""),25720.0)</f>
        <v>25720</v>
      </c>
      <c r="E1310" s="1">
        <f>IFERROR(__xludf.DUMMYFUNCTION("""COMPUTED_VALUE"""),26000.0)</f>
        <v>26000</v>
      </c>
      <c r="F1310" s="1">
        <f>IFERROR(__xludf.DUMMYFUNCTION("""COMPUTED_VALUE"""),165946.0)</f>
        <v>165946</v>
      </c>
    </row>
    <row r="1311">
      <c r="A1311" s="2">
        <f>IFERROR(__xludf.DUMMYFUNCTION("""COMPUTED_VALUE"""),42488.64583333333)</f>
        <v>42488.64583</v>
      </c>
      <c r="B1311" s="1">
        <f>IFERROR(__xludf.DUMMYFUNCTION("""COMPUTED_VALUE"""),26000.0)</f>
        <v>26000</v>
      </c>
      <c r="C1311" s="1">
        <f>IFERROR(__xludf.DUMMYFUNCTION("""COMPUTED_VALUE"""),26000.0)</f>
        <v>26000</v>
      </c>
      <c r="D1311" s="1">
        <f>IFERROR(__xludf.DUMMYFUNCTION("""COMPUTED_VALUE"""),25220.0)</f>
        <v>25220</v>
      </c>
      <c r="E1311" s="1">
        <f>IFERROR(__xludf.DUMMYFUNCTION("""COMPUTED_VALUE"""),25300.0)</f>
        <v>25300</v>
      </c>
      <c r="F1311" s="1">
        <f>IFERROR(__xludf.DUMMYFUNCTION("""COMPUTED_VALUE"""),293069.0)</f>
        <v>293069</v>
      </c>
    </row>
    <row r="1312">
      <c r="A1312" s="2">
        <f>IFERROR(__xludf.DUMMYFUNCTION("""COMPUTED_VALUE"""),42489.64583333333)</f>
        <v>42489.64583</v>
      </c>
      <c r="B1312" s="1">
        <f>IFERROR(__xludf.DUMMYFUNCTION("""COMPUTED_VALUE"""),25200.0)</f>
        <v>25200</v>
      </c>
      <c r="C1312" s="1">
        <f>IFERROR(__xludf.DUMMYFUNCTION("""COMPUTED_VALUE"""),25340.0)</f>
        <v>25340</v>
      </c>
      <c r="D1312" s="1">
        <f>IFERROR(__xludf.DUMMYFUNCTION("""COMPUTED_VALUE"""),24840.0)</f>
        <v>24840</v>
      </c>
      <c r="E1312" s="1">
        <f>IFERROR(__xludf.DUMMYFUNCTION("""COMPUTED_VALUE"""),24900.0)</f>
        <v>24900</v>
      </c>
      <c r="F1312" s="1">
        <f>IFERROR(__xludf.DUMMYFUNCTION("""COMPUTED_VALUE"""),325078.0)</f>
        <v>325078</v>
      </c>
    </row>
    <row r="1313">
      <c r="A1313" s="2">
        <f>IFERROR(__xludf.DUMMYFUNCTION("""COMPUTED_VALUE"""),42492.64583333333)</f>
        <v>42492.64583</v>
      </c>
      <c r="B1313" s="1">
        <f>IFERROR(__xludf.DUMMYFUNCTION("""COMPUTED_VALUE"""),24940.0)</f>
        <v>24940</v>
      </c>
      <c r="C1313" s="1">
        <f>IFERROR(__xludf.DUMMYFUNCTION("""COMPUTED_VALUE"""),25240.0)</f>
        <v>25240</v>
      </c>
      <c r="D1313" s="1">
        <f>IFERROR(__xludf.DUMMYFUNCTION("""COMPUTED_VALUE"""),24900.0)</f>
        <v>24900</v>
      </c>
      <c r="E1313" s="1">
        <f>IFERROR(__xludf.DUMMYFUNCTION("""COMPUTED_VALUE"""),25000.0)</f>
        <v>25000</v>
      </c>
      <c r="F1313" s="1">
        <f>IFERROR(__xludf.DUMMYFUNCTION("""COMPUTED_VALUE"""),140552.0)</f>
        <v>140552</v>
      </c>
    </row>
    <row r="1314">
      <c r="A1314" s="2">
        <f>IFERROR(__xludf.DUMMYFUNCTION("""COMPUTED_VALUE"""),42493.64583333333)</f>
        <v>42493.64583</v>
      </c>
      <c r="B1314" s="1">
        <f>IFERROR(__xludf.DUMMYFUNCTION("""COMPUTED_VALUE"""),25340.0)</f>
        <v>25340</v>
      </c>
      <c r="C1314" s="1">
        <f>IFERROR(__xludf.DUMMYFUNCTION("""COMPUTED_VALUE"""),25400.0)</f>
        <v>25400</v>
      </c>
      <c r="D1314" s="1">
        <f>IFERROR(__xludf.DUMMYFUNCTION("""COMPUTED_VALUE"""),25120.0)</f>
        <v>25120</v>
      </c>
      <c r="E1314" s="1">
        <f>IFERROR(__xludf.DUMMYFUNCTION("""COMPUTED_VALUE"""),25220.0)</f>
        <v>25220</v>
      </c>
      <c r="F1314" s="1">
        <f>IFERROR(__xludf.DUMMYFUNCTION("""COMPUTED_VALUE"""),158066.0)</f>
        <v>158066</v>
      </c>
    </row>
    <row r="1315">
      <c r="A1315" s="2">
        <f>IFERROR(__xludf.DUMMYFUNCTION("""COMPUTED_VALUE"""),42494.64583333333)</f>
        <v>42494.64583</v>
      </c>
      <c r="B1315" s="1">
        <f>IFERROR(__xludf.DUMMYFUNCTION("""COMPUTED_VALUE"""),25440.0)</f>
        <v>25440</v>
      </c>
      <c r="C1315" s="1">
        <f>IFERROR(__xludf.DUMMYFUNCTION("""COMPUTED_VALUE"""),25800.0)</f>
        <v>25800</v>
      </c>
      <c r="D1315" s="1">
        <f>IFERROR(__xludf.DUMMYFUNCTION("""COMPUTED_VALUE"""),25240.0)</f>
        <v>25240</v>
      </c>
      <c r="E1315" s="1">
        <f>IFERROR(__xludf.DUMMYFUNCTION("""COMPUTED_VALUE"""),25800.0)</f>
        <v>25800</v>
      </c>
      <c r="F1315" s="1">
        <f>IFERROR(__xludf.DUMMYFUNCTION("""COMPUTED_VALUE"""),294055.0)</f>
        <v>294055</v>
      </c>
    </row>
    <row r="1316">
      <c r="A1316" s="2">
        <f>IFERROR(__xludf.DUMMYFUNCTION("""COMPUTED_VALUE"""),42499.64583333333)</f>
        <v>42499.64583</v>
      </c>
      <c r="B1316" s="1">
        <f>IFERROR(__xludf.DUMMYFUNCTION("""COMPUTED_VALUE"""),25800.0)</f>
        <v>25800</v>
      </c>
      <c r="C1316" s="1">
        <f>IFERROR(__xludf.DUMMYFUNCTION("""COMPUTED_VALUE"""),26000.0)</f>
        <v>26000</v>
      </c>
      <c r="D1316" s="1">
        <f>IFERROR(__xludf.DUMMYFUNCTION("""COMPUTED_VALUE"""),25700.0)</f>
        <v>25700</v>
      </c>
      <c r="E1316" s="1">
        <f>IFERROR(__xludf.DUMMYFUNCTION("""COMPUTED_VALUE"""),25980.0)</f>
        <v>25980</v>
      </c>
      <c r="F1316" s="1">
        <f>IFERROR(__xludf.DUMMYFUNCTION("""COMPUTED_VALUE"""),274362.0)</f>
        <v>274362</v>
      </c>
    </row>
    <row r="1317">
      <c r="A1317" s="2">
        <f>IFERROR(__xludf.DUMMYFUNCTION("""COMPUTED_VALUE"""),42500.64583333333)</f>
        <v>42500.64583</v>
      </c>
      <c r="B1317" s="1">
        <f>IFERROR(__xludf.DUMMYFUNCTION("""COMPUTED_VALUE"""),25980.0)</f>
        <v>25980</v>
      </c>
      <c r="C1317" s="1">
        <f>IFERROR(__xludf.DUMMYFUNCTION("""COMPUTED_VALUE"""),26000.0)</f>
        <v>26000</v>
      </c>
      <c r="D1317" s="1">
        <f>IFERROR(__xludf.DUMMYFUNCTION("""COMPUTED_VALUE"""),25760.0)</f>
        <v>25760</v>
      </c>
      <c r="E1317" s="1">
        <f>IFERROR(__xludf.DUMMYFUNCTION("""COMPUTED_VALUE"""),25920.0)</f>
        <v>25920</v>
      </c>
      <c r="F1317" s="1">
        <f>IFERROR(__xludf.DUMMYFUNCTION("""COMPUTED_VALUE"""),171191.0)</f>
        <v>171191</v>
      </c>
    </row>
    <row r="1318">
      <c r="A1318" s="2">
        <f>IFERROR(__xludf.DUMMYFUNCTION("""COMPUTED_VALUE"""),42501.64583333333)</f>
        <v>42501.64583</v>
      </c>
      <c r="B1318" s="1">
        <f>IFERROR(__xludf.DUMMYFUNCTION("""COMPUTED_VALUE"""),25920.0)</f>
        <v>25920</v>
      </c>
      <c r="C1318" s="1">
        <f>IFERROR(__xludf.DUMMYFUNCTION("""COMPUTED_VALUE"""),25980.0)</f>
        <v>25980</v>
      </c>
      <c r="D1318" s="1">
        <f>IFERROR(__xludf.DUMMYFUNCTION("""COMPUTED_VALUE"""),25740.0)</f>
        <v>25740</v>
      </c>
      <c r="E1318" s="1">
        <f>IFERROR(__xludf.DUMMYFUNCTION("""COMPUTED_VALUE"""),25840.0)</f>
        <v>25840</v>
      </c>
      <c r="F1318" s="1">
        <f>IFERROR(__xludf.DUMMYFUNCTION("""COMPUTED_VALUE"""),176688.0)</f>
        <v>176688</v>
      </c>
    </row>
    <row r="1319">
      <c r="A1319" s="2">
        <f>IFERROR(__xludf.DUMMYFUNCTION("""COMPUTED_VALUE"""),42502.64583333333)</f>
        <v>42502.64583</v>
      </c>
      <c r="B1319" s="1">
        <f>IFERROR(__xludf.DUMMYFUNCTION("""COMPUTED_VALUE"""),25840.0)</f>
        <v>25840</v>
      </c>
      <c r="C1319" s="1">
        <f>IFERROR(__xludf.DUMMYFUNCTION("""COMPUTED_VALUE"""),25840.0)</f>
        <v>25840</v>
      </c>
      <c r="D1319" s="1">
        <f>IFERROR(__xludf.DUMMYFUNCTION("""COMPUTED_VALUE"""),25500.0)</f>
        <v>25500</v>
      </c>
      <c r="E1319" s="1">
        <f>IFERROR(__xludf.DUMMYFUNCTION("""COMPUTED_VALUE"""),25620.0)</f>
        <v>25620</v>
      </c>
      <c r="F1319" s="1">
        <f>IFERROR(__xludf.DUMMYFUNCTION("""COMPUTED_VALUE"""),152302.0)</f>
        <v>152302</v>
      </c>
    </row>
    <row r="1320">
      <c r="A1320" s="2">
        <f>IFERROR(__xludf.DUMMYFUNCTION("""COMPUTED_VALUE"""),42503.64583333333)</f>
        <v>42503.64583</v>
      </c>
      <c r="B1320" s="1">
        <f>IFERROR(__xludf.DUMMYFUNCTION("""COMPUTED_VALUE"""),25620.0)</f>
        <v>25620</v>
      </c>
      <c r="C1320" s="1">
        <f>IFERROR(__xludf.DUMMYFUNCTION("""COMPUTED_VALUE"""),25620.0)</f>
        <v>25620</v>
      </c>
      <c r="D1320" s="1">
        <f>IFERROR(__xludf.DUMMYFUNCTION("""COMPUTED_VALUE"""),25020.0)</f>
        <v>25020</v>
      </c>
      <c r="E1320" s="1">
        <f>IFERROR(__xludf.DUMMYFUNCTION("""COMPUTED_VALUE"""),25060.0)</f>
        <v>25060</v>
      </c>
      <c r="F1320" s="1">
        <f>IFERROR(__xludf.DUMMYFUNCTION("""COMPUTED_VALUE"""),245698.0)</f>
        <v>245698</v>
      </c>
    </row>
    <row r="1321">
      <c r="A1321" s="2">
        <f>IFERROR(__xludf.DUMMYFUNCTION("""COMPUTED_VALUE"""),42506.64583333333)</f>
        <v>42506.64583</v>
      </c>
      <c r="B1321" s="1">
        <f>IFERROR(__xludf.DUMMYFUNCTION("""COMPUTED_VALUE"""),25060.0)</f>
        <v>25060</v>
      </c>
      <c r="C1321" s="1">
        <f>IFERROR(__xludf.DUMMYFUNCTION("""COMPUTED_VALUE"""),25260.0)</f>
        <v>25260</v>
      </c>
      <c r="D1321" s="1">
        <f>IFERROR(__xludf.DUMMYFUNCTION("""COMPUTED_VALUE"""),24940.0)</f>
        <v>24940</v>
      </c>
      <c r="E1321" s="1">
        <f>IFERROR(__xludf.DUMMYFUNCTION("""COMPUTED_VALUE"""),24960.0)</f>
        <v>24960</v>
      </c>
      <c r="F1321" s="1">
        <f>IFERROR(__xludf.DUMMYFUNCTION("""COMPUTED_VALUE"""),234403.0)</f>
        <v>234403</v>
      </c>
    </row>
    <row r="1322">
      <c r="A1322" s="2">
        <f>IFERROR(__xludf.DUMMYFUNCTION("""COMPUTED_VALUE"""),42507.64583333333)</f>
        <v>42507.64583</v>
      </c>
      <c r="B1322" s="1">
        <f>IFERROR(__xludf.DUMMYFUNCTION("""COMPUTED_VALUE"""),24980.0)</f>
        <v>24980</v>
      </c>
      <c r="C1322" s="1">
        <f>IFERROR(__xludf.DUMMYFUNCTION("""COMPUTED_VALUE"""),25300.0)</f>
        <v>25300</v>
      </c>
      <c r="D1322" s="1">
        <f>IFERROR(__xludf.DUMMYFUNCTION("""COMPUTED_VALUE"""),24980.0)</f>
        <v>24980</v>
      </c>
      <c r="E1322" s="1">
        <f>IFERROR(__xludf.DUMMYFUNCTION("""COMPUTED_VALUE"""),25280.0)</f>
        <v>25280</v>
      </c>
      <c r="F1322" s="1">
        <f>IFERROR(__xludf.DUMMYFUNCTION("""COMPUTED_VALUE"""),183671.0)</f>
        <v>183671</v>
      </c>
    </row>
    <row r="1323">
      <c r="A1323" s="2">
        <f>IFERROR(__xludf.DUMMYFUNCTION("""COMPUTED_VALUE"""),42508.64583333333)</f>
        <v>42508.64583</v>
      </c>
      <c r="B1323" s="1">
        <f>IFERROR(__xludf.DUMMYFUNCTION("""COMPUTED_VALUE"""),25280.0)</f>
        <v>25280</v>
      </c>
      <c r="C1323" s="1">
        <f>IFERROR(__xludf.DUMMYFUNCTION("""COMPUTED_VALUE"""),25420.0)</f>
        <v>25420</v>
      </c>
      <c r="D1323" s="1">
        <f>IFERROR(__xludf.DUMMYFUNCTION("""COMPUTED_VALUE"""),25100.0)</f>
        <v>25100</v>
      </c>
      <c r="E1323" s="1">
        <f>IFERROR(__xludf.DUMMYFUNCTION("""COMPUTED_VALUE"""),25360.0)</f>
        <v>25360</v>
      </c>
      <c r="F1323" s="1">
        <f>IFERROR(__xludf.DUMMYFUNCTION("""COMPUTED_VALUE"""),183392.0)</f>
        <v>183392</v>
      </c>
    </row>
    <row r="1324">
      <c r="A1324" s="2">
        <f>IFERROR(__xludf.DUMMYFUNCTION("""COMPUTED_VALUE"""),42509.64583333333)</f>
        <v>42509.64583</v>
      </c>
      <c r="B1324" s="1">
        <f>IFERROR(__xludf.DUMMYFUNCTION("""COMPUTED_VALUE"""),25360.0)</f>
        <v>25360</v>
      </c>
      <c r="C1324" s="1">
        <f>IFERROR(__xludf.DUMMYFUNCTION("""COMPUTED_VALUE"""),25540.0)</f>
        <v>25540</v>
      </c>
      <c r="D1324" s="1">
        <f>IFERROR(__xludf.DUMMYFUNCTION("""COMPUTED_VALUE"""),25320.0)</f>
        <v>25320</v>
      </c>
      <c r="E1324" s="1">
        <f>IFERROR(__xludf.DUMMYFUNCTION("""COMPUTED_VALUE"""),25400.0)</f>
        <v>25400</v>
      </c>
      <c r="F1324" s="1">
        <f>IFERROR(__xludf.DUMMYFUNCTION("""COMPUTED_VALUE"""),200249.0)</f>
        <v>200249</v>
      </c>
    </row>
    <row r="1325">
      <c r="A1325" s="2">
        <f>IFERROR(__xludf.DUMMYFUNCTION("""COMPUTED_VALUE"""),42510.64583333333)</f>
        <v>42510.64583</v>
      </c>
      <c r="B1325" s="1">
        <f>IFERROR(__xludf.DUMMYFUNCTION("""COMPUTED_VALUE"""),25400.0)</f>
        <v>25400</v>
      </c>
      <c r="C1325" s="1">
        <f>IFERROR(__xludf.DUMMYFUNCTION("""COMPUTED_VALUE"""),25600.0)</f>
        <v>25600</v>
      </c>
      <c r="D1325" s="1">
        <f>IFERROR(__xludf.DUMMYFUNCTION("""COMPUTED_VALUE"""),25380.0)</f>
        <v>25380</v>
      </c>
      <c r="E1325" s="1">
        <f>IFERROR(__xludf.DUMMYFUNCTION("""COMPUTED_VALUE"""),25380.0)</f>
        <v>25380</v>
      </c>
      <c r="F1325" s="1">
        <f>IFERROR(__xludf.DUMMYFUNCTION("""COMPUTED_VALUE"""),159211.0)</f>
        <v>159211</v>
      </c>
    </row>
    <row r="1326">
      <c r="A1326" s="2">
        <f>IFERROR(__xludf.DUMMYFUNCTION("""COMPUTED_VALUE"""),42513.64583333333)</f>
        <v>42513.64583</v>
      </c>
      <c r="B1326" s="1">
        <f>IFERROR(__xludf.DUMMYFUNCTION("""COMPUTED_VALUE"""),25380.0)</f>
        <v>25380</v>
      </c>
      <c r="C1326" s="1">
        <f>IFERROR(__xludf.DUMMYFUNCTION("""COMPUTED_VALUE"""),25720.0)</f>
        <v>25720</v>
      </c>
      <c r="D1326" s="1">
        <f>IFERROR(__xludf.DUMMYFUNCTION("""COMPUTED_VALUE"""),25380.0)</f>
        <v>25380</v>
      </c>
      <c r="E1326" s="1">
        <f>IFERROR(__xludf.DUMMYFUNCTION("""COMPUTED_VALUE"""),25720.0)</f>
        <v>25720</v>
      </c>
      <c r="F1326" s="1">
        <f>IFERROR(__xludf.DUMMYFUNCTION("""COMPUTED_VALUE"""),162251.0)</f>
        <v>162251</v>
      </c>
    </row>
    <row r="1327">
      <c r="A1327" s="2">
        <f>IFERROR(__xludf.DUMMYFUNCTION("""COMPUTED_VALUE"""),42514.64583333333)</f>
        <v>42514.64583</v>
      </c>
      <c r="B1327" s="1">
        <f>IFERROR(__xludf.DUMMYFUNCTION("""COMPUTED_VALUE"""),25720.0)</f>
        <v>25720</v>
      </c>
      <c r="C1327" s="1">
        <f>IFERROR(__xludf.DUMMYFUNCTION("""COMPUTED_VALUE"""),25780.0)</f>
        <v>25780</v>
      </c>
      <c r="D1327" s="1">
        <f>IFERROR(__xludf.DUMMYFUNCTION("""COMPUTED_VALUE"""),25360.0)</f>
        <v>25360</v>
      </c>
      <c r="E1327" s="1">
        <f>IFERROR(__xludf.DUMMYFUNCTION("""COMPUTED_VALUE"""),25420.0)</f>
        <v>25420</v>
      </c>
      <c r="F1327" s="1">
        <f>IFERROR(__xludf.DUMMYFUNCTION("""COMPUTED_VALUE"""),208692.0)</f>
        <v>208692</v>
      </c>
    </row>
    <row r="1328">
      <c r="A1328" s="2">
        <f>IFERROR(__xludf.DUMMYFUNCTION("""COMPUTED_VALUE"""),42515.64583333333)</f>
        <v>42515.64583</v>
      </c>
      <c r="B1328" s="1">
        <f>IFERROR(__xludf.DUMMYFUNCTION("""COMPUTED_VALUE"""),25660.0)</f>
        <v>25660</v>
      </c>
      <c r="C1328" s="1">
        <f>IFERROR(__xludf.DUMMYFUNCTION("""COMPUTED_VALUE"""),25960.0)</f>
        <v>25960</v>
      </c>
      <c r="D1328" s="1">
        <f>IFERROR(__xludf.DUMMYFUNCTION("""COMPUTED_VALUE"""),25480.0)</f>
        <v>25480</v>
      </c>
      <c r="E1328" s="1">
        <f>IFERROR(__xludf.DUMMYFUNCTION("""COMPUTED_VALUE"""),25900.0)</f>
        <v>25900</v>
      </c>
      <c r="F1328" s="1">
        <f>IFERROR(__xludf.DUMMYFUNCTION("""COMPUTED_VALUE"""),237255.0)</f>
        <v>237255</v>
      </c>
    </row>
    <row r="1329">
      <c r="A1329" s="2">
        <f>IFERROR(__xludf.DUMMYFUNCTION("""COMPUTED_VALUE"""),42516.64583333333)</f>
        <v>42516.64583</v>
      </c>
      <c r="B1329" s="1">
        <f>IFERROR(__xludf.DUMMYFUNCTION("""COMPUTED_VALUE"""),25980.0)</f>
        <v>25980</v>
      </c>
      <c r="C1329" s="1">
        <f>IFERROR(__xludf.DUMMYFUNCTION("""COMPUTED_VALUE"""),26060.0)</f>
        <v>26060</v>
      </c>
      <c r="D1329" s="1">
        <f>IFERROR(__xludf.DUMMYFUNCTION("""COMPUTED_VALUE"""),25900.0)</f>
        <v>25900</v>
      </c>
      <c r="E1329" s="1">
        <f>IFERROR(__xludf.DUMMYFUNCTION("""COMPUTED_VALUE"""),25920.0)</f>
        <v>25920</v>
      </c>
      <c r="F1329" s="1">
        <f>IFERROR(__xludf.DUMMYFUNCTION("""COMPUTED_VALUE"""),253073.0)</f>
        <v>253073</v>
      </c>
    </row>
    <row r="1330">
      <c r="A1330" s="2">
        <f>IFERROR(__xludf.DUMMYFUNCTION("""COMPUTED_VALUE"""),42517.64583333333)</f>
        <v>42517.64583</v>
      </c>
      <c r="B1330" s="1">
        <f>IFERROR(__xludf.DUMMYFUNCTION("""COMPUTED_VALUE"""),26000.0)</f>
        <v>26000</v>
      </c>
      <c r="C1330" s="1">
        <f>IFERROR(__xludf.DUMMYFUNCTION("""COMPUTED_VALUE"""),26020.0)</f>
        <v>26020</v>
      </c>
      <c r="D1330" s="1">
        <f>IFERROR(__xludf.DUMMYFUNCTION("""COMPUTED_VALUE"""),25460.0)</f>
        <v>25460</v>
      </c>
      <c r="E1330" s="1">
        <f>IFERROR(__xludf.DUMMYFUNCTION("""COMPUTED_VALUE"""),25640.0)</f>
        <v>25640</v>
      </c>
      <c r="F1330" s="1">
        <f>IFERROR(__xludf.DUMMYFUNCTION("""COMPUTED_VALUE"""),274891.0)</f>
        <v>274891</v>
      </c>
    </row>
    <row r="1331">
      <c r="A1331" s="2">
        <f>IFERROR(__xludf.DUMMYFUNCTION("""COMPUTED_VALUE"""),42520.64583333333)</f>
        <v>42520.64583</v>
      </c>
      <c r="B1331" s="1">
        <f>IFERROR(__xludf.DUMMYFUNCTION("""COMPUTED_VALUE"""),25940.0)</f>
        <v>25940</v>
      </c>
      <c r="C1331" s="1">
        <f>IFERROR(__xludf.DUMMYFUNCTION("""COMPUTED_VALUE"""),25940.0)</f>
        <v>25940</v>
      </c>
      <c r="D1331" s="1">
        <f>IFERROR(__xludf.DUMMYFUNCTION("""COMPUTED_VALUE"""),25480.0)</f>
        <v>25480</v>
      </c>
      <c r="E1331" s="1">
        <f>IFERROR(__xludf.DUMMYFUNCTION("""COMPUTED_VALUE"""),25600.0)</f>
        <v>25600</v>
      </c>
      <c r="F1331" s="1">
        <f>IFERROR(__xludf.DUMMYFUNCTION("""COMPUTED_VALUE"""),206307.0)</f>
        <v>206307</v>
      </c>
    </row>
    <row r="1332">
      <c r="A1332" s="2">
        <f>IFERROR(__xludf.DUMMYFUNCTION("""COMPUTED_VALUE"""),42521.64583333333)</f>
        <v>42521.64583</v>
      </c>
      <c r="B1332" s="1">
        <f>IFERROR(__xludf.DUMMYFUNCTION("""COMPUTED_VALUE"""),25600.0)</f>
        <v>25600</v>
      </c>
      <c r="C1332" s="1">
        <f>IFERROR(__xludf.DUMMYFUNCTION("""COMPUTED_VALUE"""),26000.0)</f>
        <v>26000</v>
      </c>
      <c r="D1332" s="1">
        <f>IFERROR(__xludf.DUMMYFUNCTION("""COMPUTED_VALUE"""),25360.0)</f>
        <v>25360</v>
      </c>
      <c r="E1332" s="1">
        <f>IFERROR(__xludf.DUMMYFUNCTION("""COMPUTED_VALUE"""),25840.0)</f>
        <v>25840</v>
      </c>
      <c r="F1332" s="1">
        <f>IFERROR(__xludf.DUMMYFUNCTION("""COMPUTED_VALUE"""),1250554.0)</f>
        <v>1250554</v>
      </c>
    </row>
    <row r="1333">
      <c r="A1333" s="2">
        <f>IFERROR(__xludf.DUMMYFUNCTION("""COMPUTED_VALUE"""),42522.64583333333)</f>
        <v>42522.64583</v>
      </c>
      <c r="B1333" s="1">
        <f>IFERROR(__xludf.DUMMYFUNCTION("""COMPUTED_VALUE"""),25960.0)</f>
        <v>25960</v>
      </c>
      <c r="C1333" s="1">
        <f>IFERROR(__xludf.DUMMYFUNCTION("""COMPUTED_VALUE"""),26820.0)</f>
        <v>26820</v>
      </c>
      <c r="D1333" s="1">
        <f>IFERROR(__xludf.DUMMYFUNCTION("""COMPUTED_VALUE"""),25900.0)</f>
        <v>25900</v>
      </c>
      <c r="E1333" s="1">
        <f>IFERROR(__xludf.DUMMYFUNCTION("""COMPUTED_VALUE"""),26660.0)</f>
        <v>26660</v>
      </c>
      <c r="F1333" s="1">
        <f>IFERROR(__xludf.DUMMYFUNCTION("""COMPUTED_VALUE"""),470080.0)</f>
        <v>470080</v>
      </c>
    </row>
    <row r="1334">
      <c r="A1334" s="2">
        <f>IFERROR(__xludf.DUMMYFUNCTION("""COMPUTED_VALUE"""),42523.64583333333)</f>
        <v>42523.64583</v>
      </c>
      <c r="B1334" s="1">
        <f>IFERROR(__xludf.DUMMYFUNCTION("""COMPUTED_VALUE"""),27000.0)</f>
        <v>27000</v>
      </c>
      <c r="C1334" s="1">
        <f>IFERROR(__xludf.DUMMYFUNCTION("""COMPUTED_VALUE"""),27440.0)</f>
        <v>27440</v>
      </c>
      <c r="D1334" s="1">
        <f>IFERROR(__xludf.DUMMYFUNCTION("""COMPUTED_VALUE"""),26920.0)</f>
        <v>26920</v>
      </c>
      <c r="E1334" s="1">
        <f>IFERROR(__xludf.DUMMYFUNCTION("""COMPUTED_VALUE"""),27300.0)</f>
        <v>27300</v>
      </c>
      <c r="F1334" s="1">
        <f>IFERROR(__xludf.DUMMYFUNCTION("""COMPUTED_VALUE"""),476139.0)</f>
        <v>476139</v>
      </c>
    </row>
    <row r="1335">
      <c r="A1335" s="2">
        <f>IFERROR(__xludf.DUMMYFUNCTION("""COMPUTED_VALUE"""),42524.64583333333)</f>
        <v>42524.64583</v>
      </c>
      <c r="B1335" s="1">
        <f>IFERROR(__xludf.DUMMYFUNCTION("""COMPUTED_VALUE"""),27400.0)</f>
        <v>27400</v>
      </c>
      <c r="C1335" s="1">
        <f>IFERROR(__xludf.DUMMYFUNCTION("""COMPUTED_VALUE"""),27580.0)</f>
        <v>27580</v>
      </c>
      <c r="D1335" s="1">
        <f>IFERROR(__xludf.DUMMYFUNCTION("""COMPUTED_VALUE"""),27280.0)</f>
        <v>27280</v>
      </c>
      <c r="E1335" s="1">
        <f>IFERROR(__xludf.DUMMYFUNCTION("""COMPUTED_VALUE"""),27540.0)</f>
        <v>27540</v>
      </c>
      <c r="F1335" s="1">
        <f>IFERROR(__xludf.DUMMYFUNCTION("""COMPUTED_VALUE"""),341324.0)</f>
        <v>341324</v>
      </c>
    </row>
    <row r="1336">
      <c r="A1336" s="2">
        <f>IFERROR(__xludf.DUMMYFUNCTION("""COMPUTED_VALUE"""),42528.64583333333)</f>
        <v>42528.64583</v>
      </c>
      <c r="B1336" s="1">
        <f>IFERROR(__xludf.DUMMYFUNCTION("""COMPUTED_VALUE"""),27720.0)</f>
        <v>27720</v>
      </c>
      <c r="C1336" s="1">
        <f>IFERROR(__xludf.DUMMYFUNCTION("""COMPUTED_VALUE"""),28040.0)</f>
        <v>28040</v>
      </c>
      <c r="D1336" s="1">
        <f>IFERROR(__xludf.DUMMYFUNCTION("""COMPUTED_VALUE"""),27600.0)</f>
        <v>27600</v>
      </c>
      <c r="E1336" s="1">
        <f>IFERROR(__xludf.DUMMYFUNCTION("""COMPUTED_VALUE"""),27960.0)</f>
        <v>27960</v>
      </c>
      <c r="F1336" s="1">
        <f>IFERROR(__xludf.DUMMYFUNCTION("""COMPUTED_VALUE"""),462843.0)</f>
        <v>462843</v>
      </c>
    </row>
    <row r="1337">
      <c r="A1337" s="2">
        <f>IFERROR(__xludf.DUMMYFUNCTION("""COMPUTED_VALUE"""),42529.64583333333)</f>
        <v>42529.64583</v>
      </c>
      <c r="B1337" s="1">
        <f>IFERROR(__xludf.DUMMYFUNCTION("""COMPUTED_VALUE"""),28380.0)</f>
        <v>28380</v>
      </c>
      <c r="C1337" s="1">
        <f>IFERROR(__xludf.DUMMYFUNCTION("""COMPUTED_VALUE"""),28380.0)</f>
        <v>28380</v>
      </c>
      <c r="D1337" s="1">
        <f>IFERROR(__xludf.DUMMYFUNCTION("""COMPUTED_VALUE"""),27780.0)</f>
        <v>27780</v>
      </c>
      <c r="E1337" s="1">
        <f>IFERROR(__xludf.DUMMYFUNCTION("""COMPUTED_VALUE"""),28120.0)</f>
        <v>28120</v>
      </c>
      <c r="F1337" s="1">
        <f>IFERROR(__xludf.DUMMYFUNCTION("""COMPUTED_VALUE"""),376162.0)</f>
        <v>376162</v>
      </c>
    </row>
    <row r="1338">
      <c r="A1338" s="2">
        <f>IFERROR(__xludf.DUMMYFUNCTION("""COMPUTED_VALUE"""),42530.64583333333)</f>
        <v>42530.64583</v>
      </c>
      <c r="B1338" s="1">
        <f>IFERROR(__xludf.DUMMYFUNCTION("""COMPUTED_VALUE"""),28160.0)</f>
        <v>28160</v>
      </c>
      <c r="C1338" s="1">
        <f>IFERROR(__xludf.DUMMYFUNCTION("""COMPUTED_VALUE"""),28600.0)</f>
        <v>28600</v>
      </c>
      <c r="D1338" s="1">
        <f>IFERROR(__xludf.DUMMYFUNCTION("""COMPUTED_VALUE"""),28120.0)</f>
        <v>28120</v>
      </c>
      <c r="E1338" s="1">
        <f>IFERROR(__xludf.DUMMYFUNCTION("""COMPUTED_VALUE"""),28600.0)</f>
        <v>28600</v>
      </c>
      <c r="F1338" s="1">
        <f>IFERROR(__xludf.DUMMYFUNCTION("""COMPUTED_VALUE"""),515375.0)</f>
        <v>515375</v>
      </c>
    </row>
    <row r="1339">
      <c r="A1339" s="2">
        <f>IFERROR(__xludf.DUMMYFUNCTION("""COMPUTED_VALUE"""),42531.64583333333)</f>
        <v>42531.64583</v>
      </c>
      <c r="B1339" s="1">
        <f>IFERROR(__xludf.DUMMYFUNCTION("""COMPUTED_VALUE"""),28480.0)</f>
        <v>28480</v>
      </c>
      <c r="C1339" s="1">
        <f>IFERROR(__xludf.DUMMYFUNCTION("""COMPUTED_VALUE"""),28500.0)</f>
        <v>28500</v>
      </c>
      <c r="D1339" s="1">
        <f>IFERROR(__xludf.DUMMYFUNCTION("""COMPUTED_VALUE"""),28080.0)</f>
        <v>28080</v>
      </c>
      <c r="E1339" s="1">
        <f>IFERROR(__xludf.DUMMYFUNCTION("""COMPUTED_VALUE"""),28120.0)</f>
        <v>28120</v>
      </c>
      <c r="F1339" s="1">
        <f>IFERROR(__xludf.DUMMYFUNCTION("""COMPUTED_VALUE"""),289681.0)</f>
        <v>289681</v>
      </c>
    </row>
    <row r="1340">
      <c r="A1340" s="2">
        <f>IFERROR(__xludf.DUMMYFUNCTION("""COMPUTED_VALUE"""),42534.64583333333)</f>
        <v>42534.64583</v>
      </c>
      <c r="B1340" s="1">
        <f>IFERROR(__xludf.DUMMYFUNCTION("""COMPUTED_VALUE"""),27920.0)</f>
        <v>27920</v>
      </c>
      <c r="C1340" s="1">
        <f>IFERROR(__xludf.DUMMYFUNCTION("""COMPUTED_VALUE"""),27920.0)</f>
        <v>27920</v>
      </c>
      <c r="D1340" s="1">
        <f>IFERROR(__xludf.DUMMYFUNCTION("""COMPUTED_VALUE"""),27240.0)</f>
        <v>27240</v>
      </c>
      <c r="E1340" s="1">
        <f>IFERROR(__xludf.DUMMYFUNCTION("""COMPUTED_VALUE"""),27420.0)</f>
        <v>27420</v>
      </c>
      <c r="F1340" s="1">
        <f>IFERROR(__xludf.DUMMYFUNCTION("""COMPUTED_VALUE"""),304966.0)</f>
        <v>304966</v>
      </c>
    </row>
    <row r="1341">
      <c r="A1341" s="2">
        <f>IFERROR(__xludf.DUMMYFUNCTION("""COMPUTED_VALUE"""),42535.64583333333)</f>
        <v>42535.64583</v>
      </c>
      <c r="B1341" s="1">
        <f>IFERROR(__xludf.DUMMYFUNCTION("""COMPUTED_VALUE"""),27420.0)</f>
        <v>27420</v>
      </c>
      <c r="C1341" s="1">
        <f>IFERROR(__xludf.DUMMYFUNCTION("""COMPUTED_VALUE"""),27720.0)</f>
        <v>27720</v>
      </c>
      <c r="D1341" s="1">
        <f>IFERROR(__xludf.DUMMYFUNCTION("""COMPUTED_VALUE"""),27380.0)</f>
        <v>27380</v>
      </c>
      <c r="E1341" s="1">
        <f>IFERROR(__xludf.DUMMYFUNCTION("""COMPUTED_VALUE"""),27600.0)</f>
        <v>27600</v>
      </c>
      <c r="F1341" s="1">
        <f>IFERROR(__xludf.DUMMYFUNCTION("""COMPUTED_VALUE"""),245461.0)</f>
        <v>245461</v>
      </c>
    </row>
    <row r="1342">
      <c r="A1342" s="2">
        <f>IFERROR(__xludf.DUMMYFUNCTION("""COMPUTED_VALUE"""),42536.64583333333)</f>
        <v>42536.64583</v>
      </c>
      <c r="B1342" s="1">
        <f>IFERROR(__xludf.DUMMYFUNCTION("""COMPUTED_VALUE"""),27700.0)</f>
        <v>27700</v>
      </c>
      <c r="C1342" s="1">
        <f>IFERROR(__xludf.DUMMYFUNCTION("""COMPUTED_VALUE"""),28320.0)</f>
        <v>28320</v>
      </c>
      <c r="D1342" s="1">
        <f>IFERROR(__xludf.DUMMYFUNCTION("""COMPUTED_VALUE"""),27660.0)</f>
        <v>27660</v>
      </c>
      <c r="E1342" s="1">
        <f>IFERROR(__xludf.DUMMYFUNCTION("""COMPUTED_VALUE"""),28260.0)</f>
        <v>28260</v>
      </c>
      <c r="F1342" s="1">
        <f>IFERROR(__xludf.DUMMYFUNCTION("""COMPUTED_VALUE"""),306689.0)</f>
        <v>306689</v>
      </c>
    </row>
    <row r="1343">
      <c r="A1343" s="2">
        <f>IFERROR(__xludf.DUMMYFUNCTION("""COMPUTED_VALUE"""),42537.64583333333)</f>
        <v>42537.64583</v>
      </c>
      <c r="B1343" s="1">
        <f>IFERROR(__xludf.DUMMYFUNCTION("""COMPUTED_VALUE"""),28260.0)</f>
        <v>28260</v>
      </c>
      <c r="C1343" s="1">
        <f>IFERROR(__xludf.DUMMYFUNCTION("""COMPUTED_VALUE"""),28340.0)</f>
        <v>28340</v>
      </c>
      <c r="D1343" s="1">
        <f>IFERROR(__xludf.DUMMYFUNCTION("""COMPUTED_VALUE"""),27900.0)</f>
        <v>27900</v>
      </c>
      <c r="E1343" s="1">
        <f>IFERROR(__xludf.DUMMYFUNCTION("""COMPUTED_VALUE"""),28180.0)</f>
        <v>28180</v>
      </c>
      <c r="F1343" s="1">
        <f>IFERROR(__xludf.DUMMYFUNCTION("""COMPUTED_VALUE"""),292431.0)</f>
        <v>292431</v>
      </c>
    </row>
    <row r="1344">
      <c r="A1344" s="2">
        <f>IFERROR(__xludf.DUMMYFUNCTION("""COMPUTED_VALUE"""),42538.64583333333)</f>
        <v>42538.64583</v>
      </c>
      <c r="B1344" s="1">
        <f>IFERROR(__xludf.DUMMYFUNCTION("""COMPUTED_VALUE"""),28200.0)</f>
        <v>28200</v>
      </c>
      <c r="C1344" s="1">
        <f>IFERROR(__xludf.DUMMYFUNCTION("""COMPUTED_VALUE"""),28700.0)</f>
        <v>28700</v>
      </c>
      <c r="D1344" s="1">
        <f>IFERROR(__xludf.DUMMYFUNCTION("""COMPUTED_VALUE"""),28200.0)</f>
        <v>28200</v>
      </c>
      <c r="E1344" s="1">
        <f>IFERROR(__xludf.DUMMYFUNCTION("""COMPUTED_VALUE"""),28520.0)</f>
        <v>28520</v>
      </c>
      <c r="F1344" s="1">
        <f>IFERROR(__xludf.DUMMYFUNCTION("""COMPUTED_VALUE"""),328394.0)</f>
        <v>328394</v>
      </c>
    </row>
    <row r="1345">
      <c r="A1345" s="2">
        <f>IFERROR(__xludf.DUMMYFUNCTION("""COMPUTED_VALUE"""),42541.64583333333)</f>
        <v>42541.64583</v>
      </c>
      <c r="B1345" s="1">
        <f>IFERROR(__xludf.DUMMYFUNCTION("""COMPUTED_VALUE"""),28540.0)</f>
        <v>28540</v>
      </c>
      <c r="C1345" s="1">
        <f>IFERROR(__xludf.DUMMYFUNCTION("""COMPUTED_VALUE"""),28960.0)</f>
        <v>28960</v>
      </c>
      <c r="D1345" s="1">
        <f>IFERROR(__xludf.DUMMYFUNCTION("""COMPUTED_VALUE"""),28520.0)</f>
        <v>28520</v>
      </c>
      <c r="E1345" s="1">
        <f>IFERROR(__xludf.DUMMYFUNCTION("""COMPUTED_VALUE"""),28620.0)</f>
        <v>28620</v>
      </c>
      <c r="F1345" s="1">
        <f>IFERROR(__xludf.DUMMYFUNCTION("""COMPUTED_VALUE"""),270316.0)</f>
        <v>270316</v>
      </c>
    </row>
    <row r="1346">
      <c r="A1346" s="2">
        <f>IFERROR(__xludf.DUMMYFUNCTION("""COMPUTED_VALUE"""),42542.64583333333)</f>
        <v>42542.64583</v>
      </c>
      <c r="B1346" s="1">
        <f>IFERROR(__xludf.DUMMYFUNCTION("""COMPUTED_VALUE"""),28640.0)</f>
        <v>28640</v>
      </c>
      <c r="C1346" s="1">
        <f>IFERROR(__xludf.DUMMYFUNCTION("""COMPUTED_VALUE"""),28980.0)</f>
        <v>28980</v>
      </c>
      <c r="D1346" s="1">
        <f>IFERROR(__xludf.DUMMYFUNCTION("""COMPUTED_VALUE"""),28520.0)</f>
        <v>28520</v>
      </c>
      <c r="E1346" s="1">
        <f>IFERROR(__xludf.DUMMYFUNCTION("""COMPUTED_VALUE"""),28960.0)</f>
        <v>28960</v>
      </c>
      <c r="F1346" s="1">
        <f>IFERROR(__xludf.DUMMYFUNCTION("""COMPUTED_VALUE"""),200411.0)</f>
        <v>200411</v>
      </c>
    </row>
    <row r="1347">
      <c r="A1347" s="2">
        <f>IFERROR(__xludf.DUMMYFUNCTION("""COMPUTED_VALUE"""),42543.64583333333)</f>
        <v>42543.64583</v>
      </c>
      <c r="B1347" s="1">
        <f>IFERROR(__xludf.DUMMYFUNCTION("""COMPUTED_VALUE"""),28920.0)</f>
        <v>28920</v>
      </c>
      <c r="C1347" s="1">
        <f>IFERROR(__xludf.DUMMYFUNCTION("""COMPUTED_VALUE"""),29000.0)</f>
        <v>29000</v>
      </c>
      <c r="D1347" s="1">
        <f>IFERROR(__xludf.DUMMYFUNCTION("""COMPUTED_VALUE"""),28620.0)</f>
        <v>28620</v>
      </c>
      <c r="E1347" s="1">
        <f>IFERROR(__xludf.DUMMYFUNCTION("""COMPUTED_VALUE"""),28900.0)</f>
        <v>28900</v>
      </c>
      <c r="F1347" s="1">
        <f>IFERROR(__xludf.DUMMYFUNCTION("""COMPUTED_VALUE"""),178965.0)</f>
        <v>178965</v>
      </c>
    </row>
    <row r="1348">
      <c r="A1348" s="2">
        <f>IFERROR(__xludf.DUMMYFUNCTION("""COMPUTED_VALUE"""),42544.64583333333)</f>
        <v>42544.64583</v>
      </c>
      <c r="B1348" s="1">
        <f>IFERROR(__xludf.DUMMYFUNCTION("""COMPUTED_VALUE"""),28880.0)</f>
        <v>28880</v>
      </c>
      <c r="C1348" s="1">
        <f>IFERROR(__xludf.DUMMYFUNCTION("""COMPUTED_VALUE"""),28900.0)</f>
        <v>28900</v>
      </c>
      <c r="D1348" s="1">
        <f>IFERROR(__xludf.DUMMYFUNCTION("""COMPUTED_VALUE"""),28540.0)</f>
        <v>28540</v>
      </c>
      <c r="E1348" s="1">
        <f>IFERROR(__xludf.DUMMYFUNCTION("""COMPUTED_VALUE"""),28600.0)</f>
        <v>28600</v>
      </c>
      <c r="F1348" s="1">
        <f>IFERROR(__xludf.DUMMYFUNCTION("""COMPUTED_VALUE"""),225126.0)</f>
        <v>225126</v>
      </c>
    </row>
    <row r="1349">
      <c r="A1349" s="2">
        <f>IFERROR(__xludf.DUMMYFUNCTION("""COMPUTED_VALUE"""),42545.64583333333)</f>
        <v>42545.64583</v>
      </c>
      <c r="B1349" s="1">
        <f>IFERROR(__xludf.DUMMYFUNCTION("""COMPUTED_VALUE"""),28900.0)</f>
        <v>28900</v>
      </c>
      <c r="C1349" s="1">
        <f>IFERROR(__xludf.DUMMYFUNCTION("""COMPUTED_VALUE"""),28900.0)</f>
        <v>28900</v>
      </c>
      <c r="D1349" s="1">
        <f>IFERROR(__xludf.DUMMYFUNCTION("""COMPUTED_VALUE"""),27200.0)</f>
        <v>27200</v>
      </c>
      <c r="E1349" s="1">
        <f>IFERROR(__xludf.DUMMYFUNCTION("""COMPUTED_VALUE"""),28000.0)</f>
        <v>28000</v>
      </c>
      <c r="F1349" s="1">
        <f>IFERROR(__xludf.DUMMYFUNCTION("""COMPUTED_VALUE"""),411052.0)</f>
        <v>411052</v>
      </c>
    </row>
    <row r="1350">
      <c r="A1350" s="2">
        <f>IFERROR(__xludf.DUMMYFUNCTION("""COMPUTED_VALUE"""),42548.64583333333)</f>
        <v>42548.64583</v>
      </c>
      <c r="B1350" s="1">
        <f>IFERROR(__xludf.DUMMYFUNCTION("""COMPUTED_VALUE"""),28000.0)</f>
        <v>28000</v>
      </c>
      <c r="C1350" s="1">
        <f>IFERROR(__xludf.DUMMYFUNCTION("""COMPUTED_VALUE"""),28100.0)</f>
        <v>28100</v>
      </c>
      <c r="D1350" s="1">
        <f>IFERROR(__xludf.DUMMYFUNCTION("""COMPUTED_VALUE"""),27700.0)</f>
        <v>27700</v>
      </c>
      <c r="E1350" s="1">
        <f>IFERROR(__xludf.DUMMYFUNCTION("""COMPUTED_VALUE"""),27960.0)</f>
        <v>27960</v>
      </c>
      <c r="F1350" s="1">
        <f>IFERROR(__xludf.DUMMYFUNCTION("""COMPUTED_VALUE"""),236780.0)</f>
        <v>236780</v>
      </c>
    </row>
    <row r="1351">
      <c r="A1351" s="2">
        <f>IFERROR(__xludf.DUMMYFUNCTION("""COMPUTED_VALUE"""),42549.64583333333)</f>
        <v>42549.64583</v>
      </c>
      <c r="B1351" s="1">
        <f>IFERROR(__xludf.DUMMYFUNCTION("""COMPUTED_VALUE"""),27800.0)</f>
        <v>27800</v>
      </c>
      <c r="C1351" s="1">
        <f>IFERROR(__xludf.DUMMYFUNCTION("""COMPUTED_VALUE"""),28080.0)</f>
        <v>28080</v>
      </c>
      <c r="D1351" s="1">
        <f>IFERROR(__xludf.DUMMYFUNCTION("""COMPUTED_VALUE"""),27580.0)</f>
        <v>27580</v>
      </c>
      <c r="E1351" s="1">
        <f>IFERROR(__xludf.DUMMYFUNCTION("""COMPUTED_VALUE"""),27980.0)</f>
        <v>27980</v>
      </c>
      <c r="F1351" s="1">
        <f>IFERROR(__xludf.DUMMYFUNCTION("""COMPUTED_VALUE"""),214379.0)</f>
        <v>214379</v>
      </c>
    </row>
    <row r="1352">
      <c r="A1352" s="2">
        <f>IFERROR(__xludf.DUMMYFUNCTION("""COMPUTED_VALUE"""),42550.64583333333)</f>
        <v>42550.64583</v>
      </c>
      <c r="B1352" s="1">
        <f>IFERROR(__xludf.DUMMYFUNCTION("""COMPUTED_VALUE"""),28160.0)</f>
        <v>28160</v>
      </c>
      <c r="C1352" s="1">
        <f>IFERROR(__xludf.DUMMYFUNCTION("""COMPUTED_VALUE"""),28240.0)</f>
        <v>28240</v>
      </c>
      <c r="D1352" s="1">
        <f>IFERROR(__xludf.DUMMYFUNCTION("""COMPUTED_VALUE"""),27820.0)</f>
        <v>27820</v>
      </c>
      <c r="E1352" s="1">
        <f>IFERROR(__xludf.DUMMYFUNCTION("""COMPUTED_VALUE"""),27920.0)</f>
        <v>27920</v>
      </c>
      <c r="F1352" s="1">
        <f>IFERROR(__xludf.DUMMYFUNCTION("""COMPUTED_VALUE"""),210541.0)</f>
        <v>210541</v>
      </c>
    </row>
    <row r="1353">
      <c r="A1353" s="2">
        <f>IFERROR(__xludf.DUMMYFUNCTION("""COMPUTED_VALUE"""),42551.64583333333)</f>
        <v>42551.64583</v>
      </c>
      <c r="B1353" s="1">
        <f>IFERROR(__xludf.DUMMYFUNCTION("""COMPUTED_VALUE"""),28160.0)</f>
        <v>28160</v>
      </c>
      <c r="C1353" s="1">
        <f>IFERROR(__xludf.DUMMYFUNCTION("""COMPUTED_VALUE"""),28900.0)</f>
        <v>28900</v>
      </c>
      <c r="D1353" s="1">
        <f>IFERROR(__xludf.DUMMYFUNCTION("""COMPUTED_VALUE"""),27940.0)</f>
        <v>27940</v>
      </c>
      <c r="E1353" s="1">
        <f>IFERROR(__xludf.DUMMYFUNCTION("""COMPUTED_VALUE"""),28500.0)</f>
        <v>28500</v>
      </c>
      <c r="F1353" s="1">
        <f>IFERROR(__xludf.DUMMYFUNCTION("""COMPUTED_VALUE"""),273434.0)</f>
        <v>273434</v>
      </c>
    </row>
    <row r="1354">
      <c r="A1354" s="2">
        <f>IFERROR(__xludf.DUMMYFUNCTION("""COMPUTED_VALUE"""),42552.64583333333)</f>
        <v>42552.64583</v>
      </c>
      <c r="B1354" s="1">
        <f>IFERROR(__xludf.DUMMYFUNCTION("""COMPUTED_VALUE"""),28540.0)</f>
        <v>28540</v>
      </c>
      <c r="C1354" s="1">
        <f>IFERROR(__xludf.DUMMYFUNCTION("""COMPUTED_VALUE"""),29580.0)</f>
        <v>29580</v>
      </c>
      <c r="D1354" s="1">
        <f>IFERROR(__xludf.DUMMYFUNCTION("""COMPUTED_VALUE"""),28540.0)</f>
        <v>28540</v>
      </c>
      <c r="E1354" s="1">
        <f>IFERROR(__xludf.DUMMYFUNCTION("""COMPUTED_VALUE"""),29320.0)</f>
        <v>29320</v>
      </c>
      <c r="F1354" s="1">
        <f>IFERROR(__xludf.DUMMYFUNCTION("""COMPUTED_VALUE"""),287872.0)</f>
        <v>287872</v>
      </c>
    </row>
    <row r="1355">
      <c r="A1355" s="2">
        <f>IFERROR(__xludf.DUMMYFUNCTION("""COMPUTED_VALUE"""),42555.64583333333)</f>
        <v>42555.64583</v>
      </c>
      <c r="B1355" s="1">
        <f>IFERROR(__xludf.DUMMYFUNCTION("""COMPUTED_VALUE"""),29280.0)</f>
        <v>29280</v>
      </c>
      <c r="C1355" s="1">
        <f>IFERROR(__xludf.DUMMYFUNCTION("""COMPUTED_VALUE"""),29480.0)</f>
        <v>29480</v>
      </c>
      <c r="D1355" s="1">
        <f>IFERROR(__xludf.DUMMYFUNCTION("""COMPUTED_VALUE"""),29020.0)</f>
        <v>29020</v>
      </c>
      <c r="E1355" s="1">
        <f>IFERROR(__xludf.DUMMYFUNCTION("""COMPUTED_VALUE"""),29320.0)</f>
        <v>29320</v>
      </c>
      <c r="F1355" s="1">
        <f>IFERROR(__xludf.DUMMYFUNCTION("""COMPUTED_VALUE"""),159900.0)</f>
        <v>159900</v>
      </c>
    </row>
    <row r="1356">
      <c r="A1356" s="2">
        <f>IFERROR(__xludf.DUMMYFUNCTION("""COMPUTED_VALUE"""),42556.64583333333)</f>
        <v>42556.64583</v>
      </c>
      <c r="B1356" s="1">
        <f>IFERROR(__xludf.DUMMYFUNCTION("""COMPUTED_VALUE"""),29320.0)</f>
        <v>29320</v>
      </c>
      <c r="C1356" s="1">
        <f>IFERROR(__xludf.DUMMYFUNCTION("""COMPUTED_VALUE"""),29500.0)</f>
        <v>29500</v>
      </c>
      <c r="D1356" s="1">
        <f>IFERROR(__xludf.DUMMYFUNCTION("""COMPUTED_VALUE"""),29240.0)</f>
        <v>29240</v>
      </c>
      <c r="E1356" s="1">
        <f>IFERROR(__xludf.DUMMYFUNCTION("""COMPUTED_VALUE"""),29380.0)</f>
        <v>29380</v>
      </c>
      <c r="F1356" s="1">
        <f>IFERROR(__xludf.DUMMYFUNCTION("""COMPUTED_VALUE"""),157407.0)</f>
        <v>157407</v>
      </c>
    </row>
    <row r="1357">
      <c r="A1357" s="2">
        <f>IFERROR(__xludf.DUMMYFUNCTION("""COMPUTED_VALUE"""),42557.64583333333)</f>
        <v>42557.64583</v>
      </c>
      <c r="B1357" s="1">
        <f>IFERROR(__xludf.DUMMYFUNCTION("""COMPUTED_VALUE"""),28940.0)</f>
        <v>28940</v>
      </c>
      <c r="C1357" s="1">
        <f>IFERROR(__xludf.DUMMYFUNCTION("""COMPUTED_VALUE"""),29040.0)</f>
        <v>29040</v>
      </c>
      <c r="D1357" s="1">
        <f>IFERROR(__xludf.DUMMYFUNCTION("""COMPUTED_VALUE"""),28240.0)</f>
        <v>28240</v>
      </c>
      <c r="E1357" s="1">
        <f>IFERROR(__xludf.DUMMYFUNCTION("""COMPUTED_VALUE"""),28420.0)</f>
        <v>28420</v>
      </c>
      <c r="F1357" s="1">
        <f>IFERROR(__xludf.DUMMYFUNCTION("""COMPUTED_VALUE"""),334983.0)</f>
        <v>334983</v>
      </c>
    </row>
    <row r="1358">
      <c r="A1358" s="2">
        <f>IFERROR(__xludf.DUMMYFUNCTION("""COMPUTED_VALUE"""),42558.64583333333)</f>
        <v>42558.64583</v>
      </c>
      <c r="B1358" s="1">
        <f>IFERROR(__xludf.DUMMYFUNCTION("""COMPUTED_VALUE"""),28420.0)</f>
        <v>28420</v>
      </c>
      <c r="C1358" s="1">
        <f>IFERROR(__xludf.DUMMYFUNCTION("""COMPUTED_VALUE"""),29000.0)</f>
        <v>29000</v>
      </c>
      <c r="D1358" s="1">
        <f>IFERROR(__xludf.DUMMYFUNCTION("""COMPUTED_VALUE"""),28320.0)</f>
        <v>28320</v>
      </c>
      <c r="E1358" s="1">
        <f>IFERROR(__xludf.DUMMYFUNCTION("""COMPUTED_VALUE"""),29000.0)</f>
        <v>29000</v>
      </c>
      <c r="F1358" s="1">
        <f>IFERROR(__xludf.DUMMYFUNCTION("""COMPUTED_VALUE"""),229904.0)</f>
        <v>229904</v>
      </c>
    </row>
    <row r="1359">
      <c r="A1359" s="2">
        <f>IFERROR(__xludf.DUMMYFUNCTION("""COMPUTED_VALUE"""),42559.64583333333)</f>
        <v>42559.64583</v>
      </c>
      <c r="B1359" s="1">
        <f>IFERROR(__xludf.DUMMYFUNCTION("""COMPUTED_VALUE"""),29000.0)</f>
        <v>29000</v>
      </c>
      <c r="C1359" s="1">
        <f>IFERROR(__xludf.DUMMYFUNCTION("""COMPUTED_VALUE"""),29500.0)</f>
        <v>29500</v>
      </c>
      <c r="D1359" s="1">
        <f>IFERROR(__xludf.DUMMYFUNCTION("""COMPUTED_VALUE"""),28980.0)</f>
        <v>28980</v>
      </c>
      <c r="E1359" s="1">
        <f>IFERROR(__xludf.DUMMYFUNCTION("""COMPUTED_VALUE"""),29200.0)</f>
        <v>29200</v>
      </c>
      <c r="F1359" s="1">
        <f>IFERROR(__xludf.DUMMYFUNCTION("""COMPUTED_VALUE"""),269963.0)</f>
        <v>269963</v>
      </c>
    </row>
    <row r="1360">
      <c r="A1360" s="2">
        <f>IFERROR(__xludf.DUMMYFUNCTION("""COMPUTED_VALUE"""),42562.64583333333)</f>
        <v>42562.64583</v>
      </c>
      <c r="B1360" s="1">
        <f>IFERROR(__xludf.DUMMYFUNCTION("""COMPUTED_VALUE"""),29200.0)</f>
        <v>29200</v>
      </c>
      <c r="C1360" s="1">
        <f>IFERROR(__xludf.DUMMYFUNCTION("""COMPUTED_VALUE"""),30000.0)</f>
        <v>30000</v>
      </c>
      <c r="D1360" s="1">
        <f>IFERROR(__xludf.DUMMYFUNCTION("""COMPUTED_VALUE"""),29200.0)</f>
        <v>29200</v>
      </c>
      <c r="E1360" s="1">
        <f>IFERROR(__xludf.DUMMYFUNCTION("""COMPUTED_VALUE"""),29780.0)</f>
        <v>29780</v>
      </c>
      <c r="F1360" s="1">
        <f>IFERROR(__xludf.DUMMYFUNCTION("""COMPUTED_VALUE"""),281136.0)</f>
        <v>281136</v>
      </c>
    </row>
    <row r="1361">
      <c r="A1361" s="2">
        <f>IFERROR(__xludf.DUMMYFUNCTION("""COMPUTED_VALUE"""),42563.64583333333)</f>
        <v>42563.64583</v>
      </c>
      <c r="B1361" s="1">
        <f>IFERROR(__xludf.DUMMYFUNCTION("""COMPUTED_VALUE"""),29980.0)</f>
        <v>29980</v>
      </c>
      <c r="C1361" s="1">
        <f>IFERROR(__xludf.DUMMYFUNCTION("""COMPUTED_VALUE"""),30100.0)</f>
        <v>30100</v>
      </c>
      <c r="D1361" s="1">
        <f>IFERROR(__xludf.DUMMYFUNCTION("""COMPUTED_VALUE"""),29200.0)</f>
        <v>29200</v>
      </c>
      <c r="E1361" s="1">
        <f>IFERROR(__xludf.DUMMYFUNCTION("""COMPUTED_VALUE"""),29280.0)</f>
        <v>29280</v>
      </c>
      <c r="F1361" s="1">
        <f>IFERROR(__xludf.DUMMYFUNCTION("""COMPUTED_VALUE"""),220494.0)</f>
        <v>220494</v>
      </c>
    </row>
    <row r="1362">
      <c r="A1362" s="2">
        <f>IFERROR(__xludf.DUMMYFUNCTION("""COMPUTED_VALUE"""),42564.64583333333)</f>
        <v>42564.64583</v>
      </c>
      <c r="B1362" s="1">
        <f>IFERROR(__xludf.DUMMYFUNCTION("""COMPUTED_VALUE"""),29920.0)</f>
        <v>29920</v>
      </c>
      <c r="C1362" s="1">
        <f>IFERROR(__xludf.DUMMYFUNCTION("""COMPUTED_VALUE"""),29920.0)</f>
        <v>29920</v>
      </c>
      <c r="D1362" s="1">
        <f>IFERROR(__xludf.DUMMYFUNCTION("""COMPUTED_VALUE"""),29260.0)</f>
        <v>29260</v>
      </c>
      <c r="E1362" s="1">
        <f>IFERROR(__xludf.DUMMYFUNCTION("""COMPUTED_VALUE"""),29620.0)</f>
        <v>29620</v>
      </c>
      <c r="F1362" s="1">
        <f>IFERROR(__xludf.DUMMYFUNCTION("""COMPUTED_VALUE"""),200198.0)</f>
        <v>200198</v>
      </c>
    </row>
    <row r="1363">
      <c r="A1363" s="2">
        <f>IFERROR(__xludf.DUMMYFUNCTION("""COMPUTED_VALUE"""),42565.64583333333)</f>
        <v>42565.64583</v>
      </c>
      <c r="B1363" s="1">
        <f>IFERROR(__xludf.DUMMYFUNCTION("""COMPUTED_VALUE"""),29620.0)</f>
        <v>29620</v>
      </c>
      <c r="C1363" s="1">
        <f>IFERROR(__xludf.DUMMYFUNCTION("""COMPUTED_VALUE"""),30000.0)</f>
        <v>30000</v>
      </c>
      <c r="D1363" s="1">
        <f>IFERROR(__xludf.DUMMYFUNCTION("""COMPUTED_VALUE"""),29520.0)</f>
        <v>29520</v>
      </c>
      <c r="E1363" s="1">
        <f>IFERROR(__xludf.DUMMYFUNCTION("""COMPUTED_VALUE"""),30000.0)</f>
        <v>30000</v>
      </c>
      <c r="F1363" s="1">
        <f>IFERROR(__xludf.DUMMYFUNCTION("""COMPUTED_VALUE"""),248605.0)</f>
        <v>248605</v>
      </c>
    </row>
    <row r="1364">
      <c r="A1364" s="2">
        <f>IFERROR(__xludf.DUMMYFUNCTION("""COMPUTED_VALUE"""),42566.64583333333)</f>
        <v>42566.64583</v>
      </c>
      <c r="B1364" s="1">
        <f>IFERROR(__xludf.DUMMYFUNCTION("""COMPUTED_VALUE"""),30000.0)</f>
        <v>30000</v>
      </c>
      <c r="C1364" s="1">
        <f>IFERROR(__xludf.DUMMYFUNCTION("""COMPUTED_VALUE"""),30440.0)</f>
        <v>30440</v>
      </c>
      <c r="D1364" s="1">
        <f>IFERROR(__xludf.DUMMYFUNCTION("""COMPUTED_VALUE"""),29720.0)</f>
        <v>29720</v>
      </c>
      <c r="E1364" s="1">
        <f>IFERROR(__xludf.DUMMYFUNCTION("""COMPUTED_VALUE"""),30360.0)</f>
        <v>30360</v>
      </c>
      <c r="F1364" s="1">
        <f>IFERROR(__xludf.DUMMYFUNCTION("""COMPUTED_VALUE"""),232463.0)</f>
        <v>232463</v>
      </c>
    </row>
    <row r="1365">
      <c r="A1365" s="2">
        <f>IFERROR(__xludf.DUMMYFUNCTION("""COMPUTED_VALUE"""),42569.64583333333)</f>
        <v>42569.64583</v>
      </c>
      <c r="B1365" s="1">
        <f>IFERROR(__xludf.DUMMYFUNCTION("""COMPUTED_VALUE"""),30360.0)</f>
        <v>30360</v>
      </c>
      <c r="C1365" s="1">
        <f>IFERROR(__xludf.DUMMYFUNCTION("""COMPUTED_VALUE"""),30660.0)</f>
        <v>30660</v>
      </c>
      <c r="D1365" s="1">
        <f>IFERROR(__xludf.DUMMYFUNCTION("""COMPUTED_VALUE"""),30000.0)</f>
        <v>30000</v>
      </c>
      <c r="E1365" s="1">
        <f>IFERROR(__xludf.DUMMYFUNCTION("""COMPUTED_VALUE"""),30660.0)</f>
        <v>30660</v>
      </c>
      <c r="F1365" s="1">
        <f>IFERROR(__xludf.DUMMYFUNCTION("""COMPUTED_VALUE"""),231344.0)</f>
        <v>231344</v>
      </c>
    </row>
    <row r="1366">
      <c r="A1366" s="2">
        <f>IFERROR(__xludf.DUMMYFUNCTION("""COMPUTED_VALUE"""),42570.64583333333)</f>
        <v>42570.64583</v>
      </c>
      <c r="B1366" s="1">
        <f>IFERROR(__xludf.DUMMYFUNCTION("""COMPUTED_VALUE"""),30560.0)</f>
        <v>30560</v>
      </c>
      <c r="C1366" s="1">
        <f>IFERROR(__xludf.DUMMYFUNCTION("""COMPUTED_VALUE"""),30800.0)</f>
        <v>30800</v>
      </c>
      <c r="D1366" s="1">
        <f>IFERROR(__xludf.DUMMYFUNCTION("""COMPUTED_VALUE"""),30440.0)</f>
        <v>30440</v>
      </c>
      <c r="E1366" s="1">
        <f>IFERROR(__xludf.DUMMYFUNCTION("""COMPUTED_VALUE"""),30660.0)</f>
        <v>30660</v>
      </c>
      <c r="F1366" s="1">
        <f>IFERROR(__xludf.DUMMYFUNCTION("""COMPUTED_VALUE"""),202445.0)</f>
        <v>202445</v>
      </c>
    </row>
    <row r="1367">
      <c r="A1367" s="2">
        <f>IFERROR(__xludf.DUMMYFUNCTION("""COMPUTED_VALUE"""),42571.64583333333)</f>
        <v>42571.64583</v>
      </c>
      <c r="B1367" s="1">
        <f>IFERROR(__xludf.DUMMYFUNCTION("""COMPUTED_VALUE"""),30660.0)</f>
        <v>30660</v>
      </c>
      <c r="C1367" s="1">
        <f>IFERROR(__xludf.DUMMYFUNCTION("""COMPUTED_VALUE"""),30840.0)</f>
        <v>30840</v>
      </c>
      <c r="D1367" s="1">
        <f>IFERROR(__xludf.DUMMYFUNCTION("""COMPUTED_VALUE"""),30480.0)</f>
        <v>30480</v>
      </c>
      <c r="E1367" s="1">
        <f>IFERROR(__xludf.DUMMYFUNCTION("""COMPUTED_VALUE"""),30800.0)</f>
        <v>30800</v>
      </c>
      <c r="F1367" s="1">
        <f>IFERROR(__xludf.DUMMYFUNCTION("""COMPUTED_VALUE"""),155463.0)</f>
        <v>155463</v>
      </c>
    </row>
    <row r="1368">
      <c r="A1368" s="2">
        <f>IFERROR(__xludf.DUMMYFUNCTION("""COMPUTED_VALUE"""),42572.64583333333)</f>
        <v>42572.64583</v>
      </c>
      <c r="B1368" s="1">
        <f>IFERROR(__xludf.DUMMYFUNCTION("""COMPUTED_VALUE"""),30800.0)</f>
        <v>30800</v>
      </c>
      <c r="C1368" s="1">
        <f>IFERROR(__xludf.DUMMYFUNCTION("""COMPUTED_VALUE"""),30940.0)</f>
        <v>30940</v>
      </c>
      <c r="D1368" s="1">
        <f>IFERROR(__xludf.DUMMYFUNCTION("""COMPUTED_VALUE"""),30740.0)</f>
        <v>30740</v>
      </c>
      <c r="E1368" s="1">
        <f>IFERROR(__xludf.DUMMYFUNCTION("""COMPUTED_VALUE"""),30860.0)</f>
        <v>30860</v>
      </c>
      <c r="F1368" s="1">
        <f>IFERROR(__xludf.DUMMYFUNCTION("""COMPUTED_VALUE"""),170894.0)</f>
        <v>170894</v>
      </c>
    </row>
    <row r="1369">
      <c r="A1369" s="2">
        <f>IFERROR(__xludf.DUMMYFUNCTION("""COMPUTED_VALUE"""),42573.64583333333)</f>
        <v>42573.64583</v>
      </c>
      <c r="B1369" s="1">
        <f>IFERROR(__xludf.DUMMYFUNCTION("""COMPUTED_VALUE"""),30120.0)</f>
        <v>30120</v>
      </c>
      <c r="C1369" s="1">
        <f>IFERROR(__xludf.DUMMYFUNCTION("""COMPUTED_VALUE"""),30560.0)</f>
        <v>30560</v>
      </c>
      <c r="D1369" s="1">
        <f>IFERROR(__xludf.DUMMYFUNCTION("""COMPUTED_VALUE"""),30120.0)</f>
        <v>30120</v>
      </c>
      <c r="E1369" s="1">
        <f>IFERROR(__xludf.DUMMYFUNCTION("""COMPUTED_VALUE"""),30320.0)</f>
        <v>30320</v>
      </c>
      <c r="F1369" s="1">
        <f>IFERROR(__xludf.DUMMYFUNCTION("""COMPUTED_VALUE"""),171703.0)</f>
        <v>171703</v>
      </c>
    </row>
    <row r="1370">
      <c r="A1370" s="2">
        <f>IFERROR(__xludf.DUMMYFUNCTION("""COMPUTED_VALUE"""),42576.64583333333)</f>
        <v>42576.64583</v>
      </c>
      <c r="B1370" s="1">
        <f>IFERROR(__xludf.DUMMYFUNCTION("""COMPUTED_VALUE"""),30000.0)</f>
        <v>30000</v>
      </c>
      <c r="C1370" s="1">
        <f>IFERROR(__xludf.DUMMYFUNCTION("""COMPUTED_VALUE"""),30460.0)</f>
        <v>30460</v>
      </c>
      <c r="D1370" s="1">
        <f>IFERROR(__xludf.DUMMYFUNCTION("""COMPUTED_VALUE"""),29900.0)</f>
        <v>29900</v>
      </c>
      <c r="E1370" s="1">
        <f>IFERROR(__xludf.DUMMYFUNCTION("""COMPUTED_VALUE"""),30040.0)</f>
        <v>30040</v>
      </c>
      <c r="F1370" s="1">
        <f>IFERROR(__xludf.DUMMYFUNCTION("""COMPUTED_VALUE"""),154650.0)</f>
        <v>154650</v>
      </c>
    </row>
    <row r="1371">
      <c r="A1371" s="2">
        <f>IFERROR(__xludf.DUMMYFUNCTION("""COMPUTED_VALUE"""),42577.64583333333)</f>
        <v>42577.64583</v>
      </c>
      <c r="B1371" s="1">
        <f>IFERROR(__xludf.DUMMYFUNCTION("""COMPUTED_VALUE"""),30000.0)</f>
        <v>30000</v>
      </c>
      <c r="C1371" s="1">
        <f>IFERROR(__xludf.DUMMYFUNCTION("""COMPUTED_VALUE"""),30620.0)</f>
        <v>30620</v>
      </c>
      <c r="D1371" s="1">
        <f>IFERROR(__xludf.DUMMYFUNCTION("""COMPUTED_VALUE"""),29960.0)</f>
        <v>29960</v>
      </c>
      <c r="E1371" s="1">
        <f>IFERROR(__xludf.DUMMYFUNCTION("""COMPUTED_VALUE"""),30600.0)</f>
        <v>30600</v>
      </c>
      <c r="F1371" s="1">
        <f>IFERROR(__xludf.DUMMYFUNCTION("""COMPUTED_VALUE"""),144570.0)</f>
        <v>144570</v>
      </c>
    </row>
    <row r="1372">
      <c r="A1372" s="2">
        <f>IFERROR(__xludf.DUMMYFUNCTION("""COMPUTED_VALUE"""),42578.64583333333)</f>
        <v>42578.64583</v>
      </c>
      <c r="B1372" s="1">
        <f>IFERROR(__xludf.DUMMYFUNCTION("""COMPUTED_VALUE"""),30240.0)</f>
        <v>30240</v>
      </c>
      <c r="C1372" s="1">
        <f>IFERROR(__xludf.DUMMYFUNCTION("""COMPUTED_VALUE"""),30580.0)</f>
        <v>30580</v>
      </c>
      <c r="D1372" s="1">
        <f>IFERROR(__xludf.DUMMYFUNCTION("""COMPUTED_VALUE"""),30240.0)</f>
        <v>30240</v>
      </c>
      <c r="E1372" s="1">
        <f>IFERROR(__xludf.DUMMYFUNCTION("""COMPUTED_VALUE"""),30540.0)</f>
        <v>30540</v>
      </c>
      <c r="F1372" s="1">
        <f>IFERROR(__xludf.DUMMYFUNCTION("""COMPUTED_VALUE"""),126701.0)</f>
        <v>126701</v>
      </c>
    </row>
    <row r="1373">
      <c r="A1373" s="2">
        <f>IFERROR(__xludf.DUMMYFUNCTION("""COMPUTED_VALUE"""),42579.64583333333)</f>
        <v>42579.64583</v>
      </c>
      <c r="B1373" s="1">
        <f>IFERROR(__xludf.DUMMYFUNCTION("""COMPUTED_VALUE"""),30660.0)</f>
        <v>30660</v>
      </c>
      <c r="C1373" s="1">
        <f>IFERROR(__xludf.DUMMYFUNCTION("""COMPUTED_VALUE"""),30720.0)</f>
        <v>30720</v>
      </c>
      <c r="D1373" s="1">
        <f>IFERROR(__xludf.DUMMYFUNCTION("""COMPUTED_VALUE"""),29960.0)</f>
        <v>29960</v>
      </c>
      <c r="E1373" s="1">
        <f>IFERROR(__xludf.DUMMYFUNCTION("""COMPUTED_VALUE"""),30140.0)</f>
        <v>30140</v>
      </c>
      <c r="F1373" s="1">
        <f>IFERROR(__xludf.DUMMYFUNCTION("""COMPUTED_VALUE"""),190074.0)</f>
        <v>190074</v>
      </c>
    </row>
    <row r="1374">
      <c r="A1374" s="2">
        <f>IFERROR(__xludf.DUMMYFUNCTION("""COMPUTED_VALUE"""),42580.64583333333)</f>
        <v>42580.64583</v>
      </c>
      <c r="B1374" s="1">
        <f>IFERROR(__xludf.DUMMYFUNCTION("""COMPUTED_VALUE"""),30400.0)</f>
        <v>30400</v>
      </c>
      <c r="C1374" s="1">
        <f>IFERROR(__xludf.DUMMYFUNCTION("""COMPUTED_VALUE"""),31140.0)</f>
        <v>31140</v>
      </c>
      <c r="D1374" s="1">
        <f>IFERROR(__xludf.DUMMYFUNCTION("""COMPUTED_VALUE"""),30220.0)</f>
        <v>30220</v>
      </c>
      <c r="E1374" s="1">
        <f>IFERROR(__xludf.DUMMYFUNCTION("""COMPUTED_VALUE"""),30780.0)</f>
        <v>30780</v>
      </c>
      <c r="F1374" s="1">
        <f>IFERROR(__xludf.DUMMYFUNCTION("""COMPUTED_VALUE"""),299712.0)</f>
        <v>299712</v>
      </c>
    </row>
    <row r="1375">
      <c r="A1375" s="2">
        <f>IFERROR(__xludf.DUMMYFUNCTION("""COMPUTED_VALUE"""),42583.64583333333)</f>
        <v>42583.64583</v>
      </c>
      <c r="B1375" s="1">
        <f>IFERROR(__xludf.DUMMYFUNCTION("""COMPUTED_VALUE"""),31380.0)</f>
        <v>31380</v>
      </c>
      <c r="C1375" s="1">
        <f>IFERROR(__xludf.DUMMYFUNCTION("""COMPUTED_VALUE"""),31600.0)</f>
        <v>31600</v>
      </c>
      <c r="D1375" s="1">
        <f>IFERROR(__xludf.DUMMYFUNCTION("""COMPUTED_VALUE"""),31200.0)</f>
        <v>31200</v>
      </c>
      <c r="E1375" s="1">
        <f>IFERROR(__xludf.DUMMYFUNCTION("""COMPUTED_VALUE"""),31360.0)</f>
        <v>31360</v>
      </c>
      <c r="F1375" s="1">
        <f>IFERROR(__xludf.DUMMYFUNCTION("""COMPUTED_VALUE"""),230308.0)</f>
        <v>230308</v>
      </c>
    </row>
    <row r="1376">
      <c r="A1376" s="2">
        <f>IFERROR(__xludf.DUMMYFUNCTION("""COMPUTED_VALUE"""),42584.64583333333)</f>
        <v>42584.64583</v>
      </c>
      <c r="B1376" s="1">
        <f>IFERROR(__xludf.DUMMYFUNCTION("""COMPUTED_VALUE"""),31360.0)</f>
        <v>31360</v>
      </c>
      <c r="C1376" s="1">
        <f>IFERROR(__xludf.DUMMYFUNCTION("""COMPUTED_VALUE"""),31360.0)</f>
        <v>31360</v>
      </c>
      <c r="D1376" s="1">
        <f>IFERROR(__xludf.DUMMYFUNCTION("""COMPUTED_VALUE"""),30920.0)</f>
        <v>30920</v>
      </c>
      <c r="E1376" s="1">
        <f>IFERROR(__xludf.DUMMYFUNCTION("""COMPUTED_VALUE"""),30960.0)</f>
        <v>30960</v>
      </c>
      <c r="F1376" s="1">
        <f>IFERROR(__xludf.DUMMYFUNCTION("""COMPUTED_VALUE"""),166316.0)</f>
        <v>166316</v>
      </c>
    </row>
    <row r="1377">
      <c r="A1377" s="2">
        <f>IFERROR(__xludf.DUMMYFUNCTION("""COMPUTED_VALUE"""),42585.64583333333)</f>
        <v>42585.64583</v>
      </c>
      <c r="B1377" s="1">
        <f>IFERROR(__xludf.DUMMYFUNCTION("""COMPUTED_VALUE"""),30960.0)</f>
        <v>30960</v>
      </c>
      <c r="C1377" s="1">
        <f>IFERROR(__xludf.DUMMYFUNCTION("""COMPUTED_VALUE"""),30960.0)</f>
        <v>30960</v>
      </c>
      <c r="D1377" s="1">
        <f>IFERROR(__xludf.DUMMYFUNCTION("""COMPUTED_VALUE"""),30340.0)</f>
        <v>30340</v>
      </c>
      <c r="E1377" s="1">
        <f>IFERROR(__xludf.DUMMYFUNCTION("""COMPUTED_VALUE"""),30340.0)</f>
        <v>30340</v>
      </c>
      <c r="F1377" s="1">
        <f>IFERROR(__xludf.DUMMYFUNCTION("""COMPUTED_VALUE"""),150098.0)</f>
        <v>150098</v>
      </c>
    </row>
    <row r="1378">
      <c r="A1378" s="2">
        <f>IFERROR(__xludf.DUMMYFUNCTION("""COMPUTED_VALUE"""),42586.64583333333)</f>
        <v>42586.64583</v>
      </c>
      <c r="B1378" s="1">
        <f>IFERROR(__xludf.DUMMYFUNCTION("""COMPUTED_VALUE"""),30380.0)</f>
        <v>30380</v>
      </c>
      <c r="C1378" s="1">
        <f>IFERROR(__xludf.DUMMYFUNCTION("""COMPUTED_VALUE"""),30660.0)</f>
        <v>30660</v>
      </c>
      <c r="D1378" s="1">
        <f>IFERROR(__xludf.DUMMYFUNCTION("""COMPUTED_VALUE"""),30340.0)</f>
        <v>30340</v>
      </c>
      <c r="E1378" s="1">
        <f>IFERROR(__xludf.DUMMYFUNCTION("""COMPUTED_VALUE"""),30340.0)</f>
        <v>30340</v>
      </c>
      <c r="F1378" s="1">
        <f>IFERROR(__xludf.DUMMYFUNCTION("""COMPUTED_VALUE"""),140199.0)</f>
        <v>140199</v>
      </c>
    </row>
    <row r="1379">
      <c r="A1379" s="2">
        <f>IFERROR(__xludf.DUMMYFUNCTION("""COMPUTED_VALUE"""),42587.64583333333)</f>
        <v>42587.64583</v>
      </c>
      <c r="B1379" s="1">
        <f>IFERROR(__xludf.DUMMYFUNCTION("""COMPUTED_VALUE"""),30580.0)</f>
        <v>30580</v>
      </c>
      <c r="C1379" s="1">
        <f>IFERROR(__xludf.DUMMYFUNCTION("""COMPUTED_VALUE"""),31280.0)</f>
        <v>31280</v>
      </c>
      <c r="D1379" s="1">
        <f>IFERROR(__xludf.DUMMYFUNCTION("""COMPUTED_VALUE"""),30500.0)</f>
        <v>30500</v>
      </c>
      <c r="E1379" s="1">
        <f>IFERROR(__xludf.DUMMYFUNCTION("""COMPUTED_VALUE"""),31220.0)</f>
        <v>31220</v>
      </c>
      <c r="F1379" s="1">
        <f>IFERROR(__xludf.DUMMYFUNCTION("""COMPUTED_VALUE"""),139177.0)</f>
        <v>139177</v>
      </c>
    </row>
    <row r="1380">
      <c r="A1380" s="2">
        <f>IFERROR(__xludf.DUMMYFUNCTION("""COMPUTED_VALUE"""),42590.64583333333)</f>
        <v>42590.64583</v>
      </c>
      <c r="B1380" s="1">
        <f>IFERROR(__xludf.DUMMYFUNCTION("""COMPUTED_VALUE"""),31320.0)</f>
        <v>31320</v>
      </c>
      <c r="C1380" s="1">
        <f>IFERROR(__xludf.DUMMYFUNCTION("""COMPUTED_VALUE"""),31500.0)</f>
        <v>31500</v>
      </c>
      <c r="D1380" s="1">
        <f>IFERROR(__xludf.DUMMYFUNCTION("""COMPUTED_VALUE"""),31120.0)</f>
        <v>31120</v>
      </c>
      <c r="E1380" s="1">
        <f>IFERROR(__xludf.DUMMYFUNCTION("""COMPUTED_VALUE"""),31380.0)</f>
        <v>31380</v>
      </c>
      <c r="F1380" s="1">
        <f>IFERROR(__xludf.DUMMYFUNCTION("""COMPUTED_VALUE"""),222503.0)</f>
        <v>222503</v>
      </c>
    </row>
    <row r="1381">
      <c r="A1381" s="2">
        <f>IFERROR(__xludf.DUMMYFUNCTION("""COMPUTED_VALUE"""),42591.64583333333)</f>
        <v>42591.64583</v>
      </c>
      <c r="B1381" s="1">
        <f>IFERROR(__xludf.DUMMYFUNCTION("""COMPUTED_VALUE"""),31480.0)</f>
        <v>31480</v>
      </c>
      <c r="C1381" s="1">
        <f>IFERROR(__xludf.DUMMYFUNCTION("""COMPUTED_VALUE"""),31580.0)</f>
        <v>31580</v>
      </c>
      <c r="D1381" s="1">
        <f>IFERROR(__xludf.DUMMYFUNCTION("""COMPUTED_VALUE"""),31140.0)</f>
        <v>31140</v>
      </c>
      <c r="E1381" s="1">
        <f>IFERROR(__xludf.DUMMYFUNCTION("""COMPUTED_VALUE"""),31340.0)</f>
        <v>31340</v>
      </c>
      <c r="F1381" s="1">
        <f>IFERROR(__xludf.DUMMYFUNCTION("""COMPUTED_VALUE"""),180464.0)</f>
        <v>180464</v>
      </c>
    </row>
    <row r="1382">
      <c r="A1382" s="2">
        <f>IFERROR(__xludf.DUMMYFUNCTION("""COMPUTED_VALUE"""),42592.64583333333)</f>
        <v>42592.64583</v>
      </c>
      <c r="B1382" s="1">
        <f>IFERROR(__xludf.DUMMYFUNCTION("""COMPUTED_VALUE"""),31340.0)</f>
        <v>31340</v>
      </c>
      <c r="C1382" s="1">
        <f>IFERROR(__xludf.DUMMYFUNCTION("""COMPUTED_VALUE"""),31400.0)</f>
        <v>31400</v>
      </c>
      <c r="D1382" s="1">
        <f>IFERROR(__xludf.DUMMYFUNCTION("""COMPUTED_VALUE"""),30680.0)</f>
        <v>30680</v>
      </c>
      <c r="E1382" s="1">
        <f>IFERROR(__xludf.DUMMYFUNCTION("""COMPUTED_VALUE"""),30820.0)</f>
        <v>30820</v>
      </c>
      <c r="F1382" s="1">
        <f>IFERROR(__xludf.DUMMYFUNCTION("""COMPUTED_VALUE"""),246807.0)</f>
        <v>246807</v>
      </c>
    </row>
    <row r="1383">
      <c r="A1383" s="2">
        <f>IFERROR(__xludf.DUMMYFUNCTION("""COMPUTED_VALUE"""),42593.64583333333)</f>
        <v>42593.64583</v>
      </c>
      <c r="B1383" s="1">
        <f>IFERROR(__xludf.DUMMYFUNCTION("""COMPUTED_VALUE"""),30820.0)</f>
        <v>30820</v>
      </c>
      <c r="C1383" s="1">
        <f>IFERROR(__xludf.DUMMYFUNCTION("""COMPUTED_VALUE"""),31180.0)</f>
        <v>31180</v>
      </c>
      <c r="D1383" s="1">
        <f>IFERROR(__xludf.DUMMYFUNCTION("""COMPUTED_VALUE"""),30520.0)</f>
        <v>30520</v>
      </c>
      <c r="E1383" s="1">
        <f>IFERROR(__xludf.DUMMYFUNCTION("""COMPUTED_VALUE"""),31180.0)</f>
        <v>31180</v>
      </c>
      <c r="F1383" s="1">
        <f>IFERROR(__xludf.DUMMYFUNCTION("""COMPUTED_VALUE"""),210672.0)</f>
        <v>210672</v>
      </c>
    </row>
    <row r="1384">
      <c r="A1384" s="2">
        <f>IFERROR(__xludf.DUMMYFUNCTION("""COMPUTED_VALUE"""),42594.64583333333)</f>
        <v>42594.64583</v>
      </c>
      <c r="B1384" s="1">
        <f>IFERROR(__xludf.DUMMYFUNCTION("""COMPUTED_VALUE"""),31180.0)</f>
        <v>31180</v>
      </c>
      <c r="C1384" s="1">
        <f>IFERROR(__xludf.DUMMYFUNCTION("""COMPUTED_VALUE"""),31400.0)</f>
        <v>31400</v>
      </c>
      <c r="D1384" s="1">
        <f>IFERROR(__xludf.DUMMYFUNCTION("""COMPUTED_VALUE"""),30880.0)</f>
        <v>30880</v>
      </c>
      <c r="E1384" s="1">
        <f>IFERROR(__xludf.DUMMYFUNCTION("""COMPUTED_VALUE"""),30900.0)</f>
        <v>30900</v>
      </c>
      <c r="F1384" s="1">
        <f>IFERROR(__xludf.DUMMYFUNCTION("""COMPUTED_VALUE"""),209497.0)</f>
        <v>209497</v>
      </c>
    </row>
    <row r="1385">
      <c r="A1385" s="2">
        <f>IFERROR(__xludf.DUMMYFUNCTION("""COMPUTED_VALUE"""),42598.64583333333)</f>
        <v>42598.64583</v>
      </c>
      <c r="B1385" s="1">
        <f>IFERROR(__xludf.DUMMYFUNCTION("""COMPUTED_VALUE"""),30900.0)</f>
        <v>30900</v>
      </c>
      <c r="C1385" s="1">
        <f>IFERROR(__xludf.DUMMYFUNCTION("""COMPUTED_VALUE"""),31520.0)</f>
        <v>31520</v>
      </c>
      <c r="D1385" s="1">
        <f>IFERROR(__xludf.DUMMYFUNCTION("""COMPUTED_VALUE"""),30900.0)</f>
        <v>30900</v>
      </c>
      <c r="E1385" s="1">
        <f>IFERROR(__xludf.DUMMYFUNCTION("""COMPUTED_VALUE"""),31360.0)</f>
        <v>31360</v>
      </c>
      <c r="F1385" s="1">
        <f>IFERROR(__xludf.DUMMYFUNCTION("""COMPUTED_VALUE"""),216862.0)</f>
        <v>216862</v>
      </c>
    </row>
    <row r="1386">
      <c r="A1386" s="2">
        <f>IFERROR(__xludf.DUMMYFUNCTION("""COMPUTED_VALUE"""),42599.64583333333)</f>
        <v>42599.64583</v>
      </c>
      <c r="B1386" s="1">
        <f>IFERROR(__xludf.DUMMYFUNCTION("""COMPUTED_VALUE"""),31380.0)</f>
        <v>31380</v>
      </c>
      <c r="C1386" s="1">
        <f>IFERROR(__xludf.DUMMYFUNCTION("""COMPUTED_VALUE"""),31400.0)</f>
        <v>31400</v>
      </c>
      <c r="D1386" s="1">
        <f>IFERROR(__xludf.DUMMYFUNCTION("""COMPUTED_VALUE"""),31020.0)</f>
        <v>31020</v>
      </c>
      <c r="E1386" s="1">
        <f>IFERROR(__xludf.DUMMYFUNCTION("""COMPUTED_VALUE"""),31320.0)</f>
        <v>31320</v>
      </c>
      <c r="F1386" s="1">
        <f>IFERROR(__xludf.DUMMYFUNCTION("""COMPUTED_VALUE"""),148929.0)</f>
        <v>148929</v>
      </c>
    </row>
    <row r="1387">
      <c r="A1387" s="2">
        <f>IFERROR(__xludf.DUMMYFUNCTION("""COMPUTED_VALUE"""),42600.64583333333)</f>
        <v>42600.64583</v>
      </c>
      <c r="B1387" s="1">
        <f>IFERROR(__xludf.DUMMYFUNCTION("""COMPUTED_VALUE"""),31340.0)</f>
        <v>31340</v>
      </c>
      <c r="C1387" s="1">
        <f>IFERROR(__xludf.DUMMYFUNCTION("""COMPUTED_VALUE"""),32880.0)</f>
        <v>32880</v>
      </c>
      <c r="D1387" s="1">
        <f>IFERROR(__xludf.DUMMYFUNCTION("""COMPUTED_VALUE"""),31320.0)</f>
        <v>31320</v>
      </c>
      <c r="E1387" s="1">
        <f>IFERROR(__xludf.DUMMYFUNCTION("""COMPUTED_VALUE"""),32800.0)</f>
        <v>32800</v>
      </c>
      <c r="F1387" s="1">
        <f>IFERROR(__xludf.DUMMYFUNCTION("""COMPUTED_VALUE"""),366541.0)</f>
        <v>366541</v>
      </c>
    </row>
    <row r="1388">
      <c r="A1388" s="2">
        <f>IFERROR(__xludf.DUMMYFUNCTION("""COMPUTED_VALUE"""),42601.64583333333)</f>
        <v>42601.64583</v>
      </c>
      <c r="B1388" s="1">
        <f>IFERROR(__xludf.DUMMYFUNCTION("""COMPUTED_VALUE"""),32760.0)</f>
        <v>32760</v>
      </c>
      <c r="C1388" s="1">
        <f>IFERROR(__xludf.DUMMYFUNCTION("""COMPUTED_VALUE"""),33500.0)</f>
        <v>33500</v>
      </c>
      <c r="D1388" s="1">
        <f>IFERROR(__xludf.DUMMYFUNCTION("""COMPUTED_VALUE"""),32720.0)</f>
        <v>32720</v>
      </c>
      <c r="E1388" s="1">
        <f>IFERROR(__xludf.DUMMYFUNCTION("""COMPUTED_VALUE"""),33500.0)</f>
        <v>33500</v>
      </c>
      <c r="F1388" s="1">
        <f>IFERROR(__xludf.DUMMYFUNCTION("""COMPUTED_VALUE"""),336103.0)</f>
        <v>336103</v>
      </c>
    </row>
    <row r="1389">
      <c r="A1389" s="2">
        <f>IFERROR(__xludf.DUMMYFUNCTION("""COMPUTED_VALUE"""),42604.64583333333)</f>
        <v>42604.64583</v>
      </c>
      <c r="B1389" s="1">
        <f>IFERROR(__xludf.DUMMYFUNCTION("""COMPUTED_VALUE"""),33480.0)</f>
        <v>33480</v>
      </c>
      <c r="C1389" s="1">
        <f>IFERROR(__xludf.DUMMYFUNCTION("""COMPUTED_VALUE"""),33840.0)</f>
        <v>33840</v>
      </c>
      <c r="D1389" s="1">
        <f>IFERROR(__xludf.DUMMYFUNCTION("""COMPUTED_VALUE"""),33180.0)</f>
        <v>33180</v>
      </c>
      <c r="E1389" s="1">
        <f>IFERROR(__xludf.DUMMYFUNCTION("""COMPUTED_VALUE"""),33300.0)</f>
        <v>33300</v>
      </c>
      <c r="F1389" s="1">
        <f>IFERROR(__xludf.DUMMYFUNCTION("""COMPUTED_VALUE"""),252244.0)</f>
        <v>252244</v>
      </c>
    </row>
    <row r="1390">
      <c r="A1390" s="2">
        <f>IFERROR(__xludf.DUMMYFUNCTION("""COMPUTED_VALUE"""),42605.64583333333)</f>
        <v>42605.64583</v>
      </c>
      <c r="B1390" s="1">
        <f>IFERROR(__xludf.DUMMYFUNCTION("""COMPUTED_VALUE"""),33300.0)</f>
        <v>33300</v>
      </c>
      <c r="C1390" s="1">
        <f>IFERROR(__xludf.DUMMYFUNCTION("""COMPUTED_VALUE"""),33880.0)</f>
        <v>33880</v>
      </c>
      <c r="D1390" s="1">
        <f>IFERROR(__xludf.DUMMYFUNCTION("""COMPUTED_VALUE"""),33140.0)</f>
        <v>33140</v>
      </c>
      <c r="E1390" s="1">
        <f>IFERROR(__xludf.DUMMYFUNCTION("""COMPUTED_VALUE"""),33740.0)</f>
        <v>33740</v>
      </c>
      <c r="F1390" s="1">
        <f>IFERROR(__xludf.DUMMYFUNCTION("""COMPUTED_VALUE"""),230914.0)</f>
        <v>230914</v>
      </c>
    </row>
    <row r="1391">
      <c r="A1391" s="2">
        <f>IFERROR(__xludf.DUMMYFUNCTION("""COMPUTED_VALUE"""),42606.64583333333)</f>
        <v>42606.64583</v>
      </c>
      <c r="B1391" s="1">
        <f>IFERROR(__xludf.DUMMYFUNCTION("""COMPUTED_VALUE"""),33600.0)</f>
        <v>33600</v>
      </c>
      <c r="C1391" s="1">
        <f>IFERROR(__xludf.DUMMYFUNCTION("""COMPUTED_VALUE"""),33640.0)</f>
        <v>33640</v>
      </c>
      <c r="D1391" s="1">
        <f>IFERROR(__xludf.DUMMYFUNCTION("""COMPUTED_VALUE"""),32720.0)</f>
        <v>32720</v>
      </c>
      <c r="E1391" s="1">
        <f>IFERROR(__xludf.DUMMYFUNCTION("""COMPUTED_VALUE"""),33060.0)</f>
        <v>33060</v>
      </c>
      <c r="F1391" s="1">
        <f>IFERROR(__xludf.DUMMYFUNCTION("""COMPUTED_VALUE"""),318771.0)</f>
        <v>318771</v>
      </c>
    </row>
    <row r="1392">
      <c r="A1392" s="2">
        <f>IFERROR(__xludf.DUMMYFUNCTION("""COMPUTED_VALUE"""),42607.64583333333)</f>
        <v>42607.64583</v>
      </c>
      <c r="B1392" s="1">
        <f>IFERROR(__xludf.DUMMYFUNCTION("""COMPUTED_VALUE"""),32600.0)</f>
        <v>32600</v>
      </c>
      <c r="C1392" s="1">
        <f>IFERROR(__xludf.DUMMYFUNCTION("""COMPUTED_VALUE"""),33180.0)</f>
        <v>33180</v>
      </c>
      <c r="D1392" s="1">
        <f>IFERROR(__xludf.DUMMYFUNCTION("""COMPUTED_VALUE"""),32440.0)</f>
        <v>32440</v>
      </c>
      <c r="E1392" s="1">
        <f>IFERROR(__xludf.DUMMYFUNCTION("""COMPUTED_VALUE"""),32780.0)</f>
        <v>32780</v>
      </c>
      <c r="F1392" s="1">
        <f>IFERROR(__xludf.DUMMYFUNCTION("""COMPUTED_VALUE"""),283476.0)</f>
        <v>283476</v>
      </c>
    </row>
    <row r="1393">
      <c r="A1393" s="2">
        <f>IFERROR(__xludf.DUMMYFUNCTION("""COMPUTED_VALUE"""),42608.64583333333)</f>
        <v>42608.64583</v>
      </c>
      <c r="B1393" s="1">
        <f>IFERROR(__xludf.DUMMYFUNCTION("""COMPUTED_VALUE"""),32120.0)</f>
        <v>32120</v>
      </c>
      <c r="C1393" s="1">
        <f>IFERROR(__xludf.DUMMYFUNCTION("""COMPUTED_VALUE"""),32460.0)</f>
        <v>32460</v>
      </c>
      <c r="D1393" s="1">
        <f>IFERROR(__xludf.DUMMYFUNCTION("""COMPUTED_VALUE"""),32060.0)</f>
        <v>32060</v>
      </c>
      <c r="E1393" s="1">
        <f>IFERROR(__xludf.DUMMYFUNCTION("""COMPUTED_VALUE"""),32240.0)</f>
        <v>32240</v>
      </c>
      <c r="F1393" s="1">
        <f>IFERROR(__xludf.DUMMYFUNCTION("""COMPUTED_VALUE"""),241160.0)</f>
        <v>241160</v>
      </c>
    </row>
    <row r="1394">
      <c r="A1394" s="2">
        <f>IFERROR(__xludf.DUMMYFUNCTION("""COMPUTED_VALUE"""),42611.64583333333)</f>
        <v>42611.64583</v>
      </c>
      <c r="B1394" s="1">
        <f>IFERROR(__xludf.DUMMYFUNCTION("""COMPUTED_VALUE"""),32040.0)</f>
        <v>32040</v>
      </c>
      <c r="C1394" s="1">
        <f>IFERROR(__xludf.DUMMYFUNCTION("""COMPUTED_VALUE"""),32800.0)</f>
        <v>32800</v>
      </c>
      <c r="D1394" s="1">
        <f>IFERROR(__xludf.DUMMYFUNCTION("""COMPUTED_VALUE"""),31940.0)</f>
        <v>31940</v>
      </c>
      <c r="E1394" s="1">
        <f>IFERROR(__xludf.DUMMYFUNCTION("""COMPUTED_VALUE"""),32800.0)</f>
        <v>32800</v>
      </c>
      <c r="F1394" s="1">
        <f>IFERROR(__xludf.DUMMYFUNCTION("""COMPUTED_VALUE"""),178515.0)</f>
        <v>178515</v>
      </c>
    </row>
    <row r="1395">
      <c r="A1395" s="2">
        <f>IFERROR(__xludf.DUMMYFUNCTION("""COMPUTED_VALUE"""),42612.64583333333)</f>
        <v>42612.64583</v>
      </c>
      <c r="B1395" s="1">
        <f>IFERROR(__xludf.DUMMYFUNCTION("""COMPUTED_VALUE"""),32940.0)</f>
        <v>32940</v>
      </c>
      <c r="C1395" s="1">
        <f>IFERROR(__xludf.DUMMYFUNCTION("""COMPUTED_VALUE"""),33420.0)</f>
        <v>33420</v>
      </c>
      <c r="D1395" s="1">
        <f>IFERROR(__xludf.DUMMYFUNCTION("""COMPUTED_VALUE"""),32660.0)</f>
        <v>32660</v>
      </c>
      <c r="E1395" s="1">
        <f>IFERROR(__xludf.DUMMYFUNCTION("""COMPUTED_VALUE"""),32900.0)</f>
        <v>32900</v>
      </c>
      <c r="F1395" s="1">
        <f>IFERROR(__xludf.DUMMYFUNCTION("""COMPUTED_VALUE"""),156992.0)</f>
        <v>156992</v>
      </c>
    </row>
    <row r="1396">
      <c r="A1396" s="2">
        <f>IFERROR(__xludf.DUMMYFUNCTION("""COMPUTED_VALUE"""),42613.64583333333)</f>
        <v>42613.64583</v>
      </c>
      <c r="B1396" s="1">
        <f>IFERROR(__xludf.DUMMYFUNCTION("""COMPUTED_VALUE"""),32820.0)</f>
        <v>32820</v>
      </c>
      <c r="C1396" s="1">
        <f>IFERROR(__xludf.DUMMYFUNCTION("""COMPUTED_VALUE"""),32820.0)</f>
        <v>32820</v>
      </c>
      <c r="D1396" s="1">
        <f>IFERROR(__xludf.DUMMYFUNCTION("""COMPUTED_VALUE"""),32220.0)</f>
        <v>32220</v>
      </c>
      <c r="E1396" s="1">
        <f>IFERROR(__xludf.DUMMYFUNCTION("""COMPUTED_VALUE"""),32400.0)</f>
        <v>32400</v>
      </c>
      <c r="F1396" s="1">
        <f>IFERROR(__xludf.DUMMYFUNCTION("""COMPUTED_VALUE"""),410644.0)</f>
        <v>410644</v>
      </c>
    </row>
    <row r="1397">
      <c r="A1397" s="2">
        <f>IFERROR(__xludf.DUMMYFUNCTION("""COMPUTED_VALUE"""),42614.64583333333)</f>
        <v>42614.64583</v>
      </c>
      <c r="B1397" s="1">
        <f>IFERROR(__xludf.DUMMYFUNCTION("""COMPUTED_VALUE"""),31660.0)</f>
        <v>31660</v>
      </c>
      <c r="C1397" s="1">
        <f>IFERROR(__xludf.DUMMYFUNCTION("""COMPUTED_VALUE"""),31760.0)</f>
        <v>31760</v>
      </c>
      <c r="D1397" s="1">
        <f>IFERROR(__xludf.DUMMYFUNCTION("""COMPUTED_VALUE"""),31260.0)</f>
        <v>31260</v>
      </c>
      <c r="E1397" s="1">
        <f>IFERROR(__xludf.DUMMYFUNCTION("""COMPUTED_VALUE"""),31740.0)</f>
        <v>31740</v>
      </c>
      <c r="F1397" s="1">
        <f>IFERROR(__xludf.DUMMYFUNCTION("""COMPUTED_VALUE"""),375803.0)</f>
        <v>375803</v>
      </c>
    </row>
    <row r="1398">
      <c r="A1398" s="2">
        <f>IFERROR(__xludf.DUMMYFUNCTION("""COMPUTED_VALUE"""),42615.64583333333)</f>
        <v>42615.64583</v>
      </c>
      <c r="B1398" s="1">
        <f>IFERROR(__xludf.DUMMYFUNCTION("""COMPUTED_VALUE"""),31900.0)</f>
        <v>31900</v>
      </c>
      <c r="C1398" s="1">
        <f>IFERROR(__xludf.DUMMYFUNCTION("""COMPUTED_VALUE"""),32260.0)</f>
        <v>32260</v>
      </c>
      <c r="D1398" s="1">
        <f>IFERROR(__xludf.DUMMYFUNCTION("""COMPUTED_VALUE"""),31760.0)</f>
        <v>31760</v>
      </c>
      <c r="E1398" s="1">
        <f>IFERROR(__xludf.DUMMYFUNCTION("""COMPUTED_VALUE"""),31940.0)</f>
        <v>31940</v>
      </c>
      <c r="F1398" s="1">
        <f>IFERROR(__xludf.DUMMYFUNCTION("""COMPUTED_VALUE"""),163060.0)</f>
        <v>163060</v>
      </c>
    </row>
    <row r="1399">
      <c r="A1399" s="2">
        <f>IFERROR(__xludf.DUMMYFUNCTION("""COMPUTED_VALUE"""),42618.64583333333)</f>
        <v>42618.64583</v>
      </c>
      <c r="B1399" s="1">
        <f>IFERROR(__xludf.DUMMYFUNCTION("""COMPUTED_VALUE"""),31800.0)</f>
        <v>31800</v>
      </c>
      <c r="C1399" s="1">
        <f>IFERROR(__xludf.DUMMYFUNCTION("""COMPUTED_VALUE"""),32300.0)</f>
        <v>32300</v>
      </c>
      <c r="D1399" s="1">
        <f>IFERROR(__xludf.DUMMYFUNCTION("""COMPUTED_VALUE"""),31700.0)</f>
        <v>31700</v>
      </c>
      <c r="E1399" s="1">
        <f>IFERROR(__xludf.DUMMYFUNCTION("""COMPUTED_VALUE"""),32120.0)</f>
        <v>32120</v>
      </c>
      <c r="F1399" s="1">
        <f>IFERROR(__xludf.DUMMYFUNCTION("""COMPUTED_VALUE"""),167676.0)</f>
        <v>167676</v>
      </c>
    </row>
    <row r="1400">
      <c r="A1400" s="2">
        <f>IFERROR(__xludf.DUMMYFUNCTION("""COMPUTED_VALUE"""),42619.64583333333)</f>
        <v>42619.64583</v>
      </c>
      <c r="B1400" s="1">
        <f>IFERROR(__xludf.DUMMYFUNCTION("""COMPUTED_VALUE"""),32140.0)</f>
        <v>32140</v>
      </c>
      <c r="C1400" s="1">
        <f>IFERROR(__xludf.DUMMYFUNCTION("""COMPUTED_VALUE"""),32900.0)</f>
        <v>32900</v>
      </c>
      <c r="D1400" s="1">
        <f>IFERROR(__xludf.DUMMYFUNCTION("""COMPUTED_VALUE"""),31940.0)</f>
        <v>31940</v>
      </c>
      <c r="E1400" s="1">
        <f>IFERROR(__xludf.DUMMYFUNCTION("""COMPUTED_VALUE"""),32860.0)</f>
        <v>32860</v>
      </c>
      <c r="F1400" s="1">
        <f>IFERROR(__xludf.DUMMYFUNCTION("""COMPUTED_VALUE"""),153203.0)</f>
        <v>153203</v>
      </c>
    </row>
    <row r="1401">
      <c r="A1401" s="2">
        <f>IFERROR(__xludf.DUMMYFUNCTION("""COMPUTED_VALUE"""),42620.64583333333)</f>
        <v>42620.64583</v>
      </c>
      <c r="B1401" s="1">
        <f>IFERROR(__xludf.DUMMYFUNCTION("""COMPUTED_VALUE"""),32960.0)</f>
        <v>32960</v>
      </c>
      <c r="C1401" s="1">
        <f>IFERROR(__xludf.DUMMYFUNCTION("""COMPUTED_VALUE"""),33040.0)</f>
        <v>33040</v>
      </c>
      <c r="D1401" s="1">
        <f>IFERROR(__xludf.DUMMYFUNCTION("""COMPUTED_VALUE"""),32420.0)</f>
        <v>32420</v>
      </c>
      <c r="E1401" s="1">
        <f>IFERROR(__xludf.DUMMYFUNCTION("""COMPUTED_VALUE"""),32420.0)</f>
        <v>32420</v>
      </c>
      <c r="F1401" s="1">
        <f>IFERROR(__xludf.DUMMYFUNCTION("""COMPUTED_VALUE"""),191837.0)</f>
        <v>191837</v>
      </c>
    </row>
    <row r="1402">
      <c r="A1402" s="2">
        <f>IFERROR(__xludf.DUMMYFUNCTION("""COMPUTED_VALUE"""),42621.64583333333)</f>
        <v>42621.64583</v>
      </c>
      <c r="B1402" s="1">
        <f>IFERROR(__xludf.DUMMYFUNCTION("""COMPUTED_VALUE"""),32460.0)</f>
        <v>32460</v>
      </c>
      <c r="C1402" s="1">
        <f>IFERROR(__xludf.DUMMYFUNCTION("""COMPUTED_VALUE"""),32780.0)</f>
        <v>32780</v>
      </c>
      <c r="D1402" s="1">
        <f>IFERROR(__xludf.DUMMYFUNCTION("""COMPUTED_VALUE"""),32280.0)</f>
        <v>32280</v>
      </c>
      <c r="E1402" s="1">
        <f>IFERROR(__xludf.DUMMYFUNCTION("""COMPUTED_VALUE"""),32780.0)</f>
        <v>32780</v>
      </c>
      <c r="F1402" s="1">
        <f>IFERROR(__xludf.DUMMYFUNCTION("""COMPUTED_VALUE"""),241417.0)</f>
        <v>241417</v>
      </c>
    </row>
    <row r="1403">
      <c r="A1403" s="2">
        <f>IFERROR(__xludf.DUMMYFUNCTION("""COMPUTED_VALUE"""),42622.64583333333)</f>
        <v>42622.64583</v>
      </c>
      <c r="B1403" s="1">
        <f>IFERROR(__xludf.DUMMYFUNCTION("""COMPUTED_VALUE"""),32220.0)</f>
        <v>32220</v>
      </c>
      <c r="C1403" s="1">
        <f>IFERROR(__xludf.DUMMYFUNCTION("""COMPUTED_VALUE"""),32360.0)</f>
        <v>32360</v>
      </c>
      <c r="D1403" s="1">
        <f>IFERROR(__xludf.DUMMYFUNCTION("""COMPUTED_VALUE"""),31280.0)</f>
        <v>31280</v>
      </c>
      <c r="E1403" s="1">
        <f>IFERROR(__xludf.DUMMYFUNCTION("""COMPUTED_VALUE"""),31500.0)</f>
        <v>31500</v>
      </c>
      <c r="F1403" s="1">
        <f>IFERROR(__xludf.DUMMYFUNCTION("""COMPUTED_VALUE"""),265168.0)</f>
        <v>265168</v>
      </c>
    </row>
    <row r="1404">
      <c r="A1404" s="2">
        <f>IFERROR(__xludf.DUMMYFUNCTION("""COMPUTED_VALUE"""),42625.64583333333)</f>
        <v>42625.64583</v>
      </c>
      <c r="B1404" s="1">
        <f>IFERROR(__xludf.DUMMYFUNCTION("""COMPUTED_VALUE"""),29800.0)</f>
        <v>29800</v>
      </c>
      <c r="C1404" s="1">
        <f>IFERROR(__xludf.DUMMYFUNCTION("""COMPUTED_VALUE"""),30120.0)</f>
        <v>30120</v>
      </c>
      <c r="D1404" s="1">
        <f>IFERROR(__xludf.DUMMYFUNCTION("""COMPUTED_VALUE"""),29120.0)</f>
        <v>29120</v>
      </c>
      <c r="E1404" s="1">
        <f>IFERROR(__xludf.DUMMYFUNCTION("""COMPUTED_VALUE"""),29300.0)</f>
        <v>29300</v>
      </c>
      <c r="F1404" s="1">
        <f>IFERROR(__xludf.DUMMYFUNCTION("""COMPUTED_VALUE"""),529987.0)</f>
        <v>529987</v>
      </c>
    </row>
    <row r="1405">
      <c r="A1405" s="2">
        <f>IFERROR(__xludf.DUMMYFUNCTION("""COMPUTED_VALUE"""),42626.64583333333)</f>
        <v>42626.64583</v>
      </c>
      <c r="B1405" s="1">
        <f>IFERROR(__xludf.DUMMYFUNCTION("""COMPUTED_VALUE"""),30160.0)</f>
        <v>30160</v>
      </c>
      <c r="C1405" s="1">
        <f>IFERROR(__xludf.DUMMYFUNCTION("""COMPUTED_VALUE"""),30980.0)</f>
        <v>30980</v>
      </c>
      <c r="D1405" s="1">
        <f>IFERROR(__xludf.DUMMYFUNCTION("""COMPUTED_VALUE"""),29900.0)</f>
        <v>29900</v>
      </c>
      <c r="E1405" s="1">
        <f>IFERROR(__xludf.DUMMYFUNCTION("""COMPUTED_VALUE"""),30540.0)</f>
        <v>30540</v>
      </c>
      <c r="F1405" s="1">
        <f>IFERROR(__xludf.DUMMYFUNCTION("""COMPUTED_VALUE"""),494345.0)</f>
        <v>494345</v>
      </c>
    </row>
    <row r="1406">
      <c r="A1406" s="2">
        <f>IFERROR(__xludf.DUMMYFUNCTION("""COMPUTED_VALUE"""),42632.64583333333)</f>
        <v>42632.64583</v>
      </c>
      <c r="B1406" s="1">
        <f>IFERROR(__xludf.DUMMYFUNCTION("""COMPUTED_VALUE"""),30760.0)</f>
        <v>30760</v>
      </c>
      <c r="C1406" s="1">
        <f>IFERROR(__xludf.DUMMYFUNCTION("""COMPUTED_VALUE"""),31380.0)</f>
        <v>31380</v>
      </c>
      <c r="D1406" s="1">
        <f>IFERROR(__xludf.DUMMYFUNCTION("""COMPUTED_VALUE"""),30720.0)</f>
        <v>30720</v>
      </c>
      <c r="E1406" s="1">
        <f>IFERROR(__xludf.DUMMYFUNCTION("""COMPUTED_VALUE"""),31160.0)</f>
        <v>31160</v>
      </c>
      <c r="F1406" s="1">
        <f>IFERROR(__xludf.DUMMYFUNCTION("""COMPUTED_VALUE"""),448163.0)</f>
        <v>448163</v>
      </c>
    </row>
    <row r="1407">
      <c r="A1407" s="2">
        <f>IFERROR(__xludf.DUMMYFUNCTION("""COMPUTED_VALUE"""),42633.64583333333)</f>
        <v>42633.64583</v>
      </c>
      <c r="B1407" s="1">
        <f>IFERROR(__xludf.DUMMYFUNCTION("""COMPUTED_VALUE"""),31180.0)</f>
        <v>31180</v>
      </c>
      <c r="C1407" s="1">
        <f>IFERROR(__xludf.DUMMYFUNCTION("""COMPUTED_VALUE"""),31760.0)</f>
        <v>31760</v>
      </c>
      <c r="D1407" s="1">
        <f>IFERROR(__xludf.DUMMYFUNCTION("""COMPUTED_VALUE"""),31180.0)</f>
        <v>31180</v>
      </c>
      <c r="E1407" s="1">
        <f>IFERROR(__xludf.DUMMYFUNCTION("""COMPUTED_VALUE"""),31700.0)</f>
        <v>31700</v>
      </c>
      <c r="F1407" s="1">
        <f>IFERROR(__xludf.DUMMYFUNCTION("""COMPUTED_VALUE"""),258423.0)</f>
        <v>258423</v>
      </c>
    </row>
    <row r="1408">
      <c r="A1408" s="2">
        <f>IFERROR(__xludf.DUMMYFUNCTION("""COMPUTED_VALUE"""),42634.64583333333)</f>
        <v>42634.64583</v>
      </c>
      <c r="B1408" s="1">
        <f>IFERROR(__xludf.DUMMYFUNCTION("""COMPUTED_VALUE"""),31900.0)</f>
        <v>31900</v>
      </c>
      <c r="C1408" s="1">
        <f>IFERROR(__xludf.DUMMYFUNCTION("""COMPUTED_VALUE"""),32020.0)</f>
        <v>32020</v>
      </c>
      <c r="D1408" s="1">
        <f>IFERROR(__xludf.DUMMYFUNCTION("""COMPUTED_VALUE"""),31520.0)</f>
        <v>31520</v>
      </c>
      <c r="E1408" s="1">
        <f>IFERROR(__xludf.DUMMYFUNCTION("""COMPUTED_VALUE"""),31840.0)</f>
        <v>31840</v>
      </c>
      <c r="F1408" s="1">
        <f>IFERROR(__xludf.DUMMYFUNCTION("""COMPUTED_VALUE"""),210181.0)</f>
        <v>210181</v>
      </c>
    </row>
    <row r="1409">
      <c r="A1409" s="2">
        <f>IFERROR(__xludf.DUMMYFUNCTION("""COMPUTED_VALUE"""),42635.64583333333)</f>
        <v>42635.64583</v>
      </c>
      <c r="B1409" s="1">
        <f>IFERROR(__xludf.DUMMYFUNCTION("""COMPUTED_VALUE"""),32000.0)</f>
        <v>32000</v>
      </c>
      <c r="C1409" s="1">
        <f>IFERROR(__xludf.DUMMYFUNCTION("""COMPUTED_VALUE"""),32820.0)</f>
        <v>32820</v>
      </c>
      <c r="D1409" s="1">
        <f>IFERROR(__xludf.DUMMYFUNCTION("""COMPUTED_VALUE"""),31980.0)</f>
        <v>31980</v>
      </c>
      <c r="E1409" s="1">
        <f>IFERROR(__xludf.DUMMYFUNCTION("""COMPUTED_VALUE"""),32360.0)</f>
        <v>32360</v>
      </c>
      <c r="F1409" s="1">
        <f>IFERROR(__xludf.DUMMYFUNCTION("""COMPUTED_VALUE"""),228599.0)</f>
        <v>228599</v>
      </c>
    </row>
    <row r="1410">
      <c r="A1410" s="2">
        <f>IFERROR(__xludf.DUMMYFUNCTION("""COMPUTED_VALUE"""),42636.64583333333)</f>
        <v>42636.64583</v>
      </c>
      <c r="B1410" s="1">
        <f>IFERROR(__xludf.DUMMYFUNCTION("""COMPUTED_VALUE"""),31640.0)</f>
        <v>31640</v>
      </c>
      <c r="C1410" s="1">
        <f>IFERROR(__xludf.DUMMYFUNCTION("""COMPUTED_VALUE"""),31960.0)</f>
        <v>31960</v>
      </c>
      <c r="D1410" s="1">
        <f>IFERROR(__xludf.DUMMYFUNCTION("""COMPUTED_VALUE"""),31320.0)</f>
        <v>31320</v>
      </c>
      <c r="E1410" s="1">
        <f>IFERROR(__xludf.DUMMYFUNCTION("""COMPUTED_VALUE"""),31420.0)</f>
        <v>31420</v>
      </c>
      <c r="F1410" s="1">
        <f>IFERROR(__xludf.DUMMYFUNCTION("""COMPUTED_VALUE"""),365993.0)</f>
        <v>365993</v>
      </c>
    </row>
    <row r="1411">
      <c r="A1411" s="2">
        <f>IFERROR(__xludf.DUMMYFUNCTION("""COMPUTED_VALUE"""),42639.64583333333)</f>
        <v>42639.64583</v>
      </c>
      <c r="B1411" s="1">
        <f>IFERROR(__xludf.DUMMYFUNCTION("""COMPUTED_VALUE"""),31420.0)</f>
        <v>31420</v>
      </c>
      <c r="C1411" s="1">
        <f>IFERROR(__xludf.DUMMYFUNCTION("""COMPUTED_VALUE"""),31920.0)</f>
        <v>31920</v>
      </c>
      <c r="D1411" s="1">
        <f>IFERROR(__xludf.DUMMYFUNCTION("""COMPUTED_VALUE"""),31280.0)</f>
        <v>31280</v>
      </c>
      <c r="E1411" s="1">
        <f>IFERROR(__xludf.DUMMYFUNCTION("""COMPUTED_VALUE"""),31360.0)</f>
        <v>31360</v>
      </c>
      <c r="F1411" s="1">
        <f>IFERROR(__xludf.DUMMYFUNCTION("""COMPUTED_VALUE"""),290496.0)</f>
        <v>290496</v>
      </c>
    </row>
    <row r="1412">
      <c r="A1412" s="2">
        <f>IFERROR(__xludf.DUMMYFUNCTION("""COMPUTED_VALUE"""),42640.64583333333)</f>
        <v>42640.64583</v>
      </c>
      <c r="B1412" s="1">
        <f>IFERROR(__xludf.DUMMYFUNCTION("""COMPUTED_VALUE"""),31000.0)</f>
        <v>31000</v>
      </c>
      <c r="C1412" s="1">
        <f>IFERROR(__xludf.DUMMYFUNCTION("""COMPUTED_VALUE"""),31500.0)</f>
        <v>31500</v>
      </c>
      <c r="D1412" s="1">
        <f>IFERROR(__xludf.DUMMYFUNCTION("""COMPUTED_VALUE"""),30660.0)</f>
        <v>30660</v>
      </c>
      <c r="E1412" s="1">
        <f>IFERROR(__xludf.DUMMYFUNCTION("""COMPUTED_VALUE"""),31380.0)</f>
        <v>31380</v>
      </c>
      <c r="F1412" s="1">
        <f>IFERROR(__xludf.DUMMYFUNCTION("""COMPUTED_VALUE"""),196688.0)</f>
        <v>196688</v>
      </c>
    </row>
    <row r="1413">
      <c r="A1413" s="2">
        <f>IFERROR(__xludf.DUMMYFUNCTION("""COMPUTED_VALUE"""),42641.64583333333)</f>
        <v>42641.64583</v>
      </c>
      <c r="B1413" s="1">
        <f>IFERROR(__xludf.DUMMYFUNCTION("""COMPUTED_VALUE"""),31080.0)</f>
        <v>31080</v>
      </c>
      <c r="C1413" s="1">
        <f>IFERROR(__xludf.DUMMYFUNCTION("""COMPUTED_VALUE"""),31460.0)</f>
        <v>31460</v>
      </c>
      <c r="D1413" s="1">
        <f>IFERROR(__xludf.DUMMYFUNCTION("""COMPUTED_VALUE"""),31080.0)</f>
        <v>31080</v>
      </c>
      <c r="E1413" s="1">
        <f>IFERROR(__xludf.DUMMYFUNCTION("""COMPUTED_VALUE"""),31340.0)</f>
        <v>31340</v>
      </c>
      <c r="F1413" s="1">
        <f>IFERROR(__xludf.DUMMYFUNCTION("""COMPUTED_VALUE"""),174128.0)</f>
        <v>174128</v>
      </c>
    </row>
    <row r="1414">
      <c r="A1414" s="2">
        <f>IFERROR(__xludf.DUMMYFUNCTION("""COMPUTED_VALUE"""),42642.64583333333)</f>
        <v>42642.64583</v>
      </c>
      <c r="B1414" s="1">
        <f>IFERROR(__xludf.DUMMYFUNCTION("""COMPUTED_VALUE"""),31460.0)</f>
        <v>31460</v>
      </c>
      <c r="C1414" s="1">
        <f>IFERROR(__xludf.DUMMYFUNCTION("""COMPUTED_VALUE"""),32380.0)</f>
        <v>32380</v>
      </c>
      <c r="D1414" s="1">
        <f>IFERROR(__xludf.DUMMYFUNCTION("""COMPUTED_VALUE"""),31440.0)</f>
        <v>31440</v>
      </c>
      <c r="E1414" s="1">
        <f>IFERROR(__xludf.DUMMYFUNCTION("""COMPUTED_VALUE"""),32000.0)</f>
        <v>32000</v>
      </c>
      <c r="F1414" s="1">
        <f>IFERROR(__xludf.DUMMYFUNCTION("""COMPUTED_VALUE"""),227951.0)</f>
        <v>227951</v>
      </c>
    </row>
    <row r="1415">
      <c r="A1415" s="2">
        <f>IFERROR(__xludf.DUMMYFUNCTION("""COMPUTED_VALUE"""),42643.64583333333)</f>
        <v>42643.64583</v>
      </c>
      <c r="B1415" s="1">
        <f>IFERROR(__xludf.DUMMYFUNCTION("""COMPUTED_VALUE"""),31800.0)</f>
        <v>31800</v>
      </c>
      <c r="C1415" s="1">
        <f>IFERROR(__xludf.DUMMYFUNCTION("""COMPUTED_VALUE"""),32300.0)</f>
        <v>32300</v>
      </c>
      <c r="D1415" s="1">
        <f>IFERROR(__xludf.DUMMYFUNCTION("""COMPUTED_VALUE"""),31700.0)</f>
        <v>31700</v>
      </c>
      <c r="E1415" s="1">
        <f>IFERROR(__xludf.DUMMYFUNCTION("""COMPUTED_VALUE"""),31960.0)</f>
        <v>31960</v>
      </c>
      <c r="F1415" s="1">
        <f>IFERROR(__xludf.DUMMYFUNCTION("""COMPUTED_VALUE"""),235254.0)</f>
        <v>235254</v>
      </c>
    </row>
    <row r="1416">
      <c r="A1416" s="2">
        <f>IFERROR(__xludf.DUMMYFUNCTION("""COMPUTED_VALUE"""),42647.64583333333)</f>
        <v>42647.64583</v>
      </c>
      <c r="B1416" s="1">
        <f>IFERROR(__xludf.DUMMYFUNCTION("""COMPUTED_VALUE"""),32200.0)</f>
        <v>32200</v>
      </c>
      <c r="C1416" s="1">
        <f>IFERROR(__xludf.DUMMYFUNCTION("""COMPUTED_VALUE"""),32480.0)</f>
        <v>32480</v>
      </c>
      <c r="D1416" s="1">
        <f>IFERROR(__xludf.DUMMYFUNCTION("""COMPUTED_VALUE"""),32120.0)</f>
        <v>32120</v>
      </c>
      <c r="E1416" s="1">
        <f>IFERROR(__xludf.DUMMYFUNCTION("""COMPUTED_VALUE"""),32280.0)</f>
        <v>32280</v>
      </c>
      <c r="F1416" s="1">
        <f>IFERROR(__xludf.DUMMYFUNCTION("""COMPUTED_VALUE"""),261062.0)</f>
        <v>261062</v>
      </c>
    </row>
    <row r="1417">
      <c r="A1417" s="2">
        <f>IFERROR(__xludf.DUMMYFUNCTION("""COMPUTED_VALUE"""),42648.64583333333)</f>
        <v>42648.64583</v>
      </c>
      <c r="B1417" s="1">
        <f>IFERROR(__xludf.DUMMYFUNCTION("""COMPUTED_VALUE"""),32020.0)</f>
        <v>32020</v>
      </c>
      <c r="C1417" s="1">
        <f>IFERROR(__xludf.DUMMYFUNCTION("""COMPUTED_VALUE"""),32520.0)</f>
        <v>32520</v>
      </c>
      <c r="D1417" s="1">
        <f>IFERROR(__xludf.DUMMYFUNCTION("""COMPUTED_VALUE"""),31940.0)</f>
        <v>31940</v>
      </c>
      <c r="E1417" s="1">
        <f>IFERROR(__xludf.DUMMYFUNCTION("""COMPUTED_VALUE"""),32380.0)</f>
        <v>32380</v>
      </c>
      <c r="F1417" s="1">
        <f>IFERROR(__xludf.DUMMYFUNCTION("""COMPUTED_VALUE"""),249409.0)</f>
        <v>249409</v>
      </c>
    </row>
    <row r="1418">
      <c r="A1418" s="2">
        <f>IFERROR(__xludf.DUMMYFUNCTION("""COMPUTED_VALUE"""),42649.64583333333)</f>
        <v>42649.64583</v>
      </c>
      <c r="B1418" s="1">
        <f>IFERROR(__xludf.DUMMYFUNCTION("""COMPUTED_VALUE"""),33920.0)</f>
        <v>33920</v>
      </c>
      <c r="C1418" s="1">
        <f>IFERROR(__xludf.DUMMYFUNCTION("""COMPUTED_VALUE"""),34000.0)</f>
        <v>34000</v>
      </c>
      <c r="D1418" s="1">
        <f>IFERROR(__xludf.DUMMYFUNCTION("""COMPUTED_VALUE"""),33340.0)</f>
        <v>33340</v>
      </c>
      <c r="E1418" s="1">
        <f>IFERROR(__xludf.DUMMYFUNCTION("""COMPUTED_VALUE"""),33820.0)</f>
        <v>33820</v>
      </c>
      <c r="F1418" s="1">
        <f>IFERROR(__xludf.DUMMYFUNCTION("""COMPUTED_VALUE"""),591163.0)</f>
        <v>591163</v>
      </c>
    </row>
    <row r="1419">
      <c r="A1419" s="2">
        <f>IFERROR(__xludf.DUMMYFUNCTION("""COMPUTED_VALUE"""),42650.64583333333)</f>
        <v>42650.64583</v>
      </c>
      <c r="B1419" s="1">
        <f>IFERROR(__xludf.DUMMYFUNCTION("""COMPUTED_VALUE"""),34000.0)</f>
        <v>34000</v>
      </c>
      <c r="C1419" s="1">
        <f>IFERROR(__xludf.DUMMYFUNCTION("""COMPUTED_VALUE"""),34320.0)</f>
        <v>34320</v>
      </c>
      <c r="D1419" s="1">
        <f>IFERROR(__xludf.DUMMYFUNCTION("""COMPUTED_VALUE"""),33800.0)</f>
        <v>33800</v>
      </c>
      <c r="E1419" s="1">
        <f>IFERROR(__xludf.DUMMYFUNCTION("""COMPUTED_VALUE"""),34120.0)</f>
        <v>34120</v>
      </c>
      <c r="F1419" s="1">
        <f>IFERROR(__xludf.DUMMYFUNCTION("""COMPUTED_VALUE"""),521011.0)</f>
        <v>521011</v>
      </c>
    </row>
    <row r="1420">
      <c r="A1420" s="2">
        <f>IFERROR(__xludf.DUMMYFUNCTION("""COMPUTED_VALUE"""),42653.64583333333)</f>
        <v>42653.64583</v>
      </c>
      <c r="B1420" s="1">
        <f>IFERROR(__xludf.DUMMYFUNCTION("""COMPUTED_VALUE"""),33000.0)</f>
        <v>33000</v>
      </c>
      <c r="C1420" s="1">
        <f>IFERROR(__xludf.DUMMYFUNCTION("""COMPUTED_VALUE"""),33780.0)</f>
        <v>33780</v>
      </c>
      <c r="D1420" s="1">
        <f>IFERROR(__xludf.DUMMYFUNCTION("""COMPUTED_VALUE"""),32560.0)</f>
        <v>32560</v>
      </c>
      <c r="E1420" s="1">
        <f>IFERROR(__xludf.DUMMYFUNCTION("""COMPUTED_VALUE"""),33600.0)</f>
        <v>33600</v>
      </c>
      <c r="F1420" s="1">
        <f>IFERROR(__xludf.DUMMYFUNCTION("""COMPUTED_VALUE"""),505866.0)</f>
        <v>505866</v>
      </c>
    </row>
    <row r="1421">
      <c r="A1421" s="2">
        <f>IFERROR(__xludf.DUMMYFUNCTION("""COMPUTED_VALUE"""),42654.64583333333)</f>
        <v>42654.64583</v>
      </c>
      <c r="B1421" s="1">
        <f>IFERROR(__xludf.DUMMYFUNCTION("""COMPUTED_VALUE"""),32000.0)</f>
        <v>32000</v>
      </c>
      <c r="C1421" s="1">
        <f>IFERROR(__xludf.DUMMYFUNCTION("""COMPUTED_VALUE"""),32500.0)</f>
        <v>32500</v>
      </c>
      <c r="D1421" s="1">
        <f>IFERROR(__xludf.DUMMYFUNCTION("""COMPUTED_VALUE"""),30900.0)</f>
        <v>30900</v>
      </c>
      <c r="E1421" s="1">
        <f>IFERROR(__xludf.DUMMYFUNCTION("""COMPUTED_VALUE"""),30900.0)</f>
        <v>30900</v>
      </c>
      <c r="F1421" s="1">
        <f>IFERROR(__xludf.DUMMYFUNCTION("""COMPUTED_VALUE"""),768543.0)</f>
        <v>768543</v>
      </c>
    </row>
    <row r="1422">
      <c r="A1422" s="2">
        <f>IFERROR(__xludf.DUMMYFUNCTION("""COMPUTED_VALUE"""),42655.64583333333)</f>
        <v>42655.64583</v>
      </c>
      <c r="B1422" s="1">
        <f>IFERROR(__xludf.DUMMYFUNCTION("""COMPUTED_VALUE"""),29900.0)</f>
        <v>29900</v>
      </c>
      <c r="C1422" s="1">
        <f>IFERROR(__xludf.DUMMYFUNCTION("""COMPUTED_VALUE"""),30900.0)</f>
        <v>30900</v>
      </c>
      <c r="D1422" s="1">
        <f>IFERROR(__xludf.DUMMYFUNCTION("""COMPUTED_VALUE"""),29880.0)</f>
        <v>29880</v>
      </c>
      <c r="E1422" s="1">
        <f>IFERROR(__xludf.DUMMYFUNCTION("""COMPUTED_VALUE"""),30700.0)</f>
        <v>30700</v>
      </c>
      <c r="F1422" s="1">
        <f>IFERROR(__xludf.DUMMYFUNCTION("""COMPUTED_VALUE"""),781771.0)</f>
        <v>781771</v>
      </c>
    </row>
    <row r="1423">
      <c r="A1423" s="2">
        <f>IFERROR(__xludf.DUMMYFUNCTION("""COMPUTED_VALUE"""),42656.64583333333)</f>
        <v>42656.64583</v>
      </c>
      <c r="B1423" s="1">
        <f>IFERROR(__xludf.DUMMYFUNCTION("""COMPUTED_VALUE"""),31000.0)</f>
        <v>31000</v>
      </c>
      <c r="C1423" s="1">
        <f>IFERROR(__xludf.DUMMYFUNCTION("""COMPUTED_VALUE"""),31620.0)</f>
        <v>31620</v>
      </c>
      <c r="D1423" s="1">
        <f>IFERROR(__xludf.DUMMYFUNCTION("""COMPUTED_VALUE"""),30900.0)</f>
        <v>30900</v>
      </c>
      <c r="E1423" s="1">
        <f>IFERROR(__xludf.DUMMYFUNCTION("""COMPUTED_VALUE"""),31140.0)</f>
        <v>31140</v>
      </c>
      <c r="F1423" s="1">
        <f>IFERROR(__xludf.DUMMYFUNCTION("""COMPUTED_VALUE"""),437291.0)</f>
        <v>437291</v>
      </c>
    </row>
    <row r="1424">
      <c r="A1424" s="2">
        <f>IFERROR(__xludf.DUMMYFUNCTION("""COMPUTED_VALUE"""),42657.64583333333)</f>
        <v>42657.64583</v>
      </c>
      <c r="B1424" s="1">
        <f>IFERROR(__xludf.DUMMYFUNCTION("""COMPUTED_VALUE"""),30960.0)</f>
        <v>30960</v>
      </c>
      <c r="C1424" s="1">
        <f>IFERROR(__xludf.DUMMYFUNCTION("""COMPUTED_VALUE"""),31760.0)</f>
        <v>31760</v>
      </c>
      <c r="D1424" s="1">
        <f>IFERROR(__xludf.DUMMYFUNCTION("""COMPUTED_VALUE"""),30940.0)</f>
        <v>30940</v>
      </c>
      <c r="E1424" s="1">
        <f>IFERROR(__xludf.DUMMYFUNCTION("""COMPUTED_VALUE"""),31540.0)</f>
        <v>31540</v>
      </c>
      <c r="F1424" s="1">
        <f>IFERROR(__xludf.DUMMYFUNCTION("""COMPUTED_VALUE"""),283179.0)</f>
        <v>283179</v>
      </c>
    </row>
    <row r="1425">
      <c r="A1425" s="2">
        <f>IFERROR(__xludf.DUMMYFUNCTION("""COMPUTED_VALUE"""),42660.64583333333)</f>
        <v>42660.64583</v>
      </c>
      <c r="B1425" s="1">
        <f>IFERROR(__xludf.DUMMYFUNCTION("""COMPUTED_VALUE"""),31300.0)</f>
        <v>31300</v>
      </c>
      <c r="C1425" s="1">
        <f>IFERROR(__xludf.DUMMYFUNCTION("""COMPUTED_VALUE"""),32040.0)</f>
        <v>32040</v>
      </c>
      <c r="D1425" s="1">
        <f>IFERROR(__xludf.DUMMYFUNCTION("""COMPUTED_VALUE"""),30760.0)</f>
        <v>30760</v>
      </c>
      <c r="E1425" s="1">
        <f>IFERROR(__xludf.DUMMYFUNCTION("""COMPUTED_VALUE"""),31800.0)</f>
        <v>31800</v>
      </c>
      <c r="F1425" s="1">
        <f>IFERROR(__xludf.DUMMYFUNCTION("""COMPUTED_VALUE"""),255704.0)</f>
        <v>255704</v>
      </c>
    </row>
    <row r="1426">
      <c r="A1426" s="2">
        <f>IFERROR(__xludf.DUMMYFUNCTION("""COMPUTED_VALUE"""),42661.64583333333)</f>
        <v>42661.64583</v>
      </c>
      <c r="B1426" s="1">
        <f>IFERROR(__xludf.DUMMYFUNCTION("""COMPUTED_VALUE"""),31440.0)</f>
        <v>31440</v>
      </c>
      <c r="C1426" s="1">
        <f>IFERROR(__xludf.DUMMYFUNCTION("""COMPUTED_VALUE"""),31900.0)</f>
        <v>31900</v>
      </c>
      <c r="D1426" s="1">
        <f>IFERROR(__xludf.DUMMYFUNCTION("""COMPUTED_VALUE"""),31440.0)</f>
        <v>31440</v>
      </c>
      <c r="E1426" s="1">
        <f>IFERROR(__xludf.DUMMYFUNCTION("""COMPUTED_VALUE"""),31780.0)</f>
        <v>31780</v>
      </c>
      <c r="F1426" s="1">
        <f>IFERROR(__xludf.DUMMYFUNCTION("""COMPUTED_VALUE"""),207690.0)</f>
        <v>207690</v>
      </c>
    </row>
    <row r="1427">
      <c r="A1427" s="2">
        <f>IFERROR(__xludf.DUMMYFUNCTION("""COMPUTED_VALUE"""),42662.64583333333)</f>
        <v>42662.64583</v>
      </c>
      <c r="B1427" s="1">
        <f>IFERROR(__xludf.DUMMYFUNCTION("""COMPUTED_VALUE"""),31580.0)</f>
        <v>31580</v>
      </c>
      <c r="C1427" s="1">
        <f>IFERROR(__xludf.DUMMYFUNCTION("""COMPUTED_VALUE"""),32860.0)</f>
        <v>32860</v>
      </c>
      <c r="D1427" s="1">
        <f>IFERROR(__xludf.DUMMYFUNCTION("""COMPUTED_VALUE"""),31500.0)</f>
        <v>31500</v>
      </c>
      <c r="E1427" s="1">
        <f>IFERROR(__xludf.DUMMYFUNCTION("""COMPUTED_VALUE"""),32500.0)</f>
        <v>32500</v>
      </c>
      <c r="F1427" s="1">
        <f>IFERROR(__xludf.DUMMYFUNCTION("""COMPUTED_VALUE"""),308891.0)</f>
        <v>308891</v>
      </c>
    </row>
    <row r="1428">
      <c r="A1428" s="2">
        <f>IFERROR(__xludf.DUMMYFUNCTION("""COMPUTED_VALUE"""),42663.64583333333)</f>
        <v>42663.64583</v>
      </c>
      <c r="B1428" s="1">
        <f>IFERROR(__xludf.DUMMYFUNCTION("""COMPUTED_VALUE"""),32520.0)</f>
        <v>32520</v>
      </c>
      <c r="C1428" s="1">
        <f>IFERROR(__xludf.DUMMYFUNCTION("""COMPUTED_VALUE"""),33020.0)</f>
        <v>33020</v>
      </c>
      <c r="D1428" s="1">
        <f>IFERROR(__xludf.DUMMYFUNCTION("""COMPUTED_VALUE"""),32180.0)</f>
        <v>32180</v>
      </c>
      <c r="E1428" s="1">
        <f>IFERROR(__xludf.DUMMYFUNCTION("""COMPUTED_VALUE"""),32400.0)</f>
        <v>32400</v>
      </c>
      <c r="F1428" s="1">
        <f>IFERROR(__xludf.DUMMYFUNCTION("""COMPUTED_VALUE"""),206609.0)</f>
        <v>206609</v>
      </c>
    </row>
    <row r="1429">
      <c r="A1429" s="2">
        <f>IFERROR(__xludf.DUMMYFUNCTION("""COMPUTED_VALUE"""),42664.64583333333)</f>
        <v>42664.64583</v>
      </c>
      <c r="B1429" s="1">
        <f>IFERROR(__xludf.DUMMYFUNCTION("""COMPUTED_VALUE"""),32120.0)</f>
        <v>32120</v>
      </c>
      <c r="C1429" s="1">
        <f>IFERROR(__xludf.DUMMYFUNCTION("""COMPUTED_VALUE"""),32260.0)</f>
        <v>32260</v>
      </c>
      <c r="D1429" s="1">
        <f>IFERROR(__xludf.DUMMYFUNCTION("""COMPUTED_VALUE"""),31760.0)</f>
        <v>31760</v>
      </c>
      <c r="E1429" s="1">
        <f>IFERROR(__xludf.DUMMYFUNCTION("""COMPUTED_VALUE"""),31780.0)</f>
        <v>31780</v>
      </c>
      <c r="F1429" s="1">
        <f>IFERROR(__xludf.DUMMYFUNCTION("""COMPUTED_VALUE"""),209550.0)</f>
        <v>209550</v>
      </c>
    </row>
    <row r="1430">
      <c r="A1430" s="2">
        <f>IFERROR(__xludf.DUMMYFUNCTION("""COMPUTED_VALUE"""),42667.64583333333)</f>
        <v>42667.64583</v>
      </c>
      <c r="B1430" s="1">
        <f>IFERROR(__xludf.DUMMYFUNCTION("""COMPUTED_VALUE"""),31860.0)</f>
        <v>31860</v>
      </c>
      <c r="C1430" s="1">
        <f>IFERROR(__xludf.DUMMYFUNCTION("""COMPUTED_VALUE"""),32160.0)</f>
        <v>32160</v>
      </c>
      <c r="D1430" s="1">
        <f>IFERROR(__xludf.DUMMYFUNCTION("""COMPUTED_VALUE"""),31800.0)</f>
        <v>31800</v>
      </c>
      <c r="E1430" s="1">
        <f>IFERROR(__xludf.DUMMYFUNCTION("""COMPUTED_VALUE"""),32160.0)</f>
        <v>32160</v>
      </c>
      <c r="F1430" s="1">
        <f>IFERROR(__xludf.DUMMYFUNCTION("""COMPUTED_VALUE"""),185799.0)</f>
        <v>185799</v>
      </c>
    </row>
    <row r="1431">
      <c r="A1431" s="2">
        <f>IFERROR(__xludf.DUMMYFUNCTION("""COMPUTED_VALUE"""),42668.64583333333)</f>
        <v>42668.64583</v>
      </c>
      <c r="B1431" s="1">
        <f>IFERROR(__xludf.DUMMYFUNCTION("""COMPUTED_VALUE"""),32000.0)</f>
        <v>32000</v>
      </c>
      <c r="C1431" s="1">
        <f>IFERROR(__xludf.DUMMYFUNCTION("""COMPUTED_VALUE"""),32080.0)</f>
        <v>32080</v>
      </c>
      <c r="D1431" s="1">
        <f>IFERROR(__xludf.DUMMYFUNCTION("""COMPUTED_VALUE"""),31840.0)</f>
        <v>31840</v>
      </c>
      <c r="E1431" s="1">
        <f>IFERROR(__xludf.DUMMYFUNCTION("""COMPUTED_VALUE"""),31940.0)</f>
        <v>31940</v>
      </c>
      <c r="F1431" s="1">
        <f>IFERROR(__xludf.DUMMYFUNCTION("""COMPUTED_VALUE"""),197322.0)</f>
        <v>197322</v>
      </c>
    </row>
    <row r="1432">
      <c r="A1432" s="2">
        <f>IFERROR(__xludf.DUMMYFUNCTION("""COMPUTED_VALUE"""),42669.64583333333)</f>
        <v>42669.64583</v>
      </c>
      <c r="B1432" s="1">
        <f>IFERROR(__xludf.DUMMYFUNCTION("""COMPUTED_VALUE"""),31940.0)</f>
        <v>31940</v>
      </c>
      <c r="C1432" s="1">
        <f>IFERROR(__xludf.DUMMYFUNCTION("""COMPUTED_VALUE"""),31980.0)</f>
        <v>31980</v>
      </c>
      <c r="D1432" s="1">
        <f>IFERROR(__xludf.DUMMYFUNCTION("""COMPUTED_VALUE"""),31240.0)</f>
        <v>31240</v>
      </c>
      <c r="E1432" s="1">
        <f>IFERROR(__xludf.DUMMYFUNCTION("""COMPUTED_VALUE"""),31340.0)</f>
        <v>31340</v>
      </c>
      <c r="F1432" s="1">
        <f>IFERROR(__xludf.DUMMYFUNCTION("""COMPUTED_VALUE"""),210680.0)</f>
        <v>210680</v>
      </c>
    </row>
    <row r="1433">
      <c r="A1433" s="2">
        <f>IFERROR(__xludf.DUMMYFUNCTION("""COMPUTED_VALUE"""),42670.64583333333)</f>
        <v>42670.64583</v>
      </c>
      <c r="B1433" s="1">
        <f>IFERROR(__xludf.DUMMYFUNCTION("""COMPUTED_VALUE"""),31420.0)</f>
        <v>31420</v>
      </c>
      <c r="C1433" s="1">
        <f>IFERROR(__xludf.DUMMYFUNCTION("""COMPUTED_VALUE"""),32340.0)</f>
        <v>32340</v>
      </c>
      <c r="D1433" s="1">
        <f>IFERROR(__xludf.DUMMYFUNCTION("""COMPUTED_VALUE"""),31120.0)</f>
        <v>31120</v>
      </c>
      <c r="E1433" s="1">
        <f>IFERROR(__xludf.DUMMYFUNCTION("""COMPUTED_VALUE"""),31460.0)</f>
        <v>31460</v>
      </c>
      <c r="F1433" s="1">
        <f>IFERROR(__xludf.DUMMYFUNCTION("""COMPUTED_VALUE"""),282340.0)</f>
        <v>282340</v>
      </c>
    </row>
    <row r="1434">
      <c r="A1434" s="2">
        <f>IFERROR(__xludf.DUMMYFUNCTION("""COMPUTED_VALUE"""),42671.64583333333)</f>
        <v>42671.64583</v>
      </c>
      <c r="B1434" s="1">
        <f>IFERROR(__xludf.DUMMYFUNCTION("""COMPUTED_VALUE"""),31600.0)</f>
        <v>31600</v>
      </c>
      <c r="C1434" s="1">
        <f>IFERROR(__xludf.DUMMYFUNCTION("""COMPUTED_VALUE"""),32280.0)</f>
        <v>32280</v>
      </c>
      <c r="D1434" s="1">
        <f>IFERROR(__xludf.DUMMYFUNCTION("""COMPUTED_VALUE"""),31600.0)</f>
        <v>31600</v>
      </c>
      <c r="E1434" s="1">
        <f>IFERROR(__xludf.DUMMYFUNCTION("""COMPUTED_VALUE"""),32280.0)</f>
        <v>32280</v>
      </c>
      <c r="F1434" s="1">
        <f>IFERROR(__xludf.DUMMYFUNCTION("""COMPUTED_VALUE"""),204284.0)</f>
        <v>204284</v>
      </c>
    </row>
    <row r="1435">
      <c r="A1435" s="2">
        <f>IFERROR(__xludf.DUMMYFUNCTION("""COMPUTED_VALUE"""),42674.64583333333)</f>
        <v>42674.64583</v>
      </c>
      <c r="B1435" s="1">
        <f>IFERROR(__xludf.DUMMYFUNCTION("""COMPUTED_VALUE"""),32320.0)</f>
        <v>32320</v>
      </c>
      <c r="C1435" s="1">
        <f>IFERROR(__xludf.DUMMYFUNCTION("""COMPUTED_VALUE"""),32780.0)</f>
        <v>32780</v>
      </c>
      <c r="D1435" s="1">
        <f>IFERROR(__xludf.DUMMYFUNCTION("""COMPUTED_VALUE"""),32220.0)</f>
        <v>32220</v>
      </c>
      <c r="E1435" s="1">
        <f>IFERROR(__xludf.DUMMYFUNCTION("""COMPUTED_VALUE"""),32780.0)</f>
        <v>32780</v>
      </c>
      <c r="F1435" s="1">
        <f>IFERROR(__xludf.DUMMYFUNCTION("""COMPUTED_VALUE"""),241344.0)</f>
        <v>241344</v>
      </c>
    </row>
    <row r="1436">
      <c r="A1436" s="2">
        <f>IFERROR(__xludf.DUMMYFUNCTION("""COMPUTED_VALUE"""),42675.64583333333)</f>
        <v>42675.64583</v>
      </c>
      <c r="B1436" s="1">
        <f>IFERROR(__xludf.DUMMYFUNCTION("""COMPUTED_VALUE"""),32600.0)</f>
        <v>32600</v>
      </c>
      <c r="C1436" s="1">
        <f>IFERROR(__xludf.DUMMYFUNCTION("""COMPUTED_VALUE"""),33040.0)</f>
        <v>33040</v>
      </c>
      <c r="D1436" s="1">
        <f>IFERROR(__xludf.DUMMYFUNCTION("""COMPUTED_VALUE"""),32240.0)</f>
        <v>32240</v>
      </c>
      <c r="E1436" s="1">
        <f>IFERROR(__xludf.DUMMYFUNCTION("""COMPUTED_VALUE"""),33040.0)</f>
        <v>33040</v>
      </c>
      <c r="F1436" s="1">
        <f>IFERROR(__xludf.DUMMYFUNCTION("""COMPUTED_VALUE"""),206948.0)</f>
        <v>206948</v>
      </c>
    </row>
    <row r="1437">
      <c r="A1437" s="2">
        <f>IFERROR(__xludf.DUMMYFUNCTION("""COMPUTED_VALUE"""),42676.64583333333)</f>
        <v>42676.64583</v>
      </c>
      <c r="B1437" s="1">
        <f>IFERROR(__xludf.DUMMYFUNCTION("""COMPUTED_VALUE"""),32800.0)</f>
        <v>32800</v>
      </c>
      <c r="C1437" s="1">
        <f>IFERROR(__xludf.DUMMYFUNCTION("""COMPUTED_VALUE"""),33040.0)</f>
        <v>33040</v>
      </c>
      <c r="D1437" s="1">
        <f>IFERROR(__xludf.DUMMYFUNCTION("""COMPUTED_VALUE"""),32620.0)</f>
        <v>32620</v>
      </c>
      <c r="E1437" s="1">
        <f>IFERROR(__xludf.DUMMYFUNCTION("""COMPUTED_VALUE"""),32860.0)</f>
        <v>32860</v>
      </c>
      <c r="F1437" s="1">
        <f>IFERROR(__xludf.DUMMYFUNCTION("""COMPUTED_VALUE"""),201985.0)</f>
        <v>201985</v>
      </c>
    </row>
    <row r="1438">
      <c r="A1438" s="2">
        <f>IFERROR(__xludf.DUMMYFUNCTION("""COMPUTED_VALUE"""),42677.64583333333)</f>
        <v>42677.64583</v>
      </c>
      <c r="B1438" s="1">
        <f>IFERROR(__xludf.DUMMYFUNCTION("""COMPUTED_VALUE"""),32600.0)</f>
        <v>32600</v>
      </c>
      <c r="C1438" s="1">
        <f>IFERROR(__xludf.DUMMYFUNCTION("""COMPUTED_VALUE"""),32800.0)</f>
        <v>32800</v>
      </c>
      <c r="D1438" s="1">
        <f>IFERROR(__xludf.DUMMYFUNCTION("""COMPUTED_VALUE"""),32120.0)</f>
        <v>32120</v>
      </c>
      <c r="E1438" s="1">
        <f>IFERROR(__xludf.DUMMYFUNCTION("""COMPUTED_VALUE"""),32320.0)</f>
        <v>32320</v>
      </c>
      <c r="F1438" s="1">
        <f>IFERROR(__xludf.DUMMYFUNCTION("""COMPUTED_VALUE"""),206837.0)</f>
        <v>206837</v>
      </c>
    </row>
    <row r="1439">
      <c r="A1439" s="2">
        <f>IFERROR(__xludf.DUMMYFUNCTION("""COMPUTED_VALUE"""),42678.64583333333)</f>
        <v>42678.64583</v>
      </c>
      <c r="B1439" s="1">
        <f>IFERROR(__xludf.DUMMYFUNCTION("""COMPUTED_VALUE"""),32100.0)</f>
        <v>32100</v>
      </c>
      <c r="C1439" s="1">
        <f>IFERROR(__xludf.DUMMYFUNCTION("""COMPUTED_VALUE"""),32680.0)</f>
        <v>32680</v>
      </c>
      <c r="D1439" s="1">
        <f>IFERROR(__xludf.DUMMYFUNCTION("""COMPUTED_VALUE"""),32100.0)</f>
        <v>32100</v>
      </c>
      <c r="E1439" s="1">
        <f>IFERROR(__xludf.DUMMYFUNCTION("""COMPUTED_VALUE"""),32540.0)</f>
        <v>32540</v>
      </c>
      <c r="F1439" s="1">
        <f>IFERROR(__xludf.DUMMYFUNCTION("""COMPUTED_VALUE"""),142077.0)</f>
        <v>142077</v>
      </c>
    </row>
    <row r="1440">
      <c r="A1440" s="2">
        <f>IFERROR(__xludf.DUMMYFUNCTION("""COMPUTED_VALUE"""),42681.64583333333)</f>
        <v>42681.64583</v>
      </c>
      <c r="B1440" s="1">
        <f>IFERROR(__xludf.DUMMYFUNCTION("""COMPUTED_VALUE"""),32940.0)</f>
        <v>32940</v>
      </c>
      <c r="C1440" s="1">
        <f>IFERROR(__xludf.DUMMYFUNCTION("""COMPUTED_VALUE"""),33000.0)</f>
        <v>33000</v>
      </c>
      <c r="D1440" s="1">
        <f>IFERROR(__xludf.DUMMYFUNCTION("""COMPUTED_VALUE"""),32680.0)</f>
        <v>32680</v>
      </c>
      <c r="E1440" s="1">
        <f>IFERROR(__xludf.DUMMYFUNCTION("""COMPUTED_VALUE"""),32800.0)</f>
        <v>32800</v>
      </c>
      <c r="F1440" s="1">
        <f>IFERROR(__xludf.DUMMYFUNCTION("""COMPUTED_VALUE"""),153238.0)</f>
        <v>153238</v>
      </c>
    </row>
    <row r="1441">
      <c r="A1441" s="2">
        <f>IFERROR(__xludf.DUMMYFUNCTION("""COMPUTED_VALUE"""),42682.64583333333)</f>
        <v>42682.64583</v>
      </c>
      <c r="B1441" s="1">
        <f>IFERROR(__xludf.DUMMYFUNCTION("""COMPUTED_VALUE"""),32980.0)</f>
        <v>32980</v>
      </c>
      <c r="C1441" s="1">
        <f>IFERROR(__xludf.DUMMYFUNCTION("""COMPUTED_VALUE"""),32980.0)</f>
        <v>32980</v>
      </c>
      <c r="D1441" s="1">
        <f>IFERROR(__xludf.DUMMYFUNCTION("""COMPUTED_VALUE"""),32700.0)</f>
        <v>32700</v>
      </c>
      <c r="E1441" s="1">
        <f>IFERROR(__xludf.DUMMYFUNCTION("""COMPUTED_VALUE"""),32880.0)</f>
        <v>32880</v>
      </c>
      <c r="F1441" s="1">
        <f>IFERROR(__xludf.DUMMYFUNCTION("""COMPUTED_VALUE"""),108349.0)</f>
        <v>108349</v>
      </c>
    </row>
    <row r="1442">
      <c r="A1442" s="2">
        <f>IFERROR(__xludf.DUMMYFUNCTION("""COMPUTED_VALUE"""),42683.64583333333)</f>
        <v>42683.64583</v>
      </c>
      <c r="B1442" s="1">
        <f>IFERROR(__xludf.DUMMYFUNCTION("""COMPUTED_VALUE"""),32920.0)</f>
        <v>32920</v>
      </c>
      <c r="C1442" s="1">
        <f>IFERROR(__xludf.DUMMYFUNCTION("""COMPUTED_VALUE"""),33140.0)</f>
        <v>33140</v>
      </c>
      <c r="D1442" s="1">
        <f>IFERROR(__xludf.DUMMYFUNCTION("""COMPUTED_VALUE"""),31820.0)</f>
        <v>31820</v>
      </c>
      <c r="E1442" s="1">
        <f>IFERROR(__xludf.DUMMYFUNCTION("""COMPUTED_VALUE"""),31920.0)</f>
        <v>31920</v>
      </c>
      <c r="F1442" s="1">
        <f>IFERROR(__xludf.DUMMYFUNCTION("""COMPUTED_VALUE"""),313672.0)</f>
        <v>313672</v>
      </c>
    </row>
    <row r="1443">
      <c r="A1443" s="2">
        <f>IFERROR(__xludf.DUMMYFUNCTION("""COMPUTED_VALUE"""),42684.64583333333)</f>
        <v>42684.64583</v>
      </c>
      <c r="B1443" s="1">
        <f>IFERROR(__xludf.DUMMYFUNCTION("""COMPUTED_VALUE"""),32600.0)</f>
        <v>32600</v>
      </c>
      <c r="C1443" s="1">
        <f>IFERROR(__xludf.DUMMYFUNCTION("""COMPUTED_VALUE"""),33000.0)</f>
        <v>33000</v>
      </c>
      <c r="D1443" s="1">
        <f>IFERROR(__xludf.DUMMYFUNCTION("""COMPUTED_VALUE"""),32360.0)</f>
        <v>32360</v>
      </c>
      <c r="E1443" s="1">
        <f>IFERROR(__xludf.DUMMYFUNCTION("""COMPUTED_VALUE"""),32980.0)</f>
        <v>32980</v>
      </c>
      <c r="F1443" s="1">
        <f>IFERROR(__xludf.DUMMYFUNCTION("""COMPUTED_VALUE"""),235907.0)</f>
        <v>235907</v>
      </c>
    </row>
    <row r="1444">
      <c r="A1444" s="2">
        <f>IFERROR(__xludf.DUMMYFUNCTION("""COMPUTED_VALUE"""),42685.64583333333)</f>
        <v>42685.64583</v>
      </c>
      <c r="B1444" s="1">
        <f>IFERROR(__xludf.DUMMYFUNCTION("""COMPUTED_VALUE"""),31700.0)</f>
        <v>31700</v>
      </c>
      <c r="C1444" s="1">
        <f>IFERROR(__xludf.DUMMYFUNCTION("""COMPUTED_VALUE"""),32360.0)</f>
        <v>32360</v>
      </c>
      <c r="D1444" s="1">
        <f>IFERROR(__xludf.DUMMYFUNCTION("""COMPUTED_VALUE"""),31700.0)</f>
        <v>31700</v>
      </c>
      <c r="E1444" s="1">
        <f>IFERROR(__xludf.DUMMYFUNCTION("""COMPUTED_VALUE"""),31960.0)</f>
        <v>31960</v>
      </c>
      <c r="F1444" s="1">
        <f>IFERROR(__xludf.DUMMYFUNCTION("""COMPUTED_VALUE"""),256736.0)</f>
        <v>256736</v>
      </c>
    </row>
    <row r="1445">
      <c r="A1445" s="2">
        <f>IFERROR(__xludf.DUMMYFUNCTION("""COMPUTED_VALUE"""),42688.64583333333)</f>
        <v>42688.64583</v>
      </c>
      <c r="B1445" s="1">
        <f>IFERROR(__xludf.DUMMYFUNCTION("""COMPUTED_VALUE"""),31900.0)</f>
        <v>31900</v>
      </c>
      <c r="C1445" s="1">
        <f>IFERROR(__xludf.DUMMYFUNCTION("""COMPUTED_VALUE"""),31920.0)</f>
        <v>31920</v>
      </c>
      <c r="D1445" s="1">
        <f>IFERROR(__xludf.DUMMYFUNCTION("""COMPUTED_VALUE"""),31040.0)</f>
        <v>31040</v>
      </c>
      <c r="E1445" s="1">
        <f>IFERROR(__xludf.DUMMYFUNCTION("""COMPUTED_VALUE"""),31060.0)</f>
        <v>31060</v>
      </c>
      <c r="F1445" s="1">
        <f>IFERROR(__xludf.DUMMYFUNCTION("""COMPUTED_VALUE"""),302666.0)</f>
        <v>302666</v>
      </c>
    </row>
    <row r="1446">
      <c r="A1446" s="2">
        <f>IFERROR(__xludf.DUMMYFUNCTION("""COMPUTED_VALUE"""),42689.64583333333)</f>
        <v>42689.64583</v>
      </c>
      <c r="B1446" s="1">
        <f>IFERROR(__xludf.DUMMYFUNCTION("""COMPUTED_VALUE"""),31060.0)</f>
        <v>31060</v>
      </c>
      <c r="C1446" s="1">
        <f>IFERROR(__xludf.DUMMYFUNCTION("""COMPUTED_VALUE"""),31620.0)</f>
        <v>31620</v>
      </c>
      <c r="D1446" s="1">
        <f>IFERROR(__xludf.DUMMYFUNCTION("""COMPUTED_VALUE"""),30780.0)</f>
        <v>30780</v>
      </c>
      <c r="E1446" s="1">
        <f>IFERROR(__xludf.DUMMYFUNCTION("""COMPUTED_VALUE"""),30780.0)</f>
        <v>30780</v>
      </c>
      <c r="F1446" s="1">
        <f>IFERROR(__xludf.DUMMYFUNCTION("""COMPUTED_VALUE"""),273314.0)</f>
        <v>273314</v>
      </c>
    </row>
    <row r="1447">
      <c r="A1447" s="2">
        <f>IFERROR(__xludf.DUMMYFUNCTION("""COMPUTED_VALUE"""),42690.64583333333)</f>
        <v>42690.64583</v>
      </c>
      <c r="B1447" s="1">
        <f>IFERROR(__xludf.DUMMYFUNCTION("""COMPUTED_VALUE"""),30800.0)</f>
        <v>30800</v>
      </c>
      <c r="C1447" s="1">
        <f>IFERROR(__xludf.DUMMYFUNCTION("""COMPUTED_VALUE"""),31280.0)</f>
        <v>31280</v>
      </c>
      <c r="D1447" s="1">
        <f>IFERROR(__xludf.DUMMYFUNCTION("""COMPUTED_VALUE"""),30800.0)</f>
        <v>30800</v>
      </c>
      <c r="E1447" s="1">
        <f>IFERROR(__xludf.DUMMYFUNCTION("""COMPUTED_VALUE"""),31160.0)</f>
        <v>31160</v>
      </c>
      <c r="F1447" s="1">
        <f>IFERROR(__xludf.DUMMYFUNCTION("""COMPUTED_VALUE"""),266164.0)</f>
        <v>266164</v>
      </c>
    </row>
    <row r="1448">
      <c r="A1448" s="2">
        <f>IFERROR(__xludf.DUMMYFUNCTION("""COMPUTED_VALUE"""),42691.64583333333)</f>
        <v>42691.64583</v>
      </c>
      <c r="B1448" s="1">
        <f>IFERROR(__xludf.DUMMYFUNCTION("""COMPUTED_VALUE"""),31100.0)</f>
        <v>31100</v>
      </c>
      <c r="C1448" s="1">
        <f>IFERROR(__xludf.DUMMYFUNCTION("""COMPUTED_VALUE"""),31520.0)</f>
        <v>31520</v>
      </c>
      <c r="D1448" s="1">
        <f>IFERROR(__xludf.DUMMYFUNCTION("""COMPUTED_VALUE"""),30900.0)</f>
        <v>30900</v>
      </c>
      <c r="E1448" s="1">
        <f>IFERROR(__xludf.DUMMYFUNCTION("""COMPUTED_VALUE"""),31360.0)</f>
        <v>31360</v>
      </c>
      <c r="F1448" s="1">
        <f>IFERROR(__xludf.DUMMYFUNCTION("""COMPUTED_VALUE"""),157411.0)</f>
        <v>157411</v>
      </c>
    </row>
    <row r="1449">
      <c r="A1449" s="2">
        <f>IFERROR(__xludf.DUMMYFUNCTION("""COMPUTED_VALUE"""),42692.64583333333)</f>
        <v>42692.64583</v>
      </c>
      <c r="B1449" s="1">
        <f>IFERROR(__xludf.DUMMYFUNCTION("""COMPUTED_VALUE"""),31640.0)</f>
        <v>31640</v>
      </c>
      <c r="C1449" s="1">
        <f>IFERROR(__xludf.DUMMYFUNCTION("""COMPUTED_VALUE"""),31760.0)</f>
        <v>31760</v>
      </c>
      <c r="D1449" s="1">
        <f>IFERROR(__xludf.DUMMYFUNCTION("""COMPUTED_VALUE"""),31400.0)</f>
        <v>31400</v>
      </c>
      <c r="E1449" s="1">
        <f>IFERROR(__xludf.DUMMYFUNCTION("""COMPUTED_VALUE"""),31720.0)</f>
        <v>31720</v>
      </c>
      <c r="F1449" s="1">
        <f>IFERROR(__xludf.DUMMYFUNCTION("""COMPUTED_VALUE"""),189215.0)</f>
        <v>189215</v>
      </c>
    </row>
    <row r="1450">
      <c r="A1450" s="2">
        <f>IFERROR(__xludf.DUMMYFUNCTION("""COMPUTED_VALUE"""),42695.64583333333)</f>
        <v>42695.64583</v>
      </c>
      <c r="B1450" s="1">
        <f>IFERROR(__xludf.DUMMYFUNCTION("""COMPUTED_VALUE"""),31300.0)</f>
        <v>31300</v>
      </c>
      <c r="C1450" s="1">
        <f>IFERROR(__xludf.DUMMYFUNCTION("""COMPUTED_VALUE"""),32120.0)</f>
        <v>32120</v>
      </c>
      <c r="D1450" s="1">
        <f>IFERROR(__xludf.DUMMYFUNCTION("""COMPUTED_VALUE"""),31300.0)</f>
        <v>31300</v>
      </c>
      <c r="E1450" s="1">
        <f>IFERROR(__xludf.DUMMYFUNCTION("""COMPUTED_VALUE"""),31860.0)</f>
        <v>31860</v>
      </c>
      <c r="F1450" s="1">
        <f>IFERROR(__xludf.DUMMYFUNCTION("""COMPUTED_VALUE"""),163604.0)</f>
        <v>163604</v>
      </c>
    </row>
    <row r="1451">
      <c r="A1451" s="2">
        <f>IFERROR(__xludf.DUMMYFUNCTION("""COMPUTED_VALUE"""),42696.64583333333)</f>
        <v>42696.64583</v>
      </c>
      <c r="B1451" s="1">
        <f>IFERROR(__xludf.DUMMYFUNCTION("""COMPUTED_VALUE"""),32140.0)</f>
        <v>32140</v>
      </c>
      <c r="C1451" s="1">
        <f>IFERROR(__xludf.DUMMYFUNCTION("""COMPUTED_VALUE"""),32900.0)</f>
        <v>32900</v>
      </c>
      <c r="D1451" s="1">
        <f>IFERROR(__xludf.DUMMYFUNCTION("""COMPUTED_VALUE"""),32000.0)</f>
        <v>32000</v>
      </c>
      <c r="E1451" s="1">
        <f>IFERROR(__xludf.DUMMYFUNCTION("""COMPUTED_VALUE"""),32800.0)</f>
        <v>32800</v>
      </c>
      <c r="F1451" s="1">
        <f>IFERROR(__xludf.DUMMYFUNCTION("""COMPUTED_VALUE"""),195022.0)</f>
        <v>195022</v>
      </c>
    </row>
    <row r="1452">
      <c r="A1452" s="2">
        <f>IFERROR(__xludf.DUMMYFUNCTION("""COMPUTED_VALUE"""),42697.64583333333)</f>
        <v>42697.64583</v>
      </c>
      <c r="B1452" s="1">
        <f>IFERROR(__xludf.DUMMYFUNCTION("""COMPUTED_VALUE"""),33220.0)</f>
        <v>33220</v>
      </c>
      <c r="C1452" s="1">
        <f>IFERROR(__xludf.DUMMYFUNCTION("""COMPUTED_VALUE"""),33220.0)</f>
        <v>33220</v>
      </c>
      <c r="D1452" s="1">
        <f>IFERROR(__xludf.DUMMYFUNCTION("""COMPUTED_VALUE"""),32520.0)</f>
        <v>32520</v>
      </c>
      <c r="E1452" s="1">
        <f>IFERROR(__xludf.DUMMYFUNCTION("""COMPUTED_VALUE"""),32980.0)</f>
        <v>32980</v>
      </c>
      <c r="F1452" s="1">
        <f>IFERROR(__xludf.DUMMYFUNCTION("""COMPUTED_VALUE"""),253372.0)</f>
        <v>253372</v>
      </c>
    </row>
    <row r="1453">
      <c r="A1453" s="2">
        <f>IFERROR(__xludf.DUMMYFUNCTION("""COMPUTED_VALUE"""),42698.64583333333)</f>
        <v>42698.64583</v>
      </c>
      <c r="B1453" s="1">
        <f>IFERROR(__xludf.DUMMYFUNCTION("""COMPUTED_VALUE"""),32980.0)</f>
        <v>32980</v>
      </c>
      <c r="C1453" s="1">
        <f>IFERROR(__xludf.DUMMYFUNCTION("""COMPUTED_VALUE"""),33040.0)</f>
        <v>33040</v>
      </c>
      <c r="D1453" s="1">
        <f>IFERROR(__xludf.DUMMYFUNCTION("""COMPUTED_VALUE"""),32660.0)</f>
        <v>32660</v>
      </c>
      <c r="E1453" s="1">
        <f>IFERROR(__xludf.DUMMYFUNCTION("""COMPUTED_VALUE"""),33000.0)</f>
        <v>33000</v>
      </c>
      <c r="F1453" s="1">
        <f>IFERROR(__xludf.DUMMYFUNCTION("""COMPUTED_VALUE"""),155143.0)</f>
        <v>155143</v>
      </c>
    </row>
    <row r="1454">
      <c r="A1454" s="2">
        <f>IFERROR(__xludf.DUMMYFUNCTION("""COMPUTED_VALUE"""),42699.64583333333)</f>
        <v>42699.64583</v>
      </c>
      <c r="B1454" s="1">
        <f>IFERROR(__xludf.DUMMYFUNCTION("""COMPUTED_VALUE"""),32820.0)</f>
        <v>32820</v>
      </c>
      <c r="C1454" s="1">
        <f>IFERROR(__xludf.DUMMYFUNCTION("""COMPUTED_VALUE"""),33040.0)</f>
        <v>33040</v>
      </c>
      <c r="D1454" s="1">
        <f>IFERROR(__xludf.DUMMYFUNCTION("""COMPUTED_VALUE"""),32660.0)</f>
        <v>32660</v>
      </c>
      <c r="E1454" s="1">
        <f>IFERROR(__xludf.DUMMYFUNCTION("""COMPUTED_VALUE"""),33000.0)</f>
        <v>33000</v>
      </c>
      <c r="F1454" s="1">
        <f>IFERROR(__xludf.DUMMYFUNCTION("""COMPUTED_VALUE"""),125538.0)</f>
        <v>125538</v>
      </c>
    </row>
    <row r="1455">
      <c r="A1455" s="2">
        <f>IFERROR(__xludf.DUMMYFUNCTION("""COMPUTED_VALUE"""),42702.64583333333)</f>
        <v>42702.64583</v>
      </c>
      <c r="B1455" s="1">
        <f>IFERROR(__xludf.DUMMYFUNCTION("""COMPUTED_VALUE"""),33000.0)</f>
        <v>33000</v>
      </c>
      <c r="C1455" s="1">
        <f>IFERROR(__xludf.DUMMYFUNCTION("""COMPUTED_VALUE"""),33620.0)</f>
        <v>33620</v>
      </c>
      <c r="D1455" s="1">
        <f>IFERROR(__xludf.DUMMYFUNCTION("""COMPUTED_VALUE"""),32800.0)</f>
        <v>32800</v>
      </c>
      <c r="E1455" s="1">
        <f>IFERROR(__xludf.DUMMYFUNCTION("""COMPUTED_VALUE"""),33540.0)</f>
        <v>33540</v>
      </c>
      <c r="F1455" s="1">
        <f>IFERROR(__xludf.DUMMYFUNCTION("""COMPUTED_VALUE"""),265881.0)</f>
        <v>265881</v>
      </c>
    </row>
    <row r="1456">
      <c r="A1456" s="2">
        <f>IFERROR(__xludf.DUMMYFUNCTION("""COMPUTED_VALUE"""),42703.64583333333)</f>
        <v>42703.64583</v>
      </c>
      <c r="B1456" s="1">
        <f>IFERROR(__xludf.DUMMYFUNCTION("""COMPUTED_VALUE"""),33800.0)</f>
        <v>33800</v>
      </c>
      <c r="C1456" s="1">
        <f>IFERROR(__xludf.DUMMYFUNCTION("""COMPUTED_VALUE"""),33960.0)</f>
        <v>33960</v>
      </c>
      <c r="D1456" s="1">
        <f>IFERROR(__xludf.DUMMYFUNCTION("""COMPUTED_VALUE"""),33380.0)</f>
        <v>33380</v>
      </c>
      <c r="E1456" s="1">
        <f>IFERROR(__xludf.DUMMYFUNCTION("""COMPUTED_VALUE"""),33540.0)</f>
        <v>33540</v>
      </c>
      <c r="F1456" s="1">
        <f>IFERROR(__xludf.DUMMYFUNCTION("""COMPUTED_VALUE"""),361626.0)</f>
        <v>361626</v>
      </c>
    </row>
    <row r="1457">
      <c r="A1457" s="2">
        <f>IFERROR(__xludf.DUMMYFUNCTION("""COMPUTED_VALUE"""),42704.64583333333)</f>
        <v>42704.64583</v>
      </c>
      <c r="B1457" s="1">
        <f>IFERROR(__xludf.DUMMYFUNCTION("""COMPUTED_VALUE"""),33540.0)</f>
        <v>33540</v>
      </c>
      <c r="C1457" s="1">
        <f>IFERROR(__xludf.DUMMYFUNCTION("""COMPUTED_VALUE"""),34940.0)</f>
        <v>34940</v>
      </c>
      <c r="D1457" s="1">
        <f>IFERROR(__xludf.DUMMYFUNCTION("""COMPUTED_VALUE"""),33540.0)</f>
        <v>33540</v>
      </c>
      <c r="E1457" s="1">
        <f>IFERROR(__xludf.DUMMYFUNCTION("""COMPUTED_VALUE"""),34920.0)</f>
        <v>34920</v>
      </c>
      <c r="F1457" s="1">
        <f>IFERROR(__xludf.DUMMYFUNCTION("""COMPUTED_VALUE"""),570704.0)</f>
        <v>570704</v>
      </c>
    </row>
    <row r="1458">
      <c r="A1458" s="2">
        <f>IFERROR(__xludf.DUMMYFUNCTION("""COMPUTED_VALUE"""),42705.64583333333)</f>
        <v>42705.64583</v>
      </c>
      <c r="B1458" s="1">
        <f>IFERROR(__xludf.DUMMYFUNCTION("""COMPUTED_VALUE"""),34800.0)</f>
        <v>34800</v>
      </c>
      <c r="C1458" s="1">
        <f>IFERROR(__xludf.DUMMYFUNCTION("""COMPUTED_VALUE"""),35060.0)</f>
        <v>35060</v>
      </c>
      <c r="D1458" s="1">
        <f>IFERROR(__xludf.DUMMYFUNCTION("""COMPUTED_VALUE"""),34660.0)</f>
        <v>34660</v>
      </c>
      <c r="E1458" s="1">
        <f>IFERROR(__xludf.DUMMYFUNCTION("""COMPUTED_VALUE"""),34980.0)</f>
        <v>34980</v>
      </c>
      <c r="F1458" s="1">
        <f>IFERROR(__xludf.DUMMYFUNCTION("""COMPUTED_VALUE"""),310707.0)</f>
        <v>310707</v>
      </c>
    </row>
    <row r="1459">
      <c r="A1459" s="2">
        <f>IFERROR(__xludf.DUMMYFUNCTION("""COMPUTED_VALUE"""),42706.64583333333)</f>
        <v>42706.64583</v>
      </c>
      <c r="B1459" s="1">
        <f>IFERROR(__xludf.DUMMYFUNCTION("""COMPUTED_VALUE"""),34480.0)</f>
        <v>34480</v>
      </c>
      <c r="C1459" s="1">
        <f>IFERROR(__xludf.DUMMYFUNCTION("""COMPUTED_VALUE"""),34760.0)</f>
        <v>34760</v>
      </c>
      <c r="D1459" s="1">
        <f>IFERROR(__xludf.DUMMYFUNCTION("""COMPUTED_VALUE"""),34140.0)</f>
        <v>34140</v>
      </c>
      <c r="E1459" s="1">
        <f>IFERROR(__xludf.DUMMYFUNCTION("""COMPUTED_VALUE"""),34540.0)</f>
        <v>34540</v>
      </c>
      <c r="F1459" s="1">
        <f>IFERROR(__xludf.DUMMYFUNCTION("""COMPUTED_VALUE"""),307059.0)</f>
        <v>307059</v>
      </c>
    </row>
    <row r="1460">
      <c r="A1460" s="2">
        <f>IFERROR(__xludf.DUMMYFUNCTION("""COMPUTED_VALUE"""),42709.64583333333)</f>
        <v>42709.64583</v>
      </c>
      <c r="B1460" s="1">
        <f>IFERROR(__xludf.DUMMYFUNCTION("""COMPUTED_VALUE"""),34340.0)</f>
        <v>34340</v>
      </c>
      <c r="C1460" s="1">
        <f>IFERROR(__xludf.DUMMYFUNCTION("""COMPUTED_VALUE"""),34680.0)</f>
        <v>34680</v>
      </c>
      <c r="D1460" s="1">
        <f>IFERROR(__xludf.DUMMYFUNCTION("""COMPUTED_VALUE"""),34220.0)</f>
        <v>34220</v>
      </c>
      <c r="E1460" s="1">
        <f>IFERROR(__xludf.DUMMYFUNCTION("""COMPUTED_VALUE"""),34360.0)</f>
        <v>34360</v>
      </c>
      <c r="F1460" s="1">
        <f>IFERROR(__xludf.DUMMYFUNCTION("""COMPUTED_VALUE"""),169692.0)</f>
        <v>169692</v>
      </c>
    </row>
    <row r="1461">
      <c r="A1461" s="2">
        <f>IFERROR(__xludf.DUMMYFUNCTION("""COMPUTED_VALUE"""),42710.64583333333)</f>
        <v>42710.64583</v>
      </c>
      <c r="B1461" s="1">
        <f>IFERROR(__xludf.DUMMYFUNCTION("""COMPUTED_VALUE"""),34440.0)</f>
        <v>34440</v>
      </c>
      <c r="C1461" s="1">
        <f>IFERROR(__xludf.DUMMYFUNCTION("""COMPUTED_VALUE"""),35200.0)</f>
        <v>35200</v>
      </c>
      <c r="D1461" s="1">
        <f>IFERROR(__xludf.DUMMYFUNCTION("""COMPUTED_VALUE"""),34400.0)</f>
        <v>34400</v>
      </c>
      <c r="E1461" s="1">
        <f>IFERROR(__xludf.DUMMYFUNCTION("""COMPUTED_VALUE"""),34960.0)</f>
        <v>34960</v>
      </c>
      <c r="F1461" s="1">
        <f>IFERROR(__xludf.DUMMYFUNCTION("""COMPUTED_VALUE"""),280036.0)</f>
        <v>280036</v>
      </c>
    </row>
    <row r="1462">
      <c r="A1462" s="2">
        <f>IFERROR(__xludf.DUMMYFUNCTION("""COMPUTED_VALUE"""),42711.64583333333)</f>
        <v>42711.64583</v>
      </c>
      <c r="B1462" s="1">
        <f>IFERROR(__xludf.DUMMYFUNCTION("""COMPUTED_VALUE"""),35040.0)</f>
        <v>35040</v>
      </c>
      <c r="C1462" s="1">
        <f>IFERROR(__xludf.DUMMYFUNCTION("""COMPUTED_VALUE"""),35480.0)</f>
        <v>35480</v>
      </c>
      <c r="D1462" s="1">
        <f>IFERROR(__xludf.DUMMYFUNCTION("""COMPUTED_VALUE"""),35040.0)</f>
        <v>35040</v>
      </c>
      <c r="E1462" s="1">
        <f>IFERROR(__xludf.DUMMYFUNCTION("""COMPUTED_VALUE"""),35440.0)</f>
        <v>35440</v>
      </c>
      <c r="F1462" s="1">
        <f>IFERROR(__xludf.DUMMYFUNCTION("""COMPUTED_VALUE"""),192073.0)</f>
        <v>192073</v>
      </c>
    </row>
    <row r="1463">
      <c r="A1463" s="2">
        <f>IFERROR(__xludf.DUMMYFUNCTION("""COMPUTED_VALUE"""),42712.64583333333)</f>
        <v>42712.64583</v>
      </c>
      <c r="B1463" s="1">
        <f>IFERROR(__xludf.DUMMYFUNCTION("""COMPUTED_VALUE"""),35980.0)</f>
        <v>35980</v>
      </c>
      <c r="C1463" s="1">
        <f>IFERROR(__xludf.DUMMYFUNCTION("""COMPUTED_VALUE"""),36020.0)</f>
        <v>36020</v>
      </c>
      <c r="D1463" s="1">
        <f>IFERROR(__xludf.DUMMYFUNCTION("""COMPUTED_VALUE"""),35520.0)</f>
        <v>35520</v>
      </c>
      <c r="E1463" s="1">
        <f>IFERROR(__xludf.DUMMYFUNCTION("""COMPUTED_VALUE"""),35800.0)</f>
        <v>35800</v>
      </c>
      <c r="F1463" s="1">
        <f>IFERROR(__xludf.DUMMYFUNCTION("""COMPUTED_VALUE"""),329251.0)</f>
        <v>329251</v>
      </c>
    </row>
    <row r="1464">
      <c r="A1464" s="2">
        <f>IFERROR(__xludf.DUMMYFUNCTION("""COMPUTED_VALUE"""),42713.64583333333)</f>
        <v>42713.64583</v>
      </c>
      <c r="B1464" s="1">
        <f>IFERROR(__xludf.DUMMYFUNCTION("""COMPUTED_VALUE"""),35900.0)</f>
        <v>35900</v>
      </c>
      <c r="C1464" s="1">
        <f>IFERROR(__xludf.DUMMYFUNCTION("""COMPUTED_VALUE"""),35900.0)</f>
        <v>35900</v>
      </c>
      <c r="D1464" s="1">
        <f>IFERROR(__xludf.DUMMYFUNCTION("""COMPUTED_VALUE"""),35400.0)</f>
        <v>35400</v>
      </c>
      <c r="E1464" s="1">
        <f>IFERROR(__xludf.DUMMYFUNCTION("""COMPUTED_VALUE"""),35600.0)</f>
        <v>35600</v>
      </c>
      <c r="F1464" s="1">
        <f>IFERROR(__xludf.DUMMYFUNCTION("""COMPUTED_VALUE"""),213049.0)</f>
        <v>213049</v>
      </c>
    </row>
    <row r="1465">
      <c r="A1465" s="2">
        <f>IFERROR(__xludf.DUMMYFUNCTION("""COMPUTED_VALUE"""),42716.64583333333)</f>
        <v>42716.64583</v>
      </c>
      <c r="B1465" s="1">
        <f>IFERROR(__xludf.DUMMYFUNCTION("""COMPUTED_VALUE"""),34660.0)</f>
        <v>34660</v>
      </c>
      <c r="C1465" s="1">
        <f>IFERROR(__xludf.DUMMYFUNCTION("""COMPUTED_VALUE"""),35360.0)</f>
        <v>35360</v>
      </c>
      <c r="D1465" s="1">
        <f>IFERROR(__xludf.DUMMYFUNCTION("""COMPUTED_VALUE"""),34660.0)</f>
        <v>34660</v>
      </c>
      <c r="E1465" s="1">
        <f>IFERROR(__xludf.DUMMYFUNCTION("""COMPUTED_VALUE"""),35040.0)</f>
        <v>35040</v>
      </c>
      <c r="F1465" s="1">
        <f>IFERROR(__xludf.DUMMYFUNCTION("""COMPUTED_VALUE"""),228289.0)</f>
        <v>228289</v>
      </c>
    </row>
    <row r="1466">
      <c r="A1466" s="2">
        <f>IFERROR(__xludf.DUMMYFUNCTION("""COMPUTED_VALUE"""),42717.64583333333)</f>
        <v>42717.64583</v>
      </c>
      <c r="B1466" s="1">
        <f>IFERROR(__xludf.DUMMYFUNCTION("""COMPUTED_VALUE"""),34620.0)</f>
        <v>34620</v>
      </c>
      <c r="C1466" s="1">
        <f>IFERROR(__xludf.DUMMYFUNCTION("""COMPUTED_VALUE"""),35440.0)</f>
        <v>35440</v>
      </c>
      <c r="D1466" s="1">
        <f>IFERROR(__xludf.DUMMYFUNCTION("""COMPUTED_VALUE"""),34620.0)</f>
        <v>34620</v>
      </c>
      <c r="E1466" s="1">
        <f>IFERROR(__xludf.DUMMYFUNCTION("""COMPUTED_VALUE"""),35320.0)</f>
        <v>35320</v>
      </c>
      <c r="F1466" s="1">
        <f>IFERROR(__xludf.DUMMYFUNCTION("""COMPUTED_VALUE"""),233689.0)</f>
        <v>233689</v>
      </c>
    </row>
    <row r="1467">
      <c r="A1467" s="2">
        <f>IFERROR(__xludf.DUMMYFUNCTION("""COMPUTED_VALUE"""),42718.64583333333)</f>
        <v>42718.64583</v>
      </c>
      <c r="B1467" s="1">
        <f>IFERROR(__xludf.DUMMYFUNCTION("""COMPUTED_VALUE"""),35560.0)</f>
        <v>35560</v>
      </c>
      <c r="C1467" s="1">
        <f>IFERROR(__xludf.DUMMYFUNCTION("""COMPUTED_VALUE"""),35680.0)</f>
        <v>35680</v>
      </c>
      <c r="D1467" s="1">
        <f>IFERROR(__xludf.DUMMYFUNCTION("""COMPUTED_VALUE"""),35280.0)</f>
        <v>35280</v>
      </c>
      <c r="E1467" s="1">
        <f>IFERROR(__xludf.DUMMYFUNCTION("""COMPUTED_VALUE"""),35540.0)</f>
        <v>35540</v>
      </c>
      <c r="F1467" s="1">
        <f>IFERROR(__xludf.DUMMYFUNCTION("""COMPUTED_VALUE"""),149102.0)</f>
        <v>149102</v>
      </c>
    </row>
    <row r="1468">
      <c r="A1468" s="2">
        <f>IFERROR(__xludf.DUMMYFUNCTION("""COMPUTED_VALUE"""),42719.64583333333)</f>
        <v>42719.64583</v>
      </c>
      <c r="B1468" s="1">
        <f>IFERROR(__xludf.DUMMYFUNCTION("""COMPUTED_VALUE"""),34820.0)</f>
        <v>34820</v>
      </c>
      <c r="C1468" s="1">
        <f>IFERROR(__xludf.DUMMYFUNCTION("""COMPUTED_VALUE"""),35500.0)</f>
        <v>35500</v>
      </c>
      <c r="D1468" s="1">
        <f>IFERROR(__xludf.DUMMYFUNCTION("""COMPUTED_VALUE"""),34820.0)</f>
        <v>34820</v>
      </c>
      <c r="E1468" s="1">
        <f>IFERROR(__xludf.DUMMYFUNCTION("""COMPUTED_VALUE"""),35180.0)</f>
        <v>35180</v>
      </c>
      <c r="F1468" s="1">
        <f>IFERROR(__xludf.DUMMYFUNCTION("""COMPUTED_VALUE"""),115471.0)</f>
        <v>115471</v>
      </c>
    </row>
    <row r="1469">
      <c r="A1469" s="2">
        <f>IFERROR(__xludf.DUMMYFUNCTION("""COMPUTED_VALUE"""),42720.64583333333)</f>
        <v>42720.64583</v>
      </c>
      <c r="B1469" s="1">
        <f>IFERROR(__xludf.DUMMYFUNCTION("""COMPUTED_VALUE"""),35300.0)</f>
        <v>35300</v>
      </c>
      <c r="C1469" s="1">
        <f>IFERROR(__xludf.DUMMYFUNCTION("""COMPUTED_VALUE"""),36020.0)</f>
        <v>36020</v>
      </c>
      <c r="D1469" s="1">
        <f>IFERROR(__xludf.DUMMYFUNCTION("""COMPUTED_VALUE"""),35200.0)</f>
        <v>35200</v>
      </c>
      <c r="E1469" s="1">
        <f>IFERROR(__xludf.DUMMYFUNCTION("""COMPUTED_VALUE"""),35860.0)</f>
        <v>35860</v>
      </c>
      <c r="F1469" s="1">
        <f>IFERROR(__xludf.DUMMYFUNCTION("""COMPUTED_VALUE"""),234954.0)</f>
        <v>234954</v>
      </c>
    </row>
    <row r="1470">
      <c r="A1470" s="2">
        <f>IFERROR(__xludf.DUMMYFUNCTION("""COMPUTED_VALUE"""),42723.64583333333)</f>
        <v>42723.64583</v>
      </c>
      <c r="B1470" s="1">
        <f>IFERROR(__xludf.DUMMYFUNCTION("""COMPUTED_VALUE"""),35620.0)</f>
        <v>35620</v>
      </c>
      <c r="C1470" s="1">
        <f>IFERROR(__xludf.DUMMYFUNCTION("""COMPUTED_VALUE"""),36380.0)</f>
        <v>36380</v>
      </c>
      <c r="D1470" s="1">
        <f>IFERROR(__xludf.DUMMYFUNCTION("""COMPUTED_VALUE"""),35620.0)</f>
        <v>35620</v>
      </c>
      <c r="E1470" s="1">
        <f>IFERROR(__xludf.DUMMYFUNCTION("""COMPUTED_VALUE"""),35900.0)</f>
        <v>35900</v>
      </c>
      <c r="F1470" s="1">
        <f>IFERROR(__xludf.DUMMYFUNCTION("""COMPUTED_VALUE"""),108716.0)</f>
        <v>108716</v>
      </c>
    </row>
    <row r="1471">
      <c r="A1471" s="2">
        <f>IFERROR(__xludf.DUMMYFUNCTION("""COMPUTED_VALUE"""),42724.64583333333)</f>
        <v>42724.64583</v>
      </c>
      <c r="B1471" s="1">
        <f>IFERROR(__xludf.DUMMYFUNCTION("""COMPUTED_VALUE"""),35920.0)</f>
        <v>35920</v>
      </c>
      <c r="C1471" s="1">
        <f>IFERROR(__xludf.DUMMYFUNCTION("""COMPUTED_VALUE"""),36400.0)</f>
        <v>36400</v>
      </c>
      <c r="D1471" s="1">
        <f>IFERROR(__xludf.DUMMYFUNCTION("""COMPUTED_VALUE"""),35840.0)</f>
        <v>35840</v>
      </c>
      <c r="E1471" s="1">
        <f>IFERROR(__xludf.DUMMYFUNCTION("""COMPUTED_VALUE"""),36240.0)</f>
        <v>36240</v>
      </c>
      <c r="F1471" s="1">
        <f>IFERROR(__xludf.DUMMYFUNCTION("""COMPUTED_VALUE"""),152304.0)</f>
        <v>152304</v>
      </c>
    </row>
    <row r="1472">
      <c r="A1472" s="2">
        <f>IFERROR(__xludf.DUMMYFUNCTION("""COMPUTED_VALUE"""),42725.64583333333)</f>
        <v>42725.64583</v>
      </c>
      <c r="B1472" s="1">
        <f>IFERROR(__xludf.DUMMYFUNCTION("""COMPUTED_VALUE"""),36360.0)</f>
        <v>36360</v>
      </c>
      <c r="C1472" s="1">
        <f>IFERROR(__xludf.DUMMYFUNCTION("""COMPUTED_VALUE"""),36600.0)</f>
        <v>36600</v>
      </c>
      <c r="D1472" s="1">
        <f>IFERROR(__xludf.DUMMYFUNCTION("""COMPUTED_VALUE"""),36020.0)</f>
        <v>36020</v>
      </c>
      <c r="E1472" s="1">
        <f>IFERROR(__xludf.DUMMYFUNCTION("""COMPUTED_VALUE"""),36100.0)</f>
        <v>36100</v>
      </c>
      <c r="F1472" s="1">
        <f>IFERROR(__xludf.DUMMYFUNCTION("""COMPUTED_VALUE"""),131042.0)</f>
        <v>131042</v>
      </c>
    </row>
    <row r="1473">
      <c r="A1473" s="2">
        <f>IFERROR(__xludf.DUMMYFUNCTION("""COMPUTED_VALUE"""),42726.64583333333)</f>
        <v>42726.64583</v>
      </c>
      <c r="B1473" s="1">
        <f>IFERROR(__xludf.DUMMYFUNCTION("""COMPUTED_VALUE"""),36260.0)</f>
        <v>36260</v>
      </c>
      <c r="C1473" s="1">
        <f>IFERROR(__xludf.DUMMYFUNCTION("""COMPUTED_VALUE"""),36300.0)</f>
        <v>36300</v>
      </c>
      <c r="D1473" s="1">
        <f>IFERROR(__xludf.DUMMYFUNCTION("""COMPUTED_VALUE"""),35980.0)</f>
        <v>35980</v>
      </c>
      <c r="E1473" s="1">
        <f>IFERROR(__xludf.DUMMYFUNCTION("""COMPUTED_VALUE"""),36180.0)</f>
        <v>36180</v>
      </c>
      <c r="F1473" s="1">
        <f>IFERROR(__xludf.DUMMYFUNCTION("""COMPUTED_VALUE"""),127092.0)</f>
        <v>127092</v>
      </c>
    </row>
    <row r="1474">
      <c r="A1474" s="2">
        <f>IFERROR(__xludf.DUMMYFUNCTION("""COMPUTED_VALUE"""),42727.64583333333)</f>
        <v>42727.64583</v>
      </c>
      <c r="B1474" s="1">
        <f>IFERROR(__xludf.DUMMYFUNCTION("""COMPUTED_VALUE"""),36020.0)</f>
        <v>36020</v>
      </c>
      <c r="C1474" s="1">
        <f>IFERROR(__xludf.DUMMYFUNCTION("""COMPUTED_VALUE"""),36080.0)</f>
        <v>36080</v>
      </c>
      <c r="D1474" s="1">
        <f>IFERROR(__xludf.DUMMYFUNCTION("""COMPUTED_VALUE"""),35600.0)</f>
        <v>35600</v>
      </c>
      <c r="E1474" s="1">
        <f>IFERROR(__xludf.DUMMYFUNCTION("""COMPUTED_VALUE"""),35640.0)</f>
        <v>35640</v>
      </c>
      <c r="F1474" s="1">
        <f>IFERROR(__xludf.DUMMYFUNCTION("""COMPUTED_VALUE"""),166697.0)</f>
        <v>166697</v>
      </c>
    </row>
    <row r="1475">
      <c r="A1475" s="2">
        <f>IFERROR(__xludf.DUMMYFUNCTION("""COMPUTED_VALUE"""),42730.64583333333)</f>
        <v>42730.64583</v>
      </c>
      <c r="B1475" s="1">
        <f>IFERROR(__xludf.DUMMYFUNCTION("""COMPUTED_VALUE"""),35600.0)</f>
        <v>35600</v>
      </c>
      <c r="C1475" s="1">
        <f>IFERROR(__xludf.DUMMYFUNCTION("""COMPUTED_VALUE"""),36000.0)</f>
        <v>36000</v>
      </c>
      <c r="D1475" s="1">
        <f>IFERROR(__xludf.DUMMYFUNCTION("""COMPUTED_VALUE"""),35560.0)</f>
        <v>35560</v>
      </c>
      <c r="E1475" s="1">
        <f>IFERROR(__xludf.DUMMYFUNCTION("""COMPUTED_VALUE"""),35960.0)</f>
        <v>35960</v>
      </c>
      <c r="F1475" s="1">
        <f>IFERROR(__xludf.DUMMYFUNCTION("""COMPUTED_VALUE"""),96472.0)</f>
        <v>96472</v>
      </c>
    </row>
    <row r="1476">
      <c r="A1476" s="2">
        <f>IFERROR(__xludf.DUMMYFUNCTION("""COMPUTED_VALUE"""),42731.64583333333)</f>
        <v>42731.64583</v>
      </c>
      <c r="B1476" s="1">
        <f>IFERROR(__xludf.DUMMYFUNCTION("""COMPUTED_VALUE"""),35980.0)</f>
        <v>35980</v>
      </c>
      <c r="C1476" s="1">
        <f>IFERROR(__xludf.DUMMYFUNCTION("""COMPUTED_VALUE"""),36200.0)</f>
        <v>36200</v>
      </c>
      <c r="D1476" s="1">
        <f>IFERROR(__xludf.DUMMYFUNCTION("""COMPUTED_VALUE"""),35860.0)</f>
        <v>35860</v>
      </c>
      <c r="E1476" s="1">
        <f>IFERROR(__xludf.DUMMYFUNCTION("""COMPUTED_VALUE"""),35980.0)</f>
        <v>35980</v>
      </c>
      <c r="F1476" s="1">
        <f>IFERROR(__xludf.DUMMYFUNCTION("""COMPUTED_VALUE"""),93069.0)</f>
        <v>93069</v>
      </c>
    </row>
    <row r="1477">
      <c r="A1477" s="2">
        <f>IFERROR(__xludf.DUMMYFUNCTION("""COMPUTED_VALUE"""),42732.64583333333)</f>
        <v>42732.64583</v>
      </c>
      <c r="B1477" s="1">
        <f>IFERROR(__xludf.DUMMYFUNCTION("""COMPUTED_VALUE"""),35840.0)</f>
        <v>35840</v>
      </c>
      <c r="C1477" s="1">
        <f>IFERROR(__xludf.DUMMYFUNCTION("""COMPUTED_VALUE"""),35980.0)</f>
        <v>35980</v>
      </c>
      <c r="D1477" s="1">
        <f>IFERROR(__xludf.DUMMYFUNCTION("""COMPUTED_VALUE"""),35600.0)</f>
        <v>35600</v>
      </c>
      <c r="E1477" s="1">
        <f>IFERROR(__xludf.DUMMYFUNCTION("""COMPUTED_VALUE"""),35760.0)</f>
        <v>35760</v>
      </c>
      <c r="F1477" s="1">
        <f>IFERROR(__xludf.DUMMYFUNCTION("""COMPUTED_VALUE"""),133258.0)</f>
        <v>133258</v>
      </c>
    </row>
    <row r="1478">
      <c r="A1478" s="2">
        <f>IFERROR(__xludf.DUMMYFUNCTION("""COMPUTED_VALUE"""),42733.64583333333)</f>
        <v>42733.64583</v>
      </c>
      <c r="B1478" s="1">
        <f>IFERROR(__xludf.DUMMYFUNCTION("""COMPUTED_VALUE"""),35420.0)</f>
        <v>35420</v>
      </c>
      <c r="C1478" s="1">
        <f>IFERROR(__xludf.DUMMYFUNCTION("""COMPUTED_VALUE"""),36040.0)</f>
        <v>36040</v>
      </c>
      <c r="D1478" s="1">
        <f>IFERROR(__xludf.DUMMYFUNCTION("""COMPUTED_VALUE"""),35400.0)</f>
        <v>35400</v>
      </c>
      <c r="E1478" s="1">
        <f>IFERROR(__xludf.DUMMYFUNCTION("""COMPUTED_VALUE"""),36040.0)</f>
        <v>36040</v>
      </c>
      <c r="F1478" s="1">
        <f>IFERROR(__xludf.DUMMYFUNCTION("""COMPUTED_VALUE"""),150329.0)</f>
        <v>150329</v>
      </c>
    </row>
    <row r="1479">
      <c r="A1479" s="2">
        <f>IFERROR(__xludf.DUMMYFUNCTION("""COMPUTED_VALUE"""),42737.64583333333)</f>
        <v>42737.64583</v>
      </c>
      <c r="B1479" s="1">
        <f>IFERROR(__xludf.DUMMYFUNCTION("""COMPUTED_VALUE"""),35980.0)</f>
        <v>35980</v>
      </c>
      <c r="C1479" s="1">
        <f>IFERROR(__xludf.DUMMYFUNCTION("""COMPUTED_VALUE"""),36240.0)</f>
        <v>36240</v>
      </c>
      <c r="D1479" s="1">
        <f>IFERROR(__xludf.DUMMYFUNCTION("""COMPUTED_VALUE"""),35880.0)</f>
        <v>35880</v>
      </c>
      <c r="E1479" s="1">
        <f>IFERROR(__xludf.DUMMYFUNCTION("""COMPUTED_VALUE"""),36100.0)</f>
        <v>36100</v>
      </c>
      <c r="F1479" s="1">
        <f>IFERROR(__xludf.DUMMYFUNCTION("""COMPUTED_VALUE"""),93012.0)</f>
        <v>93012</v>
      </c>
    </row>
    <row r="1480">
      <c r="A1480" s="2">
        <f>IFERROR(__xludf.DUMMYFUNCTION("""COMPUTED_VALUE"""),42738.64583333333)</f>
        <v>42738.64583</v>
      </c>
      <c r="B1480" s="1">
        <f>IFERROR(__xludf.DUMMYFUNCTION("""COMPUTED_VALUE"""),36280.0)</f>
        <v>36280</v>
      </c>
      <c r="C1480" s="1">
        <f>IFERROR(__xludf.DUMMYFUNCTION("""COMPUTED_VALUE"""),36620.0)</f>
        <v>36620</v>
      </c>
      <c r="D1480" s="1">
        <f>IFERROR(__xludf.DUMMYFUNCTION("""COMPUTED_VALUE"""),36020.0)</f>
        <v>36020</v>
      </c>
      <c r="E1480" s="1">
        <f>IFERROR(__xludf.DUMMYFUNCTION("""COMPUTED_VALUE"""),36480.0)</f>
        <v>36480</v>
      </c>
      <c r="F1480" s="1">
        <f>IFERROR(__xludf.DUMMYFUNCTION("""COMPUTED_VALUE"""),147153.0)</f>
        <v>147153</v>
      </c>
    </row>
    <row r="1481">
      <c r="A1481" s="2">
        <f>IFERROR(__xludf.DUMMYFUNCTION("""COMPUTED_VALUE"""),42739.64583333333)</f>
        <v>42739.64583</v>
      </c>
      <c r="B1481" s="1">
        <f>IFERROR(__xludf.DUMMYFUNCTION("""COMPUTED_VALUE"""),36500.0)</f>
        <v>36500</v>
      </c>
      <c r="C1481" s="1">
        <f>IFERROR(__xludf.DUMMYFUNCTION("""COMPUTED_VALUE"""),36520.0)</f>
        <v>36520</v>
      </c>
      <c r="D1481" s="1">
        <f>IFERROR(__xludf.DUMMYFUNCTION("""COMPUTED_VALUE"""),36100.0)</f>
        <v>36100</v>
      </c>
      <c r="E1481" s="1">
        <f>IFERROR(__xludf.DUMMYFUNCTION("""COMPUTED_VALUE"""),36160.0)</f>
        <v>36160</v>
      </c>
      <c r="F1481" s="1">
        <f>IFERROR(__xludf.DUMMYFUNCTION("""COMPUTED_VALUE"""),159435.0)</f>
        <v>159435</v>
      </c>
    </row>
    <row r="1482">
      <c r="A1482" s="2">
        <f>IFERROR(__xludf.DUMMYFUNCTION("""COMPUTED_VALUE"""),42740.64583333333)</f>
        <v>42740.64583</v>
      </c>
      <c r="B1482" s="1">
        <f>IFERROR(__xludf.DUMMYFUNCTION("""COMPUTED_VALUE"""),36060.0)</f>
        <v>36060</v>
      </c>
      <c r="C1482" s="1">
        <f>IFERROR(__xludf.DUMMYFUNCTION("""COMPUTED_VALUE"""),36060.0)</f>
        <v>36060</v>
      </c>
      <c r="D1482" s="1">
        <f>IFERROR(__xludf.DUMMYFUNCTION("""COMPUTED_VALUE"""),35540.0)</f>
        <v>35540</v>
      </c>
      <c r="E1482" s="1">
        <f>IFERROR(__xludf.DUMMYFUNCTION("""COMPUTED_VALUE"""),35560.0)</f>
        <v>35560</v>
      </c>
      <c r="F1482" s="1">
        <f>IFERROR(__xludf.DUMMYFUNCTION("""COMPUTED_VALUE"""),219349.0)</f>
        <v>219349</v>
      </c>
    </row>
    <row r="1483">
      <c r="A1483" s="2">
        <f>IFERROR(__xludf.DUMMYFUNCTION("""COMPUTED_VALUE"""),42741.64583333333)</f>
        <v>42741.64583</v>
      </c>
      <c r="B1483" s="1">
        <f>IFERROR(__xludf.DUMMYFUNCTION("""COMPUTED_VALUE"""),36180.0)</f>
        <v>36180</v>
      </c>
      <c r="C1483" s="1">
        <f>IFERROR(__xludf.DUMMYFUNCTION("""COMPUTED_VALUE"""),36440.0)</f>
        <v>36440</v>
      </c>
      <c r="D1483" s="1">
        <f>IFERROR(__xludf.DUMMYFUNCTION("""COMPUTED_VALUE"""),36040.0)</f>
        <v>36040</v>
      </c>
      <c r="E1483" s="1">
        <f>IFERROR(__xludf.DUMMYFUNCTION("""COMPUTED_VALUE"""),36200.0)</f>
        <v>36200</v>
      </c>
      <c r="F1483" s="1">
        <f>IFERROR(__xludf.DUMMYFUNCTION("""COMPUTED_VALUE"""),177619.0)</f>
        <v>177619</v>
      </c>
    </row>
    <row r="1484">
      <c r="A1484" s="2">
        <f>IFERROR(__xludf.DUMMYFUNCTION("""COMPUTED_VALUE"""),42744.64583333333)</f>
        <v>42744.64583</v>
      </c>
      <c r="B1484" s="1">
        <f>IFERROR(__xludf.DUMMYFUNCTION("""COMPUTED_VALUE"""),36600.0)</f>
        <v>36600</v>
      </c>
      <c r="C1484" s="1">
        <f>IFERROR(__xludf.DUMMYFUNCTION("""COMPUTED_VALUE"""),37500.0)</f>
        <v>37500</v>
      </c>
      <c r="D1484" s="1">
        <f>IFERROR(__xludf.DUMMYFUNCTION("""COMPUTED_VALUE"""),36560.0)</f>
        <v>36560</v>
      </c>
      <c r="E1484" s="1">
        <f>IFERROR(__xludf.DUMMYFUNCTION("""COMPUTED_VALUE"""),37220.0)</f>
        <v>37220</v>
      </c>
      <c r="F1484" s="1">
        <f>IFERROR(__xludf.DUMMYFUNCTION("""COMPUTED_VALUE"""),263898.0)</f>
        <v>263898</v>
      </c>
    </row>
    <row r="1485">
      <c r="A1485" s="2">
        <f>IFERROR(__xludf.DUMMYFUNCTION("""COMPUTED_VALUE"""),42745.64583333333)</f>
        <v>42745.64583</v>
      </c>
      <c r="B1485" s="1">
        <f>IFERROR(__xludf.DUMMYFUNCTION("""COMPUTED_VALUE"""),37280.0)</f>
        <v>37280</v>
      </c>
      <c r="C1485" s="1">
        <f>IFERROR(__xludf.DUMMYFUNCTION("""COMPUTED_VALUE"""),37400.0)</f>
        <v>37400</v>
      </c>
      <c r="D1485" s="1">
        <f>IFERROR(__xludf.DUMMYFUNCTION("""COMPUTED_VALUE"""),37080.0)</f>
        <v>37080</v>
      </c>
      <c r="E1485" s="1">
        <f>IFERROR(__xludf.DUMMYFUNCTION("""COMPUTED_VALUE"""),37240.0)</f>
        <v>37240</v>
      </c>
      <c r="F1485" s="1">
        <f>IFERROR(__xludf.DUMMYFUNCTION("""COMPUTED_VALUE"""),181996.0)</f>
        <v>181996</v>
      </c>
    </row>
    <row r="1486">
      <c r="A1486" s="2">
        <f>IFERROR(__xludf.DUMMYFUNCTION("""COMPUTED_VALUE"""),42746.64583333333)</f>
        <v>42746.64583</v>
      </c>
      <c r="B1486" s="1">
        <f>IFERROR(__xludf.DUMMYFUNCTION("""COMPUTED_VALUE"""),37520.0)</f>
        <v>37520</v>
      </c>
      <c r="C1486" s="1">
        <f>IFERROR(__xludf.DUMMYFUNCTION("""COMPUTED_VALUE"""),38560.0)</f>
        <v>38560</v>
      </c>
      <c r="D1486" s="1">
        <f>IFERROR(__xludf.DUMMYFUNCTION("""COMPUTED_VALUE"""),37420.0)</f>
        <v>37420</v>
      </c>
      <c r="E1486" s="1">
        <f>IFERROR(__xludf.DUMMYFUNCTION("""COMPUTED_VALUE"""),38280.0)</f>
        <v>38280</v>
      </c>
      <c r="F1486" s="1">
        <f>IFERROR(__xludf.DUMMYFUNCTION("""COMPUTED_VALUE"""),240363.0)</f>
        <v>240363</v>
      </c>
    </row>
    <row r="1487">
      <c r="A1487" s="2">
        <f>IFERROR(__xludf.DUMMYFUNCTION("""COMPUTED_VALUE"""),42747.64583333333)</f>
        <v>42747.64583</v>
      </c>
      <c r="B1487" s="1">
        <f>IFERROR(__xludf.DUMMYFUNCTION("""COMPUTED_VALUE"""),38000.0)</f>
        <v>38000</v>
      </c>
      <c r="C1487" s="1">
        <f>IFERROR(__xludf.DUMMYFUNCTION("""COMPUTED_VALUE"""),38800.0)</f>
        <v>38800</v>
      </c>
      <c r="D1487" s="1">
        <f>IFERROR(__xludf.DUMMYFUNCTION("""COMPUTED_VALUE"""),37980.0)</f>
        <v>37980</v>
      </c>
      <c r="E1487" s="1">
        <f>IFERROR(__xludf.DUMMYFUNCTION("""COMPUTED_VALUE"""),38800.0)</f>
        <v>38800</v>
      </c>
      <c r="F1487" s="1">
        <f>IFERROR(__xludf.DUMMYFUNCTION("""COMPUTED_VALUE"""),233383.0)</f>
        <v>233383</v>
      </c>
    </row>
    <row r="1488">
      <c r="A1488" s="2">
        <f>IFERROR(__xludf.DUMMYFUNCTION("""COMPUTED_VALUE"""),42748.64583333333)</f>
        <v>42748.64583</v>
      </c>
      <c r="B1488" s="1">
        <f>IFERROR(__xludf.DUMMYFUNCTION("""COMPUTED_VALUE"""),38100.0)</f>
        <v>38100</v>
      </c>
      <c r="C1488" s="1">
        <f>IFERROR(__xludf.DUMMYFUNCTION("""COMPUTED_VALUE"""),38320.0)</f>
        <v>38320</v>
      </c>
      <c r="D1488" s="1">
        <f>IFERROR(__xludf.DUMMYFUNCTION("""COMPUTED_VALUE"""),37460.0)</f>
        <v>37460</v>
      </c>
      <c r="E1488" s="1">
        <f>IFERROR(__xludf.DUMMYFUNCTION("""COMPUTED_VALUE"""),37460.0)</f>
        <v>37460</v>
      </c>
      <c r="F1488" s="1">
        <f>IFERROR(__xludf.DUMMYFUNCTION("""COMPUTED_VALUE"""),319089.0)</f>
        <v>319089</v>
      </c>
    </row>
    <row r="1489">
      <c r="A1489" s="2">
        <f>IFERROR(__xludf.DUMMYFUNCTION("""COMPUTED_VALUE"""),42751.64583333333)</f>
        <v>42751.64583</v>
      </c>
      <c r="B1489" s="1">
        <f>IFERROR(__xludf.DUMMYFUNCTION("""COMPUTED_VALUE"""),36860.0)</f>
        <v>36860</v>
      </c>
      <c r="C1489" s="1">
        <f>IFERROR(__xludf.DUMMYFUNCTION("""COMPUTED_VALUE"""),37820.0)</f>
        <v>37820</v>
      </c>
      <c r="D1489" s="1">
        <f>IFERROR(__xludf.DUMMYFUNCTION("""COMPUTED_VALUE"""),36320.0)</f>
        <v>36320</v>
      </c>
      <c r="E1489" s="1">
        <f>IFERROR(__xludf.DUMMYFUNCTION("""COMPUTED_VALUE"""),36660.0)</f>
        <v>36660</v>
      </c>
      <c r="F1489" s="1">
        <f>IFERROR(__xludf.DUMMYFUNCTION("""COMPUTED_VALUE"""),332230.0)</f>
        <v>332230</v>
      </c>
    </row>
    <row r="1490">
      <c r="A1490" s="2">
        <f>IFERROR(__xludf.DUMMYFUNCTION("""COMPUTED_VALUE"""),42752.64583333333)</f>
        <v>42752.64583</v>
      </c>
      <c r="B1490" s="1">
        <f>IFERROR(__xludf.DUMMYFUNCTION("""COMPUTED_VALUE"""),36580.0)</f>
        <v>36580</v>
      </c>
      <c r="C1490" s="1">
        <f>IFERROR(__xludf.DUMMYFUNCTION("""COMPUTED_VALUE"""),37460.0)</f>
        <v>37460</v>
      </c>
      <c r="D1490" s="1">
        <f>IFERROR(__xludf.DUMMYFUNCTION("""COMPUTED_VALUE"""),36580.0)</f>
        <v>36580</v>
      </c>
      <c r="E1490" s="1">
        <f>IFERROR(__xludf.DUMMYFUNCTION("""COMPUTED_VALUE"""),36960.0)</f>
        <v>36960</v>
      </c>
      <c r="F1490" s="1">
        <f>IFERROR(__xludf.DUMMYFUNCTION("""COMPUTED_VALUE"""),163014.0)</f>
        <v>163014</v>
      </c>
    </row>
    <row r="1491">
      <c r="A1491" s="2">
        <f>IFERROR(__xludf.DUMMYFUNCTION("""COMPUTED_VALUE"""),42753.64583333333)</f>
        <v>42753.64583</v>
      </c>
      <c r="B1491" s="1">
        <f>IFERROR(__xludf.DUMMYFUNCTION("""COMPUTED_VALUE"""),37040.0)</f>
        <v>37040</v>
      </c>
      <c r="C1491" s="1">
        <f>IFERROR(__xludf.DUMMYFUNCTION("""COMPUTED_VALUE"""),37500.0)</f>
        <v>37500</v>
      </c>
      <c r="D1491" s="1">
        <f>IFERROR(__xludf.DUMMYFUNCTION("""COMPUTED_VALUE"""),36620.0)</f>
        <v>36620</v>
      </c>
      <c r="E1491" s="1">
        <f>IFERROR(__xludf.DUMMYFUNCTION("""COMPUTED_VALUE"""),36940.0)</f>
        <v>36940</v>
      </c>
      <c r="F1491" s="1">
        <f>IFERROR(__xludf.DUMMYFUNCTION("""COMPUTED_VALUE"""),177508.0)</f>
        <v>177508</v>
      </c>
    </row>
    <row r="1492">
      <c r="A1492" s="2">
        <f>IFERROR(__xludf.DUMMYFUNCTION("""COMPUTED_VALUE"""),42754.64583333333)</f>
        <v>42754.64583</v>
      </c>
      <c r="B1492" s="1">
        <f>IFERROR(__xludf.DUMMYFUNCTION("""COMPUTED_VALUE"""),37720.0)</f>
        <v>37720</v>
      </c>
      <c r="C1492" s="1">
        <f>IFERROR(__xludf.DUMMYFUNCTION("""COMPUTED_VALUE"""),37920.0)</f>
        <v>37920</v>
      </c>
      <c r="D1492" s="1">
        <f>IFERROR(__xludf.DUMMYFUNCTION("""COMPUTED_VALUE"""),37020.0)</f>
        <v>37020</v>
      </c>
      <c r="E1492" s="1">
        <f>IFERROR(__xludf.DUMMYFUNCTION("""COMPUTED_VALUE"""),37480.0)</f>
        <v>37480</v>
      </c>
      <c r="F1492" s="1">
        <f>IFERROR(__xludf.DUMMYFUNCTION("""COMPUTED_VALUE"""),188378.0)</f>
        <v>188378</v>
      </c>
    </row>
    <row r="1493">
      <c r="A1493" s="2">
        <f>IFERROR(__xludf.DUMMYFUNCTION("""COMPUTED_VALUE"""),42755.64583333333)</f>
        <v>42755.64583</v>
      </c>
      <c r="B1493" s="1">
        <f>IFERROR(__xludf.DUMMYFUNCTION("""COMPUTED_VALUE"""),37120.0)</f>
        <v>37120</v>
      </c>
      <c r="C1493" s="1">
        <f>IFERROR(__xludf.DUMMYFUNCTION("""COMPUTED_VALUE"""),37420.0)</f>
        <v>37420</v>
      </c>
      <c r="D1493" s="1">
        <f>IFERROR(__xludf.DUMMYFUNCTION("""COMPUTED_VALUE"""),36880.0)</f>
        <v>36880</v>
      </c>
      <c r="E1493" s="1">
        <f>IFERROR(__xludf.DUMMYFUNCTION("""COMPUTED_VALUE"""),37200.0)</f>
        <v>37200</v>
      </c>
      <c r="F1493" s="1">
        <f>IFERROR(__xludf.DUMMYFUNCTION("""COMPUTED_VALUE"""),183700.0)</f>
        <v>183700</v>
      </c>
    </row>
    <row r="1494">
      <c r="A1494" s="2">
        <f>IFERROR(__xludf.DUMMYFUNCTION("""COMPUTED_VALUE"""),42758.64583333333)</f>
        <v>42758.64583</v>
      </c>
      <c r="B1494" s="1">
        <f>IFERROR(__xludf.DUMMYFUNCTION("""COMPUTED_VALUE"""),37200.0)</f>
        <v>37200</v>
      </c>
      <c r="C1494" s="1">
        <f>IFERROR(__xludf.DUMMYFUNCTION("""COMPUTED_VALUE"""),38060.0)</f>
        <v>38060</v>
      </c>
      <c r="D1494" s="1">
        <f>IFERROR(__xludf.DUMMYFUNCTION("""COMPUTED_VALUE"""),37000.0)</f>
        <v>37000</v>
      </c>
      <c r="E1494" s="1">
        <f>IFERROR(__xludf.DUMMYFUNCTION("""COMPUTED_VALUE"""),38060.0)</f>
        <v>38060</v>
      </c>
      <c r="F1494" s="1">
        <f>IFERROR(__xludf.DUMMYFUNCTION("""COMPUTED_VALUE"""),176208.0)</f>
        <v>176208</v>
      </c>
    </row>
    <row r="1495">
      <c r="A1495" s="2">
        <f>IFERROR(__xludf.DUMMYFUNCTION("""COMPUTED_VALUE"""),42759.64583333333)</f>
        <v>42759.64583</v>
      </c>
      <c r="B1495" s="1">
        <f>IFERROR(__xludf.DUMMYFUNCTION("""COMPUTED_VALUE"""),38120.0)</f>
        <v>38120</v>
      </c>
      <c r="C1495" s="1">
        <f>IFERROR(__xludf.DUMMYFUNCTION("""COMPUTED_VALUE"""),38580.0)</f>
        <v>38580</v>
      </c>
      <c r="D1495" s="1">
        <f>IFERROR(__xludf.DUMMYFUNCTION("""COMPUTED_VALUE"""),37880.0)</f>
        <v>37880</v>
      </c>
      <c r="E1495" s="1">
        <f>IFERROR(__xludf.DUMMYFUNCTION("""COMPUTED_VALUE"""),38160.0)</f>
        <v>38160</v>
      </c>
      <c r="F1495" s="1">
        <f>IFERROR(__xludf.DUMMYFUNCTION("""COMPUTED_VALUE"""),220975.0)</f>
        <v>220975</v>
      </c>
    </row>
    <row r="1496">
      <c r="A1496" s="2">
        <f>IFERROR(__xludf.DUMMYFUNCTION("""COMPUTED_VALUE"""),42760.64583333333)</f>
        <v>42760.64583</v>
      </c>
      <c r="B1496" s="1">
        <f>IFERROR(__xludf.DUMMYFUNCTION("""COMPUTED_VALUE"""),38340.0)</f>
        <v>38340</v>
      </c>
      <c r="C1496" s="1">
        <f>IFERROR(__xludf.DUMMYFUNCTION("""COMPUTED_VALUE"""),39400.0)</f>
        <v>39400</v>
      </c>
      <c r="D1496" s="1">
        <f>IFERROR(__xludf.DUMMYFUNCTION("""COMPUTED_VALUE"""),38320.0)</f>
        <v>38320</v>
      </c>
      <c r="E1496" s="1">
        <f>IFERROR(__xludf.DUMMYFUNCTION("""COMPUTED_VALUE"""),39400.0)</f>
        <v>39400</v>
      </c>
      <c r="F1496" s="1">
        <f>IFERROR(__xludf.DUMMYFUNCTION("""COMPUTED_VALUE"""),268677.0)</f>
        <v>268677</v>
      </c>
    </row>
    <row r="1497">
      <c r="A1497" s="2">
        <f>IFERROR(__xludf.DUMMYFUNCTION("""COMPUTED_VALUE"""),42761.64583333333)</f>
        <v>42761.64583</v>
      </c>
      <c r="B1497" s="1">
        <f>IFERROR(__xludf.DUMMYFUNCTION("""COMPUTED_VALUE"""),39420.0)</f>
        <v>39420</v>
      </c>
      <c r="C1497" s="1">
        <f>IFERROR(__xludf.DUMMYFUNCTION("""COMPUTED_VALUE"""),40000.0)</f>
        <v>40000</v>
      </c>
      <c r="D1497" s="1">
        <f>IFERROR(__xludf.DUMMYFUNCTION("""COMPUTED_VALUE"""),39420.0)</f>
        <v>39420</v>
      </c>
      <c r="E1497" s="1">
        <f>IFERROR(__xludf.DUMMYFUNCTION("""COMPUTED_VALUE"""),39900.0)</f>
        <v>39900</v>
      </c>
      <c r="F1497" s="1">
        <f>IFERROR(__xludf.DUMMYFUNCTION("""COMPUTED_VALUE"""),304290.0)</f>
        <v>304290</v>
      </c>
    </row>
    <row r="1498">
      <c r="A1498" s="2">
        <f>IFERROR(__xludf.DUMMYFUNCTION("""COMPUTED_VALUE"""),42766.64583333333)</f>
        <v>42766.64583</v>
      </c>
      <c r="B1498" s="1">
        <f>IFERROR(__xludf.DUMMYFUNCTION("""COMPUTED_VALUE"""),39900.0)</f>
        <v>39900</v>
      </c>
      <c r="C1498" s="1">
        <f>IFERROR(__xludf.DUMMYFUNCTION("""COMPUTED_VALUE"""),39900.0)</f>
        <v>39900</v>
      </c>
      <c r="D1498" s="1">
        <f>IFERROR(__xludf.DUMMYFUNCTION("""COMPUTED_VALUE"""),39460.0)</f>
        <v>39460</v>
      </c>
      <c r="E1498" s="1">
        <f>IFERROR(__xludf.DUMMYFUNCTION("""COMPUTED_VALUE"""),39460.0)</f>
        <v>39460</v>
      </c>
      <c r="F1498" s="1">
        <f>IFERROR(__xludf.DUMMYFUNCTION("""COMPUTED_VALUE"""),359844.0)</f>
        <v>359844</v>
      </c>
    </row>
    <row r="1499">
      <c r="A1499" s="2">
        <f>IFERROR(__xludf.DUMMYFUNCTION("""COMPUTED_VALUE"""),42767.64583333333)</f>
        <v>42767.64583</v>
      </c>
      <c r="B1499" s="1">
        <f>IFERROR(__xludf.DUMMYFUNCTION("""COMPUTED_VALUE"""),39540.0)</f>
        <v>39540</v>
      </c>
      <c r="C1499" s="1">
        <f>IFERROR(__xludf.DUMMYFUNCTION("""COMPUTED_VALUE"""),39660.0)</f>
        <v>39660</v>
      </c>
      <c r="D1499" s="1">
        <f>IFERROR(__xludf.DUMMYFUNCTION("""COMPUTED_VALUE"""),39040.0)</f>
        <v>39040</v>
      </c>
      <c r="E1499" s="1">
        <f>IFERROR(__xludf.DUMMYFUNCTION("""COMPUTED_VALUE"""),39120.0)</f>
        <v>39120</v>
      </c>
      <c r="F1499" s="1">
        <f>IFERROR(__xludf.DUMMYFUNCTION("""COMPUTED_VALUE"""),283008.0)</f>
        <v>283008</v>
      </c>
    </row>
    <row r="1500">
      <c r="A1500" s="2">
        <f>IFERROR(__xludf.DUMMYFUNCTION("""COMPUTED_VALUE"""),42768.64583333333)</f>
        <v>42768.64583</v>
      </c>
      <c r="B1500" s="1">
        <f>IFERROR(__xludf.DUMMYFUNCTION("""COMPUTED_VALUE"""),39600.0)</f>
        <v>39600</v>
      </c>
      <c r="C1500" s="1">
        <f>IFERROR(__xludf.DUMMYFUNCTION("""COMPUTED_VALUE"""),39660.0)</f>
        <v>39660</v>
      </c>
      <c r="D1500" s="1">
        <f>IFERROR(__xludf.DUMMYFUNCTION("""COMPUTED_VALUE"""),39200.0)</f>
        <v>39200</v>
      </c>
      <c r="E1500" s="1">
        <f>IFERROR(__xludf.DUMMYFUNCTION("""COMPUTED_VALUE"""),39360.0)</f>
        <v>39360</v>
      </c>
      <c r="F1500" s="1">
        <f>IFERROR(__xludf.DUMMYFUNCTION("""COMPUTED_VALUE"""),300586.0)</f>
        <v>300586</v>
      </c>
    </row>
    <row r="1501">
      <c r="A1501" s="2">
        <f>IFERROR(__xludf.DUMMYFUNCTION("""COMPUTED_VALUE"""),42769.64583333333)</f>
        <v>42769.64583</v>
      </c>
      <c r="B1501" s="1">
        <f>IFERROR(__xludf.DUMMYFUNCTION("""COMPUTED_VALUE"""),39400.0)</f>
        <v>39400</v>
      </c>
      <c r="C1501" s="1">
        <f>IFERROR(__xludf.DUMMYFUNCTION("""COMPUTED_VALUE"""),39500.0)</f>
        <v>39500</v>
      </c>
      <c r="D1501" s="1">
        <f>IFERROR(__xludf.DUMMYFUNCTION("""COMPUTED_VALUE"""),39180.0)</f>
        <v>39180</v>
      </c>
      <c r="E1501" s="1">
        <f>IFERROR(__xludf.DUMMYFUNCTION("""COMPUTED_VALUE"""),39460.0)</f>
        <v>39460</v>
      </c>
      <c r="F1501" s="1">
        <f>IFERROR(__xludf.DUMMYFUNCTION("""COMPUTED_VALUE"""),207727.0)</f>
        <v>207727</v>
      </c>
    </row>
    <row r="1502">
      <c r="A1502" s="2">
        <f>IFERROR(__xludf.DUMMYFUNCTION("""COMPUTED_VALUE"""),42772.64583333333)</f>
        <v>42772.64583</v>
      </c>
      <c r="B1502" s="1">
        <f>IFERROR(__xludf.DUMMYFUNCTION("""COMPUTED_VALUE"""),39580.0)</f>
        <v>39580</v>
      </c>
      <c r="C1502" s="1">
        <f>IFERROR(__xludf.DUMMYFUNCTION("""COMPUTED_VALUE"""),39660.0)</f>
        <v>39660</v>
      </c>
      <c r="D1502" s="1">
        <f>IFERROR(__xludf.DUMMYFUNCTION("""COMPUTED_VALUE"""),39140.0)</f>
        <v>39140</v>
      </c>
      <c r="E1502" s="1">
        <f>IFERROR(__xludf.DUMMYFUNCTION("""COMPUTED_VALUE"""),39560.0)</f>
        <v>39560</v>
      </c>
      <c r="F1502" s="1">
        <f>IFERROR(__xludf.DUMMYFUNCTION("""COMPUTED_VALUE"""),177214.0)</f>
        <v>177214</v>
      </c>
    </row>
    <row r="1503">
      <c r="A1503" s="2">
        <f>IFERROR(__xludf.DUMMYFUNCTION("""COMPUTED_VALUE"""),42773.64583333333)</f>
        <v>42773.64583</v>
      </c>
      <c r="B1503" s="1">
        <f>IFERROR(__xludf.DUMMYFUNCTION("""COMPUTED_VALUE"""),39560.0)</f>
        <v>39560</v>
      </c>
      <c r="C1503" s="1">
        <f>IFERROR(__xludf.DUMMYFUNCTION("""COMPUTED_VALUE"""),39580.0)</f>
        <v>39580</v>
      </c>
      <c r="D1503" s="1">
        <f>IFERROR(__xludf.DUMMYFUNCTION("""COMPUTED_VALUE"""),38760.0)</f>
        <v>38760</v>
      </c>
      <c r="E1503" s="1">
        <f>IFERROR(__xludf.DUMMYFUNCTION("""COMPUTED_VALUE"""),38820.0)</f>
        <v>38820</v>
      </c>
      <c r="F1503" s="1">
        <f>IFERROR(__xludf.DUMMYFUNCTION("""COMPUTED_VALUE"""),280836.0)</f>
        <v>280836</v>
      </c>
    </row>
    <row r="1504">
      <c r="A1504" s="2">
        <f>IFERROR(__xludf.DUMMYFUNCTION("""COMPUTED_VALUE"""),42774.64583333333)</f>
        <v>42774.64583</v>
      </c>
      <c r="B1504" s="1">
        <f>IFERROR(__xludf.DUMMYFUNCTION("""COMPUTED_VALUE"""),38740.0)</f>
        <v>38740</v>
      </c>
      <c r="C1504" s="1">
        <f>IFERROR(__xludf.DUMMYFUNCTION("""COMPUTED_VALUE"""),38780.0)</f>
        <v>38780</v>
      </c>
      <c r="D1504" s="1">
        <f>IFERROR(__xludf.DUMMYFUNCTION("""COMPUTED_VALUE"""),38200.0)</f>
        <v>38200</v>
      </c>
      <c r="E1504" s="1">
        <f>IFERROR(__xludf.DUMMYFUNCTION("""COMPUTED_VALUE"""),38400.0)</f>
        <v>38400</v>
      </c>
      <c r="F1504" s="1">
        <f>IFERROR(__xludf.DUMMYFUNCTION("""COMPUTED_VALUE"""),341859.0)</f>
        <v>341859</v>
      </c>
    </row>
    <row r="1505">
      <c r="A1505" s="2">
        <f>IFERROR(__xludf.DUMMYFUNCTION("""COMPUTED_VALUE"""),42775.64583333333)</f>
        <v>42775.64583</v>
      </c>
      <c r="B1505" s="1">
        <f>IFERROR(__xludf.DUMMYFUNCTION("""COMPUTED_VALUE"""),38780.0)</f>
        <v>38780</v>
      </c>
      <c r="C1505" s="1">
        <f>IFERROR(__xludf.DUMMYFUNCTION("""COMPUTED_VALUE"""),38840.0)</f>
        <v>38840</v>
      </c>
      <c r="D1505" s="1">
        <f>IFERROR(__xludf.DUMMYFUNCTION("""COMPUTED_VALUE"""),38220.0)</f>
        <v>38220</v>
      </c>
      <c r="E1505" s="1">
        <f>IFERROR(__xludf.DUMMYFUNCTION("""COMPUTED_VALUE"""),38400.0)</f>
        <v>38400</v>
      </c>
      <c r="F1505" s="1">
        <f>IFERROR(__xludf.DUMMYFUNCTION("""COMPUTED_VALUE"""),273883.0)</f>
        <v>273883</v>
      </c>
    </row>
    <row r="1506">
      <c r="A1506" s="2">
        <f>IFERROR(__xludf.DUMMYFUNCTION("""COMPUTED_VALUE"""),42776.64583333333)</f>
        <v>42776.64583</v>
      </c>
      <c r="B1506" s="1">
        <f>IFERROR(__xludf.DUMMYFUNCTION("""COMPUTED_VALUE"""),38400.0)</f>
        <v>38400</v>
      </c>
      <c r="C1506" s="1">
        <f>IFERROR(__xludf.DUMMYFUNCTION("""COMPUTED_VALUE"""),38760.0)</f>
        <v>38760</v>
      </c>
      <c r="D1506" s="1">
        <f>IFERROR(__xludf.DUMMYFUNCTION("""COMPUTED_VALUE"""),38300.0)</f>
        <v>38300</v>
      </c>
      <c r="E1506" s="1">
        <f>IFERROR(__xludf.DUMMYFUNCTION("""COMPUTED_VALUE"""),38360.0)</f>
        <v>38360</v>
      </c>
      <c r="F1506" s="1">
        <f>IFERROR(__xludf.DUMMYFUNCTION("""COMPUTED_VALUE"""),220415.0)</f>
        <v>220415</v>
      </c>
    </row>
    <row r="1507">
      <c r="A1507" s="2">
        <f>IFERROR(__xludf.DUMMYFUNCTION("""COMPUTED_VALUE"""),42779.64583333333)</f>
        <v>42779.64583</v>
      </c>
      <c r="B1507" s="1">
        <f>IFERROR(__xludf.DUMMYFUNCTION("""COMPUTED_VALUE"""),37740.0)</f>
        <v>37740</v>
      </c>
      <c r="C1507" s="1">
        <f>IFERROR(__xludf.DUMMYFUNCTION("""COMPUTED_VALUE"""),38060.0)</f>
        <v>38060</v>
      </c>
      <c r="D1507" s="1">
        <f>IFERROR(__xludf.DUMMYFUNCTION("""COMPUTED_VALUE"""),37720.0)</f>
        <v>37720</v>
      </c>
      <c r="E1507" s="1">
        <f>IFERROR(__xludf.DUMMYFUNCTION("""COMPUTED_VALUE"""),37960.0)</f>
        <v>37960</v>
      </c>
      <c r="F1507" s="1">
        <f>IFERROR(__xludf.DUMMYFUNCTION("""COMPUTED_VALUE"""),222041.0)</f>
        <v>222041</v>
      </c>
    </row>
    <row r="1508">
      <c r="A1508" s="2">
        <f>IFERROR(__xludf.DUMMYFUNCTION("""COMPUTED_VALUE"""),42780.64583333333)</f>
        <v>42780.64583</v>
      </c>
      <c r="B1508" s="1">
        <f>IFERROR(__xludf.DUMMYFUNCTION("""COMPUTED_VALUE"""),37960.0)</f>
        <v>37960</v>
      </c>
      <c r="C1508" s="1">
        <f>IFERROR(__xludf.DUMMYFUNCTION("""COMPUTED_VALUE"""),38260.0)</f>
        <v>38260</v>
      </c>
      <c r="D1508" s="1">
        <f>IFERROR(__xludf.DUMMYFUNCTION("""COMPUTED_VALUE"""),37320.0)</f>
        <v>37320</v>
      </c>
      <c r="E1508" s="1">
        <f>IFERROR(__xludf.DUMMYFUNCTION("""COMPUTED_VALUE"""),37580.0)</f>
        <v>37580</v>
      </c>
      <c r="F1508" s="1">
        <f>IFERROR(__xludf.DUMMYFUNCTION("""COMPUTED_VALUE"""),262483.0)</f>
        <v>262483</v>
      </c>
    </row>
    <row r="1509">
      <c r="A1509" s="2">
        <f>IFERROR(__xludf.DUMMYFUNCTION("""COMPUTED_VALUE"""),42781.64583333333)</f>
        <v>42781.64583</v>
      </c>
      <c r="B1509" s="1">
        <f>IFERROR(__xludf.DUMMYFUNCTION("""COMPUTED_VALUE"""),37080.0)</f>
        <v>37080</v>
      </c>
      <c r="C1509" s="1">
        <f>IFERROR(__xludf.DUMMYFUNCTION("""COMPUTED_VALUE"""),37960.0)</f>
        <v>37960</v>
      </c>
      <c r="D1509" s="1">
        <f>IFERROR(__xludf.DUMMYFUNCTION("""COMPUTED_VALUE"""),37080.0)</f>
        <v>37080</v>
      </c>
      <c r="E1509" s="1">
        <f>IFERROR(__xludf.DUMMYFUNCTION("""COMPUTED_VALUE"""),37720.0)</f>
        <v>37720</v>
      </c>
      <c r="F1509" s="1">
        <f>IFERROR(__xludf.DUMMYFUNCTION("""COMPUTED_VALUE"""),283831.0)</f>
        <v>283831</v>
      </c>
    </row>
    <row r="1510">
      <c r="A1510" s="2">
        <f>IFERROR(__xludf.DUMMYFUNCTION("""COMPUTED_VALUE"""),42782.64583333333)</f>
        <v>42782.64583</v>
      </c>
      <c r="B1510" s="1">
        <f>IFERROR(__xludf.DUMMYFUNCTION("""COMPUTED_VALUE"""),37800.0)</f>
        <v>37800</v>
      </c>
      <c r="C1510" s="1">
        <f>IFERROR(__xludf.DUMMYFUNCTION("""COMPUTED_VALUE"""),38360.0)</f>
        <v>38360</v>
      </c>
      <c r="D1510" s="1">
        <f>IFERROR(__xludf.DUMMYFUNCTION("""COMPUTED_VALUE"""),37780.0)</f>
        <v>37780</v>
      </c>
      <c r="E1510" s="1">
        <f>IFERROR(__xludf.DUMMYFUNCTION("""COMPUTED_VALUE"""),38020.0)</f>
        <v>38020</v>
      </c>
      <c r="F1510" s="1">
        <f>IFERROR(__xludf.DUMMYFUNCTION("""COMPUTED_VALUE"""),204527.0)</f>
        <v>204527</v>
      </c>
    </row>
    <row r="1511">
      <c r="A1511" s="2">
        <f>IFERROR(__xludf.DUMMYFUNCTION("""COMPUTED_VALUE"""),42783.64583333333)</f>
        <v>42783.64583</v>
      </c>
      <c r="B1511" s="1">
        <f>IFERROR(__xludf.DUMMYFUNCTION("""COMPUTED_VALUE"""),37560.0)</f>
        <v>37560</v>
      </c>
      <c r="C1511" s="1">
        <f>IFERROR(__xludf.DUMMYFUNCTION("""COMPUTED_VALUE"""),38040.0)</f>
        <v>38040</v>
      </c>
      <c r="D1511" s="1">
        <f>IFERROR(__xludf.DUMMYFUNCTION("""COMPUTED_VALUE"""),37280.0)</f>
        <v>37280</v>
      </c>
      <c r="E1511" s="1">
        <f>IFERROR(__xludf.DUMMYFUNCTION("""COMPUTED_VALUE"""),37860.0)</f>
        <v>37860</v>
      </c>
      <c r="F1511" s="1">
        <f>IFERROR(__xludf.DUMMYFUNCTION("""COMPUTED_VALUE"""),307549.0)</f>
        <v>307549</v>
      </c>
    </row>
    <row r="1512">
      <c r="A1512" s="2">
        <f>IFERROR(__xludf.DUMMYFUNCTION("""COMPUTED_VALUE"""),42786.64583333333)</f>
        <v>42786.64583</v>
      </c>
      <c r="B1512" s="1">
        <f>IFERROR(__xludf.DUMMYFUNCTION("""COMPUTED_VALUE"""),38220.0)</f>
        <v>38220</v>
      </c>
      <c r="C1512" s="1">
        <f>IFERROR(__xludf.DUMMYFUNCTION("""COMPUTED_VALUE"""),38780.0)</f>
        <v>38780</v>
      </c>
      <c r="D1512" s="1">
        <f>IFERROR(__xludf.DUMMYFUNCTION("""COMPUTED_VALUE"""),38160.0)</f>
        <v>38160</v>
      </c>
      <c r="E1512" s="1">
        <f>IFERROR(__xludf.DUMMYFUNCTION("""COMPUTED_VALUE"""),38660.0)</f>
        <v>38660</v>
      </c>
      <c r="F1512" s="1">
        <f>IFERROR(__xludf.DUMMYFUNCTION("""COMPUTED_VALUE"""),149716.0)</f>
        <v>149716</v>
      </c>
    </row>
    <row r="1513">
      <c r="A1513" s="2">
        <f>IFERROR(__xludf.DUMMYFUNCTION("""COMPUTED_VALUE"""),42787.64583333333)</f>
        <v>42787.64583</v>
      </c>
      <c r="B1513" s="1">
        <f>IFERROR(__xludf.DUMMYFUNCTION("""COMPUTED_VALUE"""),38540.0)</f>
        <v>38540</v>
      </c>
      <c r="C1513" s="1">
        <f>IFERROR(__xludf.DUMMYFUNCTION("""COMPUTED_VALUE"""),39560.0)</f>
        <v>39560</v>
      </c>
      <c r="D1513" s="1">
        <f>IFERROR(__xludf.DUMMYFUNCTION("""COMPUTED_VALUE"""),38420.0)</f>
        <v>38420</v>
      </c>
      <c r="E1513" s="1">
        <f>IFERROR(__xludf.DUMMYFUNCTION("""COMPUTED_VALUE"""),38940.0)</f>
        <v>38940</v>
      </c>
      <c r="F1513" s="1">
        <f>IFERROR(__xludf.DUMMYFUNCTION("""COMPUTED_VALUE"""),211252.0)</f>
        <v>211252</v>
      </c>
    </row>
    <row r="1514">
      <c r="A1514" s="2">
        <f>IFERROR(__xludf.DUMMYFUNCTION("""COMPUTED_VALUE"""),42788.64583333333)</f>
        <v>42788.64583</v>
      </c>
      <c r="B1514" s="1">
        <f>IFERROR(__xludf.DUMMYFUNCTION("""COMPUTED_VALUE"""),39000.0)</f>
        <v>39000</v>
      </c>
      <c r="C1514" s="1">
        <f>IFERROR(__xludf.DUMMYFUNCTION("""COMPUTED_VALUE"""),39340.0)</f>
        <v>39340</v>
      </c>
      <c r="D1514" s="1">
        <f>IFERROR(__xludf.DUMMYFUNCTION("""COMPUTED_VALUE"""),38980.0)</f>
        <v>38980</v>
      </c>
      <c r="E1514" s="1">
        <f>IFERROR(__xludf.DUMMYFUNCTION("""COMPUTED_VALUE"""),39300.0)</f>
        <v>39300</v>
      </c>
      <c r="F1514" s="1">
        <f>IFERROR(__xludf.DUMMYFUNCTION("""COMPUTED_VALUE"""),170789.0)</f>
        <v>170789</v>
      </c>
    </row>
    <row r="1515">
      <c r="A1515" s="2">
        <f>IFERROR(__xludf.DUMMYFUNCTION("""COMPUTED_VALUE"""),42789.64583333333)</f>
        <v>42789.64583</v>
      </c>
      <c r="B1515" s="1">
        <f>IFERROR(__xludf.DUMMYFUNCTION("""COMPUTED_VALUE"""),39020.0)</f>
        <v>39020</v>
      </c>
      <c r="C1515" s="1">
        <f>IFERROR(__xludf.DUMMYFUNCTION("""COMPUTED_VALUE"""),39440.0)</f>
        <v>39440</v>
      </c>
      <c r="D1515" s="1">
        <f>IFERROR(__xludf.DUMMYFUNCTION("""COMPUTED_VALUE"""),39020.0)</f>
        <v>39020</v>
      </c>
      <c r="E1515" s="1">
        <f>IFERROR(__xludf.DUMMYFUNCTION("""COMPUTED_VALUE"""),39180.0)</f>
        <v>39180</v>
      </c>
      <c r="F1515" s="1">
        <f>IFERROR(__xludf.DUMMYFUNCTION("""COMPUTED_VALUE"""),204346.0)</f>
        <v>204346</v>
      </c>
    </row>
    <row r="1516">
      <c r="A1516" s="2">
        <f>IFERROR(__xludf.DUMMYFUNCTION("""COMPUTED_VALUE"""),42790.64583333333)</f>
        <v>42790.64583</v>
      </c>
      <c r="B1516" s="1">
        <f>IFERROR(__xludf.DUMMYFUNCTION("""COMPUTED_VALUE"""),38960.0)</f>
        <v>38960</v>
      </c>
      <c r="C1516" s="1">
        <f>IFERROR(__xludf.DUMMYFUNCTION("""COMPUTED_VALUE"""),39100.0)</f>
        <v>39100</v>
      </c>
      <c r="D1516" s="1">
        <f>IFERROR(__xludf.DUMMYFUNCTION("""COMPUTED_VALUE"""),38060.0)</f>
        <v>38060</v>
      </c>
      <c r="E1516" s="1">
        <f>IFERROR(__xludf.DUMMYFUNCTION("""COMPUTED_VALUE"""),38220.0)</f>
        <v>38220</v>
      </c>
      <c r="F1516" s="1">
        <f>IFERROR(__xludf.DUMMYFUNCTION("""COMPUTED_VALUE"""),185937.0)</f>
        <v>185937</v>
      </c>
    </row>
    <row r="1517">
      <c r="A1517" s="2">
        <f>IFERROR(__xludf.DUMMYFUNCTION("""COMPUTED_VALUE"""),42793.64583333333)</f>
        <v>42793.64583</v>
      </c>
      <c r="B1517" s="1">
        <f>IFERROR(__xludf.DUMMYFUNCTION("""COMPUTED_VALUE"""),38020.0)</f>
        <v>38020</v>
      </c>
      <c r="C1517" s="1">
        <f>IFERROR(__xludf.DUMMYFUNCTION("""COMPUTED_VALUE"""),38140.0)</f>
        <v>38140</v>
      </c>
      <c r="D1517" s="1">
        <f>IFERROR(__xludf.DUMMYFUNCTION("""COMPUTED_VALUE"""),37700.0)</f>
        <v>37700</v>
      </c>
      <c r="E1517" s="1">
        <f>IFERROR(__xludf.DUMMYFUNCTION("""COMPUTED_VALUE"""),38060.0)</f>
        <v>38060</v>
      </c>
      <c r="F1517" s="1">
        <f>IFERROR(__xludf.DUMMYFUNCTION("""COMPUTED_VALUE"""),180674.0)</f>
        <v>180674</v>
      </c>
    </row>
    <row r="1518">
      <c r="A1518" s="2">
        <f>IFERROR(__xludf.DUMMYFUNCTION("""COMPUTED_VALUE"""),42794.64583333333)</f>
        <v>42794.64583</v>
      </c>
      <c r="B1518" s="1">
        <f>IFERROR(__xludf.DUMMYFUNCTION("""COMPUTED_VALUE"""),38060.0)</f>
        <v>38060</v>
      </c>
      <c r="C1518" s="1">
        <f>IFERROR(__xludf.DUMMYFUNCTION("""COMPUTED_VALUE"""),38760.0)</f>
        <v>38760</v>
      </c>
      <c r="D1518" s="1">
        <f>IFERROR(__xludf.DUMMYFUNCTION("""COMPUTED_VALUE"""),37960.0)</f>
        <v>37960</v>
      </c>
      <c r="E1518" s="1">
        <f>IFERROR(__xludf.DUMMYFUNCTION("""COMPUTED_VALUE"""),38440.0)</f>
        <v>38440</v>
      </c>
      <c r="F1518" s="1">
        <f>IFERROR(__xludf.DUMMYFUNCTION("""COMPUTED_VALUE"""),301774.0)</f>
        <v>301774</v>
      </c>
    </row>
    <row r="1519">
      <c r="A1519" s="2">
        <f>IFERROR(__xludf.DUMMYFUNCTION("""COMPUTED_VALUE"""),42796.64583333333)</f>
        <v>42796.64583</v>
      </c>
      <c r="B1519" s="1">
        <f>IFERROR(__xludf.DUMMYFUNCTION("""COMPUTED_VALUE"""),38420.0)</f>
        <v>38420</v>
      </c>
      <c r="C1519" s="1">
        <f>IFERROR(__xludf.DUMMYFUNCTION("""COMPUTED_VALUE"""),39860.0)</f>
        <v>39860</v>
      </c>
      <c r="D1519" s="1">
        <f>IFERROR(__xludf.DUMMYFUNCTION("""COMPUTED_VALUE"""),38420.0)</f>
        <v>38420</v>
      </c>
      <c r="E1519" s="1">
        <f>IFERROR(__xludf.DUMMYFUNCTION("""COMPUTED_VALUE"""),39720.0)</f>
        <v>39720</v>
      </c>
      <c r="F1519" s="1">
        <f>IFERROR(__xludf.DUMMYFUNCTION("""COMPUTED_VALUE"""),424996.0)</f>
        <v>424996</v>
      </c>
    </row>
    <row r="1520">
      <c r="A1520" s="2">
        <f>IFERROR(__xludf.DUMMYFUNCTION("""COMPUTED_VALUE"""),42797.64583333333)</f>
        <v>42797.64583</v>
      </c>
      <c r="B1520" s="1">
        <f>IFERROR(__xludf.DUMMYFUNCTION("""COMPUTED_VALUE"""),39340.0)</f>
        <v>39340</v>
      </c>
      <c r="C1520" s="1">
        <f>IFERROR(__xludf.DUMMYFUNCTION("""COMPUTED_VALUE"""),39720.0)</f>
        <v>39720</v>
      </c>
      <c r="D1520" s="1">
        <f>IFERROR(__xludf.DUMMYFUNCTION("""COMPUTED_VALUE"""),39160.0)</f>
        <v>39160</v>
      </c>
      <c r="E1520" s="1">
        <f>IFERROR(__xludf.DUMMYFUNCTION("""COMPUTED_VALUE"""),39620.0)</f>
        <v>39620</v>
      </c>
      <c r="F1520" s="1">
        <f>IFERROR(__xludf.DUMMYFUNCTION("""COMPUTED_VALUE"""),254174.0)</f>
        <v>254174</v>
      </c>
    </row>
    <row r="1521">
      <c r="A1521" s="2">
        <f>IFERROR(__xludf.DUMMYFUNCTION("""COMPUTED_VALUE"""),42800.64583333333)</f>
        <v>42800.64583</v>
      </c>
      <c r="B1521" s="1">
        <f>IFERROR(__xludf.DUMMYFUNCTION("""COMPUTED_VALUE"""),39220.0)</f>
        <v>39220</v>
      </c>
      <c r="C1521" s="1">
        <f>IFERROR(__xludf.DUMMYFUNCTION("""COMPUTED_VALUE"""),40220.0)</f>
        <v>40220</v>
      </c>
      <c r="D1521" s="1">
        <f>IFERROR(__xludf.DUMMYFUNCTION("""COMPUTED_VALUE"""),39220.0)</f>
        <v>39220</v>
      </c>
      <c r="E1521" s="1">
        <f>IFERROR(__xludf.DUMMYFUNCTION("""COMPUTED_VALUE"""),40080.0)</f>
        <v>40080</v>
      </c>
      <c r="F1521" s="1">
        <f>IFERROR(__xludf.DUMMYFUNCTION("""COMPUTED_VALUE"""),244697.0)</f>
        <v>244697</v>
      </c>
    </row>
    <row r="1522">
      <c r="A1522" s="2">
        <f>IFERROR(__xludf.DUMMYFUNCTION("""COMPUTED_VALUE"""),42801.64583333333)</f>
        <v>42801.64583</v>
      </c>
      <c r="B1522" s="1">
        <f>IFERROR(__xludf.DUMMYFUNCTION("""COMPUTED_VALUE"""),39800.0)</f>
        <v>39800</v>
      </c>
      <c r="C1522" s="1">
        <f>IFERROR(__xludf.DUMMYFUNCTION("""COMPUTED_VALUE"""),40320.0)</f>
        <v>40320</v>
      </c>
      <c r="D1522" s="1">
        <f>IFERROR(__xludf.DUMMYFUNCTION("""COMPUTED_VALUE"""),39800.0)</f>
        <v>39800</v>
      </c>
      <c r="E1522" s="1">
        <f>IFERROR(__xludf.DUMMYFUNCTION("""COMPUTED_VALUE"""),40200.0)</f>
        <v>40200</v>
      </c>
      <c r="F1522" s="1">
        <f>IFERROR(__xludf.DUMMYFUNCTION("""COMPUTED_VALUE"""),211065.0)</f>
        <v>211065</v>
      </c>
    </row>
    <row r="1523">
      <c r="A1523" s="2">
        <f>IFERROR(__xludf.DUMMYFUNCTION("""COMPUTED_VALUE"""),42802.64583333333)</f>
        <v>42802.64583</v>
      </c>
      <c r="B1523" s="1">
        <f>IFERROR(__xludf.DUMMYFUNCTION("""COMPUTED_VALUE"""),40200.0)</f>
        <v>40200</v>
      </c>
      <c r="C1523" s="1">
        <f>IFERROR(__xludf.DUMMYFUNCTION("""COMPUTED_VALUE"""),40620.0)</f>
        <v>40620</v>
      </c>
      <c r="D1523" s="1">
        <f>IFERROR(__xludf.DUMMYFUNCTION("""COMPUTED_VALUE"""),40140.0)</f>
        <v>40140</v>
      </c>
      <c r="E1523" s="1">
        <f>IFERROR(__xludf.DUMMYFUNCTION("""COMPUTED_VALUE"""),40200.0)</f>
        <v>40200</v>
      </c>
      <c r="F1523" s="1">
        <f>IFERROR(__xludf.DUMMYFUNCTION("""COMPUTED_VALUE"""),242819.0)</f>
        <v>242819</v>
      </c>
    </row>
    <row r="1524">
      <c r="A1524" s="2">
        <f>IFERROR(__xludf.DUMMYFUNCTION("""COMPUTED_VALUE"""),42803.64583333333)</f>
        <v>42803.64583</v>
      </c>
      <c r="B1524" s="1">
        <f>IFERROR(__xludf.DUMMYFUNCTION("""COMPUTED_VALUE"""),40200.0)</f>
        <v>40200</v>
      </c>
      <c r="C1524" s="1">
        <f>IFERROR(__xludf.DUMMYFUNCTION("""COMPUTED_VALUE"""),40300.0)</f>
        <v>40300</v>
      </c>
      <c r="D1524" s="1">
        <f>IFERROR(__xludf.DUMMYFUNCTION("""COMPUTED_VALUE"""),40020.0)</f>
        <v>40020</v>
      </c>
      <c r="E1524" s="1">
        <f>IFERROR(__xludf.DUMMYFUNCTION("""COMPUTED_VALUE"""),40200.0)</f>
        <v>40200</v>
      </c>
      <c r="F1524" s="1">
        <f>IFERROR(__xludf.DUMMYFUNCTION("""COMPUTED_VALUE"""),287445.0)</f>
        <v>287445</v>
      </c>
    </row>
    <row r="1525">
      <c r="A1525" s="2">
        <f>IFERROR(__xludf.DUMMYFUNCTION("""COMPUTED_VALUE"""),42804.64583333333)</f>
        <v>42804.64583</v>
      </c>
      <c r="B1525" s="1">
        <f>IFERROR(__xludf.DUMMYFUNCTION("""COMPUTED_VALUE"""),39960.0)</f>
        <v>39960</v>
      </c>
      <c r="C1525" s="1">
        <f>IFERROR(__xludf.DUMMYFUNCTION("""COMPUTED_VALUE"""),40420.0)</f>
        <v>40420</v>
      </c>
      <c r="D1525" s="1">
        <f>IFERROR(__xludf.DUMMYFUNCTION("""COMPUTED_VALUE"""),39860.0)</f>
        <v>39860</v>
      </c>
      <c r="E1525" s="1">
        <f>IFERROR(__xludf.DUMMYFUNCTION("""COMPUTED_VALUE"""),40180.0)</f>
        <v>40180</v>
      </c>
      <c r="F1525" s="1">
        <f>IFERROR(__xludf.DUMMYFUNCTION("""COMPUTED_VALUE"""),204556.0)</f>
        <v>204556</v>
      </c>
    </row>
    <row r="1526">
      <c r="A1526" s="2">
        <f>IFERROR(__xludf.DUMMYFUNCTION("""COMPUTED_VALUE"""),42807.64583333333)</f>
        <v>42807.64583</v>
      </c>
      <c r="B1526" s="1">
        <f>IFERROR(__xludf.DUMMYFUNCTION("""COMPUTED_VALUE"""),40040.0)</f>
        <v>40040</v>
      </c>
      <c r="C1526" s="1">
        <f>IFERROR(__xludf.DUMMYFUNCTION("""COMPUTED_VALUE"""),40980.0)</f>
        <v>40980</v>
      </c>
      <c r="D1526" s="1">
        <f>IFERROR(__xludf.DUMMYFUNCTION("""COMPUTED_VALUE"""),40040.0)</f>
        <v>40040</v>
      </c>
      <c r="E1526" s="1">
        <f>IFERROR(__xludf.DUMMYFUNCTION("""COMPUTED_VALUE"""),40600.0)</f>
        <v>40600</v>
      </c>
      <c r="F1526" s="1">
        <f>IFERROR(__xludf.DUMMYFUNCTION("""COMPUTED_VALUE"""),148482.0)</f>
        <v>148482</v>
      </c>
    </row>
    <row r="1527">
      <c r="A1527" s="2">
        <f>IFERROR(__xludf.DUMMYFUNCTION("""COMPUTED_VALUE"""),42808.64583333333)</f>
        <v>42808.64583</v>
      </c>
      <c r="B1527" s="1">
        <f>IFERROR(__xludf.DUMMYFUNCTION("""COMPUTED_VALUE"""),40620.0)</f>
        <v>40620</v>
      </c>
      <c r="C1527" s="1">
        <f>IFERROR(__xludf.DUMMYFUNCTION("""COMPUTED_VALUE"""),41540.0)</f>
        <v>41540</v>
      </c>
      <c r="D1527" s="1">
        <f>IFERROR(__xludf.DUMMYFUNCTION("""COMPUTED_VALUE"""),40500.0)</f>
        <v>40500</v>
      </c>
      <c r="E1527" s="1">
        <f>IFERROR(__xludf.DUMMYFUNCTION("""COMPUTED_VALUE"""),41360.0)</f>
        <v>41360</v>
      </c>
      <c r="F1527" s="1">
        <f>IFERROR(__xludf.DUMMYFUNCTION("""COMPUTED_VALUE"""),226501.0)</f>
        <v>226501</v>
      </c>
    </row>
    <row r="1528">
      <c r="A1528" s="2">
        <f>IFERROR(__xludf.DUMMYFUNCTION("""COMPUTED_VALUE"""),42809.64583333333)</f>
        <v>42809.64583</v>
      </c>
      <c r="B1528" s="1">
        <f>IFERROR(__xludf.DUMMYFUNCTION("""COMPUTED_VALUE"""),40800.0)</f>
        <v>40800</v>
      </c>
      <c r="C1528" s="1">
        <f>IFERROR(__xludf.DUMMYFUNCTION("""COMPUTED_VALUE"""),41440.0)</f>
        <v>41440</v>
      </c>
      <c r="D1528" s="1">
        <f>IFERROR(__xludf.DUMMYFUNCTION("""COMPUTED_VALUE"""),40800.0)</f>
        <v>40800</v>
      </c>
      <c r="E1528" s="1">
        <f>IFERROR(__xludf.DUMMYFUNCTION("""COMPUTED_VALUE"""),41400.0)</f>
        <v>41400</v>
      </c>
      <c r="F1528" s="1">
        <f>IFERROR(__xludf.DUMMYFUNCTION("""COMPUTED_VALUE"""),191757.0)</f>
        <v>191757</v>
      </c>
    </row>
    <row r="1529">
      <c r="A1529" s="2">
        <f>IFERROR(__xludf.DUMMYFUNCTION("""COMPUTED_VALUE"""),42810.64583333333)</f>
        <v>42810.64583</v>
      </c>
      <c r="B1529" s="1">
        <f>IFERROR(__xludf.DUMMYFUNCTION("""COMPUTED_VALUE"""),41800.0)</f>
        <v>41800</v>
      </c>
      <c r="C1529" s="1">
        <f>IFERROR(__xludf.DUMMYFUNCTION("""COMPUTED_VALUE"""),42180.0)</f>
        <v>42180</v>
      </c>
      <c r="D1529" s="1">
        <f>IFERROR(__xludf.DUMMYFUNCTION("""COMPUTED_VALUE"""),41540.0)</f>
        <v>41540</v>
      </c>
      <c r="E1529" s="1">
        <f>IFERROR(__xludf.DUMMYFUNCTION("""COMPUTED_VALUE"""),41840.0)</f>
        <v>41840</v>
      </c>
      <c r="F1529" s="1">
        <f>IFERROR(__xludf.DUMMYFUNCTION("""COMPUTED_VALUE"""),198663.0)</f>
        <v>198663</v>
      </c>
    </row>
    <row r="1530">
      <c r="A1530" s="2">
        <f>IFERROR(__xludf.DUMMYFUNCTION("""COMPUTED_VALUE"""),42811.64583333333)</f>
        <v>42811.64583</v>
      </c>
      <c r="B1530" s="1">
        <f>IFERROR(__xludf.DUMMYFUNCTION("""COMPUTED_VALUE"""),41800.0)</f>
        <v>41800</v>
      </c>
      <c r="C1530" s="1">
        <f>IFERROR(__xludf.DUMMYFUNCTION("""COMPUTED_VALUE"""),42500.0)</f>
        <v>42500</v>
      </c>
      <c r="D1530" s="1">
        <f>IFERROR(__xludf.DUMMYFUNCTION("""COMPUTED_VALUE"""),41720.0)</f>
        <v>41720</v>
      </c>
      <c r="E1530" s="1">
        <f>IFERROR(__xludf.DUMMYFUNCTION("""COMPUTED_VALUE"""),42400.0)</f>
        <v>42400</v>
      </c>
      <c r="F1530" s="1">
        <f>IFERROR(__xludf.DUMMYFUNCTION("""COMPUTED_VALUE"""),252046.0)</f>
        <v>252046</v>
      </c>
    </row>
    <row r="1531">
      <c r="A1531" s="2">
        <f>IFERROR(__xludf.DUMMYFUNCTION("""COMPUTED_VALUE"""),42814.64583333333)</f>
        <v>42814.64583</v>
      </c>
      <c r="B1531" s="1">
        <f>IFERROR(__xludf.DUMMYFUNCTION("""COMPUTED_VALUE"""),42000.0)</f>
        <v>42000</v>
      </c>
      <c r="C1531" s="1">
        <f>IFERROR(__xludf.DUMMYFUNCTION("""COMPUTED_VALUE"""),42120.0)</f>
        <v>42120</v>
      </c>
      <c r="D1531" s="1">
        <f>IFERROR(__xludf.DUMMYFUNCTION("""COMPUTED_VALUE"""),41740.0)</f>
        <v>41740</v>
      </c>
      <c r="E1531" s="1">
        <f>IFERROR(__xludf.DUMMYFUNCTION("""COMPUTED_VALUE"""),41900.0)</f>
        <v>41900</v>
      </c>
      <c r="F1531" s="1">
        <f>IFERROR(__xludf.DUMMYFUNCTION("""COMPUTED_VALUE"""),205001.0)</f>
        <v>205001</v>
      </c>
    </row>
    <row r="1532">
      <c r="A1532" s="2">
        <f>IFERROR(__xludf.DUMMYFUNCTION("""COMPUTED_VALUE"""),42815.64583333333)</f>
        <v>42815.64583</v>
      </c>
      <c r="B1532" s="1">
        <f>IFERROR(__xludf.DUMMYFUNCTION("""COMPUTED_VALUE"""),41780.0)</f>
        <v>41780</v>
      </c>
      <c r="C1532" s="1">
        <f>IFERROR(__xludf.DUMMYFUNCTION("""COMPUTED_VALUE"""),42680.0)</f>
        <v>42680</v>
      </c>
      <c r="D1532" s="1">
        <f>IFERROR(__xludf.DUMMYFUNCTION("""COMPUTED_VALUE"""),41760.0)</f>
        <v>41760</v>
      </c>
      <c r="E1532" s="1">
        <f>IFERROR(__xludf.DUMMYFUNCTION("""COMPUTED_VALUE"""),42560.0)</f>
        <v>42560</v>
      </c>
      <c r="F1532" s="1">
        <f>IFERROR(__xludf.DUMMYFUNCTION("""COMPUTED_VALUE"""),284403.0)</f>
        <v>284403</v>
      </c>
    </row>
    <row r="1533">
      <c r="A1533" s="2">
        <f>IFERROR(__xludf.DUMMYFUNCTION("""COMPUTED_VALUE"""),42816.64583333333)</f>
        <v>42816.64583</v>
      </c>
      <c r="B1533" s="1">
        <f>IFERROR(__xludf.DUMMYFUNCTION("""COMPUTED_VALUE"""),41600.0)</f>
        <v>41600</v>
      </c>
      <c r="C1533" s="1">
        <f>IFERROR(__xludf.DUMMYFUNCTION("""COMPUTED_VALUE"""),42460.0)</f>
        <v>42460</v>
      </c>
      <c r="D1533" s="1">
        <f>IFERROR(__xludf.DUMMYFUNCTION("""COMPUTED_VALUE"""),41580.0)</f>
        <v>41580</v>
      </c>
      <c r="E1533" s="1">
        <f>IFERROR(__xludf.DUMMYFUNCTION("""COMPUTED_VALUE"""),42460.0)</f>
        <v>42460</v>
      </c>
      <c r="F1533" s="1">
        <f>IFERROR(__xludf.DUMMYFUNCTION("""COMPUTED_VALUE"""),328545.0)</f>
        <v>328545</v>
      </c>
    </row>
    <row r="1534">
      <c r="A1534" s="2">
        <f>IFERROR(__xludf.DUMMYFUNCTION("""COMPUTED_VALUE"""),42817.64583333333)</f>
        <v>42817.64583</v>
      </c>
      <c r="B1534" s="1">
        <f>IFERROR(__xludf.DUMMYFUNCTION("""COMPUTED_VALUE"""),42200.0)</f>
        <v>42200</v>
      </c>
      <c r="C1534" s="1">
        <f>IFERROR(__xludf.DUMMYFUNCTION("""COMPUTED_VALUE"""),42360.0)</f>
        <v>42360</v>
      </c>
      <c r="D1534" s="1">
        <f>IFERROR(__xludf.DUMMYFUNCTION("""COMPUTED_VALUE"""),41700.0)</f>
        <v>41700</v>
      </c>
      <c r="E1534" s="1">
        <f>IFERROR(__xludf.DUMMYFUNCTION("""COMPUTED_VALUE"""),41800.0)</f>
        <v>41800</v>
      </c>
      <c r="F1534" s="1">
        <f>IFERROR(__xludf.DUMMYFUNCTION("""COMPUTED_VALUE"""),307942.0)</f>
        <v>307942</v>
      </c>
    </row>
    <row r="1535">
      <c r="A1535" s="2">
        <f>IFERROR(__xludf.DUMMYFUNCTION("""COMPUTED_VALUE"""),42818.64583333333)</f>
        <v>42818.64583</v>
      </c>
      <c r="B1535" s="1">
        <f>IFERROR(__xludf.DUMMYFUNCTION("""COMPUTED_VALUE"""),41600.0)</f>
        <v>41600</v>
      </c>
      <c r="C1535" s="1">
        <f>IFERROR(__xludf.DUMMYFUNCTION("""COMPUTED_VALUE"""),41980.0)</f>
        <v>41980</v>
      </c>
      <c r="D1535" s="1">
        <f>IFERROR(__xludf.DUMMYFUNCTION("""COMPUTED_VALUE"""),41080.0)</f>
        <v>41080</v>
      </c>
      <c r="E1535" s="1">
        <f>IFERROR(__xludf.DUMMYFUNCTION("""COMPUTED_VALUE"""),41500.0)</f>
        <v>41500</v>
      </c>
      <c r="F1535" s="1">
        <f>IFERROR(__xludf.DUMMYFUNCTION("""COMPUTED_VALUE"""),256163.0)</f>
        <v>256163</v>
      </c>
    </row>
    <row r="1536">
      <c r="A1536" s="2">
        <f>IFERROR(__xludf.DUMMYFUNCTION("""COMPUTED_VALUE"""),42821.64583333333)</f>
        <v>42821.64583</v>
      </c>
      <c r="B1536" s="1">
        <f>IFERROR(__xludf.DUMMYFUNCTION("""COMPUTED_VALUE"""),41200.0)</f>
        <v>41200</v>
      </c>
      <c r="C1536" s="1">
        <f>IFERROR(__xludf.DUMMYFUNCTION("""COMPUTED_VALUE"""),41880.0)</f>
        <v>41880</v>
      </c>
      <c r="D1536" s="1">
        <f>IFERROR(__xludf.DUMMYFUNCTION("""COMPUTED_VALUE"""),41180.0)</f>
        <v>41180</v>
      </c>
      <c r="E1536" s="1">
        <f>IFERROR(__xludf.DUMMYFUNCTION("""COMPUTED_VALUE"""),41200.0)</f>
        <v>41200</v>
      </c>
      <c r="F1536" s="1">
        <f>IFERROR(__xludf.DUMMYFUNCTION("""COMPUTED_VALUE"""),243553.0)</f>
        <v>243553</v>
      </c>
    </row>
    <row r="1537">
      <c r="A1537" s="2">
        <f>IFERROR(__xludf.DUMMYFUNCTION("""COMPUTED_VALUE"""),42822.64583333333)</f>
        <v>42822.64583</v>
      </c>
      <c r="B1537" s="1">
        <f>IFERROR(__xludf.DUMMYFUNCTION("""COMPUTED_VALUE"""),41560.0)</f>
        <v>41560</v>
      </c>
      <c r="C1537" s="1">
        <f>IFERROR(__xludf.DUMMYFUNCTION("""COMPUTED_VALUE"""),41840.0)</f>
        <v>41840</v>
      </c>
      <c r="D1537" s="1">
        <f>IFERROR(__xludf.DUMMYFUNCTION("""COMPUTED_VALUE"""),41380.0)</f>
        <v>41380</v>
      </c>
      <c r="E1537" s="1">
        <f>IFERROR(__xludf.DUMMYFUNCTION("""COMPUTED_VALUE"""),41480.0)</f>
        <v>41480</v>
      </c>
      <c r="F1537" s="1">
        <f>IFERROR(__xludf.DUMMYFUNCTION("""COMPUTED_VALUE"""),164325.0)</f>
        <v>164325</v>
      </c>
    </row>
    <row r="1538">
      <c r="A1538" s="2">
        <f>IFERROR(__xludf.DUMMYFUNCTION("""COMPUTED_VALUE"""),42823.64583333333)</f>
        <v>42823.64583</v>
      </c>
      <c r="B1538" s="1">
        <f>IFERROR(__xludf.DUMMYFUNCTION("""COMPUTED_VALUE"""),41740.0)</f>
        <v>41740</v>
      </c>
      <c r="C1538" s="1">
        <f>IFERROR(__xludf.DUMMYFUNCTION("""COMPUTED_VALUE"""),41960.0)</f>
        <v>41960</v>
      </c>
      <c r="D1538" s="1">
        <f>IFERROR(__xludf.DUMMYFUNCTION("""COMPUTED_VALUE"""),41580.0)</f>
        <v>41580</v>
      </c>
      <c r="E1538" s="1">
        <f>IFERROR(__xludf.DUMMYFUNCTION("""COMPUTED_VALUE"""),41780.0)</f>
        <v>41780</v>
      </c>
      <c r="F1538" s="1">
        <f>IFERROR(__xludf.DUMMYFUNCTION("""COMPUTED_VALUE"""),201865.0)</f>
        <v>201865</v>
      </c>
    </row>
    <row r="1539">
      <c r="A1539" s="2">
        <f>IFERROR(__xludf.DUMMYFUNCTION("""COMPUTED_VALUE"""),42824.64583333333)</f>
        <v>42824.64583</v>
      </c>
      <c r="B1539" s="1">
        <f>IFERROR(__xludf.DUMMYFUNCTION("""COMPUTED_VALUE"""),41880.0)</f>
        <v>41880</v>
      </c>
      <c r="C1539" s="1">
        <f>IFERROR(__xludf.DUMMYFUNCTION("""COMPUTED_VALUE"""),42440.0)</f>
        <v>42440</v>
      </c>
      <c r="D1539" s="1">
        <f>IFERROR(__xludf.DUMMYFUNCTION("""COMPUTED_VALUE"""),41880.0)</f>
        <v>41880</v>
      </c>
      <c r="E1539" s="1">
        <f>IFERROR(__xludf.DUMMYFUNCTION("""COMPUTED_VALUE"""),41980.0)</f>
        <v>41980</v>
      </c>
      <c r="F1539" s="1">
        <f>IFERROR(__xludf.DUMMYFUNCTION("""COMPUTED_VALUE"""),164080.0)</f>
        <v>164080</v>
      </c>
    </row>
    <row r="1540">
      <c r="A1540" s="2">
        <f>IFERROR(__xludf.DUMMYFUNCTION("""COMPUTED_VALUE"""),42825.64583333333)</f>
        <v>42825.64583</v>
      </c>
      <c r="B1540" s="1">
        <f>IFERROR(__xludf.DUMMYFUNCTION("""COMPUTED_VALUE"""),41820.0)</f>
        <v>41820</v>
      </c>
      <c r="C1540" s="1">
        <f>IFERROR(__xludf.DUMMYFUNCTION("""COMPUTED_VALUE"""),42020.0)</f>
        <v>42020</v>
      </c>
      <c r="D1540" s="1">
        <f>IFERROR(__xludf.DUMMYFUNCTION("""COMPUTED_VALUE"""),41200.0)</f>
        <v>41200</v>
      </c>
      <c r="E1540" s="1">
        <f>IFERROR(__xludf.DUMMYFUNCTION("""COMPUTED_VALUE"""),41200.0)</f>
        <v>41200</v>
      </c>
      <c r="F1540" s="1">
        <f>IFERROR(__xludf.DUMMYFUNCTION("""COMPUTED_VALUE"""),210006.0)</f>
        <v>210006</v>
      </c>
    </row>
    <row r="1541">
      <c r="A1541" s="2">
        <f>IFERROR(__xludf.DUMMYFUNCTION("""COMPUTED_VALUE"""),42828.64583333333)</f>
        <v>42828.64583</v>
      </c>
      <c r="B1541" s="1">
        <f>IFERROR(__xludf.DUMMYFUNCTION("""COMPUTED_VALUE"""),41400.0)</f>
        <v>41400</v>
      </c>
      <c r="C1541" s="1">
        <f>IFERROR(__xludf.DUMMYFUNCTION("""COMPUTED_VALUE"""),41720.0)</f>
        <v>41720</v>
      </c>
      <c r="D1541" s="1">
        <f>IFERROR(__xludf.DUMMYFUNCTION("""COMPUTED_VALUE"""),41300.0)</f>
        <v>41300</v>
      </c>
      <c r="E1541" s="1">
        <f>IFERROR(__xludf.DUMMYFUNCTION("""COMPUTED_VALUE"""),41440.0)</f>
        <v>41440</v>
      </c>
      <c r="F1541" s="1">
        <f>IFERROR(__xludf.DUMMYFUNCTION("""COMPUTED_VALUE"""),191588.0)</f>
        <v>191588</v>
      </c>
    </row>
    <row r="1542">
      <c r="A1542" s="2">
        <f>IFERROR(__xludf.DUMMYFUNCTION("""COMPUTED_VALUE"""),42829.64583333333)</f>
        <v>42829.64583</v>
      </c>
      <c r="B1542" s="1">
        <f>IFERROR(__xludf.DUMMYFUNCTION("""COMPUTED_VALUE"""),41600.0)</f>
        <v>41600</v>
      </c>
      <c r="C1542" s="1">
        <f>IFERROR(__xludf.DUMMYFUNCTION("""COMPUTED_VALUE"""),42180.0)</f>
        <v>42180</v>
      </c>
      <c r="D1542" s="1">
        <f>IFERROR(__xludf.DUMMYFUNCTION("""COMPUTED_VALUE"""),41520.0)</f>
        <v>41520</v>
      </c>
      <c r="E1542" s="1">
        <f>IFERROR(__xludf.DUMMYFUNCTION("""COMPUTED_VALUE"""),42080.0)</f>
        <v>42080</v>
      </c>
      <c r="F1542" s="1">
        <f>IFERROR(__xludf.DUMMYFUNCTION("""COMPUTED_VALUE"""),245110.0)</f>
        <v>245110</v>
      </c>
    </row>
    <row r="1543">
      <c r="A1543" s="2">
        <f>IFERROR(__xludf.DUMMYFUNCTION("""COMPUTED_VALUE"""),42830.64583333333)</f>
        <v>42830.64583</v>
      </c>
      <c r="B1543" s="1">
        <f>IFERROR(__xludf.DUMMYFUNCTION("""COMPUTED_VALUE"""),41900.0)</f>
        <v>41900</v>
      </c>
      <c r="C1543" s="1">
        <f>IFERROR(__xludf.DUMMYFUNCTION("""COMPUTED_VALUE"""),42240.0)</f>
        <v>42240</v>
      </c>
      <c r="D1543" s="1">
        <f>IFERROR(__xludf.DUMMYFUNCTION("""COMPUTED_VALUE"""),41700.0)</f>
        <v>41700</v>
      </c>
      <c r="E1543" s="1">
        <f>IFERROR(__xludf.DUMMYFUNCTION("""COMPUTED_VALUE"""),42140.0)</f>
        <v>42140</v>
      </c>
      <c r="F1543" s="1">
        <f>IFERROR(__xludf.DUMMYFUNCTION("""COMPUTED_VALUE"""),213994.0)</f>
        <v>213994</v>
      </c>
    </row>
    <row r="1544">
      <c r="A1544" s="2">
        <f>IFERROR(__xludf.DUMMYFUNCTION("""COMPUTED_VALUE"""),42831.64583333333)</f>
        <v>42831.64583</v>
      </c>
      <c r="B1544" s="1">
        <f>IFERROR(__xludf.DUMMYFUNCTION("""COMPUTED_VALUE"""),42000.0)</f>
        <v>42000</v>
      </c>
      <c r="C1544" s="1">
        <f>IFERROR(__xludf.DUMMYFUNCTION("""COMPUTED_VALUE"""),42080.0)</f>
        <v>42080</v>
      </c>
      <c r="D1544" s="1">
        <f>IFERROR(__xludf.DUMMYFUNCTION("""COMPUTED_VALUE"""),41600.0)</f>
        <v>41600</v>
      </c>
      <c r="E1544" s="1">
        <f>IFERROR(__xludf.DUMMYFUNCTION("""COMPUTED_VALUE"""),41840.0)</f>
        <v>41840</v>
      </c>
      <c r="F1544" s="1">
        <f>IFERROR(__xludf.DUMMYFUNCTION("""COMPUTED_VALUE"""),193668.0)</f>
        <v>193668</v>
      </c>
    </row>
    <row r="1545">
      <c r="A1545" s="2">
        <f>IFERROR(__xludf.DUMMYFUNCTION("""COMPUTED_VALUE"""),42832.64583333333)</f>
        <v>42832.64583</v>
      </c>
      <c r="B1545" s="1">
        <f>IFERROR(__xludf.DUMMYFUNCTION("""COMPUTED_VALUE"""),41800.0)</f>
        <v>41800</v>
      </c>
      <c r="C1545" s="1">
        <f>IFERROR(__xludf.DUMMYFUNCTION("""COMPUTED_VALUE"""),41820.0)</f>
        <v>41820</v>
      </c>
      <c r="D1545" s="1">
        <f>IFERROR(__xludf.DUMMYFUNCTION("""COMPUTED_VALUE"""),41160.0)</f>
        <v>41160</v>
      </c>
      <c r="E1545" s="1">
        <f>IFERROR(__xludf.DUMMYFUNCTION("""COMPUTED_VALUE"""),41600.0)</f>
        <v>41600</v>
      </c>
      <c r="F1545" s="1">
        <f>IFERROR(__xludf.DUMMYFUNCTION("""COMPUTED_VALUE"""),200420.0)</f>
        <v>200420</v>
      </c>
    </row>
    <row r="1546">
      <c r="A1546" s="2">
        <f>IFERROR(__xludf.DUMMYFUNCTION("""COMPUTED_VALUE"""),42835.64583333333)</f>
        <v>42835.64583</v>
      </c>
      <c r="B1546" s="1">
        <f>IFERROR(__xludf.DUMMYFUNCTION("""COMPUTED_VALUE"""),41940.0)</f>
        <v>41940</v>
      </c>
      <c r="C1546" s="1">
        <f>IFERROR(__xludf.DUMMYFUNCTION("""COMPUTED_VALUE"""),41940.0)</f>
        <v>41940</v>
      </c>
      <c r="D1546" s="1">
        <f>IFERROR(__xludf.DUMMYFUNCTION("""COMPUTED_VALUE"""),41500.0)</f>
        <v>41500</v>
      </c>
      <c r="E1546" s="1">
        <f>IFERROR(__xludf.DUMMYFUNCTION("""COMPUTED_VALUE"""),41940.0)</f>
        <v>41940</v>
      </c>
      <c r="F1546" s="1">
        <f>IFERROR(__xludf.DUMMYFUNCTION("""COMPUTED_VALUE"""),142827.0)</f>
        <v>142827</v>
      </c>
    </row>
    <row r="1547">
      <c r="A1547" s="2">
        <f>IFERROR(__xludf.DUMMYFUNCTION("""COMPUTED_VALUE"""),42836.64583333333)</f>
        <v>42836.64583</v>
      </c>
      <c r="B1547" s="1">
        <f>IFERROR(__xludf.DUMMYFUNCTION("""COMPUTED_VALUE"""),41940.0)</f>
        <v>41940</v>
      </c>
      <c r="C1547" s="1">
        <f>IFERROR(__xludf.DUMMYFUNCTION("""COMPUTED_VALUE"""),41940.0)</f>
        <v>41940</v>
      </c>
      <c r="D1547" s="1">
        <f>IFERROR(__xludf.DUMMYFUNCTION("""COMPUTED_VALUE"""),41580.0)</f>
        <v>41580</v>
      </c>
      <c r="E1547" s="1">
        <f>IFERROR(__xludf.DUMMYFUNCTION("""COMPUTED_VALUE"""),41600.0)</f>
        <v>41600</v>
      </c>
      <c r="F1547" s="1">
        <f>IFERROR(__xludf.DUMMYFUNCTION("""COMPUTED_VALUE"""),143458.0)</f>
        <v>143458</v>
      </c>
    </row>
    <row r="1548">
      <c r="A1548" s="2">
        <f>IFERROR(__xludf.DUMMYFUNCTION("""COMPUTED_VALUE"""),42837.64583333333)</f>
        <v>42837.64583</v>
      </c>
      <c r="B1548" s="1">
        <f>IFERROR(__xludf.DUMMYFUNCTION("""COMPUTED_VALUE"""),41860.0)</f>
        <v>41860</v>
      </c>
      <c r="C1548" s="1">
        <f>IFERROR(__xludf.DUMMYFUNCTION("""COMPUTED_VALUE"""),41940.0)</f>
        <v>41940</v>
      </c>
      <c r="D1548" s="1">
        <f>IFERROR(__xludf.DUMMYFUNCTION("""COMPUTED_VALUE"""),41700.0)</f>
        <v>41700</v>
      </c>
      <c r="E1548" s="1">
        <f>IFERROR(__xludf.DUMMYFUNCTION("""COMPUTED_VALUE"""),41900.0)</f>
        <v>41900</v>
      </c>
      <c r="F1548" s="1">
        <f>IFERROR(__xludf.DUMMYFUNCTION("""COMPUTED_VALUE"""),165498.0)</f>
        <v>165498</v>
      </c>
    </row>
    <row r="1549">
      <c r="A1549" s="2">
        <f>IFERROR(__xludf.DUMMYFUNCTION("""COMPUTED_VALUE"""),42838.64583333333)</f>
        <v>42838.64583</v>
      </c>
      <c r="B1549" s="1">
        <f>IFERROR(__xludf.DUMMYFUNCTION("""COMPUTED_VALUE"""),41660.0)</f>
        <v>41660</v>
      </c>
      <c r="C1549" s="1">
        <f>IFERROR(__xludf.DUMMYFUNCTION("""COMPUTED_VALUE"""),42460.0)</f>
        <v>42460</v>
      </c>
      <c r="D1549" s="1">
        <f>IFERROR(__xludf.DUMMYFUNCTION("""COMPUTED_VALUE"""),41660.0)</f>
        <v>41660</v>
      </c>
      <c r="E1549" s="1">
        <f>IFERROR(__xludf.DUMMYFUNCTION("""COMPUTED_VALUE"""),42420.0)</f>
        <v>42420</v>
      </c>
      <c r="F1549" s="1">
        <f>IFERROR(__xludf.DUMMYFUNCTION("""COMPUTED_VALUE"""),180816.0)</f>
        <v>180816</v>
      </c>
    </row>
    <row r="1550">
      <c r="A1550" s="2">
        <f>IFERROR(__xludf.DUMMYFUNCTION("""COMPUTED_VALUE"""),42839.64583333333)</f>
        <v>42839.64583</v>
      </c>
      <c r="B1550" s="1">
        <f>IFERROR(__xludf.DUMMYFUNCTION("""COMPUTED_VALUE"""),42160.0)</f>
        <v>42160</v>
      </c>
      <c r="C1550" s="1">
        <f>IFERROR(__xludf.DUMMYFUNCTION("""COMPUTED_VALUE"""),42260.0)</f>
        <v>42260</v>
      </c>
      <c r="D1550" s="1">
        <f>IFERROR(__xludf.DUMMYFUNCTION("""COMPUTED_VALUE"""),41760.0)</f>
        <v>41760</v>
      </c>
      <c r="E1550" s="1">
        <f>IFERROR(__xludf.DUMMYFUNCTION("""COMPUTED_VALUE"""),42020.0)</f>
        <v>42020</v>
      </c>
      <c r="F1550" s="1">
        <f>IFERROR(__xludf.DUMMYFUNCTION("""COMPUTED_VALUE"""),109257.0)</f>
        <v>109257</v>
      </c>
    </row>
    <row r="1551">
      <c r="A1551" s="2">
        <f>IFERROR(__xludf.DUMMYFUNCTION("""COMPUTED_VALUE"""),42842.64583333333)</f>
        <v>42842.64583</v>
      </c>
      <c r="B1551" s="1">
        <f>IFERROR(__xludf.DUMMYFUNCTION("""COMPUTED_VALUE"""),42000.0)</f>
        <v>42000</v>
      </c>
      <c r="C1551" s="1">
        <f>IFERROR(__xludf.DUMMYFUNCTION("""COMPUTED_VALUE"""),42080.0)</f>
        <v>42080</v>
      </c>
      <c r="D1551" s="1">
        <f>IFERROR(__xludf.DUMMYFUNCTION("""COMPUTED_VALUE"""),41520.0)</f>
        <v>41520</v>
      </c>
      <c r="E1551" s="1">
        <f>IFERROR(__xludf.DUMMYFUNCTION("""COMPUTED_VALUE"""),41560.0)</f>
        <v>41560</v>
      </c>
      <c r="F1551" s="1">
        <f>IFERROR(__xludf.DUMMYFUNCTION("""COMPUTED_VALUE"""),104495.0)</f>
        <v>104495</v>
      </c>
    </row>
    <row r="1552">
      <c r="A1552" s="2">
        <f>IFERROR(__xludf.DUMMYFUNCTION("""COMPUTED_VALUE"""),42843.64583333333)</f>
        <v>42843.64583</v>
      </c>
      <c r="B1552" s="1">
        <f>IFERROR(__xludf.DUMMYFUNCTION("""COMPUTED_VALUE"""),41680.0)</f>
        <v>41680</v>
      </c>
      <c r="C1552" s="1">
        <f>IFERROR(__xludf.DUMMYFUNCTION("""COMPUTED_VALUE"""),41820.0)</f>
        <v>41820</v>
      </c>
      <c r="D1552" s="1">
        <f>IFERROR(__xludf.DUMMYFUNCTION("""COMPUTED_VALUE"""),41280.0)</f>
        <v>41280</v>
      </c>
      <c r="E1552" s="1">
        <f>IFERROR(__xludf.DUMMYFUNCTION("""COMPUTED_VALUE"""),41500.0)</f>
        <v>41500</v>
      </c>
      <c r="F1552" s="1">
        <f>IFERROR(__xludf.DUMMYFUNCTION("""COMPUTED_VALUE"""),137213.0)</f>
        <v>137213</v>
      </c>
    </row>
    <row r="1553">
      <c r="A1553" s="2">
        <f>IFERROR(__xludf.DUMMYFUNCTION("""COMPUTED_VALUE"""),42844.64583333333)</f>
        <v>42844.64583</v>
      </c>
      <c r="B1553" s="1">
        <f>IFERROR(__xludf.DUMMYFUNCTION("""COMPUTED_VALUE"""),41300.0)</f>
        <v>41300</v>
      </c>
      <c r="C1553" s="1">
        <f>IFERROR(__xludf.DUMMYFUNCTION("""COMPUTED_VALUE"""),41420.0)</f>
        <v>41420</v>
      </c>
      <c r="D1553" s="1">
        <f>IFERROR(__xludf.DUMMYFUNCTION("""COMPUTED_VALUE"""),40900.0)</f>
        <v>40900</v>
      </c>
      <c r="E1553" s="1">
        <f>IFERROR(__xludf.DUMMYFUNCTION("""COMPUTED_VALUE"""),40900.0)</f>
        <v>40900</v>
      </c>
      <c r="F1553" s="1">
        <f>IFERROR(__xludf.DUMMYFUNCTION("""COMPUTED_VALUE"""),235258.0)</f>
        <v>235258</v>
      </c>
    </row>
    <row r="1554">
      <c r="A1554" s="2">
        <f>IFERROR(__xludf.DUMMYFUNCTION("""COMPUTED_VALUE"""),42845.64583333333)</f>
        <v>42845.64583</v>
      </c>
      <c r="B1554" s="1">
        <f>IFERROR(__xludf.DUMMYFUNCTION("""COMPUTED_VALUE"""),40580.0)</f>
        <v>40580</v>
      </c>
      <c r="C1554" s="1">
        <f>IFERROR(__xludf.DUMMYFUNCTION("""COMPUTED_VALUE"""),40800.0)</f>
        <v>40800</v>
      </c>
      <c r="D1554" s="1">
        <f>IFERROR(__xludf.DUMMYFUNCTION("""COMPUTED_VALUE"""),40080.0)</f>
        <v>40080</v>
      </c>
      <c r="E1554" s="1">
        <f>IFERROR(__xludf.DUMMYFUNCTION("""COMPUTED_VALUE"""),40280.0)</f>
        <v>40280</v>
      </c>
      <c r="F1554" s="1">
        <f>IFERROR(__xludf.DUMMYFUNCTION("""COMPUTED_VALUE"""),422977.0)</f>
        <v>422977</v>
      </c>
    </row>
    <row r="1555">
      <c r="A1555" s="2">
        <f>IFERROR(__xludf.DUMMYFUNCTION("""COMPUTED_VALUE"""),42846.64583333333)</f>
        <v>42846.64583</v>
      </c>
      <c r="B1555" s="1">
        <f>IFERROR(__xludf.DUMMYFUNCTION("""COMPUTED_VALUE"""),40480.0)</f>
        <v>40480</v>
      </c>
      <c r="C1555" s="1">
        <f>IFERROR(__xludf.DUMMYFUNCTION("""COMPUTED_VALUE"""),41400.0)</f>
        <v>41400</v>
      </c>
      <c r="D1555" s="1">
        <f>IFERROR(__xludf.DUMMYFUNCTION("""COMPUTED_VALUE"""),40480.0)</f>
        <v>40480</v>
      </c>
      <c r="E1555" s="1">
        <f>IFERROR(__xludf.DUMMYFUNCTION("""COMPUTED_VALUE"""),40760.0)</f>
        <v>40760</v>
      </c>
      <c r="F1555" s="1">
        <f>IFERROR(__xludf.DUMMYFUNCTION("""COMPUTED_VALUE"""),302610.0)</f>
        <v>302610</v>
      </c>
    </row>
    <row r="1556">
      <c r="A1556" s="2">
        <f>IFERROR(__xludf.DUMMYFUNCTION("""COMPUTED_VALUE"""),42849.64583333333)</f>
        <v>42849.64583</v>
      </c>
      <c r="B1556" s="1">
        <f>IFERROR(__xludf.DUMMYFUNCTION("""COMPUTED_VALUE"""),41260.0)</f>
        <v>41260</v>
      </c>
      <c r="C1556" s="1">
        <f>IFERROR(__xludf.DUMMYFUNCTION("""COMPUTED_VALUE"""),41260.0)</f>
        <v>41260</v>
      </c>
      <c r="D1556" s="1">
        <f>IFERROR(__xludf.DUMMYFUNCTION("""COMPUTED_VALUE"""),40920.0)</f>
        <v>40920</v>
      </c>
      <c r="E1556" s="1">
        <f>IFERROR(__xludf.DUMMYFUNCTION("""COMPUTED_VALUE"""),41240.0)</f>
        <v>41240</v>
      </c>
      <c r="F1556" s="1">
        <f>IFERROR(__xludf.DUMMYFUNCTION("""COMPUTED_VALUE"""),179803.0)</f>
        <v>179803</v>
      </c>
    </row>
    <row r="1557">
      <c r="A1557" s="2">
        <f>IFERROR(__xludf.DUMMYFUNCTION("""COMPUTED_VALUE"""),42850.64583333333)</f>
        <v>42850.64583</v>
      </c>
      <c r="B1557" s="1">
        <f>IFERROR(__xludf.DUMMYFUNCTION("""COMPUTED_VALUE"""),41460.0)</f>
        <v>41460</v>
      </c>
      <c r="C1557" s="1">
        <f>IFERROR(__xludf.DUMMYFUNCTION("""COMPUTED_VALUE"""),42740.0)</f>
        <v>42740</v>
      </c>
      <c r="D1557" s="1">
        <f>IFERROR(__xludf.DUMMYFUNCTION("""COMPUTED_VALUE"""),41320.0)</f>
        <v>41320</v>
      </c>
      <c r="E1557" s="1">
        <f>IFERROR(__xludf.DUMMYFUNCTION("""COMPUTED_VALUE"""),42700.0)</f>
        <v>42700</v>
      </c>
      <c r="F1557" s="1">
        <f>IFERROR(__xludf.DUMMYFUNCTION("""COMPUTED_VALUE"""),385992.0)</f>
        <v>385992</v>
      </c>
    </row>
    <row r="1558">
      <c r="A1558" s="2">
        <f>IFERROR(__xludf.DUMMYFUNCTION("""COMPUTED_VALUE"""),42851.64583333333)</f>
        <v>42851.64583</v>
      </c>
      <c r="B1558" s="1">
        <f>IFERROR(__xludf.DUMMYFUNCTION("""COMPUTED_VALUE"""),42700.0)</f>
        <v>42700</v>
      </c>
      <c r="C1558" s="1">
        <f>IFERROR(__xludf.DUMMYFUNCTION("""COMPUTED_VALUE"""),42800.0)</f>
        <v>42800</v>
      </c>
      <c r="D1558" s="1">
        <f>IFERROR(__xludf.DUMMYFUNCTION("""COMPUTED_VALUE"""),42520.0)</f>
        <v>42520</v>
      </c>
      <c r="E1558" s="1">
        <f>IFERROR(__xludf.DUMMYFUNCTION("""COMPUTED_VALUE"""),42800.0)</f>
        <v>42800</v>
      </c>
      <c r="F1558" s="1">
        <f>IFERROR(__xludf.DUMMYFUNCTION("""COMPUTED_VALUE"""),295896.0)</f>
        <v>295896</v>
      </c>
    </row>
    <row r="1559">
      <c r="A1559" s="2">
        <f>IFERROR(__xludf.DUMMYFUNCTION("""COMPUTED_VALUE"""),42852.64583333333)</f>
        <v>42852.64583</v>
      </c>
      <c r="B1559" s="1">
        <f>IFERROR(__xludf.DUMMYFUNCTION("""COMPUTED_VALUE"""),42700.0)</f>
        <v>42700</v>
      </c>
      <c r="C1559" s="1">
        <f>IFERROR(__xludf.DUMMYFUNCTION("""COMPUTED_VALUE"""),44520.0)</f>
        <v>44520</v>
      </c>
      <c r="D1559" s="1">
        <f>IFERROR(__xludf.DUMMYFUNCTION("""COMPUTED_VALUE"""),41960.0)</f>
        <v>41960</v>
      </c>
      <c r="E1559" s="1">
        <f>IFERROR(__xludf.DUMMYFUNCTION("""COMPUTED_VALUE"""),43840.0)</f>
        <v>43840</v>
      </c>
      <c r="F1559" s="1">
        <f>IFERROR(__xludf.DUMMYFUNCTION("""COMPUTED_VALUE"""),460645.0)</f>
        <v>460645</v>
      </c>
    </row>
    <row r="1560">
      <c r="A1560" s="2">
        <f>IFERROR(__xludf.DUMMYFUNCTION("""COMPUTED_VALUE"""),42853.64583333333)</f>
        <v>42853.64583</v>
      </c>
      <c r="B1560" s="1">
        <f>IFERROR(__xludf.DUMMYFUNCTION("""COMPUTED_VALUE"""),45780.0)</f>
        <v>45780</v>
      </c>
      <c r="C1560" s="1">
        <f>IFERROR(__xludf.DUMMYFUNCTION("""COMPUTED_VALUE"""),45800.0)</f>
        <v>45800</v>
      </c>
      <c r="D1560" s="1">
        <f>IFERROR(__xludf.DUMMYFUNCTION("""COMPUTED_VALUE"""),44520.0)</f>
        <v>44520</v>
      </c>
      <c r="E1560" s="1">
        <f>IFERROR(__xludf.DUMMYFUNCTION("""COMPUTED_VALUE"""),44620.0)</f>
        <v>44620</v>
      </c>
      <c r="F1560" s="1">
        <f>IFERROR(__xludf.DUMMYFUNCTION("""COMPUTED_VALUE"""),453714.0)</f>
        <v>453714</v>
      </c>
    </row>
    <row r="1561">
      <c r="A1561" s="2">
        <f>IFERROR(__xludf.DUMMYFUNCTION("""COMPUTED_VALUE"""),42857.64583333333)</f>
        <v>42857.64583</v>
      </c>
      <c r="B1561" s="1">
        <f>IFERROR(__xludf.DUMMYFUNCTION("""COMPUTED_VALUE"""),45500.0)</f>
        <v>45500</v>
      </c>
      <c r="C1561" s="1">
        <f>IFERROR(__xludf.DUMMYFUNCTION("""COMPUTED_VALUE"""),45500.0)</f>
        <v>45500</v>
      </c>
      <c r="D1561" s="1">
        <f>IFERROR(__xludf.DUMMYFUNCTION("""COMPUTED_VALUE"""),44760.0)</f>
        <v>44760</v>
      </c>
      <c r="E1561" s="1">
        <f>IFERROR(__xludf.DUMMYFUNCTION("""COMPUTED_VALUE"""),44900.0)</f>
        <v>44900</v>
      </c>
      <c r="F1561" s="1">
        <f>IFERROR(__xludf.DUMMYFUNCTION("""COMPUTED_VALUE"""),281366.0)</f>
        <v>281366</v>
      </c>
    </row>
    <row r="1562">
      <c r="A1562" s="2">
        <f>IFERROR(__xludf.DUMMYFUNCTION("""COMPUTED_VALUE"""),42859.64583333333)</f>
        <v>42859.64583</v>
      </c>
      <c r="B1562" s="1">
        <f>IFERROR(__xludf.DUMMYFUNCTION("""COMPUTED_VALUE"""),45700.0)</f>
        <v>45700</v>
      </c>
      <c r="C1562" s="1">
        <f>IFERROR(__xludf.DUMMYFUNCTION("""COMPUTED_VALUE"""),45700.0)</f>
        <v>45700</v>
      </c>
      <c r="D1562" s="1">
        <f>IFERROR(__xludf.DUMMYFUNCTION("""COMPUTED_VALUE"""),44860.0)</f>
        <v>44860</v>
      </c>
      <c r="E1562" s="1">
        <f>IFERROR(__xludf.DUMMYFUNCTION("""COMPUTED_VALUE"""),45520.0)</f>
        <v>45520</v>
      </c>
      <c r="F1562" s="1">
        <f>IFERROR(__xludf.DUMMYFUNCTION("""COMPUTED_VALUE"""),273802.0)</f>
        <v>273802</v>
      </c>
    </row>
    <row r="1563">
      <c r="A1563" s="2">
        <f>IFERROR(__xludf.DUMMYFUNCTION("""COMPUTED_VALUE"""),42863.64583333333)</f>
        <v>42863.64583</v>
      </c>
      <c r="B1563" s="1">
        <f>IFERROR(__xludf.DUMMYFUNCTION("""COMPUTED_VALUE"""),45520.0)</f>
        <v>45520</v>
      </c>
      <c r="C1563" s="1">
        <f>IFERROR(__xludf.DUMMYFUNCTION("""COMPUTED_VALUE"""),47020.0)</f>
        <v>47020</v>
      </c>
      <c r="D1563" s="1">
        <f>IFERROR(__xludf.DUMMYFUNCTION("""COMPUTED_VALUE"""),45340.0)</f>
        <v>45340</v>
      </c>
      <c r="E1563" s="1">
        <f>IFERROR(__xludf.DUMMYFUNCTION("""COMPUTED_VALUE"""),47020.0)</f>
        <v>47020</v>
      </c>
      <c r="F1563" s="1">
        <f>IFERROR(__xludf.DUMMYFUNCTION("""COMPUTED_VALUE"""),391651.0)</f>
        <v>391651</v>
      </c>
    </row>
    <row r="1564">
      <c r="A1564" s="2">
        <f>IFERROR(__xludf.DUMMYFUNCTION("""COMPUTED_VALUE"""),42865.64583333333)</f>
        <v>42865.64583</v>
      </c>
      <c r="B1564" s="1">
        <f>IFERROR(__xludf.DUMMYFUNCTION("""COMPUTED_VALUE"""),46160.0)</f>
        <v>46160</v>
      </c>
      <c r="C1564" s="1">
        <f>IFERROR(__xludf.DUMMYFUNCTION("""COMPUTED_VALUE"""),47220.0)</f>
        <v>47220</v>
      </c>
      <c r="D1564" s="1">
        <f>IFERROR(__xludf.DUMMYFUNCTION("""COMPUTED_VALUE"""),45600.0)</f>
        <v>45600</v>
      </c>
      <c r="E1564" s="1">
        <f>IFERROR(__xludf.DUMMYFUNCTION("""COMPUTED_VALUE"""),45600.0)</f>
        <v>45600</v>
      </c>
      <c r="F1564" s="1">
        <f>IFERROR(__xludf.DUMMYFUNCTION("""COMPUTED_VALUE"""),468219.0)</f>
        <v>468219</v>
      </c>
    </row>
    <row r="1565">
      <c r="A1565" s="2">
        <f>IFERROR(__xludf.DUMMYFUNCTION("""COMPUTED_VALUE"""),42866.64583333333)</f>
        <v>42866.64583</v>
      </c>
      <c r="B1565" s="1">
        <f>IFERROR(__xludf.DUMMYFUNCTION("""COMPUTED_VALUE"""),45420.0)</f>
        <v>45420</v>
      </c>
      <c r="C1565" s="1">
        <f>IFERROR(__xludf.DUMMYFUNCTION("""COMPUTED_VALUE"""),46180.0)</f>
        <v>46180</v>
      </c>
      <c r="D1565" s="1">
        <f>IFERROR(__xludf.DUMMYFUNCTION("""COMPUTED_VALUE"""),45220.0)</f>
        <v>45220</v>
      </c>
      <c r="E1565" s="1">
        <f>IFERROR(__xludf.DUMMYFUNCTION("""COMPUTED_VALUE"""),45500.0)</f>
        <v>45500</v>
      </c>
      <c r="F1565" s="1">
        <f>IFERROR(__xludf.DUMMYFUNCTION("""COMPUTED_VALUE"""),425557.0)</f>
        <v>425557</v>
      </c>
    </row>
    <row r="1566">
      <c r="A1566" s="2">
        <f>IFERROR(__xludf.DUMMYFUNCTION("""COMPUTED_VALUE"""),42867.64583333333)</f>
        <v>42867.64583</v>
      </c>
      <c r="B1566" s="1">
        <f>IFERROR(__xludf.DUMMYFUNCTION("""COMPUTED_VALUE"""),45760.0)</f>
        <v>45760</v>
      </c>
      <c r="C1566" s="1">
        <f>IFERROR(__xludf.DUMMYFUNCTION("""COMPUTED_VALUE"""),46160.0)</f>
        <v>46160</v>
      </c>
      <c r="D1566" s="1">
        <f>IFERROR(__xludf.DUMMYFUNCTION("""COMPUTED_VALUE"""),45660.0)</f>
        <v>45660</v>
      </c>
      <c r="E1566" s="1">
        <f>IFERROR(__xludf.DUMMYFUNCTION("""COMPUTED_VALUE"""),45820.0)</f>
        <v>45820</v>
      </c>
      <c r="F1566" s="1">
        <f>IFERROR(__xludf.DUMMYFUNCTION("""COMPUTED_VALUE"""),188458.0)</f>
        <v>188458</v>
      </c>
    </row>
    <row r="1567">
      <c r="A1567" s="2">
        <f>IFERROR(__xludf.DUMMYFUNCTION("""COMPUTED_VALUE"""),42870.64583333333)</f>
        <v>42870.64583</v>
      </c>
      <c r="B1567" s="1">
        <f>IFERROR(__xludf.DUMMYFUNCTION("""COMPUTED_VALUE"""),45620.0)</f>
        <v>45620</v>
      </c>
      <c r="C1567" s="1">
        <f>IFERROR(__xludf.DUMMYFUNCTION("""COMPUTED_VALUE"""),46280.0)</f>
        <v>46280</v>
      </c>
      <c r="D1567" s="1">
        <f>IFERROR(__xludf.DUMMYFUNCTION("""COMPUTED_VALUE"""),45620.0)</f>
        <v>45620</v>
      </c>
      <c r="E1567" s="1">
        <f>IFERROR(__xludf.DUMMYFUNCTION("""COMPUTED_VALUE"""),46100.0)</f>
        <v>46100</v>
      </c>
      <c r="F1567" s="1">
        <f>IFERROR(__xludf.DUMMYFUNCTION("""COMPUTED_VALUE"""),160028.0)</f>
        <v>160028</v>
      </c>
    </row>
    <row r="1568">
      <c r="A1568" s="2">
        <f>IFERROR(__xludf.DUMMYFUNCTION("""COMPUTED_VALUE"""),42871.64583333333)</f>
        <v>42871.64583</v>
      </c>
      <c r="B1568" s="1">
        <f>IFERROR(__xludf.DUMMYFUNCTION("""COMPUTED_VALUE"""),46660.0)</f>
        <v>46660</v>
      </c>
      <c r="C1568" s="1">
        <f>IFERROR(__xludf.DUMMYFUNCTION("""COMPUTED_VALUE"""),46800.0)</f>
        <v>46800</v>
      </c>
      <c r="D1568" s="1">
        <f>IFERROR(__xludf.DUMMYFUNCTION("""COMPUTED_VALUE"""),46100.0)</f>
        <v>46100</v>
      </c>
      <c r="E1568" s="1">
        <f>IFERROR(__xludf.DUMMYFUNCTION("""COMPUTED_VALUE"""),46380.0)</f>
        <v>46380</v>
      </c>
      <c r="F1568" s="1">
        <f>IFERROR(__xludf.DUMMYFUNCTION("""COMPUTED_VALUE"""),176075.0)</f>
        <v>176075</v>
      </c>
    </row>
    <row r="1569">
      <c r="A1569" s="2">
        <f>IFERROR(__xludf.DUMMYFUNCTION("""COMPUTED_VALUE"""),42872.64583333333)</f>
        <v>42872.64583</v>
      </c>
      <c r="B1569" s="1">
        <f>IFERROR(__xludf.DUMMYFUNCTION("""COMPUTED_VALUE"""),46120.0)</f>
        <v>46120</v>
      </c>
      <c r="C1569" s="1">
        <f>IFERROR(__xludf.DUMMYFUNCTION("""COMPUTED_VALUE"""),46640.0)</f>
        <v>46640</v>
      </c>
      <c r="D1569" s="1">
        <f>IFERROR(__xludf.DUMMYFUNCTION("""COMPUTED_VALUE"""),46100.0)</f>
        <v>46100</v>
      </c>
      <c r="E1569" s="1">
        <f>IFERROR(__xludf.DUMMYFUNCTION("""COMPUTED_VALUE"""),46340.0)</f>
        <v>46340</v>
      </c>
      <c r="F1569" s="1">
        <f>IFERROR(__xludf.DUMMYFUNCTION("""COMPUTED_VALUE"""),148489.0)</f>
        <v>148489</v>
      </c>
    </row>
    <row r="1570">
      <c r="A1570" s="2">
        <f>IFERROR(__xludf.DUMMYFUNCTION("""COMPUTED_VALUE"""),42873.64583333333)</f>
        <v>42873.64583</v>
      </c>
      <c r="B1570" s="1">
        <f>IFERROR(__xludf.DUMMYFUNCTION("""COMPUTED_VALUE"""),45740.0)</f>
        <v>45740</v>
      </c>
      <c r="C1570" s="1">
        <f>IFERROR(__xludf.DUMMYFUNCTION("""COMPUTED_VALUE"""),46000.0)</f>
        <v>46000</v>
      </c>
      <c r="D1570" s="1">
        <f>IFERROR(__xludf.DUMMYFUNCTION("""COMPUTED_VALUE"""),45540.0)</f>
        <v>45540</v>
      </c>
      <c r="E1570" s="1">
        <f>IFERROR(__xludf.DUMMYFUNCTION("""COMPUTED_VALUE"""),45940.0)</f>
        <v>45940</v>
      </c>
      <c r="F1570" s="1">
        <f>IFERROR(__xludf.DUMMYFUNCTION("""COMPUTED_VALUE"""),223207.0)</f>
        <v>223207</v>
      </c>
    </row>
    <row r="1571">
      <c r="A1571" s="2">
        <f>IFERROR(__xludf.DUMMYFUNCTION("""COMPUTED_VALUE"""),42874.64583333333)</f>
        <v>42874.64583</v>
      </c>
      <c r="B1571" s="1">
        <f>IFERROR(__xludf.DUMMYFUNCTION("""COMPUTED_VALUE"""),45640.0)</f>
        <v>45640</v>
      </c>
      <c r="C1571" s="1">
        <f>IFERROR(__xludf.DUMMYFUNCTION("""COMPUTED_VALUE"""),45780.0)</f>
        <v>45780</v>
      </c>
      <c r="D1571" s="1">
        <f>IFERROR(__xludf.DUMMYFUNCTION("""COMPUTED_VALUE"""),44720.0)</f>
        <v>44720</v>
      </c>
      <c r="E1571" s="1">
        <f>IFERROR(__xludf.DUMMYFUNCTION("""COMPUTED_VALUE"""),44720.0)</f>
        <v>44720</v>
      </c>
      <c r="F1571" s="1">
        <f>IFERROR(__xludf.DUMMYFUNCTION("""COMPUTED_VALUE"""),315247.0)</f>
        <v>315247</v>
      </c>
    </row>
    <row r="1572">
      <c r="A1572" s="2">
        <f>IFERROR(__xludf.DUMMYFUNCTION("""COMPUTED_VALUE"""),42877.64583333333)</f>
        <v>42877.64583</v>
      </c>
      <c r="B1572" s="1">
        <f>IFERROR(__xludf.DUMMYFUNCTION("""COMPUTED_VALUE"""),45040.0)</f>
        <v>45040</v>
      </c>
      <c r="C1572" s="1">
        <f>IFERROR(__xludf.DUMMYFUNCTION("""COMPUTED_VALUE"""),45380.0)</f>
        <v>45380</v>
      </c>
      <c r="D1572" s="1">
        <f>IFERROR(__xludf.DUMMYFUNCTION("""COMPUTED_VALUE"""),44760.0)</f>
        <v>44760</v>
      </c>
      <c r="E1572" s="1">
        <f>IFERROR(__xludf.DUMMYFUNCTION("""COMPUTED_VALUE"""),45100.0)</f>
        <v>45100</v>
      </c>
      <c r="F1572" s="1">
        <f>IFERROR(__xludf.DUMMYFUNCTION("""COMPUTED_VALUE"""),352871.0)</f>
        <v>352871</v>
      </c>
    </row>
    <row r="1573">
      <c r="A1573" s="2">
        <f>IFERROR(__xludf.DUMMYFUNCTION("""COMPUTED_VALUE"""),42878.64583333333)</f>
        <v>42878.64583</v>
      </c>
      <c r="B1573" s="1">
        <f>IFERROR(__xludf.DUMMYFUNCTION("""COMPUTED_VALUE"""),45400.0)</f>
        <v>45400</v>
      </c>
      <c r="C1573" s="1">
        <f>IFERROR(__xludf.DUMMYFUNCTION("""COMPUTED_VALUE"""),45580.0)</f>
        <v>45580</v>
      </c>
      <c r="D1573" s="1">
        <f>IFERROR(__xludf.DUMMYFUNCTION("""COMPUTED_VALUE"""),44900.0)</f>
        <v>44900</v>
      </c>
      <c r="E1573" s="1">
        <f>IFERROR(__xludf.DUMMYFUNCTION("""COMPUTED_VALUE"""),44920.0)</f>
        <v>44920</v>
      </c>
      <c r="F1573" s="1">
        <f>IFERROR(__xludf.DUMMYFUNCTION("""COMPUTED_VALUE"""),252141.0)</f>
        <v>252141</v>
      </c>
    </row>
    <row r="1574">
      <c r="A1574" s="2">
        <f>IFERROR(__xludf.DUMMYFUNCTION("""COMPUTED_VALUE"""),42879.64583333333)</f>
        <v>42879.64583</v>
      </c>
      <c r="B1574" s="1">
        <f>IFERROR(__xludf.DUMMYFUNCTION("""COMPUTED_VALUE"""),44860.0)</f>
        <v>44860</v>
      </c>
      <c r="C1574" s="1">
        <f>IFERROR(__xludf.DUMMYFUNCTION("""COMPUTED_VALUE"""),45300.0)</f>
        <v>45300</v>
      </c>
      <c r="D1574" s="1">
        <f>IFERROR(__xludf.DUMMYFUNCTION("""COMPUTED_VALUE"""),44800.0)</f>
        <v>44800</v>
      </c>
      <c r="E1574" s="1">
        <f>IFERROR(__xludf.DUMMYFUNCTION("""COMPUTED_VALUE"""),44880.0)</f>
        <v>44880</v>
      </c>
      <c r="F1574" s="1">
        <f>IFERROR(__xludf.DUMMYFUNCTION("""COMPUTED_VALUE"""),173508.0)</f>
        <v>173508</v>
      </c>
    </row>
    <row r="1575">
      <c r="A1575" s="2">
        <f>IFERROR(__xludf.DUMMYFUNCTION("""COMPUTED_VALUE"""),42880.64583333333)</f>
        <v>42880.64583</v>
      </c>
      <c r="B1575" s="1">
        <f>IFERROR(__xludf.DUMMYFUNCTION("""COMPUTED_VALUE"""),45160.0)</f>
        <v>45160</v>
      </c>
      <c r="C1575" s="1">
        <f>IFERROR(__xludf.DUMMYFUNCTION("""COMPUTED_VALUE"""),45680.0)</f>
        <v>45680</v>
      </c>
      <c r="D1575" s="1">
        <f>IFERROR(__xludf.DUMMYFUNCTION("""COMPUTED_VALUE"""),44800.0)</f>
        <v>44800</v>
      </c>
      <c r="E1575" s="1">
        <f>IFERROR(__xludf.DUMMYFUNCTION("""COMPUTED_VALUE"""),45680.0)</f>
        <v>45680</v>
      </c>
      <c r="F1575" s="1">
        <f>IFERROR(__xludf.DUMMYFUNCTION("""COMPUTED_VALUE"""),260896.0)</f>
        <v>260896</v>
      </c>
    </row>
    <row r="1576">
      <c r="A1576" s="2">
        <f>IFERROR(__xludf.DUMMYFUNCTION("""COMPUTED_VALUE"""),42881.64583333333)</f>
        <v>42881.64583</v>
      </c>
      <c r="B1576" s="1">
        <f>IFERROR(__xludf.DUMMYFUNCTION("""COMPUTED_VALUE"""),45600.0)</f>
        <v>45600</v>
      </c>
      <c r="C1576" s="1">
        <f>IFERROR(__xludf.DUMMYFUNCTION("""COMPUTED_VALUE"""),46460.0)</f>
        <v>46460</v>
      </c>
      <c r="D1576" s="1">
        <f>IFERROR(__xludf.DUMMYFUNCTION("""COMPUTED_VALUE"""),45540.0)</f>
        <v>45540</v>
      </c>
      <c r="E1576" s="1">
        <f>IFERROR(__xludf.DUMMYFUNCTION("""COMPUTED_VALUE"""),46080.0)</f>
        <v>46080</v>
      </c>
      <c r="F1576" s="1">
        <f>IFERROR(__xludf.DUMMYFUNCTION("""COMPUTED_VALUE"""),272273.0)</f>
        <v>272273</v>
      </c>
    </row>
    <row r="1577">
      <c r="A1577" s="2">
        <f>IFERROR(__xludf.DUMMYFUNCTION("""COMPUTED_VALUE"""),42884.64583333333)</f>
        <v>42884.64583</v>
      </c>
      <c r="B1577" s="1">
        <f>IFERROR(__xludf.DUMMYFUNCTION("""COMPUTED_VALUE"""),46220.0)</f>
        <v>46220</v>
      </c>
      <c r="C1577" s="1">
        <f>IFERROR(__xludf.DUMMYFUNCTION("""COMPUTED_VALUE"""),46400.0)</f>
        <v>46400</v>
      </c>
      <c r="D1577" s="1">
        <f>IFERROR(__xludf.DUMMYFUNCTION("""COMPUTED_VALUE"""),45380.0)</f>
        <v>45380</v>
      </c>
      <c r="E1577" s="1">
        <f>IFERROR(__xludf.DUMMYFUNCTION("""COMPUTED_VALUE"""),45620.0)</f>
        <v>45620</v>
      </c>
      <c r="F1577" s="1">
        <f>IFERROR(__xludf.DUMMYFUNCTION("""COMPUTED_VALUE"""),174791.0)</f>
        <v>174791</v>
      </c>
    </row>
    <row r="1578">
      <c r="A1578" s="2">
        <f>IFERROR(__xludf.DUMMYFUNCTION("""COMPUTED_VALUE"""),42885.64583333333)</f>
        <v>42885.64583</v>
      </c>
      <c r="B1578" s="1">
        <f>IFERROR(__xludf.DUMMYFUNCTION("""COMPUTED_VALUE"""),45520.0)</f>
        <v>45520</v>
      </c>
      <c r="C1578" s="1">
        <f>IFERROR(__xludf.DUMMYFUNCTION("""COMPUTED_VALUE"""),45660.0)</f>
        <v>45660</v>
      </c>
      <c r="D1578" s="1">
        <f>IFERROR(__xludf.DUMMYFUNCTION("""COMPUTED_VALUE"""),44480.0)</f>
        <v>44480</v>
      </c>
      <c r="E1578" s="1">
        <f>IFERROR(__xludf.DUMMYFUNCTION("""COMPUTED_VALUE"""),44640.0)</f>
        <v>44640</v>
      </c>
      <c r="F1578" s="1">
        <f>IFERROR(__xludf.DUMMYFUNCTION("""COMPUTED_VALUE"""),248672.0)</f>
        <v>248672</v>
      </c>
    </row>
    <row r="1579">
      <c r="A1579" s="2">
        <f>IFERROR(__xludf.DUMMYFUNCTION("""COMPUTED_VALUE"""),42886.64583333333)</f>
        <v>42886.64583</v>
      </c>
      <c r="B1579" s="1">
        <f>IFERROR(__xludf.DUMMYFUNCTION("""COMPUTED_VALUE"""),44580.0)</f>
        <v>44580</v>
      </c>
      <c r="C1579" s="1">
        <f>IFERROR(__xludf.DUMMYFUNCTION("""COMPUTED_VALUE"""),45020.0)</f>
        <v>45020</v>
      </c>
      <c r="D1579" s="1">
        <f>IFERROR(__xludf.DUMMYFUNCTION("""COMPUTED_VALUE"""),44400.0)</f>
        <v>44400</v>
      </c>
      <c r="E1579" s="1">
        <f>IFERROR(__xludf.DUMMYFUNCTION("""COMPUTED_VALUE"""),44700.0)</f>
        <v>44700</v>
      </c>
      <c r="F1579" s="1">
        <f>IFERROR(__xludf.DUMMYFUNCTION("""COMPUTED_VALUE"""),373382.0)</f>
        <v>373382</v>
      </c>
    </row>
    <row r="1580">
      <c r="A1580" s="2">
        <f>IFERROR(__xludf.DUMMYFUNCTION("""COMPUTED_VALUE"""),42887.64583333333)</f>
        <v>42887.64583</v>
      </c>
      <c r="B1580" s="1">
        <f>IFERROR(__xludf.DUMMYFUNCTION("""COMPUTED_VALUE"""),44860.0)</f>
        <v>44860</v>
      </c>
      <c r="C1580" s="1">
        <f>IFERROR(__xludf.DUMMYFUNCTION("""COMPUTED_VALUE"""),44900.0)</f>
        <v>44900</v>
      </c>
      <c r="D1580" s="1">
        <f>IFERROR(__xludf.DUMMYFUNCTION("""COMPUTED_VALUE"""),44400.0)</f>
        <v>44400</v>
      </c>
      <c r="E1580" s="1">
        <f>IFERROR(__xludf.DUMMYFUNCTION("""COMPUTED_VALUE"""),44680.0)</f>
        <v>44680</v>
      </c>
      <c r="F1580" s="1">
        <f>IFERROR(__xludf.DUMMYFUNCTION("""COMPUTED_VALUE"""),195070.0)</f>
        <v>195070</v>
      </c>
    </row>
    <row r="1581">
      <c r="A1581" s="2">
        <f>IFERROR(__xludf.DUMMYFUNCTION("""COMPUTED_VALUE"""),42888.64583333333)</f>
        <v>42888.64583</v>
      </c>
      <c r="B1581" s="1">
        <f>IFERROR(__xludf.DUMMYFUNCTION("""COMPUTED_VALUE"""),45060.0)</f>
        <v>45060</v>
      </c>
      <c r="C1581" s="1">
        <f>IFERROR(__xludf.DUMMYFUNCTION("""COMPUTED_VALUE"""),45960.0)</f>
        <v>45960</v>
      </c>
      <c r="D1581" s="1">
        <f>IFERROR(__xludf.DUMMYFUNCTION("""COMPUTED_VALUE"""),45000.0)</f>
        <v>45000</v>
      </c>
      <c r="E1581" s="1">
        <f>IFERROR(__xludf.DUMMYFUNCTION("""COMPUTED_VALUE"""),45960.0)</f>
        <v>45960</v>
      </c>
      <c r="F1581" s="1">
        <f>IFERROR(__xludf.DUMMYFUNCTION("""COMPUTED_VALUE"""),249775.0)</f>
        <v>249775</v>
      </c>
    </row>
    <row r="1582">
      <c r="A1582" s="2">
        <f>IFERROR(__xludf.DUMMYFUNCTION("""COMPUTED_VALUE"""),42891.64583333333)</f>
        <v>42891.64583</v>
      </c>
      <c r="B1582" s="1">
        <f>IFERROR(__xludf.DUMMYFUNCTION("""COMPUTED_VALUE"""),46040.0)</f>
        <v>46040</v>
      </c>
      <c r="C1582" s="1">
        <f>IFERROR(__xludf.DUMMYFUNCTION("""COMPUTED_VALUE"""),46360.0)</f>
        <v>46360</v>
      </c>
      <c r="D1582" s="1">
        <f>IFERROR(__xludf.DUMMYFUNCTION("""COMPUTED_VALUE"""),45720.0)</f>
        <v>45720</v>
      </c>
      <c r="E1582" s="1">
        <f>IFERROR(__xludf.DUMMYFUNCTION("""COMPUTED_VALUE"""),45940.0)</f>
        <v>45940</v>
      </c>
      <c r="F1582" s="1">
        <f>IFERROR(__xludf.DUMMYFUNCTION("""COMPUTED_VALUE"""),151988.0)</f>
        <v>151988</v>
      </c>
    </row>
    <row r="1583">
      <c r="A1583" s="2">
        <f>IFERROR(__xludf.DUMMYFUNCTION("""COMPUTED_VALUE"""),42893.64583333333)</f>
        <v>42893.64583</v>
      </c>
      <c r="B1583" s="1">
        <f>IFERROR(__xludf.DUMMYFUNCTION("""COMPUTED_VALUE"""),46500.0)</f>
        <v>46500</v>
      </c>
      <c r="C1583" s="1">
        <f>IFERROR(__xludf.DUMMYFUNCTION("""COMPUTED_VALUE"""),46500.0)</f>
        <v>46500</v>
      </c>
      <c r="D1583" s="1">
        <f>IFERROR(__xludf.DUMMYFUNCTION("""COMPUTED_VALUE"""),45240.0)</f>
        <v>45240</v>
      </c>
      <c r="E1583" s="1">
        <f>IFERROR(__xludf.DUMMYFUNCTION("""COMPUTED_VALUE"""),45300.0)</f>
        <v>45300</v>
      </c>
      <c r="F1583" s="1">
        <f>IFERROR(__xludf.DUMMYFUNCTION("""COMPUTED_VALUE"""),274588.0)</f>
        <v>274588</v>
      </c>
    </row>
    <row r="1584">
      <c r="A1584" s="2">
        <f>IFERROR(__xludf.DUMMYFUNCTION("""COMPUTED_VALUE"""),42894.64583333333)</f>
        <v>42894.64583</v>
      </c>
      <c r="B1584" s="1">
        <f>IFERROR(__xludf.DUMMYFUNCTION("""COMPUTED_VALUE"""),45000.0)</f>
        <v>45000</v>
      </c>
      <c r="C1584" s="1">
        <f>IFERROR(__xludf.DUMMYFUNCTION("""COMPUTED_VALUE"""),45580.0)</f>
        <v>45580</v>
      </c>
      <c r="D1584" s="1">
        <f>IFERROR(__xludf.DUMMYFUNCTION("""COMPUTED_VALUE"""),45000.0)</f>
        <v>45000</v>
      </c>
      <c r="E1584" s="1">
        <f>IFERROR(__xludf.DUMMYFUNCTION("""COMPUTED_VALUE"""),45160.0)</f>
        <v>45160</v>
      </c>
      <c r="F1584" s="1">
        <f>IFERROR(__xludf.DUMMYFUNCTION("""COMPUTED_VALUE"""),279575.0)</f>
        <v>279575</v>
      </c>
    </row>
    <row r="1585">
      <c r="A1585" s="2">
        <f>IFERROR(__xludf.DUMMYFUNCTION("""COMPUTED_VALUE"""),42895.64583333333)</f>
        <v>42895.64583</v>
      </c>
      <c r="B1585" s="1">
        <f>IFERROR(__xludf.DUMMYFUNCTION("""COMPUTED_VALUE"""),45680.0)</f>
        <v>45680</v>
      </c>
      <c r="C1585" s="1">
        <f>IFERROR(__xludf.DUMMYFUNCTION("""COMPUTED_VALUE"""),46440.0)</f>
        <v>46440</v>
      </c>
      <c r="D1585" s="1">
        <f>IFERROR(__xludf.DUMMYFUNCTION("""COMPUTED_VALUE"""),45600.0)</f>
        <v>45600</v>
      </c>
      <c r="E1585" s="1">
        <f>IFERROR(__xludf.DUMMYFUNCTION("""COMPUTED_VALUE"""),46100.0)</f>
        <v>46100</v>
      </c>
      <c r="F1585" s="1">
        <f>IFERROR(__xludf.DUMMYFUNCTION("""COMPUTED_VALUE"""),234657.0)</f>
        <v>234657</v>
      </c>
    </row>
    <row r="1586">
      <c r="A1586" s="2">
        <f>IFERROR(__xludf.DUMMYFUNCTION("""COMPUTED_VALUE"""),42898.64583333333)</f>
        <v>42898.64583</v>
      </c>
      <c r="B1586" s="1">
        <f>IFERROR(__xludf.DUMMYFUNCTION("""COMPUTED_VALUE"""),45420.0)</f>
        <v>45420</v>
      </c>
      <c r="C1586" s="1">
        <f>IFERROR(__xludf.DUMMYFUNCTION("""COMPUTED_VALUE"""),45600.0)</f>
        <v>45600</v>
      </c>
      <c r="D1586" s="1">
        <f>IFERROR(__xludf.DUMMYFUNCTION("""COMPUTED_VALUE"""),45140.0)</f>
        <v>45140</v>
      </c>
      <c r="E1586" s="1">
        <f>IFERROR(__xludf.DUMMYFUNCTION("""COMPUTED_VALUE"""),45380.0)</f>
        <v>45380</v>
      </c>
      <c r="F1586" s="1">
        <f>IFERROR(__xludf.DUMMYFUNCTION("""COMPUTED_VALUE"""),219086.0)</f>
        <v>219086</v>
      </c>
    </row>
    <row r="1587">
      <c r="A1587" s="2">
        <f>IFERROR(__xludf.DUMMYFUNCTION("""COMPUTED_VALUE"""),42899.64583333333)</f>
        <v>42899.64583</v>
      </c>
      <c r="B1587" s="1">
        <f>IFERROR(__xludf.DUMMYFUNCTION("""COMPUTED_VALUE"""),45140.0)</f>
        <v>45140</v>
      </c>
      <c r="C1587" s="1">
        <f>IFERROR(__xludf.DUMMYFUNCTION("""COMPUTED_VALUE"""),45620.0)</f>
        <v>45620</v>
      </c>
      <c r="D1587" s="1">
        <f>IFERROR(__xludf.DUMMYFUNCTION("""COMPUTED_VALUE"""),45140.0)</f>
        <v>45140</v>
      </c>
      <c r="E1587" s="1">
        <f>IFERROR(__xludf.DUMMYFUNCTION("""COMPUTED_VALUE"""),45400.0)</f>
        <v>45400</v>
      </c>
      <c r="F1587" s="1">
        <f>IFERROR(__xludf.DUMMYFUNCTION("""COMPUTED_VALUE"""),172498.0)</f>
        <v>172498</v>
      </c>
    </row>
    <row r="1588">
      <c r="A1588" s="2">
        <f>IFERROR(__xludf.DUMMYFUNCTION("""COMPUTED_VALUE"""),42900.64583333333)</f>
        <v>42900.64583</v>
      </c>
      <c r="B1588" s="1">
        <f>IFERROR(__xludf.DUMMYFUNCTION("""COMPUTED_VALUE"""),45800.0)</f>
        <v>45800</v>
      </c>
      <c r="C1588" s="1">
        <f>IFERROR(__xludf.DUMMYFUNCTION("""COMPUTED_VALUE"""),46060.0)</f>
        <v>46060</v>
      </c>
      <c r="D1588" s="1">
        <f>IFERROR(__xludf.DUMMYFUNCTION("""COMPUTED_VALUE"""),45240.0)</f>
        <v>45240</v>
      </c>
      <c r="E1588" s="1">
        <f>IFERROR(__xludf.DUMMYFUNCTION("""COMPUTED_VALUE"""),45360.0)</f>
        <v>45360</v>
      </c>
      <c r="F1588" s="1">
        <f>IFERROR(__xludf.DUMMYFUNCTION("""COMPUTED_VALUE"""),203334.0)</f>
        <v>203334</v>
      </c>
    </row>
    <row r="1589">
      <c r="A1589" s="2">
        <f>IFERROR(__xludf.DUMMYFUNCTION("""COMPUTED_VALUE"""),42901.64583333333)</f>
        <v>42901.64583</v>
      </c>
      <c r="B1589" s="1">
        <f>IFERROR(__xludf.DUMMYFUNCTION("""COMPUTED_VALUE"""),45680.0)</f>
        <v>45680</v>
      </c>
      <c r="C1589" s="1">
        <f>IFERROR(__xludf.DUMMYFUNCTION("""COMPUTED_VALUE"""),45920.0)</f>
        <v>45920</v>
      </c>
      <c r="D1589" s="1">
        <f>IFERROR(__xludf.DUMMYFUNCTION("""COMPUTED_VALUE"""),45180.0)</f>
        <v>45180</v>
      </c>
      <c r="E1589" s="1">
        <f>IFERROR(__xludf.DUMMYFUNCTION("""COMPUTED_VALUE"""),45680.0)</f>
        <v>45680</v>
      </c>
      <c r="F1589" s="1">
        <f>IFERROR(__xludf.DUMMYFUNCTION("""COMPUTED_VALUE"""),193140.0)</f>
        <v>193140</v>
      </c>
    </row>
    <row r="1590">
      <c r="A1590" s="2">
        <f>IFERROR(__xludf.DUMMYFUNCTION("""COMPUTED_VALUE"""),42902.64583333333)</f>
        <v>42902.64583</v>
      </c>
      <c r="B1590" s="1">
        <f>IFERROR(__xludf.DUMMYFUNCTION("""COMPUTED_VALUE"""),45500.0)</f>
        <v>45500</v>
      </c>
      <c r="C1590" s="1">
        <f>IFERROR(__xludf.DUMMYFUNCTION("""COMPUTED_VALUE"""),45940.0)</f>
        <v>45940</v>
      </c>
      <c r="D1590" s="1">
        <f>IFERROR(__xludf.DUMMYFUNCTION("""COMPUTED_VALUE"""),45460.0)</f>
        <v>45460</v>
      </c>
      <c r="E1590" s="1">
        <f>IFERROR(__xludf.DUMMYFUNCTION("""COMPUTED_VALUE"""),45580.0)</f>
        <v>45580</v>
      </c>
      <c r="F1590" s="1">
        <f>IFERROR(__xludf.DUMMYFUNCTION("""COMPUTED_VALUE"""),348069.0)</f>
        <v>348069</v>
      </c>
    </row>
    <row r="1591">
      <c r="A1591" s="2">
        <f>IFERROR(__xludf.DUMMYFUNCTION("""COMPUTED_VALUE"""),42905.64583333333)</f>
        <v>42905.64583</v>
      </c>
      <c r="B1591" s="1">
        <f>IFERROR(__xludf.DUMMYFUNCTION("""COMPUTED_VALUE"""),45580.0)</f>
        <v>45580</v>
      </c>
      <c r="C1591" s="1">
        <f>IFERROR(__xludf.DUMMYFUNCTION("""COMPUTED_VALUE"""),46560.0)</f>
        <v>46560</v>
      </c>
      <c r="D1591" s="1">
        <f>IFERROR(__xludf.DUMMYFUNCTION("""COMPUTED_VALUE"""),45560.0)</f>
        <v>45560</v>
      </c>
      <c r="E1591" s="1">
        <f>IFERROR(__xludf.DUMMYFUNCTION("""COMPUTED_VALUE"""),46560.0)</f>
        <v>46560</v>
      </c>
      <c r="F1591" s="1">
        <f>IFERROR(__xludf.DUMMYFUNCTION("""COMPUTED_VALUE"""),226078.0)</f>
        <v>226078</v>
      </c>
    </row>
    <row r="1592">
      <c r="A1592" s="2">
        <f>IFERROR(__xludf.DUMMYFUNCTION("""COMPUTED_VALUE"""),42906.64583333333)</f>
        <v>42906.64583</v>
      </c>
      <c r="B1592" s="1">
        <f>IFERROR(__xludf.DUMMYFUNCTION("""COMPUTED_VALUE"""),47240.0)</f>
        <v>47240</v>
      </c>
      <c r="C1592" s="1">
        <f>IFERROR(__xludf.DUMMYFUNCTION("""COMPUTED_VALUE"""),48140.0)</f>
        <v>48140</v>
      </c>
      <c r="D1592" s="1">
        <f>IFERROR(__xludf.DUMMYFUNCTION("""COMPUTED_VALUE"""),47220.0)</f>
        <v>47220</v>
      </c>
      <c r="E1592" s="1">
        <f>IFERROR(__xludf.DUMMYFUNCTION("""COMPUTED_VALUE"""),48140.0)</f>
        <v>48140</v>
      </c>
      <c r="F1592" s="1">
        <f>IFERROR(__xludf.DUMMYFUNCTION("""COMPUTED_VALUE"""),300900.0)</f>
        <v>300900</v>
      </c>
    </row>
    <row r="1593">
      <c r="A1593" s="2">
        <f>IFERROR(__xludf.DUMMYFUNCTION("""COMPUTED_VALUE"""),42907.64583333333)</f>
        <v>42907.64583</v>
      </c>
      <c r="B1593" s="1">
        <f>IFERROR(__xludf.DUMMYFUNCTION("""COMPUTED_VALUE"""),47740.0)</f>
        <v>47740</v>
      </c>
      <c r="C1593" s="1">
        <f>IFERROR(__xludf.DUMMYFUNCTION("""COMPUTED_VALUE"""),48120.0)</f>
        <v>48120</v>
      </c>
      <c r="D1593" s="1">
        <f>IFERROR(__xludf.DUMMYFUNCTION("""COMPUTED_VALUE"""),47480.0)</f>
        <v>47480</v>
      </c>
      <c r="E1593" s="1">
        <f>IFERROR(__xludf.DUMMYFUNCTION("""COMPUTED_VALUE"""),47480.0)</f>
        <v>47480</v>
      </c>
      <c r="F1593" s="1">
        <f>IFERROR(__xludf.DUMMYFUNCTION("""COMPUTED_VALUE"""),199473.0)</f>
        <v>199473</v>
      </c>
    </row>
    <row r="1594">
      <c r="A1594" s="2">
        <f>IFERROR(__xludf.DUMMYFUNCTION("""COMPUTED_VALUE"""),42908.64583333333)</f>
        <v>42908.64583</v>
      </c>
      <c r="B1594" s="1">
        <f>IFERROR(__xludf.DUMMYFUNCTION("""COMPUTED_VALUE"""),47960.0)</f>
        <v>47960</v>
      </c>
      <c r="C1594" s="1">
        <f>IFERROR(__xludf.DUMMYFUNCTION("""COMPUTED_VALUE"""),48080.0)</f>
        <v>48080</v>
      </c>
      <c r="D1594" s="1">
        <f>IFERROR(__xludf.DUMMYFUNCTION("""COMPUTED_VALUE"""),47720.0)</f>
        <v>47720</v>
      </c>
      <c r="E1594" s="1">
        <f>IFERROR(__xludf.DUMMYFUNCTION("""COMPUTED_VALUE"""),47960.0)</f>
        <v>47960</v>
      </c>
      <c r="F1594" s="1">
        <f>IFERROR(__xludf.DUMMYFUNCTION("""COMPUTED_VALUE"""),229116.0)</f>
        <v>229116</v>
      </c>
    </row>
    <row r="1595">
      <c r="A1595" s="2">
        <f>IFERROR(__xludf.DUMMYFUNCTION("""COMPUTED_VALUE"""),42909.64583333333)</f>
        <v>42909.64583</v>
      </c>
      <c r="B1595" s="1">
        <f>IFERROR(__xludf.DUMMYFUNCTION("""COMPUTED_VALUE"""),47600.0)</f>
        <v>47600</v>
      </c>
      <c r="C1595" s="1">
        <f>IFERROR(__xludf.DUMMYFUNCTION("""COMPUTED_VALUE"""),47780.0)</f>
        <v>47780</v>
      </c>
      <c r="D1595" s="1">
        <f>IFERROR(__xludf.DUMMYFUNCTION("""COMPUTED_VALUE"""),47420.0)</f>
        <v>47420</v>
      </c>
      <c r="E1595" s="1">
        <f>IFERROR(__xludf.DUMMYFUNCTION("""COMPUTED_VALUE"""),47620.0)</f>
        <v>47620</v>
      </c>
      <c r="F1595" s="1">
        <f>IFERROR(__xludf.DUMMYFUNCTION("""COMPUTED_VALUE"""),190302.0)</f>
        <v>190302</v>
      </c>
    </row>
    <row r="1596">
      <c r="A1596" s="2">
        <f>IFERROR(__xludf.DUMMYFUNCTION("""COMPUTED_VALUE"""),42912.64583333333)</f>
        <v>42912.64583</v>
      </c>
      <c r="B1596" s="1">
        <f>IFERROR(__xludf.DUMMYFUNCTION("""COMPUTED_VALUE"""),47520.0)</f>
        <v>47520</v>
      </c>
      <c r="C1596" s="1">
        <f>IFERROR(__xludf.DUMMYFUNCTION("""COMPUTED_VALUE"""),48360.0)</f>
        <v>48360</v>
      </c>
      <c r="D1596" s="1">
        <f>IFERROR(__xludf.DUMMYFUNCTION("""COMPUTED_VALUE"""),47520.0)</f>
        <v>47520</v>
      </c>
      <c r="E1596" s="1">
        <f>IFERROR(__xludf.DUMMYFUNCTION("""COMPUTED_VALUE"""),48280.0)</f>
        <v>48280</v>
      </c>
      <c r="F1596" s="1">
        <f>IFERROR(__xludf.DUMMYFUNCTION("""COMPUTED_VALUE"""),171056.0)</f>
        <v>171056</v>
      </c>
    </row>
    <row r="1597">
      <c r="A1597" s="2">
        <f>IFERROR(__xludf.DUMMYFUNCTION("""COMPUTED_VALUE"""),42913.64583333333)</f>
        <v>42913.64583</v>
      </c>
      <c r="B1597" s="1">
        <f>IFERROR(__xludf.DUMMYFUNCTION("""COMPUTED_VALUE"""),48220.0)</f>
        <v>48220</v>
      </c>
      <c r="C1597" s="1">
        <f>IFERROR(__xludf.DUMMYFUNCTION("""COMPUTED_VALUE"""),48400.0)</f>
        <v>48400</v>
      </c>
      <c r="D1597" s="1">
        <f>IFERROR(__xludf.DUMMYFUNCTION("""COMPUTED_VALUE"""),47900.0)</f>
        <v>47900</v>
      </c>
      <c r="E1597" s="1">
        <f>IFERROR(__xludf.DUMMYFUNCTION("""COMPUTED_VALUE"""),48300.0)</f>
        <v>48300</v>
      </c>
      <c r="F1597" s="1">
        <f>IFERROR(__xludf.DUMMYFUNCTION("""COMPUTED_VALUE"""),192335.0)</f>
        <v>192335</v>
      </c>
    </row>
    <row r="1598">
      <c r="A1598" s="2">
        <f>IFERROR(__xludf.DUMMYFUNCTION("""COMPUTED_VALUE"""),42914.64583333333)</f>
        <v>42914.64583</v>
      </c>
      <c r="B1598" s="1">
        <f>IFERROR(__xludf.DUMMYFUNCTION("""COMPUTED_VALUE"""),47600.0)</f>
        <v>47600</v>
      </c>
      <c r="C1598" s="1">
        <f>IFERROR(__xludf.DUMMYFUNCTION("""COMPUTED_VALUE"""),48000.0)</f>
        <v>48000</v>
      </c>
      <c r="D1598" s="1">
        <f>IFERROR(__xludf.DUMMYFUNCTION("""COMPUTED_VALUE"""),47560.0)</f>
        <v>47560</v>
      </c>
      <c r="E1598" s="1">
        <f>IFERROR(__xludf.DUMMYFUNCTION("""COMPUTED_VALUE"""),47700.0)</f>
        <v>47700</v>
      </c>
      <c r="F1598" s="1">
        <f>IFERROR(__xludf.DUMMYFUNCTION("""COMPUTED_VALUE"""),191450.0)</f>
        <v>191450</v>
      </c>
    </row>
    <row r="1599">
      <c r="A1599" s="2">
        <f>IFERROR(__xludf.DUMMYFUNCTION("""COMPUTED_VALUE"""),42915.64583333333)</f>
        <v>42915.64583</v>
      </c>
      <c r="B1599" s="1">
        <f>IFERROR(__xludf.DUMMYFUNCTION("""COMPUTED_VALUE"""),48040.0)</f>
        <v>48040</v>
      </c>
      <c r="C1599" s="1">
        <f>IFERROR(__xludf.DUMMYFUNCTION("""COMPUTED_VALUE"""),48320.0)</f>
        <v>48320</v>
      </c>
      <c r="D1599" s="1">
        <f>IFERROR(__xludf.DUMMYFUNCTION("""COMPUTED_VALUE"""),47940.0)</f>
        <v>47940</v>
      </c>
      <c r="E1599" s="1">
        <f>IFERROR(__xludf.DUMMYFUNCTION("""COMPUTED_VALUE"""),47940.0)</f>
        <v>47940</v>
      </c>
      <c r="F1599" s="1">
        <f>IFERROR(__xludf.DUMMYFUNCTION("""COMPUTED_VALUE"""),166131.0)</f>
        <v>166131</v>
      </c>
    </row>
    <row r="1600">
      <c r="A1600" s="2">
        <f>IFERROR(__xludf.DUMMYFUNCTION("""COMPUTED_VALUE"""),42916.64583333333)</f>
        <v>42916.64583</v>
      </c>
      <c r="B1600" s="1">
        <f>IFERROR(__xludf.DUMMYFUNCTION("""COMPUTED_VALUE"""),47500.0)</f>
        <v>47500</v>
      </c>
      <c r="C1600" s="1">
        <f>IFERROR(__xludf.DUMMYFUNCTION("""COMPUTED_VALUE"""),47620.0)</f>
        <v>47620</v>
      </c>
      <c r="D1600" s="1">
        <f>IFERROR(__xludf.DUMMYFUNCTION("""COMPUTED_VALUE"""),47100.0)</f>
        <v>47100</v>
      </c>
      <c r="E1600" s="1">
        <f>IFERROR(__xludf.DUMMYFUNCTION("""COMPUTED_VALUE"""),47540.0)</f>
        <v>47540</v>
      </c>
      <c r="F1600" s="1">
        <f>IFERROR(__xludf.DUMMYFUNCTION("""COMPUTED_VALUE"""),237551.0)</f>
        <v>237551</v>
      </c>
    </row>
    <row r="1601">
      <c r="A1601" s="2">
        <f>IFERROR(__xludf.DUMMYFUNCTION("""COMPUTED_VALUE"""),42919.64583333333)</f>
        <v>42919.64583</v>
      </c>
      <c r="B1601" s="1">
        <f>IFERROR(__xludf.DUMMYFUNCTION("""COMPUTED_VALUE"""),47500.0)</f>
        <v>47500</v>
      </c>
      <c r="C1601" s="1">
        <f>IFERROR(__xludf.DUMMYFUNCTION("""COMPUTED_VALUE"""),47780.0)</f>
        <v>47780</v>
      </c>
      <c r="D1601" s="1">
        <f>IFERROR(__xludf.DUMMYFUNCTION("""COMPUTED_VALUE"""),47120.0)</f>
        <v>47120</v>
      </c>
      <c r="E1601" s="1">
        <f>IFERROR(__xludf.DUMMYFUNCTION("""COMPUTED_VALUE"""),47220.0)</f>
        <v>47220</v>
      </c>
      <c r="F1601" s="1">
        <f>IFERROR(__xludf.DUMMYFUNCTION("""COMPUTED_VALUE"""),136111.0)</f>
        <v>136111</v>
      </c>
    </row>
    <row r="1602">
      <c r="A1602" s="2">
        <f>IFERROR(__xludf.DUMMYFUNCTION("""COMPUTED_VALUE"""),42920.64583333333)</f>
        <v>42920.64583</v>
      </c>
      <c r="B1602" s="1">
        <f>IFERROR(__xludf.DUMMYFUNCTION("""COMPUTED_VALUE"""),47160.0)</f>
        <v>47160</v>
      </c>
      <c r="C1602" s="1">
        <f>IFERROR(__xludf.DUMMYFUNCTION("""COMPUTED_VALUE"""),47400.0)</f>
        <v>47400</v>
      </c>
      <c r="D1602" s="1">
        <f>IFERROR(__xludf.DUMMYFUNCTION("""COMPUTED_VALUE"""),46900.0)</f>
        <v>46900</v>
      </c>
      <c r="E1602" s="1">
        <f>IFERROR(__xludf.DUMMYFUNCTION("""COMPUTED_VALUE"""),47000.0)</f>
        <v>47000</v>
      </c>
      <c r="F1602" s="1">
        <f>IFERROR(__xludf.DUMMYFUNCTION("""COMPUTED_VALUE"""),159220.0)</f>
        <v>159220</v>
      </c>
    </row>
    <row r="1603">
      <c r="A1603" s="2">
        <f>IFERROR(__xludf.DUMMYFUNCTION("""COMPUTED_VALUE"""),42921.64583333333)</f>
        <v>42921.64583</v>
      </c>
      <c r="B1603" s="1">
        <f>IFERROR(__xludf.DUMMYFUNCTION("""COMPUTED_VALUE"""),46820.0)</f>
        <v>46820</v>
      </c>
      <c r="C1603" s="1">
        <f>IFERROR(__xludf.DUMMYFUNCTION("""COMPUTED_VALUE"""),47680.0)</f>
        <v>47680</v>
      </c>
      <c r="D1603" s="1">
        <f>IFERROR(__xludf.DUMMYFUNCTION("""COMPUTED_VALUE"""),46780.0)</f>
        <v>46780</v>
      </c>
      <c r="E1603" s="1">
        <f>IFERROR(__xludf.DUMMYFUNCTION("""COMPUTED_VALUE"""),47580.0)</f>
        <v>47580</v>
      </c>
      <c r="F1603" s="1">
        <f>IFERROR(__xludf.DUMMYFUNCTION("""COMPUTED_VALUE"""),212805.0)</f>
        <v>212805</v>
      </c>
    </row>
    <row r="1604">
      <c r="A1604" s="2">
        <f>IFERROR(__xludf.DUMMYFUNCTION("""COMPUTED_VALUE"""),42922.64583333333)</f>
        <v>42922.64583</v>
      </c>
      <c r="B1604" s="1">
        <f>IFERROR(__xludf.DUMMYFUNCTION("""COMPUTED_VALUE"""),48000.0)</f>
        <v>48000</v>
      </c>
      <c r="C1604" s="1">
        <f>IFERROR(__xludf.DUMMYFUNCTION("""COMPUTED_VALUE"""),48100.0)</f>
        <v>48100</v>
      </c>
      <c r="D1604" s="1">
        <f>IFERROR(__xludf.DUMMYFUNCTION("""COMPUTED_VALUE"""),47720.0)</f>
        <v>47720</v>
      </c>
      <c r="E1604" s="1">
        <f>IFERROR(__xludf.DUMMYFUNCTION("""COMPUTED_VALUE"""),48060.0)</f>
        <v>48060</v>
      </c>
      <c r="F1604" s="1">
        <f>IFERROR(__xludf.DUMMYFUNCTION("""COMPUTED_VALUE"""),218461.0)</f>
        <v>218461</v>
      </c>
    </row>
    <row r="1605">
      <c r="A1605" s="2">
        <f>IFERROR(__xludf.DUMMYFUNCTION("""COMPUTED_VALUE"""),42923.64583333333)</f>
        <v>42923.64583</v>
      </c>
      <c r="B1605" s="1">
        <f>IFERROR(__xludf.DUMMYFUNCTION("""COMPUTED_VALUE"""),47740.0)</f>
        <v>47740</v>
      </c>
      <c r="C1605" s="1">
        <f>IFERROR(__xludf.DUMMYFUNCTION("""COMPUTED_VALUE"""),48120.0)</f>
        <v>48120</v>
      </c>
      <c r="D1605" s="1">
        <f>IFERROR(__xludf.DUMMYFUNCTION("""COMPUTED_VALUE"""),47620.0)</f>
        <v>47620</v>
      </c>
      <c r="E1605" s="1">
        <f>IFERROR(__xludf.DUMMYFUNCTION("""COMPUTED_VALUE"""),47860.0)</f>
        <v>47860</v>
      </c>
      <c r="F1605" s="1">
        <f>IFERROR(__xludf.DUMMYFUNCTION("""COMPUTED_VALUE"""),162638.0)</f>
        <v>162638</v>
      </c>
    </row>
    <row r="1606">
      <c r="A1606" s="2">
        <f>IFERROR(__xludf.DUMMYFUNCTION("""COMPUTED_VALUE"""),42926.64583333333)</f>
        <v>42926.64583</v>
      </c>
      <c r="B1606" s="1">
        <f>IFERROR(__xludf.DUMMYFUNCTION("""COMPUTED_VALUE"""),48500.0)</f>
        <v>48500</v>
      </c>
      <c r="C1606" s="1">
        <f>IFERROR(__xludf.DUMMYFUNCTION("""COMPUTED_VALUE"""),48900.0)</f>
        <v>48900</v>
      </c>
      <c r="D1606" s="1">
        <f>IFERROR(__xludf.DUMMYFUNCTION("""COMPUTED_VALUE"""),48320.0)</f>
        <v>48320</v>
      </c>
      <c r="E1606" s="1">
        <f>IFERROR(__xludf.DUMMYFUNCTION("""COMPUTED_VALUE"""),48660.0)</f>
        <v>48660</v>
      </c>
      <c r="F1606" s="1">
        <f>IFERROR(__xludf.DUMMYFUNCTION("""COMPUTED_VALUE"""),215855.0)</f>
        <v>215855</v>
      </c>
    </row>
    <row r="1607">
      <c r="A1607" s="2">
        <f>IFERROR(__xludf.DUMMYFUNCTION("""COMPUTED_VALUE"""),42927.64583333333)</f>
        <v>42927.64583</v>
      </c>
      <c r="B1607" s="1">
        <f>IFERROR(__xludf.DUMMYFUNCTION("""COMPUTED_VALUE"""),48640.0)</f>
        <v>48640</v>
      </c>
      <c r="C1607" s="1">
        <f>IFERROR(__xludf.DUMMYFUNCTION("""COMPUTED_VALUE"""),49000.0)</f>
        <v>49000</v>
      </c>
      <c r="D1607" s="1">
        <f>IFERROR(__xludf.DUMMYFUNCTION("""COMPUTED_VALUE"""),48280.0)</f>
        <v>48280</v>
      </c>
      <c r="E1607" s="1">
        <f>IFERROR(__xludf.DUMMYFUNCTION("""COMPUTED_VALUE"""),49000.0)</f>
        <v>49000</v>
      </c>
      <c r="F1607" s="1">
        <f>IFERROR(__xludf.DUMMYFUNCTION("""COMPUTED_VALUE"""),194356.0)</f>
        <v>194356</v>
      </c>
    </row>
    <row r="1608">
      <c r="A1608" s="2">
        <f>IFERROR(__xludf.DUMMYFUNCTION("""COMPUTED_VALUE"""),42928.64583333333)</f>
        <v>42928.64583</v>
      </c>
      <c r="B1608" s="1">
        <f>IFERROR(__xludf.DUMMYFUNCTION("""COMPUTED_VALUE"""),49000.0)</f>
        <v>49000</v>
      </c>
      <c r="C1608" s="1">
        <f>IFERROR(__xludf.DUMMYFUNCTION("""COMPUTED_VALUE"""),50000.0)</f>
        <v>50000</v>
      </c>
      <c r="D1608" s="1">
        <f>IFERROR(__xludf.DUMMYFUNCTION("""COMPUTED_VALUE"""),48840.0)</f>
        <v>48840</v>
      </c>
      <c r="E1608" s="1">
        <f>IFERROR(__xludf.DUMMYFUNCTION("""COMPUTED_VALUE"""),49880.0)</f>
        <v>49880</v>
      </c>
      <c r="F1608" s="1">
        <f>IFERROR(__xludf.DUMMYFUNCTION("""COMPUTED_VALUE"""),189723.0)</f>
        <v>189723</v>
      </c>
    </row>
    <row r="1609">
      <c r="A1609" s="2">
        <f>IFERROR(__xludf.DUMMYFUNCTION("""COMPUTED_VALUE"""),42929.64583333333)</f>
        <v>42929.64583</v>
      </c>
      <c r="B1609" s="1">
        <f>IFERROR(__xludf.DUMMYFUNCTION("""COMPUTED_VALUE"""),50080.0)</f>
        <v>50080</v>
      </c>
      <c r="C1609" s="1">
        <f>IFERROR(__xludf.DUMMYFUNCTION("""COMPUTED_VALUE"""),50940.0)</f>
        <v>50940</v>
      </c>
      <c r="D1609" s="1">
        <f>IFERROR(__xludf.DUMMYFUNCTION("""COMPUTED_VALUE"""),50040.0)</f>
        <v>50040</v>
      </c>
      <c r="E1609" s="1">
        <f>IFERROR(__xludf.DUMMYFUNCTION("""COMPUTED_VALUE"""),50560.0)</f>
        <v>50560</v>
      </c>
      <c r="F1609" s="1">
        <f>IFERROR(__xludf.DUMMYFUNCTION("""COMPUTED_VALUE"""),320683.0)</f>
        <v>320683</v>
      </c>
    </row>
    <row r="1610">
      <c r="A1610" s="2">
        <f>IFERROR(__xludf.DUMMYFUNCTION("""COMPUTED_VALUE"""),42930.64583333333)</f>
        <v>42930.64583</v>
      </c>
      <c r="B1610" s="1">
        <f>IFERROR(__xludf.DUMMYFUNCTION("""COMPUTED_VALUE"""),51000.0)</f>
        <v>51000</v>
      </c>
      <c r="C1610" s="1">
        <f>IFERROR(__xludf.DUMMYFUNCTION("""COMPUTED_VALUE"""),51080.0)</f>
        <v>51080</v>
      </c>
      <c r="D1610" s="1">
        <f>IFERROR(__xludf.DUMMYFUNCTION("""COMPUTED_VALUE"""),50420.0)</f>
        <v>50420</v>
      </c>
      <c r="E1610" s="1">
        <f>IFERROR(__xludf.DUMMYFUNCTION("""COMPUTED_VALUE"""),50480.0)</f>
        <v>50480</v>
      </c>
      <c r="F1610" s="1">
        <f>IFERROR(__xludf.DUMMYFUNCTION("""COMPUTED_VALUE"""),164780.0)</f>
        <v>164780</v>
      </c>
    </row>
    <row r="1611">
      <c r="A1611" s="2">
        <f>IFERROR(__xludf.DUMMYFUNCTION("""COMPUTED_VALUE"""),42933.64583333333)</f>
        <v>42933.64583</v>
      </c>
      <c r="B1611" s="1">
        <f>IFERROR(__xludf.DUMMYFUNCTION("""COMPUTED_VALUE"""),50900.0)</f>
        <v>50900</v>
      </c>
      <c r="C1611" s="1">
        <f>IFERROR(__xludf.DUMMYFUNCTION("""COMPUTED_VALUE"""),51020.0)</f>
        <v>51020</v>
      </c>
      <c r="D1611" s="1">
        <f>IFERROR(__xludf.DUMMYFUNCTION("""COMPUTED_VALUE"""),50520.0)</f>
        <v>50520</v>
      </c>
      <c r="E1611" s="1">
        <f>IFERROR(__xludf.DUMMYFUNCTION("""COMPUTED_VALUE"""),50640.0)</f>
        <v>50640</v>
      </c>
      <c r="F1611" s="1">
        <f>IFERROR(__xludf.DUMMYFUNCTION("""COMPUTED_VALUE"""),179522.0)</f>
        <v>179522</v>
      </c>
    </row>
    <row r="1612">
      <c r="A1612" s="2">
        <f>IFERROR(__xludf.DUMMYFUNCTION("""COMPUTED_VALUE"""),42934.64583333333)</f>
        <v>42934.64583</v>
      </c>
      <c r="B1612" s="1">
        <f>IFERROR(__xludf.DUMMYFUNCTION("""COMPUTED_VALUE"""),50420.0)</f>
        <v>50420</v>
      </c>
      <c r="C1612" s="1">
        <f>IFERROR(__xludf.DUMMYFUNCTION("""COMPUTED_VALUE"""),50880.0)</f>
        <v>50880</v>
      </c>
      <c r="D1612" s="1">
        <f>IFERROR(__xludf.DUMMYFUNCTION("""COMPUTED_VALUE"""),50360.0)</f>
        <v>50360</v>
      </c>
      <c r="E1612" s="1">
        <f>IFERROR(__xludf.DUMMYFUNCTION("""COMPUTED_VALUE"""),50840.0)</f>
        <v>50840</v>
      </c>
      <c r="F1612" s="1">
        <f>IFERROR(__xludf.DUMMYFUNCTION("""COMPUTED_VALUE"""),141689.0)</f>
        <v>141689</v>
      </c>
    </row>
    <row r="1613">
      <c r="A1613" s="2">
        <f>IFERROR(__xludf.DUMMYFUNCTION("""COMPUTED_VALUE"""),42935.64583333333)</f>
        <v>42935.64583</v>
      </c>
      <c r="B1613" s="1">
        <f>IFERROR(__xludf.DUMMYFUNCTION("""COMPUTED_VALUE"""),50620.0)</f>
        <v>50620</v>
      </c>
      <c r="C1613" s="1">
        <f>IFERROR(__xludf.DUMMYFUNCTION("""COMPUTED_VALUE"""),50820.0)</f>
        <v>50820</v>
      </c>
      <c r="D1613" s="1">
        <f>IFERROR(__xludf.DUMMYFUNCTION("""COMPUTED_VALUE"""),50000.0)</f>
        <v>50000</v>
      </c>
      <c r="E1613" s="1">
        <f>IFERROR(__xludf.DUMMYFUNCTION("""COMPUTED_VALUE"""),50740.0)</f>
        <v>50740</v>
      </c>
      <c r="F1613" s="1">
        <f>IFERROR(__xludf.DUMMYFUNCTION("""COMPUTED_VALUE"""),223150.0)</f>
        <v>223150</v>
      </c>
    </row>
    <row r="1614">
      <c r="A1614" s="2">
        <f>IFERROR(__xludf.DUMMYFUNCTION("""COMPUTED_VALUE"""),42936.64583333333)</f>
        <v>42936.64583</v>
      </c>
      <c r="B1614" s="1">
        <f>IFERROR(__xludf.DUMMYFUNCTION("""COMPUTED_VALUE"""),50760.0)</f>
        <v>50760</v>
      </c>
      <c r="C1614" s="1">
        <f>IFERROR(__xludf.DUMMYFUNCTION("""COMPUTED_VALUE"""),51320.0)</f>
        <v>51320</v>
      </c>
      <c r="D1614" s="1">
        <f>IFERROR(__xludf.DUMMYFUNCTION("""COMPUTED_VALUE"""),50560.0)</f>
        <v>50560</v>
      </c>
      <c r="E1614" s="1">
        <f>IFERROR(__xludf.DUMMYFUNCTION("""COMPUTED_VALUE"""),51200.0)</f>
        <v>51200</v>
      </c>
      <c r="F1614" s="1">
        <f>IFERROR(__xludf.DUMMYFUNCTION("""COMPUTED_VALUE"""),167352.0)</f>
        <v>167352</v>
      </c>
    </row>
    <row r="1615">
      <c r="A1615" s="2">
        <f>IFERROR(__xludf.DUMMYFUNCTION("""COMPUTED_VALUE"""),42937.64583333333)</f>
        <v>42937.64583</v>
      </c>
      <c r="B1615" s="1">
        <f>IFERROR(__xludf.DUMMYFUNCTION("""COMPUTED_VALUE"""),50860.0)</f>
        <v>50860</v>
      </c>
      <c r="C1615" s="1">
        <f>IFERROR(__xludf.DUMMYFUNCTION("""COMPUTED_VALUE"""),51160.0)</f>
        <v>51160</v>
      </c>
      <c r="D1615" s="1">
        <f>IFERROR(__xludf.DUMMYFUNCTION("""COMPUTED_VALUE"""),50520.0)</f>
        <v>50520</v>
      </c>
      <c r="E1615" s="1">
        <f>IFERROR(__xludf.DUMMYFUNCTION("""COMPUTED_VALUE"""),51080.0)</f>
        <v>51080</v>
      </c>
      <c r="F1615" s="1">
        <f>IFERROR(__xludf.DUMMYFUNCTION("""COMPUTED_VALUE"""),168981.0)</f>
        <v>168981</v>
      </c>
    </row>
    <row r="1616">
      <c r="A1616" s="2">
        <f>IFERROR(__xludf.DUMMYFUNCTION("""COMPUTED_VALUE"""),42940.64583333333)</f>
        <v>42940.64583</v>
      </c>
      <c r="B1616" s="1">
        <f>IFERROR(__xludf.DUMMYFUNCTION("""COMPUTED_VALUE"""),50700.0)</f>
        <v>50700</v>
      </c>
      <c r="C1616" s="1">
        <f>IFERROR(__xludf.DUMMYFUNCTION("""COMPUTED_VALUE"""),51000.0)</f>
        <v>51000</v>
      </c>
      <c r="D1616" s="1">
        <f>IFERROR(__xludf.DUMMYFUNCTION("""COMPUTED_VALUE"""),50620.0)</f>
        <v>50620</v>
      </c>
      <c r="E1616" s="1">
        <f>IFERROR(__xludf.DUMMYFUNCTION("""COMPUTED_VALUE"""),50860.0)</f>
        <v>50860</v>
      </c>
      <c r="F1616" s="1">
        <f>IFERROR(__xludf.DUMMYFUNCTION("""COMPUTED_VALUE"""),141995.0)</f>
        <v>141995</v>
      </c>
    </row>
    <row r="1617">
      <c r="A1617" s="2">
        <f>IFERROR(__xludf.DUMMYFUNCTION("""COMPUTED_VALUE"""),42941.64583333333)</f>
        <v>42941.64583</v>
      </c>
      <c r="B1617" s="1">
        <f>IFERROR(__xludf.DUMMYFUNCTION("""COMPUTED_VALUE"""),50500.0)</f>
        <v>50500</v>
      </c>
      <c r="C1617" s="1">
        <f>IFERROR(__xludf.DUMMYFUNCTION("""COMPUTED_VALUE"""),50760.0)</f>
        <v>50760</v>
      </c>
      <c r="D1617" s="1">
        <f>IFERROR(__xludf.DUMMYFUNCTION("""COMPUTED_VALUE"""),49940.0)</f>
        <v>49940</v>
      </c>
      <c r="E1617" s="1">
        <f>IFERROR(__xludf.DUMMYFUNCTION("""COMPUTED_VALUE"""),50000.0)</f>
        <v>50000</v>
      </c>
      <c r="F1617" s="1">
        <f>IFERROR(__xludf.DUMMYFUNCTION("""COMPUTED_VALUE"""),216212.0)</f>
        <v>216212</v>
      </c>
    </row>
    <row r="1618">
      <c r="A1618" s="2">
        <f>IFERROR(__xludf.DUMMYFUNCTION("""COMPUTED_VALUE"""),42942.64583333333)</f>
        <v>42942.64583</v>
      </c>
      <c r="B1618" s="1">
        <f>IFERROR(__xludf.DUMMYFUNCTION("""COMPUTED_VALUE"""),49600.0)</f>
        <v>49600</v>
      </c>
      <c r="C1618" s="1">
        <f>IFERROR(__xludf.DUMMYFUNCTION("""COMPUTED_VALUE"""),50020.0)</f>
        <v>50020</v>
      </c>
      <c r="D1618" s="1">
        <f>IFERROR(__xludf.DUMMYFUNCTION("""COMPUTED_VALUE"""),49300.0)</f>
        <v>49300</v>
      </c>
      <c r="E1618" s="1">
        <f>IFERROR(__xludf.DUMMYFUNCTION("""COMPUTED_VALUE"""),49840.0)</f>
        <v>49840</v>
      </c>
      <c r="F1618" s="1">
        <f>IFERROR(__xludf.DUMMYFUNCTION("""COMPUTED_VALUE"""),224496.0)</f>
        <v>224496</v>
      </c>
    </row>
    <row r="1619">
      <c r="A1619" s="2">
        <f>IFERROR(__xludf.DUMMYFUNCTION("""COMPUTED_VALUE"""),42943.64583333333)</f>
        <v>42943.64583</v>
      </c>
      <c r="B1619" s="1">
        <f>IFERROR(__xludf.DUMMYFUNCTION("""COMPUTED_VALUE"""),50000.0)</f>
        <v>50000</v>
      </c>
      <c r="C1619" s="1">
        <f>IFERROR(__xludf.DUMMYFUNCTION("""COMPUTED_VALUE"""),50640.0)</f>
        <v>50640</v>
      </c>
      <c r="D1619" s="1">
        <f>IFERROR(__xludf.DUMMYFUNCTION("""COMPUTED_VALUE"""),49560.0)</f>
        <v>49560</v>
      </c>
      <c r="E1619" s="1">
        <f>IFERROR(__xludf.DUMMYFUNCTION("""COMPUTED_VALUE"""),49800.0)</f>
        <v>49800</v>
      </c>
      <c r="F1619" s="1">
        <f>IFERROR(__xludf.DUMMYFUNCTION("""COMPUTED_VALUE"""),228990.0)</f>
        <v>228990</v>
      </c>
    </row>
    <row r="1620">
      <c r="A1620" s="2">
        <f>IFERROR(__xludf.DUMMYFUNCTION("""COMPUTED_VALUE"""),42944.64583333333)</f>
        <v>42944.64583</v>
      </c>
      <c r="B1620" s="1">
        <f>IFERROR(__xludf.DUMMYFUNCTION("""COMPUTED_VALUE"""),49800.0)</f>
        <v>49800</v>
      </c>
      <c r="C1620" s="1">
        <f>IFERROR(__xludf.DUMMYFUNCTION("""COMPUTED_VALUE"""),49800.0)</f>
        <v>49800</v>
      </c>
      <c r="D1620" s="1">
        <f>IFERROR(__xludf.DUMMYFUNCTION("""COMPUTED_VALUE"""),47380.0)</f>
        <v>47380</v>
      </c>
      <c r="E1620" s="1">
        <f>IFERROR(__xludf.DUMMYFUNCTION("""COMPUTED_VALUE"""),47760.0)</f>
        <v>47760</v>
      </c>
      <c r="F1620" s="1">
        <f>IFERROR(__xludf.DUMMYFUNCTION("""COMPUTED_VALUE"""),523366.0)</f>
        <v>523366</v>
      </c>
    </row>
    <row r="1621">
      <c r="A1621" s="2">
        <f>IFERROR(__xludf.DUMMYFUNCTION("""COMPUTED_VALUE"""),42947.64583333333)</f>
        <v>42947.64583</v>
      </c>
      <c r="B1621" s="1">
        <f>IFERROR(__xludf.DUMMYFUNCTION("""COMPUTED_VALUE"""),47420.0)</f>
        <v>47420</v>
      </c>
      <c r="C1621" s="1">
        <f>IFERROR(__xludf.DUMMYFUNCTION("""COMPUTED_VALUE"""),48240.0)</f>
        <v>48240</v>
      </c>
      <c r="D1621" s="1">
        <f>IFERROR(__xludf.DUMMYFUNCTION("""COMPUTED_VALUE"""),46920.0)</f>
        <v>46920</v>
      </c>
      <c r="E1621" s="1">
        <f>IFERROR(__xludf.DUMMYFUNCTION("""COMPUTED_VALUE"""),48200.0)</f>
        <v>48200</v>
      </c>
      <c r="F1621" s="1">
        <f>IFERROR(__xludf.DUMMYFUNCTION("""COMPUTED_VALUE"""),254028.0)</f>
        <v>254028</v>
      </c>
    </row>
    <row r="1622">
      <c r="A1622" s="2">
        <f>IFERROR(__xludf.DUMMYFUNCTION("""COMPUTED_VALUE"""),42948.64583333333)</f>
        <v>42948.64583</v>
      </c>
      <c r="B1622" s="1">
        <f>IFERROR(__xludf.DUMMYFUNCTION("""COMPUTED_VALUE"""),48000.0)</f>
        <v>48000</v>
      </c>
      <c r="C1622" s="1">
        <f>IFERROR(__xludf.DUMMYFUNCTION("""COMPUTED_VALUE"""),48840.0)</f>
        <v>48840</v>
      </c>
      <c r="D1622" s="1">
        <f>IFERROR(__xludf.DUMMYFUNCTION("""COMPUTED_VALUE"""),47540.0)</f>
        <v>47540</v>
      </c>
      <c r="E1622" s="1">
        <f>IFERROR(__xludf.DUMMYFUNCTION("""COMPUTED_VALUE"""),48600.0)</f>
        <v>48600</v>
      </c>
      <c r="F1622" s="1">
        <f>IFERROR(__xludf.DUMMYFUNCTION("""COMPUTED_VALUE"""),227390.0)</f>
        <v>227390</v>
      </c>
    </row>
    <row r="1623">
      <c r="A1623" s="2">
        <f>IFERROR(__xludf.DUMMYFUNCTION("""COMPUTED_VALUE"""),42949.64583333333)</f>
        <v>42949.64583</v>
      </c>
      <c r="B1623" s="1">
        <f>IFERROR(__xludf.DUMMYFUNCTION("""COMPUTED_VALUE"""),49200.0)</f>
        <v>49200</v>
      </c>
      <c r="C1623" s="1">
        <f>IFERROR(__xludf.DUMMYFUNCTION("""COMPUTED_VALUE"""),49340.0)</f>
        <v>49340</v>
      </c>
      <c r="D1623" s="1">
        <f>IFERROR(__xludf.DUMMYFUNCTION("""COMPUTED_VALUE"""),48600.0)</f>
        <v>48600</v>
      </c>
      <c r="E1623" s="1">
        <f>IFERROR(__xludf.DUMMYFUNCTION("""COMPUTED_VALUE"""),49000.0)</f>
        <v>49000</v>
      </c>
      <c r="F1623" s="1">
        <f>IFERROR(__xludf.DUMMYFUNCTION("""COMPUTED_VALUE"""),155549.0)</f>
        <v>155549</v>
      </c>
    </row>
    <row r="1624">
      <c r="A1624" s="2">
        <f>IFERROR(__xludf.DUMMYFUNCTION("""COMPUTED_VALUE"""),42950.64583333333)</f>
        <v>42950.64583</v>
      </c>
      <c r="B1624" s="1">
        <f>IFERROR(__xludf.DUMMYFUNCTION("""COMPUTED_VALUE"""),49000.0)</f>
        <v>49000</v>
      </c>
      <c r="C1624" s="1">
        <f>IFERROR(__xludf.DUMMYFUNCTION("""COMPUTED_VALUE"""),49000.0)</f>
        <v>49000</v>
      </c>
      <c r="D1624" s="1">
        <f>IFERROR(__xludf.DUMMYFUNCTION("""COMPUTED_VALUE"""),47120.0)</f>
        <v>47120</v>
      </c>
      <c r="E1624" s="1">
        <f>IFERROR(__xludf.DUMMYFUNCTION("""COMPUTED_VALUE"""),47780.0)</f>
        <v>47780</v>
      </c>
      <c r="F1624" s="1">
        <f>IFERROR(__xludf.DUMMYFUNCTION("""COMPUTED_VALUE"""),310816.0)</f>
        <v>310816</v>
      </c>
    </row>
    <row r="1625">
      <c r="A1625" s="2">
        <f>IFERROR(__xludf.DUMMYFUNCTION("""COMPUTED_VALUE"""),42951.64583333333)</f>
        <v>42951.64583</v>
      </c>
      <c r="B1625" s="1">
        <f>IFERROR(__xludf.DUMMYFUNCTION("""COMPUTED_VALUE"""),48160.0)</f>
        <v>48160</v>
      </c>
      <c r="C1625" s="1">
        <f>IFERROR(__xludf.DUMMYFUNCTION("""COMPUTED_VALUE"""),48180.0)</f>
        <v>48180</v>
      </c>
      <c r="D1625" s="1">
        <f>IFERROR(__xludf.DUMMYFUNCTION("""COMPUTED_VALUE"""),47500.0)</f>
        <v>47500</v>
      </c>
      <c r="E1625" s="1">
        <f>IFERROR(__xludf.DUMMYFUNCTION("""COMPUTED_VALUE"""),47700.0)</f>
        <v>47700</v>
      </c>
      <c r="F1625" s="1">
        <f>IFERROR(__xludf.DUMMYFUNCTION("""COMPUTED_VALUE"""),167184.0)</f>
        <v>167184</v>
      </c>
    </row>
    <row r="1626">
      <c r="A1626" s="2">
        <f>IFERROR(__xludf.DUMMYFUNCTION("""COMPUTED_VALUE"""),42954.64583333333)</f>
        <v>42954.64583</v>
      </c>
      <c r="B1626" s="1">
        <f>IFERROR(__xludf.DUMMYFUNCTION("""COMPUTED_VALUE"""),47500.0)</f>
        <v>47500</v>
      </c>
      <c r="C1626" s="1">
        <f>IFERROR(__xludf.DUMMYFUNCTION("""COMPUTED_VALUE"""),48080.0)</f>
        <v>48080</v>
      </c>
      <c r="D1626" s="1">
        <f>IFERROR(__xludf.DUMMYFUNCTION("""COMPUTED_VALUE"""),47440.0)</f>
        <v>47440</v>
      </c>
      <c r="E1626" s="1">
        <f>IFERROR(__xludf.DUMMYFUNCTION("""COMPUTED_VALUE"""),47580.0)</f>
        <v>47580</v>
      </c>
      <c r="F1626" s="1">
        <f>IFERROR(__xludf.DUMMYFUNCTION("""COMPUTED_VALUE"""),144365.0)</f>
        <v>144365</v>
      </c>
    </row>
    <row r="1627">
      <c r="A1627" s="2">
        <f>IFERROR(__xludf.DUMMYFUNCTION("""COMPUTED_VALUE"""),42955.64583333333)</f>
        <v>42955.64583</v>
      </c>
      <c r="B1627" s="1">
        <f>IFERROR(__xludf.DUMMYFUNCTION("""COMPUTED_VALUE"""),47980.0)</f>
        <v>47980</v>
      </c>
      <c r="C1627" s="1">
        <f>IFERROR(__xludf.DUMMYFUNCTION("""COMPUTED_VALUE"""),48260.0)</f>
        <v>48260</v>
      </c>
      <c r="D1627" s="1">
        <f>IFERROR(__xludf.DUMMYFUNCTION("""COMPUTED_VALUE"""),47480.0)</f>
        <v>47480</v>
      </c>
      <c r="E1627" s="1">
        <f>IFERROR(__xludf.DUMMYFUNCTION("""COMPUTED_VALUE"""),47720.0)</f>
        <v>47720</v>
      </c>
      <c r="F1627" s="1">
        <f>IFERROR(__xludf.DUMMYFUNCTION("""COMPUTED_VALUE"""),159592.0)</f>
        <v>159592</v>
      </c>
    </row>
    <row r="1628">
      <c r="A1628" s="2">
        <f>IFERROR(__xludf.DUMMYFUNCTION("""COMPUTED_VALUE"""),42956.64583333333)</f>
        <v>42956.64583</v>
      </c>
      <c r="B1628" s="1">
        <f>IFERROR(__xludf.DUMMYFUNCTION("""COMPUTED_VALUE"""),47400.0)</f>
        <v>47400</v>
      </c>
      <c r="C1628" s="1">
        <f>IFERROR(__xludf.DUMMYFUNCTION("""COMPUTED_VALUE"""),47400.0)</f>
        <v>47400</v>
      </c>
      <c r="D1628" s="1">
        <f>IFERROR(__xludf.DUMMYFUNCTION("""COMPUTED_VALUE"""),46240.0)</f>
        <v>46240</v>
      </c>
      <c r="E1628" s="1">
        <f>IFERROR(__xludf.DUMMYFUNCTION("""COMPUTED_VALUE"""),46280.0)</f>
        <v>46280</v>
      </c>
      <c r="F1628" s="1">
        <f>IFERROR(__xludf.DUMMYFUNCTION("""COMPUTED_VALUE"""),291108.0)</f>
        <v>291108</v>
      </c>
    </row>
    <row r="1629">
      <c r="A1629" s="2">
        <f>IFERROR(__xludf.DUMMYFUNCTION("""COMPUTED_VALUE"""),42957.64583333333)</f>
        <v>42957.64583</v>
      </c>
      <c r="B1629" s="1">
        <f>IFERROR(__xludf.DUMMYFUNCTION("""COMPUTED_VALUE"""),46200.0)</f>
        <v>46200</v>
      </c>
      <c r="C1629" s="1">
        <f>IFERROR(__xludf.DUMMYFUNCTION("""COMPUTED_VALUE"""),46320.0)</f>
        <v>46320</v>
      </c>
      <c r="D1629" s="1">
        <f>IFERROR(__xludf.DUMMYFUNCTION("""COMPUTED_VALUE"""),45460.0)</f>
        <v>45460</v>
      </c>
      <c r="E1629" s="1">
        <f>IFERROR(__xludf.DUMMYFUNCTION("""COMPUTED_VALUE"""),45900.0)</f>
        <v>45900</v>
      </c>
      <c r="F1629" s="1">
        <f>IFERROR(__xludf.DUMMYFUNCTION("""COMPUTED_VALUE"""),459723.0)</f>
        <v>459723</v>
      </c>
    </row>
    <row r="1630">
      <c r="A1630" s="2">
        <f>IFERROR(__xludf.DUMMYFUNCTION("""COMPUTED_VALUE"""),42958.64583333333)</f>
        <v>42958.64583</v>
      </c>
      <c r="B1630" s="1">
        <f>IFERROR(__xludf.DUMMYFUNCTION("""COMPUTED_VALUE"""),45120.0)</f>
        <v>45120</v>
      </c>
      <c r="C1630" s="1">
        <f>IFERROR(__xludf.DUMMYFUNCTION("""COMPUTED_VALUE"""),45300.0)</f>
        <v>45300</v>
      </c>
      <c r="D1630" s="1">
        <f>IFERROR(__xludf.DUMMYFUNCTION("""COMPUTED_VALUE"""),44220.0)</f>
        <v>44220</v>
      </c>
      <c r="E1630" s="1">
        <f>IFERROR(__xludf.DUMMYFUNCTION("""COMPUTED_VALUE"""),44620.0)</f>
        <v>44620</v>
      </c>
      <c r="F1630" s="1">
        <f>IFERROR(__xludf.DUMMYFUNCTION("""COMPUTED_VALUE"""),508146.0)</f>
        <v>508146</v>
      </c>
    </row>
    <row r="1631">
      <c r="A1631" s="2">
        <f>IFERROR(__xludf.DUMMYFUNCTION("""COMPUTED_VALUE"""),42961.64583333333)</f>
        <v>42961.64583</v>
      </c>
      <c r="B1631" s="1">
        <f>IFERROR(__xludf.DUMMYFUNCTION("""COMPUTED_VALUE"""),45120.0)</f>
        <v>45120</v>
      </c>
      <c r="C1631" s="1">
        <f>IFERROR(__xludf.DUMMYFUNCTION("""COMPUTED_VALUE"""),45400.0)</f>
        <v>45400</v>
      </c>
      <c r="D1631" s="1">
        <f>IFERROR(__xludf.DUMMYFUNCTION("""COMPUTED_VALUE"""),44720.0)</f>
        <v>44720</v>
      </c>
      <c r="E1631" s="1">
        <f>IFERROR(__xludf.DUMMYFUNCTION("""COMPUTED_VALUE"""),45000.0)</f>
        <v>45000</v>
      </c>
      <c r="F1631" s="1">
        <f>IFERROR(__xludf.DUMMYFUNCTION("""COMPUTED_VALUE"""),383712.0)</f>
        <v>383712</v>
      </c>
    </row>
    <row r="1632">
      <c r="A1632" s="2">
        <f>IFERROR(__xludf.DUMMYFUNCTION("""COMPUTED_VALUE"""),42963.64583333333)</f>
        <v>42963.64583</v>
      </c>
      <c r="B1632" s="1">
        <f>IFERROR(__xludf.DUMMYFUNCTION("""COMPUTED_VALUE"""),46220.0)</f>
        <v>46220</v>
      </c>
      <c r="C1632" s="1">
        <f>IFERROR(__xludf.DUMMYFUNCTION("""COMPUTED_VALUE"""),46380.0)</f>
        <v>46380</v>
      </c>
      <c r="D1632" s="1">
        <f>IFERROR(__xludf.DUMMYFUNCTION("""COMPUTED_VALUE"""),46000.0)</f>
        <v>46000</v>
      </c>
      <c r="E1632" s="1">
        <f>IFERROR(__xludf.DUMMYFUNCTION("""COMPUTED_VALUE"""),46200.0)</f>
        <v>46200</v>
      </c>
      <c r="F1632" s="1">
        <f>IFERROR(__xludf.DUMMYFUNCTION("""COMPUTED_VALUE"""),438273.0)</f>
        <v>438273</v>
      </c>
    </row>
    <row r="1633">
      <c r="A1633" s="2">
        <f>IFERROR(__xludf.DUMMYFUNCTION("""COMPUTED_VALUE"""),42964.64583333333)</f>
        <v>42964.64583</v>
      </c>
      <c r="B1633" s="1">
        <f>IFERROR(__xludf.DUMMYFUNCTION("""COMPUTED_VALUE"""),46960.0)</f>
        <v>46960</v>
      </c>
      <c r="C1633" s="1">
        <f>IFERROR(__xludf.DUMMYFUNCTION("""COMPUTED_VALUE"""),47300.0)</f>
        <v>47300</v>
      </c>
      <c r="D1633" s="1">
        <f>IFERROR(__xludf.DUMMYFUNCTION("""COMPUTED_VALUE"""),46740.0)</f>
        <v>46740</v>
      </c>
      <c r="E1633" s="1">
        <f>IFERROR(__xludf.DUMMYFUNCTION("""COMPUTED_VALUE"""),47040.0)</f>
        <v>47040</v>
      </c>
      <c r="F1633" s="1">
        <f>IFERROR(__xludf.DUMMYFUNCTION("""COMPUTED_VALUE"""),248317.0)</f>
        <v>248317</v>
      </c>
    </row>
    <row r="1634">
      <c r="A1634" s="2">
        <f>IFERROR(__xludf.DUMMYFUNCTION("""COMPUTED_VALUE"""),42965.64583333333)</f>
        <v>42965.64583</v>
      </c>
      <c r="B1634" s="1">
        <f>IFERROR(__xludf.DUMMYFUNCTION("""COMPUTED_VALUE"""),46760.0)</f>
        <v>46760</v>
      </c>
      <c r="C1634" s="1">
        <f>IFERROR(__xludf.DUMMYFUNCTION("""COMPUTED_VALUE"""),47240.0)</f>
        <v>47240</v>
      </c>
      <c r="D1634" s="1">
        <f>IFERROR(__xludf.DUMMYFUNCTION("""COMPUTED_VALUE"""),46240.0)</f>
        <v>46240</v>
      </c>
      <c r="E1634" s="1">
        <f>IFERROR(__xludf.DUMMYFUNCTION("""COMPUTED_VALUE"""),46900.0)</f>
        <v>46900</v>
      </c>
      <c r="F1634" s="1">
        <f>IFERROR(__xludf.DUMMYFUNCTION("""COMPUTED_VALUE"""),209559.0)</f>
        <v>209559</v>
      </c>
    </row>
    <row r="1635">
      <c r="A1635" s="2">
        <f>IFERROR(__xludf.DUMMYFUNCTION("""COMPUTED_VALUE"""),42968.64583333333)</f>
        <v>42968.64583</v>
      </c>
      <c r="B1635" s="1">
        <f>IFERROR(__xludf.DUMMYFUNCTION("""COMPUTED_VALUE"""),47240.0)</f>
        <v>47240</v>
      </c>
      <c r="C1635" s="1">
        <f>IFERROR(__xludf.DUMMYFUNCTION("""COMPUTED_VALUE"""),47240.0)</f>
        <v>47240</v>
      </c>
      <c r="D1635" s="1">
        <f>IFERROR(__xludf.DUMMYFUNCTION("""COMPUTED_VALUE"""),46580.0)</f>
        <v>46580</v>
      </c>
      <c r="E1635" s="1">
        <f>IFERROR(__xludf.DUMMYFUNCTION("""COMPUTED_VALUE"""),46840.0)</f>
        <v>46840</v>
      </c>
      <c r="F1635" s="1">
        <f>IFERROR(__xludf.DUMMYFUNCTION("""COMPUTED_VALUE"""),102069.0)</f>
        <v>102069</v>
      </c>
    </row>
    <row r="1636">
      <c r="A1636" s="2">
        <f>IFERROR(__xludf.DUMMYFUNCTION("""COMPUTED_VALUE"""),42969.64583333333)</f>
        <v>42969.64583</v>
      </c>
      <c r="B1636" s="1">
        <f>IFERROR(__xludf.DUMMYFUNCTION("""COMPUTED_VALUE"""),46820.0)</f>
        <v>46820</v>
      </c>
      <c r="C1636" s="1">
        <f>IFERROR(__xludf.DUMMYFUNCTION("""COMPUTED_VALUE"""),47160.0)</f>
        <v>47160</v>
      </c>
      <c r="D1636" s="1">
        <f>IFERROR(__xludf.DUMMYFUNCTION("""COMPUTED_VALUE"""),46700.0)</f>
        <v>46700</v>
      </c>
      <c r="E1636" s="1">
        <f>IFERROR(__xludf.DUMMYFUNCTION("""COMPUTED_VALUE"""),47000.0)</f>
        <v>47000</v>
      </c>
      <c r="F1636" s="1">
        <f>IFERROR(__xludf.DUMMYFUNCTION("""COMPUTED_VALUE"""),147635.0)</f>
        <v>147635</v>
      </c>
    </row>
    <row r="1637">
      <c r="A1637" s="2">
        <f>IFERROR(__xludf.DUMMYFUNCTION("""COMPUTED_VALUE"""),42970.64583333333)</f>
        <v>42970.64583</v>
      </c>
      <c r="B1637" s="1">
        <f>IFERROR(__xludf.DUMMYFUNCTION("""COMPUTED_VALUE"""),47780.0)</f>
        <v>47780</v>
      </c>
      <c r="C1637" s="1">
        <f>IFERROR(__xludf.DUMMYFUNCTION("""COMPUTED_VALUE"""),47780.0)</f>
        <v>47780</v>
      </c>
      <c r="D1637" s="1">
        <f>IFERROR(__xludf.DUMMYFUNCTION("""COMPUTED_VALUE"""),47180.0)</f>
        <v>47180</v>
      </c>
      <c r="E1637" s="1">
        <f>IFERROR(__xludf.DUMMYFUNCTION("""COMPUTED_VALUE"""),47480.0)</f>
        <v>47480</v>
      </c>
      <c r="F1637" s="1">
        <f>IFERROR(__xludf.DUMMYFUNCTION("""COMPUTED_VALUE"""),187694.0)</f>
        <v>187694</v>
      </c>
    </row>
    <row r="1638">
      <c r="A1638" s="2">
        <f>IFERROR(__xludf.DUMMYFUNCTION("""COMPUTED_VALUE"""),42971.64583333333)</f>
        <v>42971.64583</v>
      </c>
      <c r="B1638" s="1">
        <f>IFERROR(__xludf.DUMMYFUNCTION("""COMPUTED_VALUE"""),47520.0)</f>
        <v>47520</v>
      </c>
      <c r="C1638" s="1">
        <f>IFERROR(__xludf.DUMMYFUNCTION("""COMPUTED_VALUE"""),47660.0)</f>
        <v>47660</v>
      </c>
      <c r="D1638" s="1">
        <f>IFERROR(__xludf.DUMMYFUNCTION("""COMPUTED_VALUE"""),47340.0)</f>
        <v>47340</v>
      </c>
      <c r="E1638" s="1">
        <f>IFERROR(__xludf.DUMMYFUNCTION("""COMPUTED_VALUE"""),47520.0)</f>
        <v>47520</v>
      </c>
      <c r="F1638" s="1">
        <f>IFERROR(__xludf.DUMMYFUNCTION("""COMPUTED_VALUE"""),173149.0)</f>
        <v>173149</v>
      </c>
    </row>
    <row r="1639">
      <c r="A1639" s="2">
        <f>IFERROR(__xludf.DUMMYFUNCTION("""COMPUTED_VALUE"""),42972.64583333333)</f>
        <v>42972.64583</v>
      </c>
      <c r="B1639" s="1">
        <f>IFERROR(__xludf.DUMMYFUNCTION("""COMPUTED_VALUE"""),47880.0)</f>
        <v>47880</v>
      </c>
      <c r="C1639" s="1">
        <f>IFERROR(__xludf.DUMMYFUNCTION("""COMPUTED_VALUE"""),47880.0)</f>
        <v>47880</v>
      </c>
      <c r="D1639" s="1">
        <f>IFERROR(__xludf.DUMMYFUNCTION("""COMPUTED_VALUE"""),46720.0)</f>
        <v>46720</v>
      </c>
      <c r="E1639" s="1">
        <f>IFERROR(__xludf.DUMMYFUNCTION("""COMPUTED_VALUE"""),47020.0)</f>
        <v>47020</v>
      </c>
      <c r="F1639" s="1">
        <f>IFERROR(__xludf.DUMMYFUNCTION("""COMPUTED_VALUE"""),224871.0)</f>
        <v>224871</v>
      </c>
    </row>
    <row r="1640">
      <c r="A1640" s="2">
        <f>IFERROR(__xludf.DUMMYFUNCTION("""COMPUTED_VALUE"""),42975.64583333333)</f>
        <v>42975.64583</v>
      </c>
      <c r="B1640" s="1">
        <f>IFERROR(__xludf.DUMMYFUNCTION("""COMPUTED_VALUE"""),47020.0)</f>
        <v>47020</v>
      </c>
      <c r="C1640" s="1">
        <f>IFERROR(__xludf.DUMMYFUNCTION("""COMPUTED_VALUE"""),47240.0)</f>
        <v>47240</v>
      </c>
      <c r="D1640" s="1">
        <f>IFERROR(__xludf.DUMMYFUNCTION("""COMPUTED_VALUE"""),45960.0)</f>
        <v>45960</v>
      </c>
      <c r="E1640" s="1">
        <f>IFERROR(__xludf.DUMMYFUNCTION("""COMPUTED_VALUE"""),46100.0)</f>
        <v>46100</v>
      </c>
      <c r="F1640" s="1">
        <f>IFERROR(__xludf.DUMMYFUNCTION("""COMPUTED_VALUE"""),199242.0)</f>
        <v>199242</v>
      </c>
    </row>
    <row r="1641">
      <c r="A1641" s="2">
        <f>IFERROR(__xludf.DUMMYFUNCTION("""COMPUTED_VALUE"""),42976.64583333333)</f>
        <v>42976.64583</v>
      </c>
      <c r="B1641" s="1">
        <f>IFERROR(__xludf.DUMMYFUNCTION("""COMPUTED_VALUE"""),45640.0)</f>
        <v>45640</v>
      </c>
      <c r="C1641" s="1">
        <f>IFERROR(__xludf.DUMMYFUNCTION("""COMPUTED_VALUE"""),46080.0)</f>
        <v>46080</v>
      </c>
      <c r="D1641" s="1">
        <f>IFERROR(__xludf.DUMMYFUNCTION("""COMPUTED_VALUE"""),45160.0)</f>
        <v>45160</v>
      </c>
      <c r="E1641" s="1">
        <f>IFERROR(__xludf.DUMMYFUNCTION("""COMPUTED_VALUE"""),46080.0)</f>
        <v>46080</v>
      </c>
      <c r="F1641" s="1">
        <f>IFERROR(__xludf.DUMMYFUNCTION("""COMPUTED_VALUE"""),252473.0)</f>
        <v>252473</v>
      </c>
    </row>
    <row r="1642">
      <c r="A1642" s="2">
        <f>IFERROR(__xludf.DUMMYFUNCTION("""COMPUTED_VALUE"""),42977.64583333333)</f>
        <v>42977.64583</v>
      </c>
      <c r="B1642" s="1">
        <f>IFERROR(__xludf.DUMMYFUNCTION("""COMPUTED_VALUE"""),46380.0)</f>
        <v>46380</v>
      </c>
      <c r="C1642" s="1">
        <f>IFERROR(__xludf.DUMMYFUNCTION("""COMPUTED_VALUE"""),46400.0)</f>
        <v>46400</v>
      </c>
      <c r="D1642" s="1">
        <f>IFERROR(__xludf.DUMMYFUNCTION("""COMPUTED_VALUE"""),45960.0)</f>
        <v>45960</v>
      </c>
      <c r="E1642" s="1">
        <f>IFERROR(__xludf.DUMMYFUNCTION("""COMPUTED_VALUE"""),46200.0)</f>
        <v>46200</v>
      </c>
      <c r="F1642" s="1">
        <f>IFERROR(__xludf.DUMMYFUNCTION("""COMPUTED_VALUE"""),150260.0)</f>
        <v>150260</v>
      </c>
    </row>
    <row r="1643">
      <c r="A1643" s="2">
        <f>IFERROR(__xludf.DUMMYFUNCTION("""COMPUTED_VALUE"""),42978.64583333333)</f>
        <v>42978.64583</v>
      </c>
      <c r="B1643" s="1">
        <f>IFERROR(__xludf.DUMMYFUNCTION("""COMPUTED_VALUE"""),46220.0)</f>
        <v>46220</v>
      </c>
      <c r="C1643" s="1">
        <f>IFERROR(__xludf.DUMMYFUNCTION("""COMPUTED_VALUE"""),46640.0)</f>
        <v>46640</v>
      </c>
      <c r="D1643" s="1">
        <f>IFERROR(__xludf.DUMMYFUNCTION("""COMPUTED_VALUE"""),46000.0)</f>
        <v>46000</v>
      </c>
      <c r="E1643" s="1">
        <f>IFERROR(__xludf.DUMMYFUNCTION("""COMPUTED_VALUE"""),46320.0)</f>
        <v>46320</v>
      </c>
      <c r="F1643" s="1">
        <f>IFERROR(__xludf.DUMMYFUNCTION("""COMPUTED_VALUE"""),220234.0)</f>
        <v>220234</v>
      </c>
    </row>
    <row r="1644">
      <c r="A1644" s="2">
        <f>IFERROR(__xludf.DUMMYFUNCTION("""COMPUTED_VALUE"""),42979.64583333333)</f>
        <v>42979.64583</v>
      </c>
      <c r="B1644" s="1">
        <f>IFERROR(__xludf.DUMMYFUNCTION("""COMPUTED_VALUE"""),46460.0)</f>
        <v>46460</v>
      </c>
      <c r="C1644" s="1">
        <f>IFERROR(__xludf.DUMMYFUNCTION("""COMPUTED_VALUE"""),46640.0)</f>
        <v>46640</v>
      </c>
      <c r="D1644" s="1">
        <f>IFERROR(__xludf.DUMMYFUNCTION("""COMPUTED_VALUE"""),46300.0)</f>
        <v>46300</v>
      </c>
      <c r="E1644" s="1">
        <f>IFERROR(__xludf.DUMMYFUNCTION("""COMPUTED_VALUE"""),46480.0)</f>
        <v>46480</v>
      </c>
      <c r="F1644" s="1">
        <f>IFERROR(__xludf.DUMMYFUNCTION("""COMPUTED_VALUE"""),212834.0)</f>
        <v>212834</v>
      </c>
    </row>
    <row r="1645">
      <c r="A1645" s="2">
        <f>IFERROR(__xludf.DUMMYFUNCTION("""COMPUTED_VALUE"""),42982.64583333333)</f>
        <v>42982.64583</v>
      </c>
      <c r="B1645" s="1">
        <f>IFERROR(__xludf.DUMMYFUNCTION("""COMPUTED_VALUE"""),45780.0)</f>
        <v>45780</v>
      </c>
      <c r="C1645" s="1">
        <f>IFERROR(__xludf.DUMMYFUNCTION("""COMPUTED_VALUE"""),46360.0)</f>
        <v>46360</v>
      </c>
      <c r="D1645" s="1">
        <f>IFERROR(__xludf.DUMMYFUNCTION("""COMPUTED_VALUE"""),45500.0)</f>
        <v>45500</v>
      </c>
      <c r="E1645" s="1">
        <f>IFERROR(__xludf.DUMMYFUNCTION("""COMPUTED_VALUE"""),46040.0)</f>
        <v>46040</v>
      </c>
      <c r="F1645" s="1">
        <f>IFERROR(__xludf.DUMMYFUNCTION("""COMPUTED_VALUE"""),158870.0)</f>
        <v>158870</v>
      </c>
    </row>
    <row r="1646">
      <c r="A1646" s="2">
        <f>IFERROR(__xludf.DUMMYFUNCTION("""COMPUTED_VALUE"""),42983.64583333333)</f>
        <v>42983.64583</v>
      </c>
      <c r="B1646" s="1">
        <f>IFERROR(__xludf.DUMMYFUNCTION("""COMPUTED_VALUE"""),46240.0)</f>
        <v>46240</v>
      </c>
      <c r="C1646" s="1">
        <f>IFERROR(__xludf.DUMMYFUNCTION("""COMPUTED_VALUE"""),46900.0)</f>
        <v>46900</v>
      </c>
      <c r="D1646" s="1">
        <f>IFERROR(__xludf.DUMMYFUNCTION("""COMPUTED_VALUE"""),45960.0)</f>
        <v>45960</v>
      </c>
      <c r="E1646" s="1">
        <f>IFERROR(__xludf.DUMMYFUNCTION("""COMPUTED_VALUE"""),46760.0)</f>
        <v>46760</v>
      </c>
      <c r="F1646" s="1">
        <f>IFERROR(__xludf.DUMMYFUNCTION("""COMPUTED_VALUE"""),234322.0)</f>
        <v>234322</v>
      </c>
    </row>
    <row r="1647">
      <c r="A1647" s="2">
        <f>IFERROR(__xludf.DUMMYFUNCTION("""COMPUTED_VALUE"""),42984.64583333333)</f>
        <v>42984.64583</v>
      </c>
      <c r="B1647" s="1">
        <f>IFERROR(__xludf.DUMMYFUNCTION("""COMPUTED_VALUE"""),46760.0)</f>
        <v>46760</v>
      </c>
      <c r="C1647" s="1">
        <f>IFERROR(__xludf.DUMMYFUNCTION("""COMPUTED_VALUE"""),47180.0)</f>
        <v>47180</v>
      </c>
      <c r="D1647" s="1">
        <f>IFERROR(__xludf.DUMMYFUNCTION("""COMPUTED_VALUE"""),46700.0)</f>
        <v>46700</v>
      </c>
      <c r="E1647" s="1">
        <f>IFERROR(__xludf.DUMMYFUNCTION("""COMPUTED_VALUE"""),47000.0)</f>
        <v>47000</v>
      </c>
      <c r="F1647" s="1">
        <f>IFERROR(__xludf.DUMMYFUNCTION("""COMPUTED_VALUE"""),216221.0)</f>
        <v>216221</v>
      </c>
    </row>
    <row r="1648">
      <c r="A1648" s="2">
        <f>IFERROR(__xludf.DUMMYFUNCTION("""COMPUTED_VALUE"""),42985.64583333333)</f>
        <v>42985.64583</v>
      </c>
      <c r="B1648" s="1">
        <f>IFERROR(__xludf.DUMMYFUNCTION("""COMPUTED_VALUE"""),47000.0)</f>
        <v>47000</v>
      </c>
      <c r="C1648" s="1">
        <f>IFERROR(__xludf.DUMMYFUNCTION("""COMPUTED_VALUE"""),48220.0)</f>
        <v>48220</v>
      </c>
      <c r="D1648" s="1">
        <f>IFERROR(__xludf.DUMMYFUNCTION("""COMPUTED_VALUE"""),47000.0)</f>
        <v>47000</v>
      </c>
      <c r="E1648" s="1">
        <f>IFERROR(__xludf.DUMMYFUNCTION("""COMPUTED_VALUE"""),48120.0)</f>
        <v>48120</v>
      </c>
      <c r="F1648" s="1">
        <f>IFERROR(__xludf.DUMMYFUNCTION("""COMPUTED_VALUE"""),193530.0)</f>
        <v>193530</v>
      </c>
    </row>
    <row r="1649">
      <c r="A1649" s="2">
        <f>IFERROR(__xludf.DUMMYFUNCTION("""COMPUTED_VALUE"""),42986.64583333333)</f>
        <v>42986.64583</v>
      </c>
      <c r="B1649" s="1">
        <f>IFERROR(__xludf.DUMMYFUNCTION("""COMPUTED_VALUE"""),48700.0)</f>
        <v>48700</v>
      </c>
      <c r="C1649" s="1">
        <f>IFERROR(__xludf.DUMMYFUNCTION("""COMPUTED_VALUE"""),49180.0)</f>
        <v>49180</v>
      </c>
      <c r="D1649" s="1">
        <f>IFERROR(__xludf.DUMMYFUNCTION("""COMPUTED_VALUE"""),48580.0)</f>
        <v>48580</v>
      </c>
      <c r="E1649" s="1">
        <f>IFERROR(__xludf.DUMMYFUNCTION("""COMPUTED_VALUE"""),49080.0)</f>
        <v>49080</v>
      </c>
      <c r="F1649" s="1">
        <f>IFERROR(__xludf.DUMMYFUNCTION("""COMPUTED_VALUE"""),217860.0)</f>
        <v>217860</v>
      </c>
    </row>
    <row r="1650">
      <c r="A1650" s="2">
        <f>IFERROR(__xludf.DUMMYFUNCTION("""COMPUTED_VALUE"""),42989.64583333333)</f>
        <v>42989.64583</v>
      </c>
      <c r="B1650" s="1">
        <f>IFERROR(__xludf.DUMMYFUNCTION("""COMPUTED_VALUE"""),49700.0)</f>
        <v>49700</v>
      </c>
      <c r="C1650" s="1">
        <f>IFERROR(__xludf.DUMMYFUNCTION("""COMPUTED_VALUE"""),50180.0)</f>
        <v>50180</v>
      </c>
      <c r="D1650" s="1">
        <f>IFERROR(__xludf.DUMMYFUNCTION("""COMPUTED_VALUE"""),49500.0)</f>
        <v>49500</v>
      </c>
      <c r="E1650" s="1">
        <f>IFERROR(__xludf.DUMMYFUNCTION("""COMPUTED_VALUE"""),49800.0)</f>
        <v>49800</v>
      </c>
      <c r="F1650" s="1">
        <f>IFERROR(__xludf.DUMMYFUNCTION("""COMPUTED_VALUE"""),207495.0)</f>
        <v>207495</v>
      </c>
    </row>
    <row r="1651">
      <c r="A1651" s="2">
        <f>IFERROR(__xludf.DUMMYFUNCTION("""COMPUTED_VALUE"""),42990.64583333333)</f>
        <v>42990.64583</v>
      </c>
      <c r="B1651" s="1">
        <f>IFERROR(__xludf.DUMMYFUNCTION("""COMPUTED_VALUE"""),50200.0)</f>
        <v>50200</v>
      </c>
      <c r="C1651" s="1">
        <f>IFERROR(__xludf.DUMMYFUNCTION("""COMPUTED_VALUE"""),50220.0)</f>
        <v>50220</v>
      </c>
      <c r="D1651" s="1">
        <f>IFERROR(__xludf.DUMMYFUNCTION("""COMPUTED_VALUE"""),49140.0)</f>
        <v>49140</v>
      </c>
      <c r="E1651" s="1">
        <f>IFERROR(__xludf.DUMMYFUNCTION("""COMPUTED_VALUE"""),49600.0)</f>
        <v>49600</v>
      </c>
      <c r="F1651" s="1">
        <f>IFERROR(__xludf.DUMMYFUNCTION("""COMPUTED_VALUE"""),240595.0)</f>
        <v>240595</v>
      </c>
    </row>
    <row r="1652">
      <c r="A1652" s="2">
        <f>IFERROR(__xludf.DUMMYFUNCTION("""COMPUTED_VALUE"""),42991.64583333333)</f>
        <v>42991.64583</v>
      </c>
      <c r="B1652" s="1">
        <f>IFERROR(__xludf.DUMMYFUNCTION("""COMPUTED_VALUE"""),49820.0)</f>
        <v>49820</v>
      </c>
      <c r="C1652" s="1">
        <f>IFERROR(__xludf.DUMMYFUNCTION("""COMPUTED_VALUE"""),50400.0)</f>
        <v>50400</v>
      </c>
      <c r="D1652" s="1">
        <f>IFERROR(__xludf.DUMMYFUNCTION("""COMPUTED_VALUE"""),49440.0)</f>
        <v>49440</v>
      </c>
      <c r="E1652" s="1">
        <f>IFERROR(__xludf.DUMMYFUNCTION("""COMPUTED_VALUE"""),49620.0)</f>
        <v>49620</v>
      </c>
      <c r="F1652" s="1">
        <f>IFERROR(__xludf.DUMMYFUNCTION("""COMPUTED_VALUE"""),187140.0)</f>
        <v>187140</v>
      </c>
    </row>
    <row r="1653">
      <c r="A1653" s="2">
        <f>IFERROR(__xludf.DUMMYFUNCTION("""COMPUTED_VALUE"""),42992.64583333333)</f>
        <v>42992.64583</v>
      </c>
      <c r="B1653" s="1">
        <f>IFERROR(__xludf.DUMMYFUNCTION("""COMPUTED_VALUE"""),50060.0)</f>
        <v>50060</v>
      </c>
      <c r="C1653" s="1">
        <f>IFERROR(__xludf.DUMMYFUNCTION("""COMPUTED_VALUE"""),50320.0)</f>
        <v>50320</v>
      </c>
      <c r="D1653" s="1">
        <f>IFERROR(__xludf.DUMMYFUNCTION("""COMPUTED_VALUE"""),49760.0)</f>
        <v>49760</v>
      </c>
      <c r="E1653" s="1">
        <f>IFERROR(__xludf.DUMMYFUNCTION("""COMPUTED_VALUE"""),50300.0)</f>
        <v>50300</v>
      </c>
      <c r="F1653" s="1">
        <f>IFERROR(__xludf.DUMMYFUNCTION("""COMPUTED_VALUE"""),284095.0)</f>
        <v>284095</v>
      </c>
    </row>
    <row r="1654">
      <c r="A1654" s="2">
        <f>IFERROR(__xludf.DUMMYFUNCTION("""COMPUTED_VALUE"""),42993.64583333333)</f>
        <v>42993.64583</v>
      </c>
      <c r="B1654" s="1">
        <f>IFERROR(__xludf.DUMMYFUNCTION("""COMPUTED_VALUE"""),50300.0)</f>
        <v>50300</v>
      </c>
      <c r="C1654" s="1">
        <f>IFERROR(__xludf.DUMMYFUNCTION("""COMPUTED_VALUE"""),50560.0)</f>
        <v>50560</v>
      </c>
      <c r="D1654" s="1">
        <f>IFERROR(__xludf.DUMMYFUNCTION("""COMPUTED_VALUE"""),49860.0)</f>
        <v>49860</v>
      </c>
      <c r="E1654" s="1">
        <f>IFERROR(__xludf.DUMMYFUNCTION("""COMPUTED_VALUE"""),50400.0)</f>
        <v>50400</v>
      </c>
      <c r="F1654" s="1">
        <f>IFERROR(__xludf.DUMMYFUNCTION("""COMPUTED_VALUE"""),215146.0)</f>
        <v>215146</v>
      </c>
    </row>
    <row r="1655">
      <c r="A1655" s="2">
        <f>IFERROR(__xludf.DUMMYFUNCTION("""COMPUTED_VALUE"""),42996.64583333333)</f>
        <v>42996.64583</v>
      </c>
      <c r="B1655" s="1">
        <f>IFERROR(__xludf.DUMMYFUNCTION("""COMPUTED_VALUE"""),50540.0)</f>
        <v>50540</v>
      </c>
      <c r="C1655" s="1">
        <f>IFERROR(__xludf.DUMMYFUNCTION("""COMPUTED_VALUE"""),52480.0)</f>
        <v>52480</v>
      </c>
      <c r="D1655" s="1">
        <f>IFERROR(__xludf.DUMMYFUNCTION("""COMPUTED_VALUE"""),50520.0)</f>
        <v>50520</v>
      </c>
      <c r="E1655" s="1">
        <f>IFERROR(__xludf.DUMMYFUNCTION("""COMPUTED_VALUE"""),52480.0)</f>
        <v>52480</v>
      </c>
      <c r="F1655" s="1">
        <f>IFERROR(__xludf.DUMMYFUNCTION("""COMPUTED_VALUE"""),230499.0)</f>
        <v>230499</v>
      </c>
    </row>
    <row r="1656">
      <c r="A1656" s="2">
        <f>IFERROR(__xludf.DUMMYFUNCTION("""COMPUTED_VALUE"""),42997.64583333333)</f>
        <v>42997.64583</v>
      </c>
      <c r="B1656" s="1">
        <f>IFERROR(__xludf.DUMMYFUNCTION("""COMPUTED_VALUE"""),52500.0)</f>
        <v>52500</v>
      </c>
      <c r="C1656" s="1">
        <f>IFERROR(__xludf.DUMMYFUNCTION("""COMPUTED_VALUE"""),52640.0)</f>
        <v>52640</v>
      </c>
      <c r="D1656" s="1">
        <f>IFERROR(__xludf.DUMMYFUNCTION("""COMPUTED_VALUE"""),51780.0)</f>
        <v>51780</v>
      </c>
      <c r="E1656" s="1">
        <f>IFERROR(__xludf.DUMMYFUNCTION("""COMPUTED_VALUE"""),52120.0)</f>
        <v>52120</v>
      </c>
      <c r="F1656" s="1">
        <f>IFERROR(__xludf.DUMMYFUNCTION("""COMPUTED_VALUE"""),197008.0)</f>
        <v>197008</v>
      </c>
    </row>
    <row r="1657">
      <c r="A1657" s="2">
        <f>IFERROR(__xludf.DUMMYFUNCTION("""COMPUTED_VALUE"""),42998.64583333333)</f>
        <v>42998.64583</v>
      </c>
      <c r="B1657" s="1">
        <f>IFERROR(__xludf.DUMMYFUNCTION("""COMPUTED_VALUE"""),52120.0)</f>
        <v>52120</v>
      </c>
      <c r="C1657" s="1">
        <f>IFERROR(__xludf.DUMMYFUNCTION("""COMPUTED_VALUE"""),52500.0)</f>
        <v>52500</v>
      </c>
      <c r="D1657" s="1">
        <f>IFERROR(__xludf.DUMMYFUNCTION("""COMPUTED_VALUE"""),51840.0)</f>
        <v>51840</v>
      </c>
      <c r="E1657" s="1">
        <f>IFERROR(__xludf.DUMMYFUNCTION("""COMPUTED_VALUE"""),52220.0)</f>
        <v>52220</v>
      </c>
      <c r="F1657" s="1">
        <f>IFERROR(__xludf.DUMMYFUNCTION("""COMPUTED_VALUE"""),185855.0)</f>
        <v>185855</v>
      </c>
    </row>
    <row r="1658">
      <c r="A1658" s="2">
        <f>IFERROR(__xludf.DUMMYFUNCTION("""COMPUTED_VALUE"""),42999.64583333333)</f>
        <v>42999.64583</v>
      </c>
      <c r="B1658" s="1">
        <f>IFERROR(__xludf.DUMMYFUNCTION("""COMPUTED_VALUE"""),52220.0)</f>
        <v>52220</v>
      </c>
      <c r="C1658" s="1">
        <f>IFERROR(__xludf.DUMMYFUNCTION("""COMPUTED_VALUE"""),52960.0)</f>
        <v>52960</v>
      </c>
      <c r="D1658" s="1">
        <f>IFERROR(__xludf.DUMMYFUNCTION("""COMPUTED_VALUE"""),52220.0)</f>
        <v>52220</v>
      </c>
      <c r="E1658" s="1">
        <f>IFERROR(__xludf.DUMMYFUNCTION("""COMPUTED_VALUE"""),52800.0)</f>
        <v>52800</v>
      </c>
      <c r="F1658" s="1">
        <f>IFERROR(__xludf.DUMMYFUNCTION("""COMPUTED_VALUE"""),176796.0)</f>
        <v>176796</v>
      </c>
    </row>
    <row r="1659">
      <c r="A1659" s="2">
        <f>IFERROR(__xludf.DUMMYFUNCTION("""COMPUTED_VALUE"""),43000.64583333333)</f>
        <v>43000.64583</v>
      </c>
      <c r="B1659" s="1">
        <f>IFERROR(__xludf.DUMMYFUNCTION("""COMPUTED_VALUE"""),52960.0)</f>
        <v>52960</v>
      </c>
      <c r="C1659" s="1">
        <f>IFERROR(__xludf.DUMMYFUNCTION("""COMPUTED_VALUE"""),53600.0)</f>
        <v>53600</v>
      </c>
      <c r="D1659" s="1">
        <f>IFERROR(__xludf.DUMMYFUNCTION("""COMPUTED_VALUE"""),52460.0)</f>
        <v>52460</v>
      </c>
      <c r="E1659" s="1">
        <f>IFERROR(__xludf.DUMMYFUNCTION("""COMPUTED_VALUE"""),53000.0)</f>
        <v>53000</v>
      </c>
      <c r="F1659" s="1">
        <f>IFERROR(__xludf.DUMMYFUNCTION("""COMPUTED_VALUE"""),278448.0)</f>
        <v>278448</v>
      </c>
    </row>
    <row r="1660">
      <c r="A1660" s="2">
        <f>IFERROR(__xludf.DUMMYFUNCTION("""COMPUTED_VALUE"""),43003.64583333333)</f>
        <v>43003.64583</v>
      </c>
      <c r="B1660" s="1">
        <f>IFERROR(__xludf.DUMMYFUNCTION("""COMPUTED_VALUE"""),53000.0)</f>
        <v>53000</v>
      </c>
      <c r="C1660" s="1">
        <f>IFERROR(__xludf.DUMMYFUNCTION("""COMPUTED_VALUE"""),53680.0)</f>
        <v>53680</v>
      </c>
      <c r="D1660" s="1">
        <f>IFERROR(__xludf.DUMMYFUNCTION("""COMPUTED_VALUE"""),53000.0)</f>
        <v>53000</v>
      </c>
      <c r="E1660" s="1">
        <f>IFERROR(__xludf.DUMMYFUNCTION("""COMPUTED_VALUE"""),53620.0)</f>
        <v>53620</v>
      </c>
      <c r="F1660" s="1">
        <f>IFERROR(__xludf.DUMMYFUNCTION("""COMPUTED_VALUE"""),186062.0)</f>
        <v>186062</v>
      </c>
    </row>
    <row r="1661">
      <c r="A1661" s="2">
        <f>IFERROR(__xludf.DUMMYFUNCTION("""COMPUTED_VALUE"""),43004.64583333333)</f>
        <v>43004.64583</v>
      </c>
      <c r="B1661" s="1">
        <f>IFERROR(__xludf.DUMMYFUNCTION("""COMPUTED_VALUE"""),53020.0)</f>
        <v>53020</v>
      </c>
      <c r="C1661" s="1">
        <f>IFERROR(__xludf.DUMMYFUNCTION("""COMPUTED_VALUE"""),53120.0)</f>
        <v>53120</v>
      </c>
      <c r="D1661" s="1">
        <f>IFERROR(__xludf.DUMMYFUNCTION("""COMPUTED_VALUE"""),51560.0)</f>
        <v>51560</v>
      </c>
      <c r="E1661" s="1">
        <f>IFERROR(__xludf.DUMMYFUNCTION("""COMPUTED_VALUE"""),51660.0)</f>
        <v>51660</v>
      </c>
      <c r="F1661" s="1">
        <f>IFERROR(__xludf.DUMMYFUNCTION("""COMPUTED_VALUE"""),314076.0)</f>
        <v>314076</v>
      </c>
    </row>
    <row r="1662">
      <c r="A1662" s="2">
        <f>IFERROR(__xludf.DUMMYFUNCTION("""COMPUTED_VALUE"""),43005.64583333333)</f>
        <v>43005.64583</v>
      </c>
      <c r="B1662" s="1">
        <f>IFERROR(__xludf.DUMMYFUNCTION("""COMPUTED_VALUE"""),52000.0)</f>
        <v>52000</v>
      </c>
      <c r="C1662" s="1">
        <f>IFERROR(__xludf.DUMMYFUNCTION("""COMPUTED_VALUE"""),52200.0)</f>
        <v>52200</v>
      </c>
      <c r="D1662" s="1">
        <f>IFERROR(__xludf.DUMMYFUNCTION("""COMPUTED_VALUE"""),51500.0)</f>
        <v>51500</v>
      </c>
      <c r="E1662" s="1">
        <f>IFERROR(__xludf.DUMMYFUNCTION("""COMPUTED_VALUE"""),51680.0)</f>
        <v>51680</v>
      </c>
      <c r="F1662" s="1">
        <f>IFERROR(__xludf.DUMMYFUNCTION("""COMPUTED_VALUE"""),215940.0)</f>
        <v>215940</v>
      </c>
    </row>
    <row r="1663">
      <c r="A1663" s="2">
        <f>IFERROR(__xludf.DUMMYFUNCTION("""COMPUTED_VALUE"""),43006.64583333333)</f>
        <v>43006.64583</v>
      </c>
      <c r="B1663" s="1">
        <f>IFERROR(__xludf.DUMMYFUNCTION("""COMPUTED_VALUE"""),52260.0)</f>
        <v>52260</v>
      </c>
      <c r="C1663" s="1">
        <f>IFERROR(__xludf.DUMMYFUNCTION("""COMPUTED_VALUE"""),52460.0)</f>
        <v>52460</v>
      </c>
      <c r="D1663" s="1">
        <f>IFERROR(__xludf.DUMMYFUNCTION("""COMPUTED_VALUE"""),51260.0)</f>
        <v>51260</v>
      </c>
      <c r="E1663" s="1">
        <f>IFERROR(__xludf.DUMMYFUNCTION("""COMPUTED_VALUE"""),51260.0)</f>
        <v>51260</v>
      </c>
      <c r="F1663" s="1">
        <f>IFERROR(__xludf.DUMMYFUNCTION("""COMPUTED_VALUE"""),240509.0)</f>
        <v>240509</v>
      </c>
    </row>
    <row r="1664">
      <c r="A1664" s="2">
        <f>IFERROR(__xludf.DUMMYFUNCTION("""COMPUTED_VALUE"""),43007.64583333333)</f>
        <v>43007.64583</v>
      </c>
      <c r="B1664" s="1">
        <f>IFERROR(__xludf.DUMMYFUNCTION("""COMPUTED_VALUE"""),51180.0)</f>
        <v>51180</v>
      </c>
      <c r="C1664" s="1">
        <f>IFERROR(__xludf.DUMMYFUNCTION("""COMPUTED_VALUE"""),51620.0)</f>
        <v>51620</v>
      </c>
      <c r="D1664" s="1">
        <f>IFERROR(__xludf.DUMMYFUNCTION("""COMPUTED_VALUE"""),50840.0)</f>
        <v>50840</v>
      </c>
      <c r="E1664" s="1">
        <f>IFERROR(__xludf.DUMMYFUNCTION("""COMPUTED_VALUE"""),51280.0)</f>
        <v>51280</v>
      </c>
      <c r="F1664" s="1">
        <f>IFERROR(__xludf.DUMMYFUNCTION("""COMPUTED_VALUE"""),258188.0)</f>
        <v>258188</v>
      </c>
    </row>
    <row r="1665">
      <c r="A1665" s="2">
        <f>IFERROR(__xludf.DUMMYFUNCTION("""COMPUTED_VALUE"""),43018.64583333333)</f>
        <v>43018.64583</v>
      </c>
      <c r="B1665" s="1">
        <f>IFERROR(__xludf.DUMMYFUNCTION("""COMPUTED_VALUE"""),53360.0)</f>
        <v>53360</v>
      </c>
      <c r="C1665" s="1">
        <f>IFERROR(__xludf.DUMMYFUNCTION("""COMPUTED_VALUE"""),53640.0)</f>
        <v>53640</v>
      </c>
      <c r="D1665" s="1">
        <f>IFERROR(__xludf.DUMMYFUNCTION("""COMPUTED_VALUE"""),52800.0)</f>
        <v>52800</v>
      </c>
      <c r="E1665" s="1">
        <f>IFERROR(__xludf.DUMMYFUNCTION("""COMPUTED_VALUE"""),52800.0)</f>
        <v>52800</v>
      </c>
      <c r="F1665" s="1">
        <f>IFERROR(__xludf.DUMMYFUNCTION("""COMPUTED_VALUE"""),410396.0)</f>
        <v>410396</v>
      </c>
    </row>
    <row r="1666">
      <c r="A1666" s="2">
        <f>IFERROR(__xludf.DUMMYFUNCTION("""COMPUTED_VALUE"""),43019.64583333333)</f>
        <v>43019.64583</v>
      </c>
      <c r="B1666" s="1">
        <f>IFERROR(__xludf.DUMMYFUNCTION("""COMPUTED_VALUE"""),53600.0)</f>
        <v>53600</v>
      </c>
      <c r="C1666" s="1">
        <f>IFERROR(__xludf.DUMMYFUNCTION("""COMPUTED_VALUE"""),54760.0)</f>
        <v>54760</v>
      </c>
      <c r="D1666" s="1">
        <f>IFERROR(__xludf.DUMMYFUNCTION("""COMPUTED_VALUE"""),53340.0)</f>
        <v>53340</v>
      </c>
      <c r="E1666" s="1">
        <f>IFERROR(__xludf.DUMMYFUNCTION("""COMPUTED_VALUE"""),54640.0)</f>
        <v>54640</v>
      </c>
      <c r="F1666" s="1">
        <f>IFERROR(__xludf.DUMMYFUNCTION("""COMPUTED_VALUE"""),273043.0)</f>
        <v>273043</v>
      </c>
    </row>
    <row r="1667">
      <c r="A1667" s="2">
        <f>IFERROR(__xludf.DUMMYFUNCTION("""COMPUTED_VALUE"""),43020.64583333333)</f>
        <v>43020.64583</v>
      </c>
      <c r="B1667" s="1">
        <f>IFERROR(__xludf.DUMMYFUNCTION("""COMPUTED_VALUE"""),54840.0)</f>
        <v>54840</v>
      </c>
      <c r="C1667" s="1">
        <f>IFERROR(__xludf.DUMMYFUNCTION("""COMPUTED_VALUE"""),55160.0)</f>
        <v>55160</v>
      </c>
      <c r="D1667" s="1">
        <f>IFERROR(__xludf.DUMMYFUNCTION("""COMPUTED_VALUE"""),54100.0)</f>
        <v>54100</v>
      </c>
      <c r="E1667" s="1">
        <f>IFERROR(__xludf.DUMMYFUNCTION("""COMPUTED_VALUE"""),54800.0)</f>
        <v>54800</v>
      </c>
      <c r="F1667" s="1">
        <f>IFERROR(__xludf.DUMMYFUNCTION("""COMPUTED_VALUE"""),277814.0)</f>
        <v>277814</v>
      </c>
    </row>
    <row r="1668">
      <c r="A1668" s="2">
        <f>IFERROR(__xludf.DUMMYFUNCTION("""COMPUTED_VALUE"""),43021.64583333333)</f>
        <v>43021.64583</v>
      </c>
      <c r="B1668" s="1">
        <f>IFERROR(__xludf.DUMMYFUNCTION("""COMPUTED_VALUE"""),54540.0)</f>
        <v>54540</v>
      </c>
      <c r="C1668" s="1">
        <f>IFERROR(__xludf.DUMMYFUNCTION("""COMPUTED_VALUE"""),54840.0)</f>
        <v>54840</v>
      </c>
      <c r="D1668" s="1">
        <f>IFERROR(__xludf.DUMMYFUNCTION("""COMPUTED_VALUE"""),53780.0)</f>
        <v>53780</v>
      </c>
      <c r="E1668" s="1">
        <f>IFERROR(__xludf.DUMMYFUNCTION("""COMPUTED_VALUE"""),54000.0)</f>
        <v>54000</v>
      </c>
      <c r="F1668" s="1">
        <f>IFERROR(__xludf.DUMMYFUNCTION("""COMPUTED_VALUE"""),252033.0)</f>
        <v>252033</v>
      </c>
    </row>
    <row r="1669">
      <c r="A1669" s="2">
        <f>IFERROR(__xludf.DUMMYFUNCTION("""COMPUTED_VALUE"""),43024.64583333333)</f>
        <v>43024.64583</v>
      </c>
      <c r="B1669" s="1">
        <f>IFERROR(__xludf.DUMMYFUNCTION("""COMPUTED_VALUE"""),53980.0)</f>
        <v>53980</v>
      </c>
      <c r="C1669" s="1">
        <f>IFERROR(__xludf.DUMMYFUNCTION("""COMPUTED_VALUE"""),54860.0)</f>
        <v>54860</v>
      </c>
      <c r="D1669" s="1">
        <f>IFERROR(__xludf.DUMMYFUNCTION("""COMPUTED_VALUE"""),53760.0)</f>
        <v>53760</v>
      </c>
      <c r="E1669" s="1">
        <f>IFERROR(__xludf.DUMMYFUNCTION("""COMPUTED_VALUE"""),53920.0)</f>
        <v>53920</v>
      </c>
      <c r="F1669" s="1">
        <f>IFERROR(__xludf.DUMMYFUNCTION("""COMPUTED_VALUE"""),195399.0)</f>
        <v>195399</v>
      </c>
    </row>
    <row r="1670">
      <c r="A1670" s="2">
        <f>IFERROR(__xludf.DUMMYFUNCTION("""COMPUTED_VALUE"""),43025.64583333333)</f>
        <v>43025.64583</v>
      </c>
      <c r="B1670" s="1">
        <f>IFERROR(__xludf.DUMMYFUNCTION("""COMPUTED_VALUE"""),54020.0)</f>
        <v>54020</v>
      </c>
      <c r="C1670" s="1">
        <f>IFERROR(__xludf.DUMMYFUNCTION("""COMPUTED_VALUE"""),55380.0)</f>
        <v>55380</v>
      </c>
      <c r="D1670" s="1">
        <f>IFERROR(__xludf.DUMMYFUNCTION("""COMPUTED_VALUE"""),54000.0)</f>
        <v>54000</v>
      </c>
      <c r="E1670" s="1">
        <f>IFERROR(__xludf.DUMMYFUNCTION("""COMPUTED_VALUE"""),54800.0)</f>
        <v>54800</v>
      </c>
      <c r="F1670" s="1">
        <f>IFERROR(__xludf.DUMMYFUNCTION("""COMPUTED_VALUE"""),212156.0)</f>
        <v>212156</v>
      </c>
    </row>
    <row r="1671">
      <c r="A1671" s="2">
        <f>IFERROR(__xludf.DUMMYFUNCTION("""COMPUTED_VALUE"""),43026.64583333333)</f>
        <v>43026.64583</v>
      </c>
      <c r="B1671" s="1">
        <f>IFERROR(__xludf.DUMMYFUNCTION("""COMPUTED_VALUE"""),54820.0)</f>
        <v>54820</v>
      </c>
      <c r="C1671" s="1">
        <f>IFERROR(__xludf.DUMMYFUNCTION("""COMPUTED_VALUE"""),55240.0)</f>
        <v>55240</v>
      </c>
      <c r="D1671" s="1">
        <f>IFERROR(__xludf.DUMMYFUNCTION("""COMPUTED_VALUE"""),54040.0)</f>
        <v>54040</v>
      </c>
      <c r="E1671" s="1">
        <f>IFERROR(__xludf.DUMMYFUNCTION("""COMPUTED_VALUE"""),54760.0)</f>
        <v>54760</v>
      </c>
      <c r="F1671" s="1">
        <f>IFERROR(__xludf.DUMMYFUNCTION("""COMPUTED_VALUE"""),202215.0)</f>
        <v>202215</v>
      </c>
    </row>
    <row r="1672">
      <c r="A1672" s="2">
        <f>IFERROR(__xludf.DUMMYFUNCTION("""COMPUTED_VALUE"""),43027.64583333333)</f>
        <v>43027.64583</v>
      </c>
      <c r="B1672" s="1">
        <f>IFERROR(__xludf.DUMMYFUNCTION("""COMPUTED_VALUE"""),54700.0)</f>
        <v>54700</v>
      </c>
      <c r="C1672" s="1">
        <f>IFERROR(__xludf.DUMMYFUNCTION("""COMPUTED_VALUE"""),54700.0)</f>
        <v>54700</v>
      </c>
      <c r="D1672" s="1">
        <f>IFERROR(__xludf.DUMMYFUNCTION("""COMPUTED_VALUE"""),52980.0)</f>
        <v>52980</v>
      </c>
      <c r="E1672" s="1">
        <f>IFERROR(__xludf.DUMMYFUNCTION("""COMPUTED_VALUE"""),52980.0)</f>
        <v>52980</v>
      </c>
      <c r="F1672" s="1">
        <f>IFERROR(__xludf.DUMMYFUNCTION("""COMPUTED_VALUE"""),242174.0)</f>
        <v>242174</v>
      </c>
    </row>
    <row r="1673">
      <c r="A1673" s="2">
        <f>IFERROR(__xludf.DUMMYFUNCTION("""COMPUTED_VALUE"""),43028.64583333333)</f>
        <v>43028.64583</v>
      </c>
      <c r="B1673" s="1">
        <f>IFERROR(__xludf.DUMMYFUNCTION("""COMPUTED_VALUE"""),52800.0)</f>
        <v>52800</v>
      </c>
      <c r="C1673" s="1">
        <f>IFERROR(__xludf.DUMMYFUNCTION("""COMPUTED_VALUE"""),54100.0)</f>
        <v>54100</v>
      </c>
      <c r="D1673" s="1">
        <f>IFERROR(__xludf.DUMMYFUNCTION("""COMPUTED_VALUE"""),52800.0)</f>
        <v>52800</v>
      </c>
      <c r="E1673" s="1">
        <f>IFERROR(__xludf.DUMMYFUNCTION("""COMPUTED_VALUE"""),53840.0)</f>
        <v>53840</v>
      </c>
      <c r="F1673" s="1">
        <f>IFERROR(__xludf.DUMMYFUNCTION("""COMPUTED_VALUE"""),160541.0)</f>
        <v>160541</v>
      </c>
    </row>
    <row r="1674">
      <c r="A1674" s="2">
        <f>IFERROR(__xludf.DUMMYFUNCTION("""COMPUTED_VALUE"""),43031.64583333333)</f>
        <v>43031.64583</v>
      </c>
      <c r="B1674" s="1">
        <f>IFERROR(__xludf.DUMMYFUNCTION("""COMPUTED_VALUE"""),54600.0)</f>
        <v>54600</v>
      </c>
      <c r="C1674" s="1">
        <f>IFERROR(__xludf.DUMMYFUNCTION("""COMPUTED_VALUE"""),54640.0)</f>
        <v>54640</v>
      </c>
      <c r="D1674" s="1">
        <f>IFERROR(__xludf.DUMMYFUNCTION("""COMPUTED_VALUE"""),54000.0)</f>
        <v>54000</v>
      </c>
      <c r="E1674" s="1">
        <f>IFERROR(__xludf.DUMMYFUNCTION("""COMPUTED_VALUE"""),54300.0)</f>
        <v>54300</v>
      </c>
      <c r="F1674" s="1">
        <f>IFERROR(__xludf.DUMMYFUNCTION("""COMPUTED_VALUE"""),166221.0)</f>
        <v>166221</v>
      </c>
    </row>
    <row r="1675">
      <c r="A1675" s="2">
        <f>IFERROR(__xludf.DUMMYFUNCTION("""COMPUTED_VALUE"""),43032.64583333333)</f>
        <v>43032.64583</v>
      </c>
      <c r="B1675" s="1">
        <f>IFERROR(__xludf.DUMMYFUNCTION("""COMPUTED_VALUE"""),54700.0)</f>
        <v>54700</v>
      </c>
      <c r="C1675" s="1">
        <f>IFERROR(__xludf.DUMMYFUNCTION("""COMPUTED_VALUE"""),54780.0)</f>
        <v>54780</v>
      </c>
      <c r="D1675" s="1">
        <f>IFERROR(__xludf.DUMMYFUNCTION("""COMPUTED_VALUE"""),54040.0)</f>
        <v>54040</v>
      </c>
      <c r="E1675" s="1">
        <f>IFERROR(__xludf.DUMMYFUNCTION("""COMPUTED_VALUE"""),54040.0)</f>
        <v>54040</v>
      </c>
      <c r="F1675" s="1">
        <f>IFERROR(__xludf.DUMMYFUNCTION("""COMPUTED_VALUE"""),116121.0)</f>
        <v>116121</v>
      </c>
    </row>
    <row r="1676">
      <c r="A1676" s="2">
        <f>IFERROR(__xludf.DUMMYFUNCTION("""COMPUTED_VALUE"""),43033.64583333333)</f>
        <v>43033.64583</v>
      </c>
      <c r="B1676" s="1">
        <f>IFERROR(__xludf.DUMMYFUNCTION("""COMPUTED_VALUE"""),54040.0)</f>
        <v>54040</v>
      </c>
      <c r="C1676" s="1">
        <f>IFERROR(__xludf.DUMMYFUNCTION("""COMPUTED_VALUE"""),54420.0)</f>
        <v>54420</v>
      </c>
      <c r="D1676" s="1">
        <f>IFERROR(__xludf.DUMMYFUNCTION("""COMPUTED_VALUE"""),53700.0)</f>
        <v>53700</v>
      </c>
      <c r="E1676" s="1">
        <f>IFERROR(__xludf.DUMMYFUNCTION("""COMPUTED_VALUE"""),53900.0)</f>
        <v>53900</v>
      </c>
      <c r="F1676" s="1">
        <f>IFERROR(__xludf.DUMMYFUNCTION("""COMPUTED_VALUE"""),117657.0)</f>
        <v>117657</v>
      </c>
    </row>
    <row r="1677">
      <c r="A1677" s="2">
        <f>IFERROR(__xludf.DUMMYFUNCTION("""COMPUTED_VALUE"""),43034.64583333333)</f>
        <v>43034.64583</v>
      </c>
      <c r="B1677" s="1">
        <f>IFERROR(__xludf.DUMMYFUNCTION("""COMPUTED_VALUE"""),53720.0)</f>
        <v>53720</v>
      </c>
      <c r="C1677" s="1">
        <f>IFERROR(__xludf.DUMMYFUNCTION("""COMPUTED_VALUE"""),53900.0)</f>
        <v>53900</v>
      </c>
      <c r="D1677" s="1">
        <f>IFERROR(__xludf.DUMMYFUNCTION("""COMPUTED_VALUE"""),52400.0)</f>
        <v>52400</v>
      </c>
      <c r="E1677" s="1">
        <f>IFERROR(__xludf.DUMMYFUNCTION("""COMPUTED_VALUE"""),52400.0)</f>
        <v>52400</v>
      </c>
      <c r="F1677" s="1">
        <f>IFERROR(__xludf.DUMMYFUNCTION("""COMPUTED_VALUE"""),195531.0)</f>
        <v>195531</v>
      </c>
    </row>
    <row r="1678">
      <c r="A1678" s="2">
        <f>IFERROR(__xludf.DUMMYFUNCTION("""COMPUTED_VALUE"""),43035.64583333333)</f>
        <v>43035.64583</v>
      </c>
      <c r="B1678" s="1">
        <f>IFERROR(__xludf.DUMMYFUNCTION("""COMPUTED_VALUE"""),52400.0)</f>
        <v>52400</v>
      </c>
      <c r="C1678" s="1">
        <f>IFERROR(__xludf.DUMMYFUNCTION("""COMPUTED_VALUE"""),53320.0)</f>
        <v>53320</v>
      </c>
      <c r="D1678" s="1">
        <f>IFERROR(__xludf.DUMMYFUNCTION("""COMPUTED_VALUE"""),52140.0)</f>
        <v>52140</v>
      </c>
      <c r="E1678" s="1">
        <f>IFERROR(__xludf.DUMMYFUNCTION("""COMPUTED_VALUE"""),53080.0)</f>
        <v>53080</v>
      </c>
      <c r="F1678" s="1">
        <f>IFERROR(__xludf.DUMMYFUNCTION("""COMPUTED_VALUE"""),147850.0)</f>
        <v>147850</v>
      </c>
    </row>
    <row r="1679">
      <c r="A1679" s="2">
        <f>IFERROR(__xludf.DUMMYFUNCTION("""COMPUTED_VALUE"""),43038.64583333333)</f>
        <v>43038.64583</v>
      </c>
      <c r="B1679" s="1">
        <f>IFERROR(__xludf.DUMMYFUNCTION("""COMPUTED_VALUE"""),53780.0)</f>
        <v>53780</v>
      </c>
      <c r="C1679" s="1">
        <f>IFERROR(__xludf.DUMMYFUNCTION("""COMPUTED_VALUE"""),54320.0)</f>
        <v>54320</v>
      </c>
      <c r="D1679" s="1">
        <f>IFERROR(__xludf.DUMMYFUNCTION("""COMPUTED_VALUE"""),53700.0)</f>
        <v>53700</v>
      </c>
      <c r="E1679" s="1">
        <f>IFERROR(__xludf.DUMMYFUNCTION("""COMPUTED_VALUE"""),54040.0)</f>
        <v>54040</v>
      </c>
      <c r="F1679" s="1">
        <f>IFERROR(__xludf.DUMMYFUNCTION("""COMPUTED_VALUE"""),163923.0)</f>
        <v>163923</v>
      </c>
    </row>
    <row r="1680">
      <c r="A1680" s="2">
        <f>IFERROR(__xludf.DUMMYFUNCTION("""COMPUTED_VALUE"""),43039.64583333333)</f>
        <v>43039.64583</v>
      </c>
      <c r="B1680" s="1">
        <f>IFERROR(__xludf.DUMMYFUNCTION("""COMPUTED_VALUE"""),54060.0)</f>
        <v>54060</v>
      </c>
      <c r="C1680" s="1">
        <f>IFERROR(__xludf.DUMMYFUNCTION("""COMPUTED_VALUE"""),55440.0)</f>
        <v>55440</v>
      </c>
      <c r="D1680" s="1">
        <f>IFERROR(__xludf.DUMMYFUNCTION("""COMPUTED_VALUE"""),53500.0)</f>
        <v>53500</v>
      </c>
      <c r="E1680" s="1">
        <f>IFERROR(__xludf.DUMMYFUNCTION("""COMPUTED_VALUE"""),55080.0)</f>
        <v>55080</v>
      </c>
      <c r="F1680" s="1">
        <f>IFERROR(__xludf.DUMMYFUNCTION("""COMPUTED_VALUE"""),267631.0)</f>
        <v>267631</v>
      </c>
    </row>
    <row r="1681">
      <c r="A1681" s="2">
        <f>IFERROR(__xludf.DUMMYFUNCTION("""COMPUTED_VALUE"""),43040.64583333333)</f>
        <v>43040.64583</v>
      </c>
      <c r="B1681" s="1">
        <f>IFERROR(__xludf.DUMMYFUNCTION("""COMPUTED_VALUE"""),57500.0)</f>
        <v>57500</v>
      </c>
      <c r="C1681" s="1">
        <f>IFERROR(__xludf.DUMMYFUNCTION("""COMPUTED_VALUE"""),57500.0)</f>
        <v>57500</v>
      </c>
      <c r="D1681" s="1">
        <f>IFERROR(__xludf.DUMMYFUNCTION("""COMPUTED_VALUE"""),56180.0)</f>
        <v>56180</v>
      </c>
      <c r="E1681" s="1">
        <f>IFERROR(__xludf.DUMMYFUNCTION("""COMPUTED_VALUE"""),57220.0)</f>
        <v>57220</v>
      </c>
      <c r="F1681" s="1">
        <f>IFERROR(__xludf.DUMMYFUNCTION("""COMPUTED_VALUE"""),290205.0)</f>
        <v>290205</v>
      </c>
    </row>
    <row r="1682">
      <c r="A1682" s="2">
        <f>IFERROR(__xludf.DUMMYFUNCTION("""COMPUTED_VALUE"""),43041.64583333333)</f>
        <v>43041.64583</v>
      </c>
      <c r="B1682" s="1">
        <f>IFERROR(__xludf.DUMMYFUNCTION("""COMPUTED_VALUE"""),57500.0)</f>
        <v>57500</v>
      </c>
      <c r="C1682" s="1">
        <f>IFERROR(__xludf.DUMMYFUNCTION("""COMPUTED_VALUE"""),57520.0)</f>
        <v>57520</v>
      </c>
      <c r="D1682" s="1">
        <f>IFERROR(__xludf.DUMMYFUNCTION("""COMPUTED_VALUE"""),56760.0)</f>
        <v>56760</v>
      </c>
      <c r="E1682" s="1">
        <f>IFERROR(__xludf.DUMMYFUNCTION("""COMPUTED_VALUE"""),57060.0)</f>
        <v>57060</v>
      </c>
      <c r="F1682" s="1">
        <f>IFERROR(__xludf.DUMMYFUNCTION("""COMPUTED_VALUE"""),214421.0)</f>
        <v>214421</v>
      </c>
    </row>
    <row r="1683">
      <c r="A1683" s="2">
        <f>IFERROR(__xludf.DUMMYFUNCTION("""COMPUTED_VALUE"""),43042.64583333333)</f>
        <v>43042.64583</v>
      </c>
      <c r="B1683" s="1">
        <f>IFERROR(__xludf.DUMMYFUNCTION("""COMPUTED_VALUE"""),57060.0)</f>
        <v>57060</v>
      </c>
      <c r="C1683" s="1">
        <f>IFERROR(__xludf.DUMMYFUNCTION("""COMPUTED_VALUE"""),57140.0)</f>
        <v>57140</v>
      </c>
      <c r="D1683" s="1">
        <f>IFERROR(__xludf.DUMMYFUNCTION("""COMPUTED_VALUE"""),55860.0)</f>
        <v>55860</v>
      </c>
      <c r="E1683" s="1">
        <f>IFERROR(__xludf.DUMMYFUNCTION("""COMPUTED_VALUE"""),56380.0)</f>
        <v>56380</v>
      </c>
      <c r="F1683" s="1">
        <f>IFERROR(__xludf.DUMMYFUNCTION("""COMPUTED_VALUE"""),198716.0)</f>
        <v>198716</v>
      </c>
    </row>
    <row r="1684">
      <c r="A1684" s="2">
        <f>IFERROR(__xludf.DUMMYFUNCTION("""COMPUTED_VALUE"""),43045.64583333333)</f>
        <v>43045.64583</v>
      </c>
      <c r="B1684" s="1">
        <f>IFERROR(__xludf.DUMMYFUNCTION("""COMPUTED_VALUE"""),56380.0)</f>
        <v>56380</v>
      </c>
      <c r="C1684" s="1">
        <f>IFERROR(__xludf.DUMMYFUNCTION("""COMPUTED_VALUE"""),56500.0)</f>
        <v>56500</v>
      </c>
      <c r="D1684" s="1">
        <f>IFERROR(__xludf.DUMMYFUNCTION("""COMPUTED_VALUE"""),55340.0)</f>
        <v>55340</v>
      </c>
      <c r="E1684" s="1">
        <f>IFERROR(__xludf.DUMMYFUNCTION("""COMPUTED_VALUE"""),56380.0)</f>
        <v>56380</v>
      </c>
      <c r="F1684" s="1">
        <f>IFERROR(__xludf.DUMMYFUNCTION("""COMPUTED_VALUE"""),180019.0)</f>
        <v>180019</v>
      </c>
    </row>
    <row r="1685">
      <c r="A1685" s="2">
        <f>IFERROR(__xludf.DUMMYFUNCTION("""COMPUTED_VALUE"""),43046.64583333333)</f>
        <v>43046.64583</v>
      </c>
      <c r="B1685" s="1">
        <f>IFERROR(__xludf.DUMMYFUNCTION("""COMPUTED_VALUE"""),56380.0)</f>
        <v>56380</v>
      </c>
      <c r="C1685" s="1">
        <f>IFERROR(__xludf.DUMMYFUNCTION("""COMPUTED_VALUE"""),56920.0)</f>
        <v>56920</v>
      </c>
      <c r="D1685" s="1">
        <f>IFERROR(__xludf.DUMMYFUNCTION("""COMPUTED_VALUE"""),55860.0)</f>
        <v>55860</v>
      </c>
      <c r="E1685" s="1">
        <f>IFERROR(__xludf.DUMMYFUNCTION("""COMPUTED_VALUE"""),56100.0)</f>
        <v>56100</v>
      </c>
      <c r="F1685" s="1">
        <f>IFERROR(__xludf.DUMMYFUNCTION("""COMPUTED_VALUE"""),149291.0)</f>
        <v>149291</v>
      </c>
    </row>
    <row r="1686">
      <c r="A1686" s="2">
        <f>IFERROR(__xludf.DUMMYFUNCTION("""COMPUTED_VALUE"""),43047.64583333333)</f>
        <v>43047.64583</v>
      </c>
      <c r="B1686" s="1">
        <f>IFERROR(__xludf.DUMMYFUNCTION("""COMPUTED_VALUE"""),56100.0)</f>
        <v>56100</v>
      </c>
      <c r="C1686" s="1">
        <f>IFERROR(__xludf.DUMMYFUNCTION("""COMPUTED_VALUE"""),57060.0)</f>
        <v>57060</v>
      </c>
      <c r="D1686" s="1">
        <f>IFERROR(__xludf.DUMMYFUNCTION("""COMPUTED_VALUE"""),55860.0)</f>
        <v>55860</v>
      </c>
      <c r="E1686" s="1">
        <f>IFERROR(__xludf.DUMMYFUNCTION("""COMPUTED_VALUE"""),56760.0)</f>
        <v>56760</v>
      </c>
      <c r="F1686" s="1">
        <f>IFERROR(__xludf.DUMMYFUNCTION("""COMPUTED_VALUE"""),170404.0)</f>
        <v>170404</v>
      </c>
    </row>
    <row r="1687">
      <c r="A1687" s="2">
        <f>IFERROR(__xludf.DUMMYFUNCTION("""COMPUTED_VALUE"""),43048.64583333333)</f>
        <v>43048.64583</v>
      </c>
      <c r="B1687" s="1">
        <f>IFERROR(__xludf.DUMMYFUNCTION("""COMPUTED_VALUE"""),56920.0)</f>
        <v>56920</v>
      </c>
      <c r="C1687" s="1">
        <f>IFERROR(__xludf.DUMMYFUNCTION("""COMPUTED_VALUE"""),56920.0)</f>
        <v>56920</v>
      </c>
      <c r="D1687" s="1">
        <f>IFERROR(__xludf.DUMMYFUNCTION("""COMPUTED_VALUE"""),55900.0)</f>
        <v>55900</v>
      </c>
      <c r="E1687" s="1">
        <f>IFERROR(__xludf.DUMMYFUNCTION("""COMPUTED_VALUE"""),56340.0)</f>
        <v>56340</v>
      </c>
      <c r="F1687" s="1">
        <f>IFERROR(__xludf.DUMMYFUNCTION("""COMPUTED_VALUE"""),239881.0)</f>
        <v>239881</v>
      </c>
    </row>
    <row r="1688">
      <c r="A1688" s="2">
        <f>IFERROR(__xludf.DUMMYFUNCTION("""COMPUTED_VALUE"""),43049.64583333333)</f>
        <v>43049.64583</v>
      </c>
      <c r="B1688" s="1">
        <f>IFERROR(__xludf.DUMMYFUNCTION("""COMPUTED_VALUE"""),55800.0)</f>
        <v>55800</v>
      </c>
      <c r="C1688" s="1">
        <f>IFERROR(__xludf.DUMMYFUNCTION("""COMPUTED_VALUE"""),56540.0)</f>
        <v>56540</v>
      </c>
      <c r="D1688" s="1">
        <f>IFERROR(__xludf.DUMMYFUNCTION("""COMPUTED_VALUE"""),55780.0)</f>
        <v>55780</v>
      </c>
      <c r="E1688" s="1">
        <f>IFERROR(__xludf.DUMMYFUNCTION("""COMPUTED_VALUE"""),56400.0)</f>
        <v>56400</v>
      </c>
      <c r="F1688" s="1">
        <f>IFERROR(__xludf.DUMMYFUNCTION("""COMPUTED_VALUE"""),134976.0)</f>
        <v>134976</v>
      </c>
    </row>
    <row r="1689">
      <c r="A1689" s="2">
        <f>IFERROR(__xludf.DUMMYFUNCTION("""COMPUTED_VALUE"""),43052.64583333333)</f>
        <v>43052.64583</v>
      </c>
      <c r="B1689" s="1">
        <f>IFERROR(__xludf.DUMMYFUNCTION("""COMPUTED_VALUE"""),56400.0)</f>
        <v>56400</v>
      </c>
      <c r="C1689" s="1">
        <f>IFERROR(__xludf.DUMMYFUNCTION("""COMPUTED_VALUE"""),56800.0)</f>
        <v>56800</v>
      </c>
      <c r="D1689" s="1">
        <f>IFERROR(__xludf.DUMMYFUNCTION("""COMPUTED_VALUE"""),56100.0)</f>
        <v>56100</v>
      </c>
      <c r="E1689" s="1">
        <f>IFERROR(__xludf.DUMMYFUNCTION("""COMPUTED_VALUE"""),56380.0)</f>
        <v>56380</v>
      </c>
      <c r="F1689" s="1">
        <f>IFERROR(__xludf.DUMMYFUNCTION("""COMPUTED_VALUE"""),176133.0)</f>
        <v>176133</v>
      </c>
    </row>
    <row r="1690">
      <c r="A1690" s="2">
        <f>IFERROR(__xludf.DUMMYFUNCTION("""COMPUTED_VALUE"""),43053.64583333333)</f>
        <v>43053.64583</v>
      </c>
      <c r="B1690" s="1">
        <f>IFERROR(__xludf.DUMMYFUNCTION("""COMPUTED_VALUE"""),56380.0)</f>
        <v>56380</v>
      </c>
      <c r="C1690" s="1">
        <f>IFERROR(__xludf.DUMMYFUNCTION("""COMPUTED_VALUE"""),56740.0)</f>
        <v>56740</v>
      </c>
      <c r="D1690" s="1">
        <f>IFERROR(__xludf.DUMMYFUNCTION("""COMPUTED_VALUE"""),55920.0)</f>
        <v>55920</v>
      </c>
      <c r="E1690" s="1">
        <f>IFERROR(__xludf.DUMMYFUNCTION("""COMPUTED_VALUE"""),55920.0)</f>
        <v>55920</v>
      </c>
      <c r="F1690" s="1">
        <f>IFERROR(__xludf.DUMMYFUNCTION("""COMPUTED_VALUE"""),134500.0)</f>
        <v>134500</v>
      </c>
    </row>
    <row r="1691">
      <c r="A1691" s="2">
        <f>IFERROR(__xludf.DUMMYFUNCTION("""COMPUTED_VALUE"""),43054.64583333333)</f>
        <v>43054.64583</v>
      </c>
      <c r="B1691" s="1">
        <f>IFERROR(__xludf.DUMMYFUNCTION("""COMPUTED_VALUE"""),55920.0)</f>
        <v>55920</v>
      </c>
      <c r="C1691" s="1">
        <f>IFERROR(__xludf.DUMMYFUNCTION("""COMPUTED_VALUE"""),56320.0)</f>
        <v>56320</v>
      </c>
      <c r="D1691" s="1">
        <f>IFERROR(__xludf.DUMMYFUNCTION("""COMPUTED_VALUE"""),55320.0)</f>
        <v>55320</v>
      </c>
      <c r="E1691" s="1">
        <f>IFERROR(__xludf.DUMMYFUNCTION("""COMPUTED_VALUE"""),55340.0)</f>
        <v>55340</v>
      </c>
      <c r="F1691" s="1">
        <f>IFERROR(__xludf.DUMMYFUNCTION("""COMPUTED_VALUE"""),176339.0)</f>
        <v>176339</v>
      </c>
    </row>
    <row r="1692">
      <c r="A1692" s="2">
        <f>IFERROR(__xludf.DUMMYFUNCTION("""COMPUTED_VALUE"""),43055.64583333333)</f>
        <v>43055.64583</v>
      </c>
      <c r="B1692" s="1">
        <f>IFERROR(__xludf.DUMMYFUNCTION("""COMPUTED_VALUE"""),55440.0)</f>
        <v>55440</v>
      </c>
      <c r="C1692" s="1">
        <f>IFERROR(__xludf.DUMMYFUNCTION("""COMPUTED_VALUE"""),56000.0)</f>
        <v>56000</v>
      </c>
      <c r="D1692" s="1">
        <f>IFERROR(__xludf.DUMMYFUNCTION("""COMPUTED_VALUE"""),55400.0)</f>
        <v>55400</v>
      </c>
      <c r="E1692" s="1">
        <f>IFERROR(__xludf.DUMMYFUNCTION("""COMPUTED_VALUE"""),55780.0)</f>
        <v>55780</v>
      </c>
      <c r="F1692" s="1">
        <f>IFERROR(__xludf.DUMMYFUNCTION("""COMPUTED_VALUE"""),152814.0)</f>
        <v>152814</v>
      </c>
    </row>
    <row r="1693">
      <c r="A1693" s="2">
        <f>IFERROR(__xludf.DUMMYFUNCTION("""COMPUTED_VALUE"""),43056.64583333333)</f>
        <v>43056.64583</v>
      </c>
      <c r="B1693" s="1">
        <f>IFERROR(__xludf.DUMMYFUNCTION("""COMPUTED_VALUE"""),56400.0)</f>
        <v>56400</v>
      </c>
      <c r="C1693" s="1">
        <f>IFERROR(__xludf.DUMMYFUNCTION("""COMPUTED_VALUE"""),56880.0)</f>
        <v>56880</v>
      </c>
      <c r="D1693" s="1">
        <f>IFERROR(__xludf.DUMMYFUNCTION("""COMPUTED_VALUE"""),55820.0)</f>
        <v>55820</v>
      </c>
      <c r="E1693" s="1">
        <f>IFERROR(__xludf.DUMMYFUNCTION("""COMPUTED_VALUE"""),55820.0)</f>
        <v>55820</v>
      </c>
      <c r="F1693" s="1">
        <f>IFERROR(__xludf.DUMMYFUNCTION("""COMPUTED_VALUE"""),214663.0)</f>
        <v>214663</v>
      </c>
    </row>
    <row r="1694">
      <c r="A1694" s="2">
        <f>IFERROR(__xludf.DUMMYFUNCTION("""COMPUTED_VALUE"""),43059.64583333333)</f>
        <v>43059.64583</v>
      </c>
      <c r="B1694" s="1">
        <f>IFERROR(__xludf.DUMMYFUNCTION("""COMPUTED_VALUE"""),55900.0)</f>
        <v>55900</v>
      </c>
      <c r="C1694" s="1">
        <f>IFERROR(__xludf.DUMMYFUNCTION("""COMPUTED_VALUE"""),55980.0)</f>
        <v>55980</v>
      </c>
      <c r="D1694" s="1">
        <f>IFERROR(__xludf.DUMMYFUNCTION("""COMPUTED_VALUE"""),55200.0)</f>
        <v>55200</v>
      </c>
      <c r="E1694" s="1">
        <f>IFERROR(__xludf.DUMMYFUNCTION("""COMPUTED_VALUE"""),55200.0)</f>
        <v>55200</v>
      </c>
      <c r="F1694" s="1">
        <f>IFERROR(__xludf.DUMMYFUNCTION("""COMPUTED_VALUE"""),189455.0)</f>
        <v>189455</v>
      </c>
    </row>
    <row r="1695">
      <c r="A1695" s="2">
        <f>IFERROR(__xludf.DUMMYFUNCTION("""COMPUTED_VALUE"""),43060.64583333333)</f>
        <v>43060.64583</v>
      </c>
      <c r="B1695" s="1">
        <f>IFERROR(__xludf.DUMMYFUNCTION("""COMPUTED_VALUE"""),55400.0)</f>
        <v>55400</v>
      </c>
      <c r="C1695" s="1">
        <f>IFERROR(__xludf.DUMMYFUNCTION("""COMPUTED_VALUE"""),55840.0)</f>
        <v>55840</v>
      </c>
      <c r="D1695" s="1">
        <f>IFERROR(__xludf.DUMMYFUNCTION("""COMPUTED_VALUE"""),55280.0)</f>
        <v>55280</v>
      </c>
      <c r="E1695" s="1">
        <f>IFERROR(__xludf.DUMMYFUNCTION("""COMPUTED_VALUE"""),55280.0)</f>
        <v>55280</v>
      </c>
      <c r="F1695" s="1">
        <f>IFERROR(__xludf.DUMMYFUNCTION("""COMPUTED_VALUE"""),206494.0)</f>
        <v>206494</v>
      </c>
    </row>
    <row r="1696">
      <c r="A1696" s="2">
        <f>IFERROR(__xludf.DUMMYFUNCTION("""COMPUTED_VALUE"""),43061.64583333333)</f>
        <v>43061.64583</v>
      </c>
      <c r="B1696" s="1">
        <f>IFERROR(__xludf.DUMMYFUNCTION("""COMPUTED_VALUE"""),55980.0)</f>
        <v>55980</v>
      </c>
      <c r="C1696" s="1">
        <f>IFERROR(__xludf.DUMMYFUNCTION("""COMPUTED_VALUE"""),56200.0)</f>
        <v>56200</v>
      </c>
      <c r="D1696" s="1">
        <f>IFERROR(__xludf.DUMMYFUNCTION("""COMPUTED_VALUE"""),55620.0)</f>
        <v>55620</v>
      </c>
      <c r="E1696" s="1">
        <f>IFERROR(__xludf.DUMMYFUNCTION("""COMPUTED_VALUE"""),55960.0)</f>
        <v>55960</v>
      </c>
      <c r="F1696" s="1">
        <f>IFERROR(__xludf.DUMMYFUNCTION("""COMPUTED_VALUE"""),159059.0)</f>
        <v>159059</v>
      </c>
    </row>
    <row r="1697">
      <c r="A1697" s="2">
        <f>IFERROR(__xludf.DUMMYFUNCTION("""COMPUTED_VALUE"""),43062.69791666667)</f>
        <v>43062.69792</v>
      </c>
      <c r="B1697" s="1">
        <f>IFERROR(__xludf.DUMMYFUNCTION("""COMPUTED_VALUE"""),55960.0)</f>
        <v>55960</v>
      </c>
      <c r="C1697" s="1">
        <f>IFERROR(__xludf.DUMMYFUNCTION("""COMPUTED_VALUE"""),55980.0)</f>
        <v>55980</v>
      </c>
      <c r="D1697" s="1">
        <f>IFERROR(__xludf.DUMMYFUNCTION("""COMPUTED_VALUE"""),55020.0)</f>
        <v>55020</v>
      </c>
      <c r="E1697" s="1">
        <f>IFERROR(__xludf.DUMMYFUNCTION("""COMPUTED_VALUE"""),55300.0)</f>
        <v>55300</v>
      </c>
      <c r="F1697" s="1">
        <f>IFERROR(__xludf.DUMMYFUNCTION("""COMPUTED_VALUE"""),125458.0)</f>
        <v>125458</v>
      </c>
    </row>
    <row r="1698">
      <c r="A1698" s="2">
        <f>IFERROR(__xludf.DUMMYFUNCTION("""COMPUTED_VALUE"""),43063.64583333333)</f>
        <v>43063.64583</v>
      </c>
      <c r="B1698" s="1">
        <f>IFERROR(__xludf.DUMMYFUNCTION("""COMPUTED_VALUE"""),55300.0)</f>
        <v>55300</v>
      </c>
      <c r="C1698" s="1">
        <f>IFERROR(__xludf.DUMMYFUNCTION("""COMPUTED_VALUE"""),55500.0)</f>
        <v>55500</v>
      </c>
      <c r="D1698" s="1">
        <f>IFERROR(__xludf.DUMMYFUNCTION("""COMPUTED_VALUE"""),55180.0)</f>
        <v>55180</v>
      </c>
      <c r="E1698" s="1">
        <f>IFERROR(__xludf.DUMMYFUNCTION("""COMPUTED_VALUE"""),55460.0)</f>
        <v>55460</v>
      </c>
      <c r="F1698" s="1">
        <f>IFERROR(__xludf.DUMMYFUNCTION("""COMPUTED_VALUE"""),90724.0)</f>
        <v>90724</v>
      </c>
    </row>
    <row r="1699">
      <c r="A1699" s="2">
        <f>IFERROR(__xludf.DUMMYFUNCTION("""COMPUTED_VALUE"""),43066.64583333333)</f>
        <v>43066.64583</v>
      </c>
      <c r="B1699" s="1">
        <f>IFERROR(__xludf.DUMMYFUNCTION("""COMPUTED_VALUE"""),55360.0)</f>
        <v>55360</v>
      </c>
      <c r="C1699" s="1">
        <f>IFERROR(__xludf.DUMMYFUNCTION("""COMPUTED_VALUE"""),55360.0)</f>
        <v>55360</v>
      </c>
      <c r="D1699" s="1">
        <f>IFERROR(__xludf.DUMMYFUNCTION("""COMPUTED_VALUE"""),52640.0)</f>
        <v>52640</v>
      </c>
      <c r="E1699" s="1">
        <f>IFERROR(__xludf.DUMMYFUNCTION("""COMPUTED_VALUE"""),52640.0)</f>
        <v>52640</v>
      </c>
      <c r="F1699" s="1">
        <f>IFERROR(__xludf.DUMMYFUNCTION("""COMPUTED_VALUE"""),362578.0)</f>
        <v>362578</v>
      </c>
    </row>
    <row r="1700">
      <c r="A1700" s="2">
        <f>IFERROR(__xludf.DUMMYFUNCTION("""COMPUTED_VALUE"""),43067.64583333333)</f>
        <v>43067.64583</v>
      </c>
      <c r="B1700" s="1">
        <f>IFERROR(__xludf.DUMMYFUNCTION("""COMPUTED_VALUE"""),52700.0)</f>
        <v>52700</v>
      </c>
      <c r="C1700" s="1">
        <f>IFERROR(__xludf.DUMMYFUNCTION("""COMPUTED_VALUE"""),53280.0)</f>
        <v>53280</v>
      </c>
      <c r="D1700" s="1">
        <f>IFERROR(__xludf.DUMMYFUNCTION("""COMPUTED_VALUE"""),51720.0)</f>
        <v>51720</v>
      </c>
      <c r="E1700" s="1">
        <f>IFERROR(__xludf.DUMMYFUNCTION("""COMPUTED_VALUE"""),53280.0)</f>
        <v>53280</v>
      </c>
      <c r="F1700" s="1">
        <f>IFERROR(__xludf.DUMMYFUNCTION("""COMPUTED_VALUE"""),269988.0)</f>
        <v>269988</v>
      </c>
    </row>
    <row r="1701">
      <c r="A1701" s="2">
        <f>IFERROR(__xludf.DUMMYFUNCTION("""COMPUTED_VALUE"""),43068.64583333333)</f>
        <v>43068.64583</v>
      </c>
      <c r="B1701" s="1">
        <f>IFERROR(__xludf.DUMMYFUNCTION("""COMPUTED_VALUE"""),53200.0)</f>
        <v>53200</v>
      </c>
      <c r="C1701" s="1">
        <f>IFERROR(__xludf.DUMMYFUNCTION("""COMPUTED_VALUE"""),53240.0)</f>
        <v>53240</v>
      </c>
      <c r="D1701" s="1">
        <f>IFERROR(__xludf.DUMMYFUNCTION("""COMPUTED_VALUE"""),52500.0)</f>
        <v>52500</v>
      </c>
      <c r="E1701" s="1">
        <f>IFERROR(__xludf.DUMMYFUNCTION("""COMPUTED_VALUE"""),52600.0)</f>
        <v>52600</v>
      </c>
      <c r="F1701" s="1">
        <f>IFERROR(__xludf.DUMMYFUNCTION("""COMPUTED_VALUE"""),191805.0)</f>
        <v>191805</v>
      </c>
    </row>
    <row r="1702">
      <c r="A1702" s="2">
        <f>IFERROR(__xludf.DUMMYFUNCTION("""COMPUTED_VALUE"""),43069.64583333333)</f>
        <v>43069.64583</v>
      </c>
      <c r="B1702" s="1">
        <f>IFERROR(__xludf.DUMMYFUNCTION("""COMPUTED_VALUE"""),50800.0)</f>
        <v>50800</v>
      </c>
      <c r="C1702" s="1">
        <f>IFERROR(__xludf.DUMMYFUNCTION("""COMPUTED_VALUE"""),51860.0)</f>
        <v>51860</v>
      </c>
      <c r="D1702" s="1">
        <f>IFERROR(__xludf.DUMMYFUNCTION("""COMPUTED_VALUE"""),50200.0)</f>
        <v>50200</v>
      </c>
      <c r="E1702" s="1">
        <f>IFERROR(__xludf.DUMMYFUNCTION("""COMPUTED_VALUE"""),50800.0)</f>
        <v>50800</v>
      </c>
      <c r="F1702" s="1">
        <f>IFERROR(__xludf.DUMMYFUNCTION("""COMPUTED_VALUE"""),592683.0)</f>
        <v>592683</v>
      </c>
    </row>
    <row r="1703">
      <c r="A1703" s="2">
        <f>IFERROR(__xludf.DUMMYFUNCTION("""COMPUTED_VALUE"""),43070.64583333333)</f>
        <v>43070.64583</v>
      </c>
      <c r="B1703" s="1">
        <f>IFERROR(__xludf.DUMMYFUNCTION("""COMPUTED_VALUE"""),50800.0)</f>
        <v>50800</v>
      </c>
      <c r="C1703" s="1">
        <f>IFERROR(__xludf.DUMMYFUNCTION("""COMPUTED_VALUE"""),51780.0)</f>
        <v>51780</v>
      </c>
      <c r="D1703" s="1">
        <f>IFERROR(__xludf.DUMMYFUNCTION("""COMPUTED_VALUE"""),50800.0)</f>
        <v>50800</v>
      </c>
      <c r="E1703" s="1">
        <f>IFERROR(__xludf.DUMMYFUNCTION("""COMPUTED_VALUE"""),50840.0)</f>
        <v>50840</v>
      </c>
      <c r="F1703" s="1">
        <f>IFERROR(__xludf.DUMMYFUNCTION("""COMPUTED_VALUE"""),257372.0)</f>
        <v>257372</v>
      </c>
    </row>
    <row r="1704">
      <c r="A1704" s="2">
        <f>IFERROR(__xludf.DUMMYFUNCTION("""COMPUTED_VALUE"""),43073.64583333333)</f>
        <v>43073.64583</v>
      </c>
      <c r="B1704" s="1">
        <f>IFERROR(__xludf.DUMMYFUNCTION("""COMPUTED_VALUE"""),50840.0)</f>
        <v>50840</v>
      </c>
      <c r="C1704" s="1">
        <f>IFERROR(__xludf.DUMMYFUNCTION("""COMPUTED_VALUE"""),51340.0)</f>
        <v>51340</v>
      </c>
      <c r="D1704" s="1">
        <f>IFERROR(__xludf.DUMMYFUNCTION("""COMPUTED_VALUE"""),50020.0)</f>
        <v>50020</v>
      </c>
      <c r="E1704" s="1">
        <f>IFERROR(__xludf.DUMMYFUNCTION("""COMPUTED_VALUE"""),51340.0)</f>
        <v>51340</v>
      </c>
      <c r="F1704" s="1">
        <f>IFERROR(__xludf.DUMMYFUNCTION("""COMPUTED_VALUE"""),297301.0)</f>
        <v>297301</v>
      </c>
    </row>
    <row r="1705">
      <c r="A1705" s="2">
        <f>IFERROR(__xludf.DUMMYFUNCTION("""COMPUTED_VALUE"""),43074.64583333333)</f>
        <v>43074.64583</v>
      </c>
      <c r="B1705" s="1">
        <f>IFERROR(__xludf.DUMMYFUNCTION("""COMPUTED_VALUE"""),50600.0)</f>
        <v>50600</v>
      </c>
      <c r="C1705" s="1">
        <f>IFERROR(__xludf.DUMMYFUNCTION("""COMPUTED_VALUE"""),51300.0)</f>
        <v>51300</v>
      </c>
      <c r="D1705" s="1">
        <f>IFERROR(__xludf.DUMMYFUNCTION("""COMPUTED_VALUE"""),50280.0)</f>
        <v>50280</v>
      </c>
      <c r="E1705" s="1">
        <f>IFERROR(__xludf.DUMMYFUNCTION("""COMPUTED_VALUE"""),51260.0)</f>
        <v>51260</v>
      </c>
      <c r="F1705" s="1">
        <f>IFERROR(__xludf.DUMMYFUNCTION("""COMPUTED_VALUE"""),186531.0)</f>
        <v>186531</v>
      </c>
    </row>
    <row r="1706">
      <c r="A1706" s="2">
        <f>IFERROR(__xludf.DUMMYFUNCTION("""COMPUTED_VALUE"""),43075.64583333333)</f>
        <v>43075.64583</v>
      </c>
      <c r="B1706" s="1">
        <f>IFERROR(__xludf.DUMMYFUNCTION("""COMPUTED_VALUE"""),51260.0)</f>
        <v>51260</v>
      </c>
      <c r="C1706" s="1">
        <f>IFERROR(__xludf.DUMMYFUNCTION("""COMPUTED_VALUE"""),51560.0)</f>
        <v>51560</v>
      </c>
      <c r="D1706" s="1">
        <f>IFERROR(__xludf.DUMMYFUNCTION("""COMPUTED_VALUE"""),50020.0)</f>
        <v>50020</v>
      </c>
      <c r="E1706" s="1">
        <f>IFERROR(__xludf.DUMMYFUNCTION("""COMPUTED_VALUE"""),50020.0)</f>
        <v>50020</v>
      </c>
      <c r="F1706" s="1">
        <f>IFERROR(__xludf.DUMMYFUNCTION("""COMPUTED_VALUE"""),217784.0)</f>
        <v>217784</v>
      </c>
    </row>
    <row r="1707">
      <c r="A1707" s="2">
        <f>IFERROR(__xludf.DUMMYFUNCTION("""COMPUTED_VALUE"""),43076.64583333333)</f>
        <v>43076.64583</v>
      </c>
      <c r="B1707" s="1">
        <f>IFERROR(__xludf.DUMMYFUNCTION("""COMPUTED_VALUE"""),50040.0)</f>
        <v>50040</v>
      </c>
      <c r="C1707" s="1">
        <f>IFERROR(__xludf.DUMMYFUNCTION("""COMPUTED_VALUE"""),50980.0)</f>
        <v>50980</v>
      </c>
      <c r="D1707" s="1">
        <f>IFERROR(__xludf.DUMMYFUNCTION("""COMPUTED_VALUE"""),50020.0)</f>
        <v>50020</v>
      </c>
      <c r="E1707" s="1">
        <f>IFERROR(__xludf.DUMMYFUNCTION("""COMPUTED_VALUE"""),50740.0)</f>
        <v>50740</v>
      </c>
      <c r="F1707" s="1">
        <f>IFERROR(__xludf.DUMMYFUNCTION("""COMPUTED_VALUE"""),221312.0)</f>
        <v>221312</v>
      </c>
    </row>
    <row r="1708">
      <c r="A1708" s="2">
        <f>IFERROR(__xludf.DUMMYFUNCTION("""COMPUTED_VALUE"""),43077.64583333333)</f>
        <v>43077.64583</v>
      </c>
      <c r="B1708" s="1">
        <f>IFERROR(__xludf.DUMMYFUNCTION("""COMPUTED_VALUE"""),51360.0)</f>
        <v>51360</v>
      </c>
      <c r="C1708" s="1">
        <f>IFERROR(__xludf.DUMMYFUNCTION("""COMPUTED_VALUE"""),52000.0)</f>
        <v>52000</v>
      </c>
      <c r="D1708" s="1">
        <f>IFERROR(__xludf.DUMMYFUNCTION("""COMPUTED_VALUE"""),51040.0)</f>
        <v>51040</v>
      </c>
      <c r="E1708" s="1">
        <f>IFERROR(__xludf.DUMMYFUNCTION("""COMPUTED_VALUE"""),52000.0)</f>
        <v>52000</v>
      </c>
      <c r="F1708" s="1">
        <f>IFERROR(__xludf.DUMMYFUNCTION("""COMPUTED_VALUE"""),225809.0)</f>
        <v>225809</v>
      </c>
    </row>
    <row r="1709">
      <c r="A1709" s="2">
        <f>IFERROR(__xludf.DUMMYFUNCTION("""COMPUTED_VALUE"""),43080.64583333333)</f>
        <v>43080.64583</v>
      </c>
      <c r="B1709" s="1">
        <f>IFERROR(__xludf.DUMMYFUNCTION("""COMPUTED_VALUE"""),52000.0)</f>
        <v>52000</v>
      </c>
      <c r="C1709" s="1">
        <f>IFERROR(__xludf.DUMMYFUNCTION("""COMPUTED_VALUE"""),52040.0)</f>
        <v>52040</v>
      </c>
      <c r="D1709" s="1">
        <f>IFERROR(__xludf.DUMMYFUNCTION("""COMPUTED_VALUE"""),51500.0)</f>
        <v>51500</v>
      </c>
      <c r="E1709" s="1">
        <f>IFERROR(__xludf.DUMMYFUNCTION("""COMPUTED_VALUE"""),51780.0)</f>
        <v>51780</v>
      </c>
      <c r="F1709" s="1">
        <f>IFERROR(__xludf.DUMMYFUNCTION("""COMPUTED_VALUE"""),162517.0)</f>
        <v>162517</v>
      </c>
    </row>
    <row r="1710">
      <c r="A1710" s="2">
        <f>IFERROR(__xludf.DUMMYFUNCTION("""COMPUTED_VALUE"""),43081.64583333333)</f>
        <v>43081.64583</v>
      </c>
      <c r="B1710" s="1">
        <f>IFERROR(__xludf.DUMMYFUNCTION("""COMPUTED_VALUE"""),51820.0)</f>
        <v>51820</v>
      </c>
      <c r="C1710" s="1">
        <f>IFERROR(__xludf.DUMMYFUNCTION("""COMPUTED_VALUE"""),52100.0)</f>
        <v>52100</v>
      </c>
      <c r="D1710" s="1">
        <f>IFERROR(__xludf.DUMMYFUNCTION("""COMPUTED_VALUE"""),51660.0)</f>
        <v>51660</v>
      </c>
      <c r="E1710" s="1">
        <f>IFERROR(__xludf.DUMMYFUNCTION("""COMPUTED_VALUE"""),52100.0)</f>
        <v>52100</v>
      </c>
      <c r="F1710" s="1">
        <f>IFERROR(__xludf.DUMMYFUNCTION("""COMPUTED_VALUE"""),175301.0)</f>
        <v>175301</v>
      </c>
    </row>
    <row r="1711">
      <c r="A1711" s="2">
        <f>IFERROR(__xludf.DUMMYFUNCTION("""COMPUTED_VALUE"""),43082.64583333333)</f>
        <v>43082.64583</v>
      </c>
      <c r="B1711" s="1">
        <f>IFERROR(__xludf.DUMMYFUNCTION("""COMPUTED_VALUE"""),52100.0)</f>
        <v>52100</v>
      </c>
      <c r="C1711" s="1">
        <f>IFERROR(__xludf.DUMMYFUNCTION("""COMPUTED_VALUE"""),52100.0)</f>
        <v>52100</v>
      </c>
      <c r="D1711" s="1">
        <f>IFERROR(__xludf.DUMMYFUNCTION("""COMPUTED_VALUE"""),51100.0)</f>
        <v>51100</v>
      </c>
      <c r="E1711" s="1">
        <f>IFERROR(__xludf.DUMMYFUNCTION("""COMPUTED_VALUE"""),51320.0)</f>
        <v>51320</v>
      </c>
      <c r="F1711" s="1">
        <f>IFERROR(__xludf.DUMMYFUNCTION("""COMPUTED_VALUE"""),226674.0)</f>
        <v>226674</v>
      </c>
    </row>
    <row r="1712">
      <c r="A1712" s="2">
        <f>IFERROR(__xludf.DUMMYFUNCTION("""COMPUTED_VALUE"""),43083.64583333333)</f>
        <v>43083.64583</v>
      </c>
      <c r="B1712" s="1">
        <f>IFERROR(__xludf.DUMMYFUNCTION("""COMPUTED_VALUE"""),51320.0)</f>
        <v>51320</v>
      </c>
      <c r="C1712" s="1">
        <f>IFERROR(__xludf.DUMMYFUNCTION("""COMPUTED_VALUE"""),52280.0)</f>
        <v>52280</v>
      </c>
      <c r="D1712" s="1">
        <f>IFERROR(__xludf.DUMMYFUNCTION("""COMPUTED_VALUE"""),51060.0)</f>
        <v>51060</v>
      </c>
      <c r="E1712" s="1">
        <f>IFERROR(__xludf.DUMMYFUNCTION("""COMPUTED_VALUE"""),51060.0)</f>
        <v>51060</v>
      </c>
      <c r="F1712" s="1">
        <f>IFERROR(__xludf.DUMMYFUNCTION("""COMPUTED_VALUE"""),406208.0)</f>
        <v>406208</v>
      </c>
    </row>
    <row r="1713">
      <c r="A1713" s="2">
        <f>IFERROR(__xludf.DUMMYFUNCTION("""COMPUTED_VALUE"""),43084.64583333333)</f>
        <v>43084.64583</v>
      </c>
      <c r="B1713" s="1">
        <f>IFERROR(__xludf.DUMMYFUNCTION("""COMPUTED_VALUE"""),51240.0)</f>
        <v>51240</v>
      </c>
      <c r="C1713" s="1">
        <f>IFERROR(__xludf.DUMMYFUNCTION("""COMPUTED_VALUE"""),51480.0)</f>
        <v>51480</v>
      </c>
      <c r="D1713" s="1">
        <f>IFERROR(__xludf.DUMMYFUNCTION("""COMPUTED_VALUE"""),50520.0)</f>
        <v>50520</v>
      </c>
      <c r="E1713" s="1">
        <f>IFERROR(__xludf.DUMMYFUNCTION("""COMPUTED_VALUE"""),50620.0)</f>
        <v>50620</v>
      </c>
      <c r="F1713" s="1">
        <f>IFERROR(__xludf.DUMMYFUNCTION("""COMPUTED_VALUE"""),298571.0)</f>
        <v>298571</v>
      </c>
    </row>
    <row r="1714">
      <c r="A1714" s="2">
        <f>IFERROR(__xludf.DUMMYFUNCTION("""COMPUTED_VALUE"""),43087.64583333333)</f>
        <v>43087.64583</v>
      </c>
      <c r="B1714" s="1">
        <f>IFERROR(__xludf.DUMMYFUNCTION("""COMPUTED_VALUE"""),50620.0)</f>
        <v>50620</v>
      </c>
      <c r="C1714" s="1">
        <f>IFERROR(__xludf.DUMMYFUNCTION("""COMPUTED_VALUE"""),51240.0)</f>
        <v>51240</v>
      </c>
      <c r="D1714" s="1">
        <f>IFERROR(__xludf.DUMMYFUNCTION("""COMPUTED_VALUE"""),50620.0)</f>
        <v>50620</v>
      </c>
      <c r="E1714" s="1">
        <f>IFERROR(__xludf.DUMMYFUNCTION("""COMPUTED_VALUE"""),51200.0)</f>
        <v>51200</v>
      </c>
      <c r="F1714" s="1">
        <f>IFERROR(__xludf.DUMMYFUNCTION("""COMPUTED_VALUE"""),147005.0)</f>
        <v>147005</v>
      </c>
    </row>
    <row r="1715">
      <c r="A1715" s="2">
        <f>IFERROR(__xludf.DUMMYFUNCTION("""COMPUTED_VALUE"""),43088.64583333333)</f>
        <v>43088.64583</v>
      </c>
      <c r="B1715" s="1">
        <f>IFERROR(__xludf.DUMMYFUNCTION("""COMPUTED_VALUE"""),51540.0)</f>
        <v>51540</v>
      </c>
      <c r="C1715" s="1">
        <f>IFERROR(__xludf.DUMMYFUNCTION("""COMPUTED_VALUE"""),52080.0)</f>
        <v>52080</v>
      </c>
      <c r="D1715" s="1">
        <f>IFERROR(__xludf.DUMMYFUNCTION("""COMPUTED_VALUE"""),51520.0)</f>
        <v>51520</v>
      </c>
      <c r="E1715" s="1">
        <f>IFERROR(__xludf.DUMMYFUNCTION("""COMPUTED_VALUE"""),51560.0)</f>
        <v>51560</v>
      </c>
      <c r="F1715" s="1">
        <f>IFERROR(__xludf.DUMMYFUNCTION("""COMPUTED_VALUE"""),239572.0)</f>
        <v>239572</v>
      </c>
    </row>
    <row r="1716">
      <c r="A1716" s="2">
        <f>IFERROR(__xludf.DUMMYFUNCTION("""COMPUTED_VALUE"""),43089.64583333333)</f>
        <v>43089.64583</v>
      </c>
      <c r="B1716" s="1">
        <f>IFERROR(__xludf.DUMMYFUNCTION("""COMPUTED_VALUE"""),51500.0)</f>
        <v>51500</v>
      </c>
      <c r="C1716" s="1">
        <f>IFERROR(__xludf.DUMMYFUNCTION("""COMPUTED_VALUE"""),51760.0)</f>
        <v>51760</v>
      </c>
      <c r="D1716" s="1">
        <f>IFERROR(__xludf.DUMMYFUNCTION("""COMPUTED_VALUE"""),50820.0)</f>
        <v>50820</v>
      </c>
      <c r="E1716" s="1">
        <f>IFERROR(__xludf.DUMMYFUNCTION("""COMPUTED_VALUE"""),50880.0)</f>
        <v>50880</v>
      </c>
      <c r="F1716" s="1">
        <f>IFERROR(__xludf.DUMMYFUNCTION("""COMPUTED_VALUE"""),201611.0)</f>
        <v>201611</v>
      </c>
    </row>
    <row r="1717">
      <c r="A1717" s="2">
        <f>IFERROR(__xludf.DUMMYFUNCTION("""COMPUTED_VALUE"""),43090.64583333333)</f>
        <v>43090.64583</v>
      </c>
      <c r="B1717" s="1">
        <f>IFERROR(__xludf.DUMMYFUNCTION("""COMPUTED_VALUE"""),51000.0)</f>
        <v>51000</v>
      </c>
      <c r="C1717" s="1">
        <f>IFERROR(__xludf.DUMMYFUNCTION("""COMPUTED_VALUE"""),51060.0)</f>
        <v>51060</v>
      </c>
      <c r="D1717" s="1">
        <f>IFERROR(__xludf.DUMMYFUNCTION("""COMPUTED_VALUE"""),49100.0)</f>
        <v>49100</v>
      </c>
      <c r="E1717" s="1">
        <f>IFERROR(__xludf.DUMMYFUNCTION("""COMPUTED_VALUE"""),49140.0)</f>
        <v>49140</v>
      </c>
      <c r="F1717" s="1">
        <f>IFERROR(__xludf.DUMMYFUNCTION("""COMPUTED_VALUE"""),312486.0)</f>
        <v>312486</v>
      </c>
    </row>
    <row r="1718">
      <c r="A1718" s="2">
        <f>IFERROR(__xludf.DUMMYFUNCTION("""COMPUTED_VALUE"""),43091.64583333333)</f>
        <v>43091.64583</v>
      </c>
      <c r="B1718" s="1">
        <f>IFERROR(__xludf.DUMMYFUNCTION("""COMPUTED_VALUE"""),49400.0)</f>
        <v>49400</v>
      </c>
      <c r="C1718" s="1">
        <f>IFERROR(__xludf.DUMMYFUNCTION("""COMPUTED_VALUE"""),49960.0)</f>
        <v>49960</v>
      </c>
      <c r="D1718" s="1">
        <f>IFERROR(__xludf.DUMMYFUNCTION("""COMPUTED_VALUE"""),49240.0)</f>
        <v>49240</v>
      </c>
      <c r="E1718" s="1">
        <f>IFERROR(__xludf.DUMMYFUNCTION("""COMPUTED_VALUE"""),49700.0)</f>
        <v>49700</v>
      </c>
      <c r="F1718" s="1">
        <f>IFERROR(__xludf.DUMMYFUNCTION("""COMPUTED_VALUE"""),223993.0)</f>
        <v>223993</v>
      </c>
    </row>
    <row r="1719">
      <c r="A1719" s="2">
        <f>IFERROR(__xludf.DUMMYFUNCTION("""COMPUTED_VALUE"""),43095.64583333333)</f>
        <v>43095.64583</v>
      </c>
      <c r="B1719" s="1">
        <f>IFERROR(__xludf.DUMMYFUNCTION("""COMPUTED_VALUE"""),49760.0)</f>
        <v>49760</v>
      </c>
      <c r="C1719" s="1">
        <f>IFERROR(__xludf.DUMMYFUNCTION("""COMPUTED_VALUE"""),50100.0)</f>
        <v>50100</v>
      </c>
      <c r="D1719" s="1">
        <f>IFERROR(__xludf.DUMMYFUNCTION("""COMPUTED_VALUE"""),48200.0)</f>
        <v>48200</v>
      </c>
      <c r="E1719" s="1">
        <f>IFERROR(__xludf.DUMMYFUNCTION("""COMPUTED_VALUE"""),48200.0)</f>
        <v>48200</v>
      </c>
      <c r="F1719" s="1">
        <f>IFERROR(__xludf.DUMMYFUNCTION("""COMPUTED_VALUE"""),320797.0)</f>
        <v>320797</v>
      </c>
    </row>
    <row r="1720">
      <c r="A1720" s="2">
        <f>IFERROR(__xludf.DUMMYFUNCTION("""COMPUTED_VALUE"""),43096.64583333333)</f>
        <v>43096.64583</v>
      </c>
      <c r="B1720" s="1">
        <f>IFERROR(__xludf.DUMMYFUNCTION("""COMPUTED_VALUE"""),48960.0)</f>
        <v>48960</v>
      </c>
      <c r="C1720" s="1">
        <f>IFERROR(__xludf.DUMMYFUNCTION("""COMPUTED_VALUE"""),49560.0)</f>
        <v>49560</v>
      </c>
      <c r="D1720" s="1">
        <f>IFERROR(__xludf.DUMMYFUNCTION("""COMPUTED_VALUE"""),48460.0)</f>
        <v>48460</v>
      </c>
      <c r="E1720" s="1">
        <f>IFERROR(__xludf.DUMMYFUNCTION("""COMPUTED_VALUE"""),49360.0)</f>
        <v>49360</v>
      </c>
      <c r="F1720" s="1">
        <f>IFERROR(__xludf.DUMMYFUNCTION("""COMPUTED_VALUE"""),214872.0)</f>
        <v>214872</v>
      </c>
    </row>
    <row r="1721">
      <c r="A1721" s="2">
        <f>IFERROR(__xludf.DUMMYFUNCTION("""COMPUTED_VALUE"""),43097.64583333333)</f>
        <v>43097.64583</v>
      </c>
      <c r="B1721" s="1">
        <f>IFERROR(__xludf.DUMMYFUNCTION("""COMPUTED_VALUE"""),49560.0)</f>
        <v>49560</v>
      </c>
      <c r="C1721" s="1">
        <f>IFERROR(__xludf.DUMMYFUNCTION("""COMPUTED_VALUE"""),50960.0)</f>
        <v>50960</v>
      </c>
      <c r="D1721" s="1">
        <f>IFERROR(__xludf.DUMMYFUNCTION("""COMPUTED_VALUE"""),49500.0)</f>
        <v>49500</v>
      </c>
      <c r="E1721" s="1">
        <f>IFERROR(__xludf.DUMMYFUNCTION("""COMPUTED_VALUE"""),50960.0)</f>
        <v>50960</v>
      </c>
      <c r="F1721" s="1">
        <f>IFERROR(__xludf.DUMMYFUNCTION("""COMPUTED_VALUE"""),179709.0)</f>
        <v>179709</v>
      </c>
    </row>
    <row r="1722">
      <c r="A1722" s="2">
        <f>IFERROR(__xludf.DUMMYFUNCTION("""COMPUTED_VALUE"""),43102.64583333333)</f>
        <v>43102.64583</v>
      </c>
      <c r="B1722" s="1">
        <f>IFERROR(__xludf.DUMMYFUNCTION("""COMPUTED_VALUE"""),51380.0)</f>
        <v>51380</v>
      </c>
      <c r="C1722" s="1">
        <f>IFERROR(__xludf.DUMMYFUNCTION("""COMPUTED_VALUE"""),51400.0)</f>
        <v>51400</v>
      </c>
      <c r="D1722" s="1">
        <f>IFERROR(__xludf.DUMMYFUNCTION("""COMPUTED_VALUE"""),50780.0)</f>
        <v>50780</v>
      </c>
      <c r="E1722" s="1">
        <f>IFERROR(__xludf.DUMMYFUNCTION("""COMPUTED_VALUE"""),51020.0)</f>
        <v>51020</v>
      </c>
      <c r="F1722" s="1">
        <f>IFERROR(__xludf.DUMMYFUNCTION("""COMPUTED_VALUE"""),169485.0)</f>
        <v>169485</v>
      </c>
    </row>
    <row r="1723">
      <c r="A1723" s="2">
        <f>IFERROR(__xludf.DUMMYFUNCTION("""COMPUTED_VALUE"""),43103.64583333333)</f>
        <v>43103.64583</v>
      </c>
      <c r="B1723" s="1">
        <f>IFERROR(__xludf.DUMMYFUNCTION("""COMPUTED_VALUE"""),52540.0)</f>
        <v>52540</v>
      </c>
      <c r="C1723" s="1">
        <f>IFERROR(__xludf.DUMMYFUNCTION("""COMPUTED_VALUE"""),52560.0)</f>
        <v>52560</v>
      </c>
      <c r="D1723" s="1">
        <f>IFERROR(__xludf.DUMMYFUNCTION("""COMPUTED_VALUE"""),51420.0)</f>
        <v>51420</v>
      </c>
      <c r="E1723" s="1">
        <f>IFERROR(__xludf.DUMMYFUNCTION("""COMPUTED_VALUE"""),51620.0)</f>
        <v>51620</v>
      </c>
      <c r="F1723" s="1">
        <f>IFERROR(__xludf.DUMMYFUNCTION("""COMPUTED_VALUE"""),200270.0)</f>
        <v>200270</v>
      </c>
    </row>
    <row r="1724">
      <c r="A1724" s="2">
        <f>IFERROR(__xludf.DUMMYFUNCTION("""COMPUTED_VALUE"""),43104.64583333333)</f>
        <v>43104.64583</v>
      </c>
      <c r="B1724" s="1">
        <f>IFERROR(__xludf.DUMMYFUNCTION("""COMPUTED_VALUE"""),52120.0)</f>
        <v>52120</v>
      </c>
      <c r="C1724" s="1">
        <f>IFERROR(__xludf.DUMMYFUNCTION("""COMPUTED_VALUE"""),52180.0)</f>
        <v>52180</v>
      </c>
      <c r="D1724" s="1">
        <f>IFERROR(__xludf.DUMMYFUNCTION("""COMPUTED_VALUE"""),50640.0)</f>
        <v>50640</v>
      </c>
      <c r="E1724" s="1">
        <f>IFERROR(__xludf.DUMMYFUNCTION("""COMPUTED_VALUE"""),51080.0)</f>
        <v>51080</v>
      </c>
      <c r="F1724" s="1">
        <f>IFERROR(__xludf.DUMMYFUNCTION("""COMPUTED_VALUE"""),233909.0)</f>
        <v>233909</v>
      </c>
    </row>
    <row r="1725">
      <c r="A1725" s="2">
        <f>IFERROR(__xludf.DUMMYFUNCTION("""COMPUTED_VALUE"""),43105.64583333333)</f>
        <v>43105.64583</v>
      </c>
      <c r="B1725" s="1">
        <f>IFERROR(__xludf.DUMMYFUNCTION("""COMPUTED_VALUE"""),51300.0)</f>
        <v>51300</v>
      </c>
      <c r="C1725" s="1">
        <f>IFERROR(__xludf.DUMMYFUNCTION("""COMPUTED_VALUE"""),52120.0)</f>
        <v>52120</v>
      </c>
      <c r="D1725" s="1">
        <f>IFERROR(__xludf.DUMMYFUNCTION("""COMPUTED_VALUE"""),51200.0)</f>
        <v>51200</v>
      </c>
      <c r="E1725" s="1">
        <f>IFERROR(__xludf.DUMMYFUNCTION("""COMPUTED_VALUE"""),52120.0)</f>
        <v>52120</v>
      </c>
      <c r="F1725" s="1">
        <f>IFERROR(__xludf.DUMMYFUNCTION("""COMPUTED_VALUE"""),189623.0)</f>
        <v>189623</v>
      </c>
    </row>
    <row r="1726">
      <c r="A1726" s="2">
        <f>IFERROR(__xludf.DUMMYFUNCTION("""COMPUTED_VALUE"""),43108.64583333333)</f>
        <v>43108.64583</v>
      </c>
      <c r="B1726" s="1">
        <f>IFERROR(__xludf.DUMMYFUNCTION("""COMPUTED_VALUE"""),52400.0)</f>
        <v>52400</v>
      </c>
      <c r="C1726" s="1">
        <f>IFERROR(__xludf.DUMMYFUNCTION("""COMPUTED_VALUE"""),52520.0)</f>
        <v>52520</v>
      </c>
      <c r="D1726" s="1">
        <f>IFERROR(__xludf.DUMMYFUNCTION("""COMPUTED_VALUE"""),51500.0)</f>
        <v>51500</v>
      </c>
      <c r="E1726" s="1">
        <f>IFERROR(__xludf.DUMMYFUNCTION("""COMPUTED_VALUE"""),52020.0)</f>
        <v>52020</v>
      </c>
      <c r="F1726" s="1">
        <f>IFERROR(__xludf.DUMMYFUNCTION("""COMPUTED_VALUE"""),167673.0)</f>
        <v>167673</v>
      </c>
    </row>
    <row r="1727">
      <c r="A1727" s="2">
        <f>IFERROR(__xludf.DUMMYFUNCTION("""COMPUTED_VALUE"""),43109.64583333333)</f>
        <v>43109.64583</v>
      </c>
      <c r="B1727" s="1">
        <f>IFERROR(__xludf.DUMMYFUNCTION("""COMPUTED_VALUE"""),51460.0)</f>
        <v>51460</v>
      </c>
      <c r="C1727" s="1">
        <f>IFERROR(__xludf.DUMMYFUNCTION("""COMPUTED_VALUE"""),51720.0)</f>
        <v>51720</v>
      </c>
      <c r="D1727" s="1">
        <f>IFERROR(__xludf.DUMMYFUNCTION("""COMPUTED_VALUE"""),49980.0)</f>
        <v>49980</v>
      </c>
      <c r="E1727" s="1">
        <f>IFERROR(__xludf.DUMMYFUNCTION("""COMPUTED_VALUE"""),50400.0)</f>
        <v>50400</v>
      </c>
      <c r="F1727" s="1">
        <f>IFERROR(__xludf.DUMMYFUNCTION("""COMPUTED_VALUE"""),360272.0)</f>
        <v>360272</v>
      </c>
    </row>
    <row r="1728">
      <c r="A1728" s="2">
        <f>IFERROR(__xludf.DUMMYFUNCTION("""COMPUTED_VALUE"""),43110.64583333333)</f>
        <v>43110.64583</v>
      </c>
      <c r="B1728" s="1">
        <f>IFERROR(__xludf.DUMMYFUNCTION("""COMPUTED_VALUE"""),50500.0)</f>
        <v>50500</v>
      </c>
      <c r="C1728" s="1">
        <f>IFERROR(__xludf.DUMMYFUNCTION("""COMPUTED_VALUE"""),50520.0)</f>
        <v>50520</v>
      </c>
      <c r="D1728" s="1">
        <f>IFERROR(__xludf.DUMMYFUNCTION("""COMPUTED_VALUE"""),48640.0)</f>
        <v>48640</v>
      </c>
      <c r="E1728" s="1">
        <f>IFERROR(__xludf.DUMMYFUNCTION("""COMPUTED_VALUE"""),48840.0)</f>
        <v>48840</v>
      </c>
      <c r="F1728" s="1">
        <f>IFERROR(__xludf.DUMMYFUNCTION("""COMPUTED_VALUE"""),371336.0)</f>
        <v>371336</v>
      </c>
    </row>
    <row r="1729">
      <c r="A1729" s="2">
        <f>IFERROR(__xludf.DUMMYFUNCTION("""COMPUTED_VALUE"""),43111.64583333333)</f>
        <v>43111.64583</v>
      </c>
      <c r="B1729" s="1">
        <f>IFERROR(__xludf.DUMMYFUNCTION("""COMPUTED_VALUE"""),48200.0)</f>
        <v>48200</v>
      </c>
      <c r="C1729" s="1">
        <f>IFERROR(__xludf.DUMMYFUNCTION("""COMPUTED_VALUE"""),49260.0)</f>
        <v>49260</v>
      </c>
      <c r="D1729" s="1">
        <f>IFERROR(__xludf.DUMMYFUNCTION("""COMPUTED_VALUE"""),48020.0)</f>
        <v>48020</v>
      </c>
      <c r="E1729" s="1">
        <f>IFERROR(__xludf.DUMMYFUNCTION("""COMPUTED_VALUE"""),48240.0)</f>
        <v>48240</v>
      </c>
      <c r="F1729" s="1">
        <f>IFERROR(__xludf.DUMMYFUNCTION("""COMPUTED_VALUE"""),502476.0)</f>
        <v>502476</v>
      </c>
    </row>
    <row r="1730">
      <c r="A1730" s="2">
        <f>IFERROR(__xludf.DUMMYFUNCTION("""COMPUTED_VALUE"""),43112.64583333333)</f>
        <v>43112.64583</v>
      </c>
      <c r="B1730" s="1">
        <f>IFERROR(__xludf.DUMMYFUNCTION("""COMPUTED_VALUE"""),48240.0)</f>
        <v>48240</v>
      </c>
      <c r="C1730" s="1">
        <f>IFERROR(__xludf.DUMMYFUNCTION("""COMPUTED_VALUE"""),48480.0)</f>
        <v>48480</v>
      </c>
      <c r="D1730" s="1">
        <f>IFERROR(__xludf.DUMMYFUNCTION("""COMPUTED_VALUE"""),46760.0)</f>
        <v>46760</v>
      </c>
      <c r="E1730" s="1">
        <f>IFERROR(__xludf.DUMMYFUNCTION("""COMPUTED_VALUE"""),48200.0)</f>
        <v>48200</v>
      </c>
      <c r="F1730" s="1">
        <f>IFERROR(__xludf.DUMMYFUNCTION("""COMPUTED_VALUE"""),545409.0)</f>
        <v>545409</v>
      </c>
    </row>
    <row r="1731">
      <c r="A1731" s="2">
        <f>IFERROR(__xludf.DUMMYFUNCTION("""COMPUTED_VALUE"""),43115.64583333333)</f>
        <v>43115.64583</v>
      </c>
      <c r="B1731" s="1">
        <f>IFERROR(__xludf.DUMMYFUNCTION("""COMPUTED_VALUE"""),48800.0)</f>
        <v>48800</v>
      </c>
      <c r="C1731" s="1">
        <f>IFERROR(__xludf.DUMMYFUNCTION("""COMPUTED_VALUE"""),48980.0)</f>
        <v>48980</v>
      </c>
      <c r="D1731" s="1">
        <f>IFERROR(__xludf.DUMMYFUNCTION("""COMPUTED_VALUE"""),47920.0)</f>
        <v>47920</v>
      </c>
      <c r="E1731" s="1">
        <f>IFERROR(__xludf.DUMMYFUNCTION("""COMPUTED_VALUE"""),48540.0)</f>
        <v>48540</v>
      </c>
      <c r="F1731" s="1">
        <f>IFERROR(__xludf.DUMMYFUNCTION("""COMPUTED_VALUE"""),201920.0)</f>
        <v>201920</v>
      </c>
    </row>
    <row r="1732">
      <c r="A1732" s="2">
        <f>IFERROR(__xludf.DUMMYFUNCTION("""COMPUTED_VALUE"""),43116.64583333333)</f>
        <v>43116.64583</v>
      </c>
      <c r="B1732" s="1">
        <f>IFERROR(__xludf.DUMMYFUNCTION("""COMPUTED_VALUE"""),48760.0)</f>
        <v>48760</v>
      </c>
      <c r="C1732" s="1">
        <f>IFERROR(__xludf.DUMMYFUNCTION("""COMPUTED_VALUE"""),50140.0)</f>
        <v>50140</v>
      </c>
      <c r="D1732" s="1">
        <f>IFERROR(__xludf.DUMMYFUNCTION("""COMPUTED_VALUE"""),48620.0)</f>
        <v>48620</v>
      </c>
      <c r="E1732" s="1">
        <f>IFERROR(__xludf.DUMMYFUNCTION("""COMPUTED_VALUE"""),50000.0)</f>
        <v>50000</v>
      </c>
      <c r="F1732" s="1">
        <f>IFERROR(__xludf.DUMMYFUNCTION("""COMPUTED_VALUE"""),407793.0)</f>
        <v>407793</v>
      </c>
    </row>
    <row r="1733">
      <c r="A1733" s="2">
        <f>IFERROR(__xludf.DUMMYFUNCTION("""COMPUTED_VALUE"""),43117.64583333333)</f>
        <v>43117.64583</v>
      </c>
      <c r="B1733" s="1">
        <f>IFERROR(__xludf.DUMMYFUNCTION("""COMPUTED_VALUE"""),50020.0)</f>
        <v>50020</v>
      </c>
      <c r="C1733" s="1">
        <f>IFERROR(__xludf.DUMMYFUNCTION("""COMPUTED_VALUE"""),50020.0)</f>
        <v>50020</v>
      </c>
      <c r="D1733" s="1">
        <f>IFERROR(__xludf.DUMMYFUNCTION("""COMPUTED_VALUE"""),49060.0)</f>
        <v>49060</v>
      </c>
      <c r="E1733" s="1">
        <f>IFERROR(__xludf.DUMMYFUNCTION("""COMPUTED_VALUE"""),49620.0)</f>
        <v>49620</v>
      </c>
      <c r="F1733" s="1">
        <f>IFERROR(__xludf.DUMMYFUNCTION("""COMPUTED_VALUE"""),221061.0)</f>
        <v>221061</v>
      </c>
    </row>
    <row r="1734">
      <c r="A1734" s="2">
        <f>IFERROR(__xludf.DUMMYFUNCTION("""COMPUTED_VALUE"""),43118.64583333333)</f>
        <v>43118.64583</v>
      </c>
      <c r="B1734" s="1">
        <f>IFERROR(__xludf.DUMMYFUNCTION("""COMPUTED_VALUE"""),50020.0)</f>
        <v>50020</v>
      </c>
      <c r="C1734" s="1">
        <f>IFERROR(__xludf.DUMMYFUNCTION("""COMPUTED_VALUE"""),50640.0)</f>
        <v>50640</v>
      </c>
      <c r="D1734" s="1">
        <f>IFERROR(__xludf.DUMMYFUNCTION("""COMPUTED_VALUE"""),49820.0)</f>
        <v>49820</v>
      </c>
      <c r="E1734" s="1">
        <f>IFERROR(__xludf.DUMMYFUNCTION("""COMPUTED_VALUE"""),49900.0)</f>
        <v>49900</v>
      </c>
      <c r="F1734" s="1">
        <f>IFERROR(__xludf.DUMMYFUNCTION("""COMPUTED_VALUE"""),296977.0)</f>
        <v>296977</v>
      </c>
    </row>
    <row r="1735">
      <c r="A1735" s="2">
        <f>IFERROR(__xludf.DUMMYFUNCTION("""COMPUTED_VALUE"""),43119.64583333333)</f>
        <v>43119.64583</v>
      </c>
      <c r="B1735" s="1">
        <f>IFERROR(__xludf.DUMMYFUNCTION("""COMPUTED_VALUE"""),50380.0)</f>
        <v>50380</v>
      </c>
      <c r="C1735" s="1">
        <f>IFERROR(__xludf.DUMMYFUNCTION("""COMPUTED_VALUE"""),50380.0)</f>
        <v>50380</v>
      </c>
      <c r="D1735" s="1">
        <f>IFERROR(__xludf.DUMMYFUNCTION("""COMPUTED_VALUE"""),49040.0)</f>
        <v>49040</v>
      </c>
      <c r="E1735" s="1">
        <f>IFERROR(__xludf.DUMMYFUNCTION("""COMPUTED_VALUE"""),49320.0)</f>
        <v>49320</v>
      </c>
      <c r="F1735" s="1">
        <f>IFERROR(__xludf.DUMMYFUNCTION("""COMPUTED_VALUE"""),184399.0)</f>
        <v>184399</v>
      </c>
    </row>
    <row r="1736">
      <c r="A1736" s="2">
        <f>IFERROR(__xludf.DUMMYFUNCTION("""COMPUTED_VALUE"""),43122.64583333333)</f>
        <v>43122.64583</v>
      </c>
      <c r="B1736" s="1">
        <f>IFERROR(__xludf.DUMMYFUNCTION("""COMPUTED_VALUE"""),48640.0)</f>
        <v>48640</v>
      </c>
      <c r="C1736" s="1">
        <f>IFERROR(__xludf.DUMMYFUNCTION("""COMPUTED_VALUE"""),48680.0)</f>
        <v>48680</v>
      </c>
      <c r="D1736" s="1">
        <f>IFERROR(__xludf.DUMMYFUNCTION("""COMPUTED_VALUE"""),47960.0)</f>
        <v>47960</v>
      </c>
      <c r="E1736" s="1">
        <f>IFERROR(__xludf.DUMMYFUNCTION("""COMPUTED_VALUE"""),48240.0)</f>
        <v>48240</v>
      </c>
      <c r="F1736" s="1">
        <f>IFERROR(__xludf.DUMMYFUNCTION("""COMPUTED_VALUE"""),250418.0)</f>
        <v>250418</v>
      </c>
    </row>
    <row r="1737">
      <c r="A1737" s="2">
        <f>IFERROR(__xludf.DUMMYFUNCTION("""COMPUTED_VALUE"""),43123.64583333333)</f>
        <v>43123.64583</v>
      </c>
      <c r="B1737" s="1">
        <f>IFERROR(__xludf.DUMMYFUNCTION("""COMPUTED_VALUE"""),48660.0)</f>
        <v>48660</v>
      </c>
      <c r="C1737" s="1">
        <f>IFERROR(__xludf.DUMMYFUNCTION("""COMPUTED_VALUE"""),49160.0)</f>
        <v>49160</v>
      </c>
      <c r="D1737" s="1">
        <f>IFERROR(__xludf.DUMMYFUNCTION("""COMPUTED_VALUE"""),48300.0)</f>
        <v>48300</v>
      </c>
      <c r="E1737" s="1">
        <f>IFERROR(__xludf.DUMMYFUNCTION("""COMPUTED_VALUE"""),49160.0)</f>
        <v>49160</v>
      </c>
      <c r="F1737" s="1">
        <f>IFERROR(__xludf.DUMMYFUNCTION("""COMPUTED_VALUE"""),270654.0)</f>
        <v>270654</v>
      </c>
    </row>
    <row r="1738">
      <c r="A1738" s="2">
        <f>IFERROR(__xludf.DUMMYFUNCTION("""COMPUTED_VALUE"""),43124.64583333333)</f>
        <v>43124.64583</v>
      </c>
      <c r="B1738" s="1">
        <f>IFERROR(__xludf.DUMMYFUNCTION("""COMPUTED_VALUE"""),48860.0)</f>
        <v>48860</v>
      </c>
      <c r="C1738" s="1">
        <f>IFERROR(__xludf.DUMMYFUNCTION("""COMPUTED_VALUE"""),49700.0)</f>
        <v>49700</v>
      </c>
      <c r="D1738" s="1">
        <f>IFERROR(__xludf.DUMMYFUNCTION("""COMPUTED_VALUE"""),48560.0)</f>
        <v>48560</v>
      </c>
      <c r="E1738" s="1">
        <f>IFERROR(__xludf.DUMMYFUNCTION("""COMPUTED_VALUE"""),49340.0)</f>
        <v>49340</v>
      </c>
      <c r="F1738" s="1">
        <f>IFERROR(__xludf.DUMMYFUNCTION("""COMPUTED_VALUE"""),191010.0)</f>
        <v>191010</v>
      </c>
    </row>
    <row r="1739">
      <c r="A1739" s="2">
        <f>IFERROR(__xludf.DUMMYFUNCTION("""COMPUTED_VALUE"""),43125.64583333333)</f>
        <v>43125.64583</v>
      </c>
      <c r="B1739" s="1">
        <f>IFERROR(__xludf.DUMMYFUNCTION("""COMPUTED_VALUE"""),49220.0)</f>
        <v>49220</v>
      </c>
      <c r="C1739" s="1">
        <f>IFERROR(__xludf.DUMMYFUNCTION("""COMPUTED_VALUE"""),50360.0)</f>
        <v>50360</v>
      </c>
      <c r="D1739" s="1">
        <f>IFERROR(__xludf.DUMMYFUNCTION("""COMPUTED_VALUE"""),49160.0)</f>
        <v>49160</v>
      </c>
      <c r="E1739" s="1">
        <f>IFERROR(__xludf.DUMMYFUNCTION("""COMPUTED_VALUE"""),50260.0)</f>
        <v>50260</v>
      </c>
      <c r="F1739" s="1">
        <f>IFERROR(__xludf.DUMMYFUNCTION("""COMPUTED_VALUE"""),223207.0)</f>
        <v>223207</v>
      </c>
    </row>
    <row r="1740">
      <c r="A1740" s="2">
        <f>IFERROR(__xludf.DUMMYFUNCTION("""COMPUTED_VALUE"""),43126.64583333333)</f>
        <v>43126.64583</v>
      </c>
      <c r="B1740" s="1">
        <f>IFERROR(__xludf.DUMMYFUNCTION("""COMPUTED_VALUE"""),50500.0)</f>
        <v>50500</v>
      </c>
      <c r="C1740" s="1">
        <f>IFERROR(__xludf.DUMMYFUNCTION("""COMPUTED_VALUE"""),50780.0)</f>
        <v>50780</v>
      </c>
      <c r="D1740" s="1">
        <f>IFERROR(__xludf.DUMMYFUNCTION("""COMPUTED_VALUE"""),49840.0)</f>
        <v>49840</v>
      </c>
      <c r="E1740" s="1">
        <f>IFERROR(__xludf.DUMMYFUNCTION("""COMPUTED_VALUE"""),50780.0)</f>
        <v>50780</v>
      </c>
      <c r="F1740" s="1">
        <f>IFERROR(__xludf.DUMMYFUNCTION("""COMPUTED_VALUE"""),207002.0)</f>
        <v>207002</v>
      </c>
    </row>
    <row r="1741">
      <c r="A1741" s="2">
        <f>IFERROR(__xludf.DUMMYFUNCTION("""COMPUTED_VALUE"""),43129.64583333333)</f>
        <v>43129.64583</v>
      </c>
      <c r="B1741" s="1">
        <f>IFERROR(__xludf.DUMMYFUNCTION("""COMPUTED_VALUE"""),51200.0)</f>
        <v>51200</v>
      </c>
      <c r="C1741" s="1">
        <f>IFERROR(__xludf.DUMMYFUNCTION("""COMPUTED_VALUE"""),51480.0)</f>
        <v>51480</v>
      </c>
      <c r="D1741" s="1">
        <f>IFERROR(__xludf.DUMMYFUNCTION("""COMPUTED_VALUE"""),50900.0)</f>
        <v>50900</v>
      </c>
      <c r="E1741" s="1">
        <f>IFERROR(__xludf.DUMMYFUNCTION("""COMPUTED_VALUE"""),51220.0)</f>
        <v>51220</v>
      </c>
      <c r="F1741" s="1">
        <f>IFERROR(__xludf.DUMMYFUNCTION("""COMPUTED_VALUE"""),236776.0)</f>
        <v>236776</v>
      </c>
    </row>
    <row r="1742">
      <c r="A1742" s="2">
        <f>IFERROR(__xludf.DUMMYFUNCTION("""COMPUTED_VALUE"""),43130.64583333333)</f>
        <v>43130.64583</v>
      </c>
      <c r="B1742" s="1">
        <f>IFERROR(__xludf.DUMMYFUNCTION("""COMPUTED_VALUE"""),50440.0)</f>
        <v>50440</v>
      </c>
      <c r="C1742" s="1">
        <f>IFERROR(__xludf.DUMMYFUNCTION("""COMPUTED_VALUE"""),50640.0)</f>
        <v>50640</v>
      </c>
      <c r="D1742" s="1">
        <f>IFERROR(__xludf.DUMMYFUNCTION("""COMPUTED_VALUE"""),49780.0)</f>
        <v>49780</v>
      </c>
      <c r="E1742" s="1">
        <f>IFERROR(__xludf.DUMMYFUNCTION("""COMPUTED_VALUE"""),49800.0)</f>
        <v>49800</v>
      </c>
      <c r="F1742" s="1">
        <f>IFERROR(__xludf.DUMMYFUNCTION("""COMPUTED_VALUE"""),245691.0)</f>
        <v>245691</v>
      </c>
    </row>
    <row r="1743">
      <c r="A1743" s="2">
        <f>IFERROR(__xludf.DUMMYFUNCTION("""COMPUTED_VALUE"""),43131.64583333333)</f>
        <v>43131.64583</v>
      </c>
      <c r="B1743" s="1">
        <f>IFERROR(__xludf.DUMMYFUNCTION("""COMPUTED_VALUE"""),50020.0)</f>
        <v>50020</v>
      </c>
      <c r="C1743" s="1">
        <f>IFERROR(__xludf.DUMMYFUNCTION("""COMPUTED_VALUE"""),54140.0)</f>
        <v>54140</v>
      </c>
      <c r="D1743" s="1">
        <f>IFERROR(__xludf.DUMMYFUNCTION("""COMPUTED_VALUE"""),49600.0)</f>
        <v>49600</v>
      </c>
      <c r="E1743" s="1">
        <f>IFERROR(__xludf.DUMMYFUNCTION("""COMPUTED_VALUE"""),49900.0)</f>
        <v>49900</v>
      </c>
      <c r="F1743" s="1">
        <f>IFERROR(__xludf.DUMMYFUNCTION("""COMPUTED_VALUE"""),1293626.0)</f>
        <v>1293626</v>
      </c>
    </row>
    <row r="1744">
      <c r="A1744" s="2">
        <f>IFERROR(__xludf.DUMMYFUNCTION("""COMPUTED_VALUE"""),43132.64583333333)</f>
        <v>43132.64583</v>
      </c>
      <c r="B1744" s="1">
        <f>IFERROR(__xludf.DUMMYFUNCTION("""COMPUTED_VALUE"""),50620.0)</f>
        <v>50620</v>
      </c>
      <c r="C1744" s="1">
        <f>IFERROR(__xludf.DUMMYFUNCTION("""COMPUTED_VALUE"""),50960.0)</f>
        <v>50960</v>
      </c>
      <c r="D1744" s="1">
        <f>IFERROR(__xludf.DUMMYFUNCTION("""COMPUTED_VALUE"""),49720.0)</f>
        <v>49720</v>
      </c>
      <c r="E1744" s="1">
        <f>IFERROR(__xludf.DUMMYFUNCTION("""COMPUTED_VALUE"""),49820.0)</f>
        <v>49820</v>
      </c>
      <c r="F1744" s="1">
        <f>IFERROR(__xludf.DUMMYFUNCTION("""COMPUTED_VALUE"""),552189.0)</f>
        <v>552189</v>
      </c>
    </row>
    <row r="1745">
      <c r="A1745" s="2">
        <f>IFERROR(__xludf.DUMMYFUNCTION("""COMPUTED_VALUE"""),43133.64583333333)</f>
        <v>43133.64583</v>
      </c>
      <c r="B1745" s="1">
        <f>IFERROR(__xludf.DUMMYFUNCTION("""COMPUTED_VALUE"""),49380.0)</f>
        <v>49380</v>
      </c>
      <c r="C1745" s="1">
        <f>IFERROR(__xludf.DUMMYFUNCTION("""COMPUTED_VALUE"""),49400.0)</f>
        <v>49400</v>
      </c>
      <c r="D1745" s="1">
        <f>IFERROR(__xludf.DUMMYFUNCTION("""COMPUTED_VALUE"""),47700.0)</f>
        <v>47700</v>
      </c>
      <c r="E1745" s="1">
        <f>IFERROR(__xludf.DUMMYFUNCTION("""COMPUTED_VALUE"""),47700.0)</f>
        <v>47700</v>
      </c>
      <c r="F1745" s="1">
        <f>IFERROR(__xludf.DUMMYFUNCTION("""COMPUTED_VALUE"""),585207.0)</f>
        <v>585207</v>
      </c>
    </row>
    <row r="1746">
      <c r="A1746" s="2">
        <f>IFERROR(__xludf.DUMMYFUNCTION("""COMPUTED_VALUE"""),43136.64583333333)</f>
        <v>43136.64583</v>
      </c>
      <c r="B1746" s="1">
        <f>IFERROR(__xludf.DUMMYFUNCTION("""COMPUTED_VALUE"""),46500.0)</f>
        <v>46500</v>
      </c>
      <c r="C1746" s="1">
        <f>IFERROR(__xludf.DUMMYFUNCTION("""COMPUTED_VALUE"""),48320.0)</f>
        <v>48320</v>
      </c>
      <c r="D1746" s="1">
        <f>IFERROR(__xludf.DUMMYFUNCTION("""COMPUTED_VALUE"""),46000.0)</f>
        <v>46000</v>
      </c>
      <c r="E1746" s="1">
        <f>IFERROR(__xludf.DUMMYFUNCTION("""COMPUTED_VALUE"""),47920.0)</f>
        <v>47920</v>
      </c>
      <c r="F1746" s="1">
        <f>IFERROR(__xludf.DUMMYFUNCTION("""COMPUTED_VALUE"""),567158.0)</f>
        <v>567158</v>
      </c>
    </row>
    <row r="1747">
      <c r="A1747" s="2">
        <f>IFERROR(__xludf.DUMMYFUNCTION("""COMPUTED_VALUE"""),43137.64583333333)</f>
        <v>43137.64583</v>
      </c>
      <c r="B1747" s="1">
        <f>IFERROR(__xludf.DUMMYFUNCTION("""COMPUTED_VALUE"""),46600.0)</f>
        <v>46600</v>
      </c>
      <c r="C1747" s="1">
        <f>IFERROR(__xludf.DUMMYFUNCTION("""COMPUTED_VALUE"""),47920.0)</f>
        <v>47920</v>
      </c>
      <c r="D1747" s="1">
        <f>IFERROR(__xludf.DUMMYFUNCTION("""COMPUTED_VALUE"""),46580.0)</f>
        <v>46580</v>
      </c>
      <c r="E1747" s="1">
        <f>IFERROR(__xludf.DUMMYFUNCTION("""COMPUTED_VALUE"""),47420.0)</f>
        <v>47420</v>
      </c>
      <c r="F1747" s="1">
        <f>IFERROR(__xludf.DUMMYFUNCTION("""COMPUTED_VALUE"""),388129.0)</f>
        <v>388129</v>
      </c>
    </row>
    <row r="1748">
      <c r="A1748" s="2">
        <f>IFERROR(__xludf.DUMMYFUNCTION("""COMPUTED_VALUE"""),43138.64583333333)</f>
        <v>43138.64583</v>
      </c>
      <c r="B1748" s="1">
        <f>IFERROR(__xludf.DUMMYFUNCTION("""COMPUTED_VALUE"""),48240.0)</f>
        <v>48240</v>
      </c>
      <c r="C1748" s="1">
        <f>IFERROR(__xludf.DUMMYFUNCTION("""COMPUTED_VALUE"""),48260.0)</f>
        <v>48260</v>
      </c>
      <c r="D1748" s="1">
        <f>IFERROR(__xludf.DUMMYFUNCTION("""COMPUTED_VALUE"""),45800.0)</f>
        <v>45800</v>
      </c>
      <c r="E1748" s="1">
        <f>IFERROR(__xludf.DUMMYFUNCTION("""COMPUTED_VALUE"""),45800.0)</f>
        <v>45800</v>
      </c>
      <c r="F1748" s="1">
        <f>IFERROR(__xludf.DUMMYFUNCTION("""COMPUTED_VALUE"""),468961.0)</f>
        <v>468961</v>
      </c>
    </row>
    <row r="1749">
      <c r="A1749" s="2">
        <f>IFERROR(__xludf.DUMMYFUNCTION("""COMPUTED_VALUE"""),43139.64583333333)</f>
        <v>43139.64583</v>
      </c>
      <c r="B1749" s="1">
        <f>IFERROR(__xludf.DUMMYFUNCTION("""COMPUTED_VALUE"""),46120.0)</f>
        <v>46120</v>
      </c>
      <c r="C1749" s="1">
        <f>IFERROR(__xludf.DUMMYFUNCTION("""COMPUTED_VALUE"""),46620.0)</f>
        <v>46620</v>
      </c>
      <c r="D1749" s="1">
        <f>IFERROR(__xludf.DUMMYFUNCTION("""COMPUTED_VALUE"""),45980.0)</f>
        <v>45980</v>
      </c>
      <c r="E1749" s="1">
        <f>IFERROR(__xludf.DUMMYFUNCTION("""COMPUTED_VALUE"""),46000.0)</f>
        <v>46000</v>
      </c>
      <c r="F1749" s="1">
        <f>IFERROR(__xludf.DUMMYFUNCTION("""COMPUTED_VALUE"""),465021.0)</f>
        <v>465021</v>
      </c>
    </row>
    <row r="1750">
      <c r="A1750" s="2">
        <f>IFERROR(__xludf.DUMMYFUNCTION("""COMPUTED_VALUE"""),43140.64583333333)</f>
        <v>43140.64583</v>
      </c>
      <c r="B1750" s="1">
        <f>IFERROR(__xludf.DUMMYFUNCTION("""COMPUTED_VALUE"""),44440.0)</f>
        <v>44440</v>
      </c>
      <c r="C1750" s="1">
        <f>IFERROR(__xludf.DUMMYFUNCTION("""COMPUTED_VALUE"""),45180.0)</f>
        <v>45180</v>
      </c>
      <c r="D1750" s="1">
        <f>IFERROR(__xludf.DUMMYFUNCTION("""COMPUTED_VALUE"""),44420.0)</f>
        <v>44420</v>
      </c>
      <c r="E1750" s="1">
        <f>IFERROR(__xludf.DUMMYFUNCTION("""COMPUTED_VALUE"""),44700.0)</f>
        <v>44700</v>
      </c>
      <c r="F1750" s="1">
        <f>IFERROR(__xludf.DUMMYFUNCTION("""COMPUTED_VALUE"""),349300.0)</f>
        <v>349300</v>
      </c>
    </row>
    <row r="1751">
      <c r="A1751" s="2">
        <f>IFERROR(__xludf.DUMMYFUNCTION("""COMPUTED_VALUE"""),43143.64583333333)</f>
        <v>43143.64583</v>
      </c>
      <c r="B1751" s="1">
        <f>IFERROR(__xludf.DUMMYFUNCTION("""COMPUTED_VALUE"""),45100.0)</f>
        <v>45100</v>
      </c>
      <c r="C1751" s="1">
        <f>IFERROR(__xludf.DUMMYFUNCTION("""COMPUTED_VALUE"""),46320.0)</f>
        <v>46320</v>
      </c>
      <c r="D1751" s="1">
        <f>IFERROR(__xludf.DUMMYFUNCTION("""COMPUTED_VALUE"""),45040.0)</f>
        <v>45040</v>
      </c>
      <c r="E1751" s="1">
        <f>IFERROR(__xludf.DUMMYFUNCTION("""COMPUTED_VALUE"""),45720.0)</f>
        <v>45720</v>
      </c>
      <c r="F1751" s="1">
        <f>IFERROR(__xludf.DUMMYFUNCTION("""COMPUTED_VALUE"""),315099.0)</f>
        <v>315099</v>
      </c>
    </row>
    <row r="1752">
      <c r="A1752" s="2">
        <f>IFERROR(__xludf.DUMMYFUNCTION("""COMPUTED_VALUE"""),43144.64583333333)</f>
        <v>43144.64583</v>
      </c>
      <c r="B1752" s="1">
        <f>IFERROR(__xludf.DUMMYFUNCTION("""COMPUTED_VALUE"""),46200.0)</f>
        <v>46200</v>
      </c>
      <c r="C1752" s="1">
        <f>IFERROR(__xludf.DUMMYFUNCTION("""COMPUTED_VALUE"""),48060.0)</f>
        <v>48060</v>
      </c>
      <c r="D1752" s="1">
        <f>IFERROR(__xludf.DUMMYFUNCTION("""COMPUTED_VALUE"""),46200.0)</f>
        <v>46200</v>
      </c>
      <c r="E1752" s="1">
        <f>IFERROR(__xludf.DUMMYFUNCTION("""COMPUTED_VALUE"""),47540.0)</f>
        <v>47540</v>
      </c>
      <c r="F1752" s="1">
        <f>IFERROR(__xludf.DUMMYFUNCTION("""COMPUTED_VALUE"""),378465.0)</f>
        <v>378465</v>
      </c>
    </row>
    <row r="1753">
      <c r="A1753" s="2">
        <f>IFERROR(__xludf.DUMMYFUNCTION("""COMPUTED_VALUE"""),43145.64583333333)</f>
        <v>43145.64583</v>
      </c>
      <c r="B1753" s="1">
        <f>IFERROR(__xludf.DUMMYFUNCTION("""COMPUTED_VALUE"""),48080.0)</f>
        <v>48080</v>
      </c>
      <c r="C1753" s="1">
        <f>IFERROR(__xludf.DUMMYFUNCTION("""COMPUTED_VALUE"""),49100.0)</f>
        <v>49100</v>
      </c>
      <c r="D1753" s="1">
        <f>IFERROR(__xludf.DUMMYFUNCTION("""COMPUTED_VALUE"""),47940.0)</f>
        <v>47940</v>
      </c>
      <c r="E1753" s="1">
        <f>IFERROR(__xludf.DUMMYFUNCTION("""COMPUTED_VALUE"""),49000.0)</f>
        <v>49000</v>
      </c>
      <c r="F1753" s="1">
        <f>IFERROR(__xludf.DUMMYFUNCTION("""COMPUTED_VALUE"""),378118.0)</f>
        <v>378118</v>
      </c>
    </row>
    <row r="1754">
      <c r="A1754" s="2">
        <f>IFERROR(__xludf.DUMMYFUNCTION("""COMPUTED_VALUE"""),43150.64583333333)</f>
        <v>43150.64583</v>
      </c>
      <c r="B1754" s="1">
        <f>IFERROR(__xludf.DUMMYFUNCTION("""COMPUTED_VALUE"""),49800.0)</f>
        <v>49800</v>
      </c>
      <c r="C1754" s="1">
        <f>IFERROR(__xludf.DUMMYFUNCTION("""COMPUTED_VALUE"""),49800.0)</f>
        <v>49800</v>
      </c>
      <c r="D1754" s="1">
        <f>IFERROR(__xludf.DUMMYFUNCTION("""COMPUTED_VALUE"""),47860.0)</f>
        <v>47860</v>
      </c>
      <c r="E1754" s="1">
        <f>IFERROR(__xludf.DUMMYFUNCTION("""COMPUTED_VALUE"""),48380.0)</f>
        <v>48380</v>
      </c>
      <c r="F1754" s="1">
        <f>IFERROR(__xludf.DUMMYFUNCTION("""COMPUTED_VALUE"""),307069.0)</f>
        <v>307069</v>
      </c>
    </row>
    <row r="1755">
      <c r="A1755" s="2">
        <f>IFERROR(__xludf.DUMMYFUNCTION("""COMPUTED_VALUE"""),43151.64583333333)</f>
        <v>43151.64583</v>
      </c>
      <c r="B1755" s="1">
        <f>IFERROR(__xludf.DUMMYFUNCTION("""COMPUTED_VALUE"""),48040.0)</f>
        <v>48040</v>
      </c>
      <c r="C1755" s="1">
        <f>IFERROR(__xludf.DUMMYFUNCTION("""COMPUTED_VALUE"""),48160.0)</f>
        <v>48160</v>
      </c>
      <c r="D1755" s="1">
        <f>IFERROR(__xludf.DUMMYFUNCTION("""COMPUTED_VALUE"""),47220.0)</f>
        <v>47220</v>
      </c>
      <c r="E1755" s="1">
        <f>IFERROR(__xludf.DUMMYFUNCTION("""COMPUTED_VALUE"""),47400.0)</f>
        <v>47400</v>
      </c>
      <c r="F1755" s="1">
        <f>IFERROR(__xludf.DUMMYFUNCTION("""COMPUTED_VALUE"""),202452.0)</f>
        <v>202452</v>
      </c>
    </row>
    <row r="1756">
      <c r="A1756" s="2">
        <f>IFERROR(__xludf.DUMMYFUNCTION("""COMPUTED_VALUE"""),43152.64583333333)</f>
        <v>43152.64583</v>
      </c>
      <c r="B1756" s="1">
        <f>IFERROR(__xludf.DUMMYFUNCTION("""COMPUTED_VALUE"""),47280.0)</f>
        <v>47280</v>
      </c>
      <c r="C1756" s="1">
        <f>IFERROR(__xludf.DUMMYFUNCTION("""COMPUTED_VALUE"""),47580.0)</f>
        <v>47580</v>
      </c>
      <c r="D1756" s="1">
        <f>IFERROR(__xludf.DUMMYFUNCTION("""COMPUTED_VALUE"""),46840.0)</f>
        <v>46840</v>
      </c>
      <c r="E1756" s="1">
        <f>IFERROR(__xludf.DUMMYFUNCTION("""COMPUTED_VALUE"""),47280.0)</f>
        <v>47280</v>
      </c>
      <c r="F1756" s="1">
        <f>IFERROR(__xludf.DUMMYFUNCTION("""COMPUTED_VALUE"""),257604.0)</f>
        <v>257604</v>
      </c>
    </row>
    <row r="1757">
      <c r="A1757" s="2">
        <f>IFERROR(__xludf.DUMMYFUNCTION("""COMPUTED_VALUE"""),43153.64583333333)</f>
        <v>43153.64583</v>
      </c>
      <c r="B1757" s="1">
        <f>IFERROR(__xludf.DUMMYFUNCTION("""COMPUTED_VALUE"""),47260.0)</f>
        <v>47260</v>
      </c>
      <c r="C1757" s="1">
        <f>IFERROR(__xludf.DUMMYFUNCTION("""COMPUTED_VALUE"""),47260.0)</f>
        <v>47260</v>
      </c>
      <c r="D1757" s="1">
        <f>IFERROR(__xludf.DUMMYFUNCTION("""COMPUTED_VALUE"""),46760.0)</f>
        <v>46760</v>
      </c>
      <c r="E1757" s="1">
        <f>IFERROR(__xludf.DUMMYFUNCTION("""COMPUTED_VALUE"""),46760.0)</f>
        <v>46760</v>
      </c>
      <c r="F1757" s="1">
        <f>IFERROR(__xludf.DUMMYFUNCTION("""COMPUTED_VALUE"""),177399.0)</f>
        <v>177399</v>
      </c>
    </row>
    <row r="1758">
      <c r="A1758" s="2">
        <f>IFERROR(__xludf.DUMMYFUNCTION("""COMPUTED_VALUE"""),43154.64583333333)</f>
        <v>43154.64583</v>
      </c>
      <c r="B1758" s="1">
        <f>IFERROR(__xludf.DUMMYFUNCTION("""COMPUTED_VALUE"""),46760.0)</f>
        <v>46760</v>
      </c>
      <c r="C1758" s="1">
        <f>IFERROR(__xludf.DUMMYFUNCTION("""COMPUTED_VALUE"""),47800.0)</f>
        <v>47800</v>
      </c>
      <c r="D1758" s="1">
        <f>IFERROR(__xludf.DUMMYFUNCTION("""COMPUTED_VALUE"""),46760.0)</f>
        <v>46760</v>
      </c>
      <c r="E1758" s="1">
        <f>IFERROR(__xludf.DUMMYFUNCTION("""COMPUTED_VALUE"""),47220.0)</f>
        <v>47220</v>
      </c>
      <c r="F1758" s="1">
        <f>IFERROR(__xludf.DUMMYFUNCTION("""COMPUTED_VALUE"""),248466.0)</f>
        <v>248466</v>
      </c>
    </row>
    <row r="1759">
      <c r="A1759" s="2">
        <f>IFERROR(__xludf.DUMMYFUNCTION("""COMPUTED_VALUE"""),43157.64583333333)</f>
        <v>43157.64583</v>
      </c>
      <c r="B1759" s="1">
        <f>IFERROR(__xludf.DUMMYFUNCTION("""COMPUTED_VALUE"""),47280.0)</f>
        <v>47280</v>
      </c>
      <c r="C1759" s="1">
        <f>IFERROR(__xludf.DUMMYFUNCTION("""COMPUTED_VALUE"""),47560.0)</f>
        <v>47560</v>
      </c>
      <c r="D1759" s="1">
        <f>IFERROR(__xludf.DUMMYFUNCTION("""COMPUTED_VALUE"""),47080.0)</f>
        <v>47080</v>
      </c>
      <c r="E1759" s="1">
        <f>IFERROR(__xludf.DUMMYFUNCTION("""COMPUTED_VALUE"""),47380.0)</f>
        <v>47380</v>
      </c>
      <c r="F1759" s="1">
        <f>IFERROR(__xludf.DUMMYFUNCTION("""COMPUTED_VALUE"""),191213.0)</f>
        <v>191213</v>
      </c>
    </row>
    <row r="1760">
      <c r="A1760" s="2">
        <f>IFERROR(__xludf.DUMMYFUNCTION("""COMPUTED_VALUE"""),43158.64583333333)</f>
        <v>43158.64583</v>
      </c>
      <c r="B1760" s="1">
        <f>IFERROR(__xludf.DUMMYFUNCTION("""COMPUTED_VALUE"""),48360.0)</f>
        <v>48360</v>
      </c>
      <c r="C1760" s="1">
        <f>IFERROR(__xludf.DUMMYFUNCTION("""COMPUTED_VALUE"""),48380.0)</f>
        <v>48380</v>
      </c>
      <c r="D1760" s="1">
        <f>IFERROR(__xludf.DUMMYFUNCTION("""COMPUTED_VALUE"""),47380.0)</f>
        <v>47380</v>
      </c>
      <c r="E1760" s="1">
        <f>IFERROR(__xludf.DUMMYFUNCTION("""COMPUTED_VALUE"""),47380.0)</f>
        <v>47380</v>
      </c>
      <c r="F1760" s="1">
        <f>IFERROR(__xludf.DUMMYFUNCTION("""COMPUTED_VALUE"""),196611.0)</f>
        <v>196611</v>
      </c>
    </row>
    <row r="1761">
      <c r="A1761" s="2">
        <f>IFERROR(__xludf.DUMMYFUNCTION("""COMPUTED_VALUE"""),43159.64583333333)</f>
        <v>43159.64583</v>
      </c>
      <c r="B1761" s="1">
        <f>IFERROR(__xludf.DUMMYFUNCTION("""COMPUTED_VALUE"""),47380.0)</f>
        <v>47380</v>
      </c>
      <c r="C1761" s="1">
        <f>IFERROR(__xludf.DUMMYFUNCTION("""COMPUTED_VALUE"""),48100.0)</f>
        <v>48100</v>
      </c>
      <c r="D1761" s="1">
        <f>IFERROR(__xludf.DUMMYFUNCTION("""COMPUTED_VALUE"""),47000.0)</f>
        <v>47000</v>
      </c>
      <c r="E1761" s="1">
        <f>IFERROR(__xludf.DUMMYFUNCTION("""COMPUTED_VALUE"""),47060.0)</f>
        <v>47060</v>
      </c>
      <c r="F1761" s="1">
        <f>IFERROR(__xludf.DUMMYFUNCTION("""COMPUTED_VALUE"""),303247.0)</f>
        <v>303247</v>
      </c>
    </row>
    <row r="1762">
      <c r="A1762" s="2">
        <f>IFERROR(__xludf.DUMMYFUNCTION("""COMPUTED_VALUE"""),43161.64583333333)</f>
        <v>43161.64583</v>
      </c>
      <c r="B1762" s="1">
        <f>IFERROR(__xludf.DUMMYFUNCTION("""COMPUTED_VALUE"""),46580.0)</f>
        <v>46580</v>
      </c>
      <c r="C1762" s="1">
        <f>IFERROR(__xludf.DUMMYFUNCTION("""COMPUTED_VALUE"""),46800.0)</f>
        <v>46800</v>
      </c>
      <c r="D1762" s="1">
        <f>IFERROR(__xludf.DUMMYFUNCTION("""COMPUTED_VALUE"""),46000.0)</f>
        <v>46000</v>
      </c>
      <c r="E1762" s="1">
        <f>IFERROR(__xludf.DUMMYFUNCTION("""COMPUTED_VALUE"""),46020.0)</f>
        <v>46020</v>
      </c>
      <c r="F1762" s="1">
        <f>IFERROR(__xludf.DUMMYFUNCTION("""COMPUTED_VALUE"""),265310.0)</f>
        <v>265310</v>
      </c>
    </row>
    <row r="1763">
      <c r="A1763" s="2">
        <f>IFERROR(__xludf.DUMMYFUNCTION("""COMPUTED_VALUE"""),43164.64583333333)</f>
        <v>43164.64583</v>
      </c>
      <c r="B1763" s="1">
        <f>IFERROR(__xludf.DUMMYFUNCTION("""COMPUTED_VALUE"""),45820.0)</f>
        <v>45820</v>
      </c>
      <c r="C1763" s="1">
        <f>IFERROR(__xludf.DUMMYFUNCTION("""COMPUTED_VALUE"""),46160.0)</f>
        <v>46160</v>
      </c>
      <c r="D1763" s="1">
        <f>IFERROR(__xludf.DUMMYFUNCTION("""COMPUTED_VALUE"""),45080.0)</f>
        <v>45080</v>
      </c>
      <c r="E1763" s="1">
        <f>IFERROR(__xludf.DUMMYFUNCTION("""COMPUTED_VALUE"""),45200.0)</f>
        <v>45200</v>
      </c>
      <c r="F1763" s="1">
        <f>IFERROR(__xludf.DUMMYFUNCTION("""COMPUTED_VALUE"""),282019.0)</f>
        <v>282019</v>
      </c>
    </row>
    <row r="1764">
      <c r="A1764" s="2">
        <f>IFERROR(__xludf.DUMMYFUNCTION("""COMPUTED_VALUE"""),43165.64583333333)</f>
        <v>43165.64583</v>
      </c>
      <c r="B1764" s="1">
        <f>IFERROR(__xludf.DUMMYFUNCTION("""COMPUTED_VALUE"""),45920.0)</f>
        <v>45920</v>
      </c>
      <c r="C1764" s="1">
        <f>IFERROR(__xludf.DUMMYFUNCTION("""COMPUTED_VALUE"""),47100.0)</f>
        <v>47100</v>
      </c>
      <c r="D1764" s="1">
        <f>IFERROR(__xludf.DUMMYFUNCTION("""COMPUTED_VALUE"""),45820.0)</f>
        <v>45820</v>
      </c>
      <c r="E1764" s="1">
        <f>IFERROR(__xludf.DUMMYFUNCTION("""COMPUTED_VALUE"""),47020.0)</f>
        <v>47020</v>
      </c>
      <c r="F1764" s="1">
        <f>IFERROR(__xludf.DUMMYFUNCTION("""COMPUTED_VALUE"""),308467.0)</f>
        <v>308467</v>
      </c>
    </row>
    <row r="1765">
      <c r="A1765" s="2">
        <f>IFERROR(__xludf.DUMMYFUNCTION("""COMPUTED_VALUE"""),43166.64583333333)</f>
        <v>43166.64583</v>
      </c>
      <c r="B1765" s="1">
        <f>IFERROR(__xludf.DUMMYFUNCTION("""COMPUTED_VALUE"""),48200.0)</f>
        <v>48200</v>
      </c>
      <c r="C1765" s="1">
        <f>IFERROR(__xludf.DUMMYFUNCTION("""COMPUTED_VALUE"""),48900.0)</f>
        <v>48900</v>
      </c>
      <c r="D1765" s="1">
        <f>IFERROR(__xludf.DUMMYFUNCTION("""COMPUTED_VALUE"""),47220.0)</f>
        <v>47220</v>
      </c>
      <c r="E1765" s="1">
        <f>IFERROR(__xludf.DUMMYFUNCTION("""COMPUTED_VALUE"""),48620.0)</f>
        <v>48620</v>
      </c>
      <c r="F1765" s="1">
        <f>IFERROR(__xludf.DUMMYFUNCTION("""COMPUTED_VALUE"""),428541.0)</f>
        <v>428541</v>
      </c>
    </row>
    <row r="1766">
      <c r="A1766" s="2">
        <f>IFERROR(__xludf.DUMMYFUNCTION("""COMPUTED_VALUE"""),43167.64583333333)</f>
        <v>43167.64583</v>
      </c>
      <c r="B1766" s="1">
        <f>IFERROR(__xludf.DUMMYFUNCTION("""COMPUTED_VALUE"""),49200.0)</f>
        <v>49200</v>
      </c>
      <c r="C1766" s="1">
        <f>IFERROR(__xludf.DUMMYFUNCTION("""COMPUTED_VALUE"""),49480.0)</f>
        <v>49480</v>
      </c>
      <c r="D1766" s="1">
        <f>IFERROR(__xludf.DUMMYFUNCTION("""COMPUTED_VALUE"""),48080.0)</f>
        <v>48080</v>
      </c>
      <c r="E1766" s="1">
        <f>IFERROR(__xludf.DUMMYFUNCTION("""COMPUTED_VALUE"""),49200.0)</f>
        <v>49200</v>
      </c>
      <c r="F1766" s="1">
        <f>IFERROR(__xludf.DUMMYFUNCTION("""COMPUTED_VALUE"""),389273.0)</f>
        <v>389273</v>
      </c>
    </row>
    <row r="1767">
      <c r="A1767" s="2">
        <f>IFERROR(__xludf.DUMMYFUNCTION("""COMPUTED_VALUE"""),43168.64583333333)</f>
        <v>43168.64583</v>
      </c>
      <c r="B1767" s="1">
        <f>IFERROR(__xludf.DUMMYFUNCTION("""COMPUTED_VALUE"""),49440.0)</f>
        <v>49440</v>
      </c>
      <c r="C1767" s="1">
        <f>IFERROR(__xludf.DUMMYFUNCTION("""COMPUTED_VALUE"""),50540.0)</f>
        <v>50540</v>
      </c>
      <c r="D1767" s="1">
        <f>IFERROR(__xludf.DUMMYFUNCTION("""COMPUTED_VALUE"""),49240.0)</f>
        <v>49240</v>
      </c>
      <c r="E1767" s="1">
        <f>IFERROR(__xludf.DUMMYFUNCTION("""COMPUTED_VALUE"""),49740.0)</f>
        <v>49740</v>
      </c>
      <c r="F1767" s="1">
        <f>IFERROR(__xludf.DUMMYFUNCTION("""COMPUTED_VALUE"""),286088.0)</f>
        <v>286088</v>
      </c>
    </row>
    <row r="1768">
      <c r="A1768" s="2">
        <f>IFERROR(__xludf.DUMMYFUNCTION("""COMPUTED_VALUE"""),43171.64583333333)</f>
        <v>43171.64583</v>
      </c>
      <c r="B1768" s="1">
        <f>IFERROR(__xludf.DUMMYFUNCTION("""COMPUTED_VALUE"""),50560.0)</f>
        <v>50560</v>
      </c>
      <c r="C1768" s="1">
        <f>IFERROR(__xludf.DUMMYFUNCTION("""COMPUTED_VALUE"""),50780.0)</f>
        <v>50780</v>
      </c>
      <c r="D1768" s="1">
        <f>IFERROR(__xludf.DUMMYFUNCTION("""COMPUTED_VALUE"""),49580.0)</f>
        <v>49580</v>
      </c>
      <c r="E1768" s="1">
        <f>IFERROR(__xludf.DUMMYFUNCTION("""COMPUTED_VALUE"""),49740.0)</f>
        <v>49740</v>
      </c>
      <c r="F1768" s="1">
        <f>IFERROR(__xludf.DUMMYFUNCTION("""COMPUTED_VALUE"""),173779.0)</f>
        <v>173779</v>
      </c>
    </row>
    <row r="1769">
      <c r="A1769" s="2">
        <f>IFERROR(__xludf.DUMMYFUNCTION("""COMPUTED_VALUE"""),43172.64583333333)</f>
        <v>43172.64583</v>
      </c>
      <c r="B1769" s="1">
        <f>IFERROR(__xludf.DUMMYFUNCTION("""COMPUTED_VALUE"""),50760.0)</f>
        <v>50760</v>
      </c>
      <c r="C1769" s="1">
        <f>IFERROR(__xludf.DUMMYFUNCTION("""COMPUTED_VALUE"""),51660.0)</f>
        <v>51660</v>
      </c>
      <c r="D1769" s="1">
        <f>IFERROR(__xludf.DUMMYFUNCTION("""COMPUTED_VALUE"""),50360.0)</f>
        <v>50360</v>
      </c>
      <c r="E1769" s="1">
        <f>IFERROR(__xludf.DUMMYFUNCTION("""COMPUTED_VALUE"""),51660.0)</f>
        <v>51660</v>
      </c>
      <c r="F1769" s="1">
        <f>IFERROR(__xludf.DUMMYFUNCTION("""COMPUTED_VALUE"""),401974.0)</f>
        <v>401974</v>
      </c>
    </row>
    <row r="1770">
      <c r="A1770" s="2">
        <f>IFERROR(__xludf.DUMMYFUNCTION("""COMPUTED_VALUE"""),43173.64583333333)</f>
        <v>43173.64583</v>
      </c>
      <c r="B1770" s="1">
        <f>IFERROR(__xludf.DUMMYFUNCTION("""COMPUTED_VALUE"""),51020.0)</f>
        <v>51020</v>
      </c>
      <c r="C1770" s="1">
        <f>IFERROR(__xludf.DUMMYFUNCTION("""COMPUTED_VALUE"""),52000.0)</f>
        <v>52000</v>
      </c>
      <c r="D1770" s="1">
        <f>IFERROR(__xludf.DUMMYFUNCTION("""COMPUTED_VALUE"""),51000.0)</f>
        <v>51000</v>
      </c>
      <c r="E1770" s="1">
        <f>IFERROR(__xludf.DUMMYFUNCTION("""COMPUTED_VALUE"""),51760.0)</f>
        <v>51760</v>
      </c>
      <c r="F1770" s="1">
        <f>IFERROR(__xludf.DUMMYFUNCTION("""COMPUTED_VALUE"""),254265.0)</f>
        <v>254265</v>
      </c>
    </row>
    <row r="1771">
      <c r="A1771" s="2">
        <f>IFERROR(__xludf.DUMMYFUNCTION("""COMPUTED_VALUE"""),43174.64583333333)</f>
        <v>43174.64583</v>
      </c>
      <c r="B1771" s="1">
        <f>IFERROR(__xludf.DUMMYFUNCTION("""COMPUTED_VALUE"""),52000.0)</f>
        <v>52000</v>
      </c>
      <c r="C1771" s="1">
        <f>IFERROR(__xludf.DUMMYFUNCTION("""COMPUTED_VALUE"""),52020.0)</f>
        <v>52020</v>
      </c>
      <c r="D1771" s="1">
        <f>IFERROR(__xludf.DUMMYFUNCTION("""COMPUTED_VALUE"""),51020.0)</f>
        <v>51020</v>
      </c>
      <c r="E1771" s="1">
        <f>IFERROR(__xludf.DUMMYFUNCTION("""COMPUTED_VALUE"""),51540.0)</f>
        <v>51540</v>
      </c>
      <c r="F1771" s="1">
        <f>IFERROR(__xludf.DUMMYFUNCTION("""COMPUTED_VALUE"""),177649.0)</f>
        <v>177649</v>
      </c>
    </row>
    <row r="1772">
      <c r="A1772" s="2">
        <f>IFERROR(__xludf.DUMMYFUNCTION("""COMPUTED_VALUE"""),43175.64583333333)</f>
        <v>43175.64583</v>
      </c>
      <c r="B1772" s="1">
        <f>IFERROR(__xludf.DUMMYFUNCTION("""COMPUTED_VALUE"""),51220.0)</f>
        <v>51220</v>
      </c>
      <c r="C1772" s="1">
        <f>IFERROR(__xludf.DUMMYFUNCTION("""COMPUTED_VALUE"""),51420.0)</f>
        <v>51420</v>
      </c>
      <c r="D1772" s="1">
        <f>IFERROR(__xludf.DUMMYFUNCTION("""COMPUTED_VALUE"""),50240.0)</f>
        <v>50240</v>
      </c>
      <c r="E1772" s="1">
        <f>IFERROR(__xludf.DUMMYFUNCTION("""COMPUTED_VALUE"""),51140.0)</f>
        <v>51140</v>
      </c>
      <c r="F1772" s="1">
        <f>IFERROR(__xludf.DUMMYFUNCTION("""COMPUTED_VALUE"""),243698.0)</f>
        <v>243698</v>
      </c>
    </row>
    <row r="1773">
      <c r="A1773" s="2">
        <f>IFERROR(__xludf.DUMMYFUNCTION("""COMPUTED_VALUE"""),43178.64583333333)</f>
        <v>43178.64583</v>
      </c>
      <c r="B1773" s="1">
        <f>IFERROR(__xludf.DUMMYFUNCTION("""COMPUTED_VALUE"""),50620.0)</f>
        <v>50620</v>
      </c>
      <c r="C1773" s="1">
        <f>IFERROR(__xludf.DUMMYFUNCTION("""COMPUTED_VALUE"""),51340.0)</f>
        <v>51340</v>
      </c>
      <c r="D1773" s="1">
        <f>IFERROR(__xludf.DUMMYFUNCTION("""COMPUTED_VALUE"""),50440.0)</f>
        <v>50440</v>
      </c>
      <c r="E1773" s="1">
        <f>IFERROR(__xludf.DUMMYFUNCTION("""COMPUTED_VALUE"""),50740.0)</f>
        <v>50740</v>
      </c>
      <c r="F1773" s="1">
        <f>IFERROR(__xludf.DUMMYFUNCTION("""COMPUTED_VALUE"""),164377.0)</f>
        <v>164377</v>
      </c>
    </row>
    <row r="1774">
      <c r="A1774" s="2">
        <f>IFERROR(__xludf.DUMMYFUNCTION("""COMPUTED_VALUE"""),43179.64583333333)</f>
        <v>43179.64583</v>
      </c>
      <c r="B1774" s="1">
        <f>IFERROR(__xludf.DUMMYFUNCTION("""COMPUTED_VALUE"""),50700.0)</f>
        <v>50700</v>
      </c>
      <c r="C1774" s="1">
        <f>IFERROR(__xludf.DUMMYFUNCTION("""COMPUTED_VALUE"""),51200.0)</f>
        <v>51200</v>
      </c>
      <c r="D1774" s="1">
        <f>IFERROR(__xludf.DUMMYFUNCTION("""COMPUTED_VALUE"""),50100.0)</f>
        <v>50100</v>
      </c>
      <c r="E1774" s="1">
        <f>IFERROR(__xludf.DUMMYFUNCTION("""COMPUTED_VALUE"""),51200.0)</f>
        <v>51200</v>
      </c>
      <c r="F1774" s="1">
        <f>IFERROR(__xludf.DUMMYFUNCTION("""COMPUTED_VALUE"""),163865.0)</f>
        <v>163865</v>
      </c>
    </row>
    <row r="1775">
      <c r="A1775" s="2">
        <f>IFERROR(__xludf.DUMMYFUNCTION("""COMPUTED_VALUE"""),43180.64583333333)</f>
        <v>43180.64583</v>
      </c>
      <c r="B1775" s="1">
        <f>IFERROR(__xludf.DUMMYFUNCTION("""COMPUTED_VALUE"""),51780.0)</f>
        <v>51780</v>
      </c>
      <c r="C1775" s="1">
        <f>IFERROR(__xludf.DUMMYFUNCTION("""COMPUTED_VALUE"""),51780.0)</f>
        <v>51780</v>
      </c>
      <c r="D1775" s="1">
        <f>IFERROR(__xludf.DUMMYFUNCTION("""COMPUTED_VALUE"""),51060.0)</f>
        <v>51060</v>
      </c>
      <c r="E1775" s="1">
        <f>IFERROR(__xludf.DUMMYFUNCTION("""COMPUTED_VALUE"""),51060.0)</f>
        <v>51060</v>
      </c>
      <c r="F1775" s="1">
        <f>IFERROR(__xludf.DUMMYFUNCTION("""COMPUTED_VALUE"""),178104.0)</f>
        <v>178104</v>
      </c>
    </row>
    <row r="1776">
      <c r="A1776" s="2">
        <f>IFERROR(__xludf.DUMMYFUNCTION("""COMPUTED_VALUE"""),43181.64583333333)</f>
        <v>43181.64583</v>
      </c>
      <c r="B1776" s="1">
        <f>IFERROR(__xludf.DUMMYFUNCTION("""COMPUTED_VALUE"""),51060.0)</f>
        <v>51060</v>
      </c>
      <c r="C1776" s="1">
        <f>IFERROR(__xludf.DUMMYFUNCTION("""COMPUTED_VALUE"""),51780.0)</f>
        <v>51780</v>
      </c>
      <c r="D1776" s="1">
        <f>IFERROR(__xludf.DUMMYFUNCTION("""COMPUTED_VALUE"""),51040.0)</f>
        <v>51040</v>
      </c>
      <c r="E1776" s="1">
        <f>IFERROR(__xludf.DUMMYFUNCTION("""COMPUTED_VALUE"""),51780.0)</f>
        <v>51780</v>
      </c>
      <c r="F1776" s="1">
        <f>IFERROR(__xludf.DUMMYFUNCTION("""COMPUTED_VALUE"""),169082.0)</f>
        <v>169082</v>
      </c>
    </row>
    <row r="1777">
      <c r="A1777" s="2">
        <f>IFERROR(__xludf.DUMMYFUNCTION("""COMPUTED_VALUE"""),43182.64583333333)</f>
        <v>43182.64583</v>
      </c>
      <c r="B1777" s="1">
        <f>IFERROR(__xludf.DUMMYFUNCTION("""COMPUTED_VALUE"""),50340.0)</f>
        <v>50340</v>
      </c>
      <c r="C1777" s="1">
        <f>IFERROR(__xludf.DUMMYFUNCTION("""COMPUTED_VALUE"""),50720.0)</f>
        <v>50720</v>
      </c>
      <c r="D1777" s="1">
        <f>IFERROR(__xludf.DUMMYFUNCTION("""COMPUTED_VALUE"""),49600.0)</f>
        <v>49600</v>
      </c>
      <c r="E1777" s="1">
        <f>IFERROR(__xludf.DUMMYFUNCTION("""COMPUTED_VALUE"""),49720.0)</f>
        <v>49720</v>
      </c>
      <c r="F1777" s="1">
        <f>IFERROR(__xludf.DUMMYFUNCTION("""COMPUTED_VALUE"""),297099.0)</f>
        <v>297099</v>
      </c>
    </row>
    <row r="1778">
      <c r="A1778" s="2">
        <f>IFERROR(__xludf.DUMMYFUNCTION("""COMPUTED_VALUE"""),43185.64583333333)</f>
        <v>43185.64583</v>
      </c>
      <c r="B1778" s="1">
        <f>IFERROR(__xludf.DUMMYFUNCTION("""COMPUTED_VALUE"""),49420.0)</f>
        <v>49420</v>
      </c>
      <c r="C1778" s="1">
        <f>IFERROR(__xludf.DUMMYFUNCTION("""COMPUTED_VALUE"""),50280.0)</f>
        <v>50280</v>
      </c>
      <c r="D1778" s="1">
        <f>IFERROR(__xludf.DUMMYFUNCTION("""COMPUTED_VALUE"""),49040.0)</f>
        <v>49040</v>
      </c>
      <c r="E1778" s="1">
        <f>IFERROR(__xludf.DUMMYFUNCTION("""COMPUTED_VALUE"""),50280.0)</f>
        <v>50280</v>
      </c>
      <c r="F1778" s="1">
        <f>IFERROR(__xludf.DUMMYFUNCTION("""COMPUTED_VALUE"""),201155.0)</f>
        <v>201155</v>
      </c>
    </row>
    <row r="1779">
      <c r="A1779" s="2">
        <f>IFERROR(__xludf.DUMMYFUNCTION("""COMPUTED_VALUE"""),43186.64583333333)</f>
        <v>43186.64583</v>
      </c>
      <c r="B1779" s="1">
        <f>IFERROR(__xludf.DUMMYFUNCTION("""COMPUTED_VALUE"""),50320.0)</f>
        <v>50320</v>
      </c>
      <c r="C1779" s="1">
        <f>IFERROR(__xludf.DUMMYFUNCTION("""COMPUTED_VALUE"""),50460.0)</f>
        <v>50460</v>
      </c>
      <c r="D1779" s="1">
        <f>IFERROR(__xludf.DUMMYFUNCTION("""COMPUTED_VALUE"""),49080.0)</f>
        <v>49080</v>
      </c>
      <c r="E1779" s="1">
        <f>IFERROR(__xludf.DUMMYFUNCTION("""COMPUTED_VALUE"""),49980.0)</f>
        <v>49980</v>
      </c>
      <c r="F1779" s="1">
        <f>IFERROR(__xludf.DUMMYFUNCTION("""COMPUTED_VALUE"""),237480.0)</f>
        <v>237480</v>
      </c>
    </row>
    <row r="1780">
      <c r="A1780" s="2">
        <f>IFERROR(__xludf.DUMMYFUNCTION("""COMPUTED_VALUE"""),43187.64583333333)</f>
        <v>43187.64583</v>
      </c>
      <c r="B1780" s="1">
        <f>IFERROR(__xludf.DUMMYFUNCTION("""COMPUTED_VALUE"""),49100.0)</f>
        <v>49100</v>
      </c>
      <c r="C1780" s="1">
        <f>IFERROR(__xludf.DUMMYFUNCTION("""COMPUTED_VALUE"""),49100.0)</f>
        <v>49100</v>
      </c>
      <c r="D1780" s="1">
        <f>IFERROR(__xludf.DUMMYFUNCTION("""COMPUTED_VALUE"""),48340.0)</f>
        <v>48340</v>
      </c>
      <c r="E1780" s="1">
        <f>IFERROR(__xludf.DUMMYFUNCTION("""COMPUTED_VALUE"""),48700.0)</f>
        <v>48700</v>
      </c>
      <c r="F1780" s="1">
        <f>IFERROR(__xludf.DUMMYFUNCTION("""COMPUTED_VALUE"""),303189.0)</f>
        <v>303189</v>
      </c>
    </row>
    <row r="1781">
      <c r="A1781" s="2">
        <f>IFERROR(__xludf.DUMMYFUNCTION("""COMPUTED_VALUE"""),43188.64583333333)</f>
        <v>43188.64583</v>
      </c>
      <c r="B1781" s="1">
        <f>IFERROR(__xludf.DUMMYFUNCTION("""COMPUTED_VALUE"""),48700.0)</f>
        <v>48700</v>
      </c>
      <c r="C1781" s="1">
        <f>IFERROR(__xludf.DUMMYFUNCTION("""COMPUTED_VALUE"""),49560.0)</f>
        <v>49560</v>
      </c>
      <c r="D1781" s="1">
        <f>IFERROR(__xludf.DUMMYFUNCTION("""COMPUTED_VALUE"""),48320.0)</f>
        <v>48320</v>
      </c>
      <c r="E1781" s="1">
        <f>IFERROR(__xludf.DUMMYFUNCTION("""COMPUTED_VALUE"""),49040.0)</f>
        <v>49040</v>
      </c>
      <c r="F1781" s="1">
        <f>IFERROR(__xludf.DUMMYFUNCTION("""COMPUTED_VALUE"""),201340.0)</f>
        <v>201340</v>
      </c>
    </row>
    <row r="1782">
      <c r="A1782" s="2">
        <f>IFERROR(__xludf.DUMMYFUNCTION("""COMPUTED_VALUE"""),43189.64583333333)</f>
        <v>43189.64583</v>
      </c>
      <c r="B1782" s="1">
        <f>IFERROR(__xludf.DUMMYFUNCTION("""COMPUTED_VALUE"""),49080.0)</f>
        <v>49080</v>
      </c>
      <c r="C1782" s="1">
        <f>IFERROR(__xludf.DUMMYFUNCTION("""COMPUTED_VALUE"""),49900.0)</f>
        <v>49900</v>
      </c>
      <c r="D1782" s="1">
        <f>IFERROR(__xludf.DUMMYFUNCTION("""COMPUTED_VALUE"""),49080.0)</f>
        <v>49080</v>
      </c>
      <c r="E1782" s="1">
        <f>IFERROR(__xludf.DUMMYFUNCTION("""COMPUTED_VALUE"""),49220.0)</f>
        <v>49220</v>
      </c>
      <c r="F1782" s="1">
        <f>IFERROR(__xludf.DUMMYFUNCTION("""COMPUTED_VALUE"""),155542.0)</f>
        <v>155542</v>
      </c>
    </row>
    <row r="1783">
      <c r="A1783" s="2">
        <f>IFERROR(__xludf.DUMMYFUNCTION("""COMPUTED_VALUE"""),43192.64583333333)</f>
        <v>43192.64583</v>
      </c>
      <c r="B1783" s="1">
        <f>IFERROR(__xludf.DUMMYFUNCTION("""COMPUTED_VALUE"""),49000.0)</f>
        <v>49000</v>
      </c>
      <c r="C1783" s="1">
        <f>IFERROR(__xludf.DUMMYFUNCTION("""COMPUTED_VALUE"""),49220.0)</f>
        <v>49220</v>
      </c>
      <c r="D1783" s="1">
        <f>IFERROR(__xludf.DUMMYFUNCTION("""COMPUTED_VALUE"""),48500.0)</f>
        <v>48500</v>
      </c>
      <c r="E1783" s="1">
        <f>IFERROR(__xludf.DUMMYFUNCTION("""COMPUTED_VALUE"""),48540.0)</f>
        <v>48540</v>
      </c>
      <c r="F1783" s="1">
        <f>IFERROR(__xludf.DUMMYFUNCTION("""COMPUTED_VALUE"""),142313.0)</f>
        <v>142313</v>
      </c>
    </row>
    <row r="1784">
      <c r="A1784" s="2">
        <f>IFERROR(__xludf.DUMMYFUNCTION("""COMPUTED_VALUE"""),43193.64583333333)</f>
        <v>43193.64583</v>
      </c>
      <c r="B1784" s="1">
        <f>IFERROR(__xludf.DUMMYFUNCTION("""COMPUTED_VALUE"""),47880.0)</f>
        <v>47880</v>
      </c>
      <c r="C1784" s="1">
        <f>IFERROR(__xludf.DUMMYFUNCTION("""COMPUTED_VALUE"""),48140.0)</f>
        <v>48140</v>
      </c>
      <c r="D1784" s="1">
        <f>IFERROR(__xludf.DUMMYFUNCTION("""COMPUTED_VALUE"""),47280.0)</f>
        <v>47280</v>
      </c>
      <c r="E1784" s="1">
        <f>IFERROR(__xludf.DUMMYFUNCTION("""COMPUTED_VALUE"""),48120.0)</f>
        <v>48120</v>
      </c>
      <c r="F1784" s="1">
        <f>IFERROR(__xludf.DUMMYFUNCTION("""COMPUTED_VALUE"""),255365.0)</f>
        <v>255365</v>
      </c>
    </row>
    <row r="1785">
      <c r="A1785" s="2">
        <f>IFERROR(__xludf.DUMMYFUNCTION("""COMPUTED_VALUE"""),43194.64583333333)</f>
        <v>43194.64583</v>
      </c>
      <c r="B1785" s="1">
        <f>IFERROR(__xludf.DUMMYFUNCTION("""COMPUTED_VALUE"""),48160.0)</f>
        <v>48160</v>
      </c>
      <c r="C1785" s="1">
        <f>IFERROR(__xludf.DUMMYFUNCTION("""COMPUTED_VALUE"""),48260.0)</f>
        <v>48260</v>
      </c>
      <c r="D1785" s="1">
        <f>IFERROR(__xludf.DUMMYFUNCTION("""COMPUTED_VALUE"""),46920.0)</f>
        <v>46920</v>
      </c>
      <c r="E1785" s="1">
        <f>IFERROR(__xludf.DUMMYFUNCTION("""COMPUTED_VALUE"""),46920.0)</f>
        <v>46920</v>
      </c>
      <c r="F1785" s="1">
        <f>IFERROR(__xludf.DUMMYFUNCTION("""COMPUTED_VALUE"""),247684.0)</f>
        <v>247684</v>
      </c>
    </row>
    <row r="1786">
      <c r="A1786" s="2">
        <f>IFERROR(__xludf.DUMMYFUNCTION("""COMPUTED_VALUE"""),43195.64583333333)</f>
        <v>43195.64583</v>
      </c>
      <c r="B1786" s="1">
        <f>IFERROR(__xludf.DUMMYFUNCTION("""COMPUTED_VALUE"""),47400.0)</f>
        <v>47400</v>
      </c>
      <c r="C1786" s="1">
        <f>IFERROR(__xludf.DUMMYFUNCTION("""COMPUTED_VALUE"""),49380.0)</f>
        <v>49380</v>
      </c>
      <c r="D1786" s="1">
        <f>IFERROR(__xludf.DUMMYFUNCTION("""COMPUTED_VALUE"""),47340.0)</f>
        <v>47340</v>
      </c>
      <c r="E1786" s="1">
        <f>IFERROR(__xludf.DUMMYFUNCTION("""COMPUTED_VALUE"""),48740.0)</f>
        <v>48740</v>
      </c>
      <c r="F1786" s="1">
        <f>IFERROR(__xludf.DUMMYFUNCTION("""COMPUTED_VALUE"""),264912.0)</f>
        <v>264912</v>
      </c>
    </row>
    <row r="1787">
      <c r="A1787" s="2">
        <f>IFERROR(__xludf.DUMMYFUNCTION("""COMPUTED_VALUE"""),43196.64583333333)</f>
        <v>43196.64583</v>
      </c>
      <c r="B1787" s="1">
        <f>IFERROR(__xludf.DUMMYFUNCTION("""COMPUTED_VALUE"""),48000.0)</f>
        <v>48000</v>
      </c>
      <c r="C1787" s="1">
        <f>IFERROR(__xludf.DUMMYFUNCTION("""COMPUTED_VALUE"""),48580.0)</f>
        <v>48580</v>
      </c>
      <c r="D1787" s="1">
        <f>IFERROR(__xludf.DUMMYFUNCTION("""COMPUTED_VALUE"""),47400.0)</f>
        <v>47400</v>
      </c>
      <c r="E1787" s="1">
        <f>IFERROR(__xludf.DUMMYFUNCTION("""COMPUTED_VALUE"""),48400.0)</f>
        <v>48400</v>
      </c>
      <c r="F1787" s="1">
        <f>IFERROR(__xludf.DUMMYFUNCTION("""COMPUTED_VALUE"""),250654.0)</f>
        <v>250654</v>
      </c>
    </row>
    <row r="1788">
      <c r="A1788" s="2">
        <f>IFERROR(__xludf.DUMMYFUNCTION("""COMPUTED_VALUE"""),43199.64583333333)</f>
        <v>43199.64583</v>
      </c>
      <c r="B1788" s="1">
        <f>IFERROR(__xludf.DUMMYFUNCTION("""COMPUTED_VALUE"""),48260.0)</f>
        <v>48260</v>
      </c>
      <c r="C1788" s="1">
        <f>IFERROR(__xludf.DUMMYFUNCTION("""COMPUTED_VALUE"""),49440.0)</f>
        <v>49440</v>
      </c>
      <c r="D1788" s="1">
        <f>IFERROR(__xludf.DUMMYFUNCTION("""COMPUTED_VALUE"""),48200.0)</f>
        <v>48200</v>
      </c>
      <c r="E1788" s="1">
        <f>IFERROR(__xludf.DUMMYFUNCTION("""COMPUTED_VALUE"""),49200.0)</f>
        <v>49200</v>
      </c>
      <c r="F1788" s="1">
        <f>IFERROR(__xludf.DUMMYFUNCTION("""COMPUTED_VALUE"""),199008.0)</f>
        <v>199008</v>
      </c>
    </row>
    <row r="1789">
      <c r="A1789" s="2">
        <f>IFERROR(__xludf.DUMMYFUNCTION("""COMPUTED_VALUE"""),43200.64583333333)</f>
        <v>43200.64583</v>
      </c>
      <c r="B1789" s="1">
        <f>IFERROR(__xludf.DUMMYFUNCTION("""COMPUTED_VALUE"""),48540.0)</f>
        <v>48540</v>
      </c>
      <c r="C1789" s="1">
        <f>IFERROR(__xludf.DUMMYFUNCTION("""COMPUTED_VALUE"""),49220.0)</f>
        <v>49220</v>
      </c>
      <c r="D1789" s="1">
        <f>IFERROR(__xludf.DUMMYFUNCTION("""COMPUTED_VALUE"""),48040.0)</f>
        <v>48040</v>
      </c>
      <c r="E1789" s="1">
        <f>IFERROR(__xludf.DUMMYFUNCTION("""COMPUTED_VALUE"""),48880.0)</f>
        <v>48880</v>
      </c>
      <c r="F1789" s="1">
        <f>IFERROR(__xludf.DUMMYFUNCTION("""COMPUTED_VALUE"""),219687.0)</f>
        <v>219687</v>
      </c>
    </row>
    <row r="1790">
      <c r="A1790" s="2">
        <f>IFERROR(__xludf.DUMMYFUNCTION("""COMPUTED_VALUE"""),43201.64583333333)</f>
        <v>43201.64583</v>
      </c>
      <c r="B1790" s="1">
        <f>IFERROR(__xludf.DUMMYFUNCTION("""COMPUTED_VALUE"""),49900.0)</f>
        <v>49900</v>
      </c>
      <c r="C1790" s="1">
        <f>IFERROR(__xludf.DUMMYFUNCTION("""COMPUTED_VALUE"""),49900.0)</f>
        <v>49900</v>
      </c>
      <c r="D1790" s="1">
        <f>IFERROR(__xludf.DUMMYFUNCTION("""COMPUTED_VALUE"""),48600.0)</f>
        <v>48600</v>
      </c>
      <c r="E1790" s="1">
        <f>IFERROR(__xludf.DUMMYFUNCTION("""COMPUTED_VALUE"""),48860.0)</f>
        <v>48860</v>
      </c>
      <c r="F1790" s="1">
        <f>IFERROR(__xludf.DUMMYFUNCTION("""COMPUTED_VALUE"""),201022.0)</f>
        <v>201022</v>
      </c>
    </row>
    <row r="1791">
      <c r="A1791" s="2">
        <f>IFERROR(__xludf.DUMMYFUNCTION("""COMPUTED_VALUE"""),43202.64583333333)</f>
        <v>43202.64583</v>
      </c>
      <c r="B1791" s="1">
        <f>IFERROR(__xludf.DUMMYFUNCTION("""COMPUTED_VALUE"""),49440.0)</f>
        <v>49440</v>
      </c>
      <c r="C1791" s="1">
        <f>IFERROR(__xludf.DUMMYFUNCTION("""COMPUTED_VALUE"""),49440.0)</f>
        <v>49440</v>
      </c>
      <c r="D1791" s="1">
        <f>IFERROR(__xludf.DUMMYFUNCTION("""COMPUTED_VALUE"""),48880.0)</f>
        <v>48880</v>
      </c>
      <c r="E1791" s="1">
        <f>IFERROR(__xludf.DUMMYFUNCTION("""COMPUTED_VALUE"""),49000.0)</f>
        <v>49000</v>
      </c>
      <c r="F1791" s="1">
        <f>IFERROR(__xludf.DUMMYFUNCTION("""COMPUTED_VALUE"""),249325.0)</f>
        <v>249325</v>
      </c>
    </row>
    <row r="1792">
      <c r="A1792" s="2">
        <f>IFERROR(__xludf.DUMMYFUNCTION("""COMPUTED_VALUE"""),43203.64583333333)</f>
        <v>43203.64583</v>
      </c>
      <c r="B1792" s="1">
        <f>IFERROR(__xludf.DUMMYFUNCTION("""COMPUTED_VALUE"""),49600.0)</f>
        <v>49600</v>
      </c>
      <c r="C1792" s="1">
        <f>IFERROR(__xludf.DUMMYFUNCTION("""COMPUTED_VALUE"""),50180.0)</f>
        <v>50180</v>
      </c>
      <c r="D1792" s="1">
        <f>IFERROR(__xludf.DUMMYFUNCTION("""COMPUTED_VALUE"""),49400.0)</f>
        <v>49400</v>
      </c>
      <c r="E1792" s="1">
        <f>IFERROR(__xludf.DUMMYFUNCTION("""COMPUTED_VALUE"""),49800.0)</f>
        <v>49800</v>
      </c>
      <c r="F1792" s="1">
        <f>IFERROR(__xludf.DUMMYFUNCTION("""COMPUTED_VALUE"""),205566.0)</f>
        <v>205566</v>
      </c>
    </row>
    <row r="1793">
      <c r="A1793" s="2">
        <f>IFERROR(__xludf.DUMMYFUNCTION("""COMPUTED_VALUE"""),43206.64583333333)</f>
        <v>43206.64583</v>
      </c>
      <c r="B1793" s="1">
        <f>IFERROR(__xludf.DUMMYFUNCTION("""COMPUTED_VALUE"""),50320.0)</f>
        <v>50320</v>
      </c>
      <c r="C1793" s="1">
        <f>IFERROR(__xludf.DUMMYFUNCTION("""COMPUTED_VALUE"""),50600.0)</f>
        <v>50600</v>
      </c>
      <c r="D1793" s="1">
        <f>IFERROR(__xludf.DUMMYFUNCTION("""COMPUTED_VALUE"""),49860.0)</f>
        <v>49860</v>
      </c>
      <c r="E1793" s="1">
        <f>IFERROR(__xludf.DUMMYFUNCTION("""COMPUTED_VALUE"""),50340.0)</f>
        <v>50340</v>
      </c>
      <c r="F1793" s="1">
        <f>IFERROR(__xludf.DUMMYFUNCTION("""COMPUTED_VALUE"""),157549.0)</f>
        <v>157549</v>
      </c>
    </row>
    <row r="1794">
      <c r="A1794" s="2">
        <f>IFERROR(__xludf.DUMMYFUNCTION("""COMPUTED_VALUE"""),43207.64583333333)</f>
        <v>43207.64583</v>
      </c>
      <c r="B1794" s="1">
        <f>IFERROR(__xludf.DUMMYFUNCTION("""COMPUTED_VALUE"""),50240.0)</f>
        <v>50240</v>
      </c>
      <c r="C1794" s="1">
        <f>IFERROR(__xludf.DUMMYFUNCTION("""COMPUTED_VALUE"""),50540.0)</f>
        <v>50540</v>
      </c>
      <c r="D1794" s="1">
        <f>IFERROR(__xludf.DUMMYFUNCTION("""COMPUTED_VALUE"""),49820.0)</f>
        <v>49820</v>
      </c>
      <c r="E1794" s="1">
        <f>IFERROR(__xludf.DUMMYFUNCTION("""COMPUTED_VALUE"""),49980.0)</f>
        <v>49980</v>
      </c>
      <c r="F1794" s="1">
        <f>IFERROR(__xludf.DUMMYFUNCTION("""COMPUTED_VALUE"""),155440.0)</f>
        <v>155440</v>
      </c>
    </row>
    <row r="1795">
      <c r="A1795" s="2">
        <f>IFERROR(__xludf.DUMMYFUNCTION("""COMPUTED_VALUE"""),43208.64583333333)</f>
        <v>43208.64583</v>
      </c>
      <c r="B1795" s="1">
        <f>IFERROR(__xludf.DUMMYFUNCTION("""COMPUTED_VALUE"""),51000.0)</f>
        <v>51000</v>
      </c>
      <c r="C1795" s="1">
        <f>IFERROR(__xludf.DUMMYFUNCTION("""COMPUTED_VALUE"""),51360.0)</f>
        <v>51360</v>
      </c>
      <c r="D1795" s="1">
        <f>IFERROR(__xludf.DUMMYFUNCTION("""COMPUTED_VALUE"""),50580.0)</f>
        <v>50580</v>
      </c>
      <c r="E1795" s="1">
        <f>IFERROR(__xludf.DUMMYFUNCTION("""COMPUTED_VALUE"""),51360.0)</f>
        <v>51360</v>
      </c>
      <c r="F1795" s="1">
        <f>IFERROR(__xludf.DUMMYFUNCTION("""COMPUTED_VALUE"""),269252.0)</f>
        <v>269252</v>
      </c>
    </row>
    <row r="1796">
      <c r="A1796" s="2">
        <f>IFERROR(__xludf.DUMMYFUNCTION("""COMPUTED_VALUE"""),43209.64583333333)</f>
        <v>43209.64583</v>
      </c>
      <c r="B1796" s="1">
        <f>IFERROR(__xludf.DUMMYFUNCTION("""COMPUTED_VALUE"""),52000.0)</f>
        <v>52000</v>
      </c>
      <c r="C1796" s="1">
        <f>IFERROR(__xludf.DUMMYFUNCTION("""COMPUTED_VALUE"""),52980.0)</f>
        <v>52980</v>
      </c>
      <c r="D1796" s="1">
        <f>IFERROR(__xludf.DUMMYFUNCTION("""COMPUTED_VALUE"""),51540.0)</f>
        <v>51540</v>
      </c>
      <c r="E1796" s="1">
        <f>IFERROR(__xludf.DUMMYFUNCTION("""COMPUTED_VALUE"""),52780.0)</f>
        <v>52780</v>
      </c>
      <c r="F1796" s="1">
        <f>IFERROR(__xludf.DUMMYFUNCTION("""COMPUTED_VALUE"""),343811.0)</f>
        <v>343811</v>
      </c>
    </row>
    <row r="1797">
      <c r="A1797" s="2">
        <f>IFERROR(__xludf.DUMMYFUNCTION("""COMPUTED_VALUE"""),43210.64583333333)</f>
        <v>43210.64583</v>
      </c>
      <c r="B1797" s="1">
        <f>IFERROR(__xludf.DUMMYFUNCTION("""COMPUTED_VALUE"""),51800.0)</f>
        <v>51800</v>
      </c>
      <c r="C1797" s="1">
        <f>IFERROR(__xludf.DUMMYFUNCTION("""COMPUTED_VALUE"""),52260.0)</f>
        <v>52260</v>
      </c>
      <c r="D1797" s="1">
        <f>IFERROR(__xludf.DUMMYFUNCTION("""COMPUTED_VALUE"""),51420.0)</f>
        <v>51420</v>
      </c>
      <c r="E1797" s="1">
        <f>IFERROR(__xludf.DUMMYFUNCTION("""COMPUTED_VALUE"""),51620.0)</f>
        <v>51620</v>
      </c>
      <c r="F1797" s="1">
        <f>IFERROR(__xludf.DUMMYFUNCTION("""COMPUTED_VALUE"""),235220.0)</f>
        <v>235220</v>
      </c>
    </row>
    <row r="1798">
      <c r="A1798" s="2">
        <f>IFERROR(__xludf.DUMMYFUNCTION("""COMPUTED_VALUE"""),43213.64583333333)</f>
        <v>43213.64583</v>
      </c>
      <c r="B1798" s="1">
        <f>IFERROR(__xludf.DUMMYFUNCTION("""COMPUTED_VALUE"""),51000.0)</f>
        <v>51000</v>
      </c>
      <c r="C1798" s="1">
        <f>IFERROR(__xludf.DUMMYFUNCTION("""COMPUTED_VALUE"""),52080.0)</f>
        <v>52080</v>
      </c>
      <c r="D1798" s="1">
        <f>IFERROR(__xludf.DUMMYFUNCTION("""COMPUTED_VALUE"""),51000.0)</f>
        <v>51000</v>
      </c>
      <c r="E1798" s="1">
        <f>IFERROR(__xludf.DUMMYFUNCTION("""COMPUTED_VALUE"""),51900.0)</f>
        <v>51900</v>
      </c>
      <c r="F1798" s="1">
        <f>IFERROR(__xludf.DUMMYFUNCTION("""COMPUTED_VALUE"""),232380.0)</f>
        <v>232380</v>
      </c>
    </row>
    <row r="1799">
      <c r="A1799" s="2">
        <f>IFERROR(__xludf.DUMMYFUNCTION("""COMPUTED_VALUE"""),43214.64583333333)</f>
        <v>43214.64583</v>
      </c>
      <c r="B1799" s="1">
        <f>IFERROR(__xludf.DUMMYFUNCTION("""COMPUTED_VALUE"""),51840.0)</f>
        <v>51840</v>
      </c>
      <c r="C1799" s="1">
        <f>IFERROR(__xludf.DUMMYFUNCTION("""COMPUTED_VALUE"""),51860.0)</f>
        <v>51860</v>
      </c>
      <c r="D1799" s="1">
        <f>IFERROR(__xludf.DUMMYFUNCTION("""COMPUTED_VALUE"""),50080.0)</f>
        <v>50080</v>
      </c>
      <c r="E1799" s="1">
        <f>IFERROR(__xludf.DUMMYFUNCTION("""COMPUTED_VALUE"""),50460.0)</f>
        <v>50460</v>
      </c>
      <c r="F1799" s="1">
        <f>IFERROR(__xludf.DUMMYFUNCTION("""COMPUTED_VALUE"""),315406.0)</f>
        <v>315406</v>
      </c>
    </row>
    <row r="1800">
      <c r="A1800" s="2">
        <f>IFERROR(__xludf.DUMMYFUNCTION("""COMPUTED_VALUE"""),43215.64583333333)</f>
        <v>43215.64583</v>
      </c>
      <c r="B1800" s="1">
        <f>IFERROR(__xludf.DUMMYFUNCTION("""COMPUTED_VALUE"""),49220.0)</f>
        <v>49220</v>
      </c>
      <c r="C1800" s="1">
        <f>IFERROR(__xludf.DUMMYFUNCTION("""COMPUTED_VALUE"""),50500.0)</f>
        <v>50500</v>
      </c>
      <c r="D1800" s="1">
        <f>IFERROR(__xludf.DUMMYFUNCTION("""COMPUTED_VALUE"""),49220.0)</f>
        <v>49220</v>
      </c>
      <c r="E1800" s="1">
        <f>IFERROR(__xludf.DUMMYFUNCTION("""COMPUTED_VALUE"""),50400.0)</f>
        <v>50400</v>
      </c>
      <c r="F1800" s="1">
        <f>IFERROR(__xludf.DUMMYFUNCTION("""COMPUTED_VALUE"""),332292.0)</f>
        <v>332292</v>
      </c>
    </row>
    <row r="1801">
      <c r="A1801" s="2">
        <f>IFERROR(__xludf.DUMMYFUNCTION("""COMPUTED_VALUE"""),43216.64583333333)</f>
        <v>43216.64583</v>
      </c>
      <c r="B1801" s="1">
        <f>IFERROR(__xludf.DUMMYFUNCTION("""COMPUTED_VALUE"""),50420.0)</f>
        <v>50420</v>
      </c>
      <c r="C1801" s="1">
        <f>IFERROR(__xludf.DUMMYFUNCTION("""COMPUTED_VALUE"""),52160.0)</f>
        <v>52160</v>
      </c>
      <c r="D1801" s="1">
        <f>IFERROR(__xludf.DUMMYFUNCTION("""COMPUTED_VALUE"""),50400.0)</f>
        <v>50400</v>
      </c>
      <c r="E1801" s="1">
        <f>IFERROR(__xludf.DUMMYFUNCTION("""COMPUTED_VALUE"""),52140.0)</f>
        <v>52140</v>
      </c>
      <c r="F1801" s="1">
        <f>IFERROR(__xludf.DUMMYFUNCTION("""COMPUTED_VALUE"""),360931.0)</f>
        <v>360931</v>
      </c>
    </row>
    <row r="1802">
      <c r="A1802" s="2">
        <f>IFERROR(__xludf.DUMMYFUNCTION("""COMPUTED_VALUE"""),43217.64583333333)</f>
        <v>43217.64583</v>
      </c>
      <c r="B1802" s="1">
        <f>IFERROR(__xludf.DUMMYFUNCTION("""COMPUTED_VALUE"""),53380.0)</f>
        <v>53380</v>
      </c>
      <c r="C1802" s="1">
        <f>IFERROR(__xludf.DUMMYFUNCTION("""COMPUTED_VALUE"""),53640.0)</f>
        <v>53640</v>
      </c>
      <c r="D1802" s="1">
        <f>IFERROR(__xludf.DUMMYFUNCTION("""COMPUTED_VALUE"""),52440.0)</f>
        <v>52440</v>
      </c>
      <c r="E1802" s="1">
        <f>IFERROR(__xludf.DUMMYFUNCTION("""COMPUTED_VALUE"""),53000.0)</f>
        <v>53000</v>
      </c>
      <c r="F1802" s="1">
        <f>IFERROR(__xludf.DUMMYFUNCTION("""COMPUTED_VALUE"""),606216.0)</f>
        <v>606216</v>
      </c>
    </row>
    <row r="1803">
      <c r="A1803" s="2">
        <f>IFERROR(__xludf.DUMMYFUNCTION("""COMPUTED_VALUE"""),43224.64583333333)</f>
        <v>43224.64583</v>
      </c>
      <c r="B1803" s="1">
        <f>IFERROR(__xludf.DUMMYFUNCTION("""COMPUTED_VALUE"""),53000.0)</f>
        <v>53000</v>
      </c>
      <c r="C1803" s="1">
        <f>IFERROR(__xludf.DUMMYFUNCTION("""COMPUTED_VALUE"""),53900.0)</f>
        <v>53900</v>
      </c>
      <c r="D1803" s="1">
        <f>IFERROR(__xludf.DUMMYFUNCTION("""COMPUTED_VALUE"""),51800.0)</f>
        <v>51800</v>
      </c>
      <c r="E1803" s="1">
        <f>IFERROR(__xludf.DUMMYFUNCTION("""COMPUTED_VALUE"""),51900.0)</f>
        <v>51900</v>
      </c>
      <c r="F1803" s="1">
        <f>IFERROR(__xludf.DUMMYFUNCTION("""COMPUTED_VALUE"""),3.9565391E7)</f>
        <v>39565391</v>
      </c>
    </row>
    <row r="1804">
      <c r="A1804" s="2">
        <f>IFERROR(__xludf.DUMMYFUNCTION("""COMPUTED_VALUE"""),43228.64583333333)</f>
        <v>43228.64583</v>
      </c>
      <c r="B1804" s="1">
        <f>IFERROR(__xludf.DUMMYFUNCTION("""COMPUTED_VALUE"""),52600.0)</f>
        <v>52600</v>
      </c>
      <c r="C1804" s="1">
        <f>IFERROR(__xludf.DUMMYFUNCTION("""COMPUTED_VALUE"""),53200.0)</f>
        <v>53200</v>
      </c>
      <c r="D1804" s="1">
        <f>IFERROR(__xludf.DUMMYFUNCTION("""COMPUTED_VALUE"""),51900.0)</f>
        <v>51900</v>
      </c>
      <c r="E1804" s="1">
        <f>IFERROR(__xludf.DUMMYFUNCTION("""COMPUTED_VALUE"""),52600.0)</f>
        <v>52600</v>
      </c>
      <c r="F1804" s="1">
        <f>IFERROR(__xludf.DUMMYFUNCTION("""COMPUTED_VALUE"""),2.310472E7)</f>
        <v>23104720</v>
      </c>
    </row>
    <row r="1805">
      <c r="A1805" s="2">
        <f>IFERROR(__xludf.DUMMYFUNCTION("""COMPUTED_VALUE"""),43229.64583333333)</f>
        <v>43229.64583</v>
      </c>
      <c r="B1805" s="1">
        <f>IFERROR(__xludf.DUMMYFUNCTION("""COMPUTED_VALUE"""),52600.0)</f>
        <v>52600</v>
      </c>
      <c r="C1805" s="1">
        <f>IFERROR(__xludf.DUMMYFUNCTION("""COMPUTED_VALUE"""),52800.0)</f>
        <v>52800</v>
      </c>
      <c r="D1805" s="1">
        <f>IFERROR(__xludf.DUMMYFUNCTION("""COMPUTED_VALUE"""),50900.0)</f>
        <v>50900</v>
      </c>
      <c r="E1805" s="1">
        <f>IFERROR(__xludf.DUMMYFUNCTION("""COMPUTED_VALUE"""),50900.0)</f>
        <v>50900</v>
      </c>
      <c r="F1805" s="1">
        <f>IFERROR(__xludf.DUMMYFUNCTION("""COMPUTED_VALUE"""),1.6128305E7)</f>
        <v>16128305</v>
      </c>
    </row>
    <row r="1806">
      <c r="A1806" s="2">
        <f>IFERROR(__xludf.DUMMYFUNCTION("""COMPUTED_VALUE"""),43230.64583333333)</f>
        <v>43230.64583</v>
      </c>
      <c r="B1806" s="1">
        <f>IFERROR(__xludf.DUMMYFUNCTION("""COMPUTED_VALUE"""),51700.0)</f>
        <v>51700</v>
      </c>
      <c r="C1806" s="1">
        <f>IFERROR(__xludf.DUMMYFUNCTION("""COMPUTED_VALUE"""),51700.0)</f>
        <v>51700</v>
      </c>
      <c r="D1806" s="1">
        <f>IFERROR(__xludf.DUMMYFUNCTION("""COMPUTED_VALUE"""),50600.0)</f>
        <v>50600</v>
      </c>
      <c r="E1806" s="1">
        <f>IFERROR(__xludf.DUMMYFUNCTION("""COMPUTED_VALUE"""),51600.0)</f>
        <v>51600</v>
      </c>
      <c r="F1806" s="1">
        <f>IFERROR(__xludf.DUMMYFUNCTION("""COMPUTED_VALUE"""),1.3905263E7)</f>
        <v>13905263</v>
      </c>
    </row>
    <row r="1807">
      <c r="A1807" s="2">
        <f>IFERROR(__xludf.DUMMYFUNCTION("""COMPUTED_VALUE"""),43231.64583333333)</f>
        <v>43231.64583</v>
      </c>
      <c r="B1807" s="1">
        <f>IFERROR(__xludf.DUMMYFUNCTION("""COMPUTED_VALUE"""),52000.0)</f>
        <v>52000</v>
      </c>
      <c r="C1807" s="1">
        <f>IFERROR(__xludf.DUMMYFUNCTION("""COMPUTED_VALUE"""),52200.0)</f>
        <v>52200</v>
      </c>
      <c r="D1807" s="1">
        <f>IFERROR(__xludf.DUMMYFUNCTION("""COMPUTED_VALUE"""),51200.0)</f>
        <v>51200</v>
      </c>
      <c r="E1807" s="1">
        <f>IFERROR(__xludf.DUMMYFUNCTION("""COMPUTED_VALUE"""),51300.0)</f>
        <v>51300</v>
      </c>
      <c r="F1807" s="1">
        <f>IFERROR(__xludf.DUMMYFUNCTION("""COMPUTED_VALUE"""),1.0314997E7)</f>
        <v>10314997</v>
      </c>
    </row>
    <row r="1808">
      <c r="A1808" s="2">
        <f>IFERROR(__xludf.DUMMYFUNCTION("""COMPUTED_VALUE"""),43234.64583333333)</f>
        <v>43234.64583</v>
      </c>
      <c r="B1808" s="1">
        <f>IFERROR(__xludf.DUMMYFUNCTION("""COMPUTED_VALUE"""),51000.0)</f>
        <v>51000</v>
      </c>
      <c r="C1808" s="1">
        <f>IFERROR(__xludf.DUMMYFUNCTION("""COMPUTED_VALUE"""),51100.0)</f>
        <v>51100</v>
      </c>
      <c r="D1808" s="1">
        <f>IFERROR(__xludf.DUMMYFUNCTION("""COMPUTED_VALUE"""),49900.0)</f>
        <v>49900</v>
      </c>
      <c r="E1808" s="1">
        <f>IFERROR(__xludf.DUMMYFUNCTION("""COMPUTED_VALUE"""),50100.0)</f>
        <v>50100</v>
      </c>
      <c r="F1808" s="1">
        <f>IFERROR(__xludf.DUMMYFUNCTION("""COMPUTED_VALUE"""),1.4909272E7)</f>
        <v>14909272</v>
      </c>
    </row>
    <row r="1809">
      <c r="A1809" s="2">
        <f>IFERROR(__xludf.DUMMYFUNCTION("""COMPUTED_VALUE"""),43235.64583333333)</f>
        <v>43235.64583</v>
      </c>
      <c r="B1809" s="1">
        <f>IFERROR(__xludf.DUMMYFUNCTION("""COMPUTED_VALUE"""),50200.0)</f>
        <v>50200</v>
      </c>
      <c r="C1809" s="1">
        <f>IFERROR(__xludf.DUMMYFUNCTION("""COMPUTED_VALUE"""),50400.0)</f>
        <v>50400</v>
      </c>
      <c r="D1809" s="1">
        <f>IFERROR(__xludf.DUMMYFUNCTION("""COMPUTED_VALUE"""),49100.0)</f>
        <v>49100</v>
      </c>
      <c r="E1809" s="1">
        <f>IFERROR(__xludf.DUMMYFUNCTION("""COMPUTED_VALUE"""),49200.0)</f>
        <v>49200</v>
      </c>
      <c r="F1809" s="1">
        <f>IFERROR(__xludf.DUMMYFUNCTION("""COMPUTED_VALUE"""),1.8709146E7)</f>
        <v>18709146</v>
      </c>
    </row>
    <row r="1810">
      <c r="A1810" s="2">
        <f>IFERROR(__xludf.DUMMYFUNCTION("""COMPUTED_VALUE"""),43236.64583333333)</f>
        <v>43236.64583</v>
      </c>
      <c r="B1810" s="1">
        <f>IFERROR(__xludf.DUMMYFUNCTION("""COMPUTED_VALUE"""),49200.0)</f>
        <v>49200</v>
      </c>
      <c r="C1810" s="1">
        <f>IFERROR(__xludf.DUMMYFUNCTION("""COMPUTED_VALUE"""),50200.0)</f>
        <v>50200</v>
      </c>
      <c r="D1810" s="1">
        <f>IFERROR(__xludf.DUMMYFUNCTION("""COMPUTED_VALUE"""),49150.0)</f>
        <v>49150</v>
      </c>
      <c r="E1810" s="1">
        <f>IFERROR(__xludf.DUMMYFUNCTION("""COMPUTED_VALUE"""),49850.0)</f>
        <v>49850</v>
      </c>
      <c r="F1810" s="1">
        <f>IFERROR(__xludf.DUMMYFUNCTION("""COMPUTED_VALUE"""),1.5918683E7)</f>
        <v>15918683</v>
      </c>
    </row>
    <row r="1811">
      <c r="A1811" s="2">
        <f>IFERROR(__xludf.DUMMYFUNCTION("""COMPUTED_VALUE"""),43237.64583333333)</f>
        <v>43237.64583</v>
      </c>
      <c r="B1811" s="1">
        <f>IFERROR(__xludf.DUMMYFUNCTION("""COMPUTED_VALUE"""),50300.0)</f>
        <v>50300</v>
      </c>
      <c r="C1811" s="1">
        <f>IFERROR(__xludf.DUMMYFUNCTION("""COMPUTED_VALUE"""),50500.0)</f>
        <v>50500</v>
      </c>
      <c r="D1811" s="1">
        <f>IFERROR(__xludf.DUMMYFUNCTION("""COMPUTED_VALUE"""),49400.0)</f>
        <v>49400</v>
      </c>
      <c r="E1811" s="1">
        <f>IFERROR(__xludf.DUMMYFUNCTION("""COMPUTED_VALUE"""),49400.0)</f>
        <v>49400</v>
      </c>
      <c r="F1811" s="1">
        <f>IFERROR(__xludf.DUMMYFUNCTION("""COMPUTED_VALUE"""),1.036544E7)</f>
        <v>10365440</v>
      </c>
    </row>
    <row r="1812">
      <c r="A1812" s="2">
        <f>IFERROR(__xludf.DUMMYFUNCTION("""COMPUTED_VALUE"""),43238.64583333333)</f>
        <v>43238.64583</v>
      </c>
      <c r="B1812" s="1">
        <f>IFERROR(__xludf.DUMMYFUNCTION("""COMPUTED_VALUE"""),49900.0)</f>
        <v>49900</v>
      </c>
      <c r="C1812" s="1">
        <f>IFERROR(__xludf.DUMMYFUNCTION("""COMPUTED_VALUE"""),49900.0)</f>
        <v>49900</v>
      </c>
      <c r="D1812" s="1">
        <f>IFERROR(__xludf.DUMMYFUNCTION("""COMPUTED_VALUE"""),49350.0)</f>
        <v>49350</v>
      </c>
      <c r="E1812" s="1">
        <f>IFERROR(__xludf.DUMMYFUNCTION("""COMPUTED_VALUE"""),49500.0)</f>
        <v>49500</v>
      </c>
      <c r="F1812" s="1">
        <f>IFERROR(__xludf.DUMMYFUNCTION("""COMPUTED_VALUE"""),6706570.0)</f>
        <v>6706570</v>
      </c>
    </row>
    <row r="1813">
      <c r="A1813" s="2">
        <f>IFERROR(__xludf.DUMMYFUNCTION("""COMPUTED_VALUE"""),43241.64583333333)</f>
        <v>43241.64583</v>
      </c>
      <c r="B1813" s="1">
        <f>IFERROR(__xludf.DUMMYFUNCTION("""COMPUTED_VALUE"""),49650.0)</f>
        <v>49650</v>
      </c>
      <c r="C1813" s="1">
        <f>IFERROR(__xludf.DUMMYFUNCTION("""COMPUTED_VALUE"""),50200.0)</f>
        <v>50200</v>
      </c>
      <c r="D1813" s="1">
        <f>IFERROR(__xludf.DUMMYFUNCTION("""COMPUTED_VALUE"""),49100.0)</f>
        <v>49100</v>
      </c>
      <c r="E1813" s="1">
        <f>IFERROR(__xludf.DUMMYFUNCTION("""COMPUTED_VALUE"""),50000.0)</f>
        <v>50000</v>
      </c>
      <c r="F1813" s="1">
        <f>IFERROR(__xludf.DUMMYFUNCTION("""COMPUTED_VALUE"""),9020998.0)</f>
        <v>9020998</v>
      </c>
    </row>
    <row r="1814">
      <c r="A1814" s="2">
        <f>IFERROR(__xludf.DUMMYFUNCTION("""COMPUTED_VALUE"""),43243.64583333333)</f>
        <v>43243.64583</v>
      </c>
      <c r="B1814" s="1">
        <f>IFERROR(__xludf.DUMMYFUNCTION("""COMPUTED_VALUE"""),50600.0)</f>
        <v>50600</v>
      </c>
      <c r="C1814" s="1">
        <f>IFERROR(__xludf.DUMMYFUNCTION("""COMPUTED_VALUE"""),52000.0)</f>
        <v>52000</v>
      </c>
      <c r="D1814" s="1">
        <f>IFERROR(__xludf.DUMMYFUNCTION("""COMPUTED_VALUE"""),50400.0)</f>
        <v>50400</v>
      </c>
      <c r="E1814" s="1">
        <f>IFERROR(__xludf.DUMMYFUNCTION("""COMPUTED_VALUE"""),51800.0)</f>
        <v>51800</v>
      </c>
      <c r="F1814" s="1">
        <f>IFERROR(__xludf.DUMMYFUNCTION("""COMPUTED_VALUE"""),1.709549E7)</f>
        <v>17095490</v>
      </c>
    </row>
    <row r="1815">
      <c r="A1815" s="2">
        <f>IFERROR(__xludf.DUMMYFUNCTION("""COMPUTED_VALUE"""),43244.64583333333)</f>
        <v>43244.64583</v>
      </c>
      <c r="B1815" s="1">
        <f>IFERROR(__xludf.DUMMYFUNCTION("""COMPUTED_VALUE"""),52000.0)</f>
        <v>52000</v>
      </c>
      <c r="C1815" s="1">
        <f>IFERROR(__xludf.DUMMYFUNCTION("""COMPUTED_VALUE"""),52000.0)</f>
        <v>52000</v>
      </c>
      <c r="D1815" s="1">
        <f>IFERROR(__xludf.DUMMYFUNCTION("""COMPUTED_VALUE"""),51100.0)</f>
        <v>51100</v>
      </c>
      <c r="E1815" s="1">
        <f>IFERROR(__xludf.DUMMYFUNCTION("""COMPUTED_VALUE"""),51400.0)</f>
        <v>51400</v>
      </c>
      <c r="F1815" s="1">
        <f>IFERROR(__xludf.DUMMYFUNCTION("""COMPUTED_VALUE"""),8289275.0)</f>
        <v>8289275</v>
      </c>
    </row>
    <row r="1816">
      <c r="A1816" s="2">
        <f>IFERROR(__xludf.DUMMYFUNCTION("""COMPUTED_VALUE"""),43245.64583333333)</f>
        <v>43245.64583</v>
      </c>
      <c r="B1816" s="1">
        <f>IFERROR(__xludf.DUMMYFUNCTION("""COMPUTED_VALUE"""),51000.0)</f>
        <v>51000</v>
      </c>
      <c r="C1816" s="1">
        <f>IFERROR(__xludf.DUMMYFUNCTION("""COMPUTED_VALUE"""),52800.0)</f>
        <v>52800</v>
      </c>
      <c r="D1816" s="1">
        <f>IFERROR(__xludf.DUMMYFUNCTION("""COMPUTED_VALUE"""),50800.0)</f>
        <v>50800</v>
      </c>
      <c r="E1816" s="1">
        <f>IFERROR(__xludf.DUMMYFUNCTION("""COMPUTED_VALUE"""),52700.0)</f>
        <v>52700</v>
      </c>
      <c r="F1816" s="1">
        <f>IFERROR(__xludf.DUMMYFUNCTION("""COMPUTED_VALUE"""),1.5207266E7)</f>
        <v>15207266</v>
      </c>
    </row>
    <row r="1817">
      <c r="A1817" s="2">
        <f>IFERROR(__xludf.DUMMYFUNCTION("""COMPUTED_VALUE"""),43248.64583333333)</f>
        <v>43248.64583</v>
      </c>
      <c r="B1817" s="1">
        <f>IFERROR(__xludf.DUMMYFUNCTION("""COMPUTED_VALUE"""),52500.0)</f>
        <v>52500</v>
      </c>
      <c r="C1817" s="1">
        <f>IFERROR(__xludf.DUMMYFUNCTION("""COMPUTED_VALUE"""),53000.0)</f>
        <v>53000</v>
      </c>
      <c r="D1817" s="1">
        <f>IFERROR(__xludf.DUMMYFUNCTION("""COMPUTED_VALUE"""),52000.0)</f>
        <v>52000</v>
      </c>
      <c r="E1817" s="1">
        <f>IFERROR(__xludf.DUMMYFUNCTION("""COMPUTED_VALUE"""),52300.0)</f>
        <v>52300</v>
      </c>
      <c r="F1817" s="1">
        <f>IFERROR(__xludf.DUMMYFUNCTION("""COMPUTED_VALUE"""),9787820.0)</f>
        <v>9787820</v>
      </c>
    </row>
    <row r="1818">
      <c r="A1818" s="2">
        <f>IFERROR(__xludf.DUMMYFUNCTION("""COMPUTED_VALUE"""),43249.64583333333)</f>
        <v>43249.64583</v>
      </c>
      <c r="B1818" s="1">
        <f>IFERROR(__xludf.DUMMYFUNCTION("""COMPUTED_VALUE"""),52200.0)</f>
        <v>52200</v>
      </c>
      <c r="C1818" s="1">
        <f>IFERROR(__xludf.DUMMYFUNCTION("""COMPUTED_VALUE"""),52500.0)</f>
        <v>52500</v>
      </c>
      <c r="D1818" s="1">
        <f>IFERROR(__xludf.DUMMYFUNCTION("""COMPUTED_VALUE"""),51300.0)</f>
        <v>51300</v>
      </c>
      <c r="E1818" s="1">
        <f>IFERROR(__xludf.DUMMYFUNCTION("""COMPUTED_VALUE"""),51300.0)</f>
        <v>51300</v>
      </c>
      <c r="F1818" s="1">
        <f>IFERROR(__xludf.DUMMYFUNCTION("""COMPUTED_VALUE"""),8480437.0)</f>
        <v>8480437</v>
      </c>
    </row>
    <row r="1819">
      <c r="A1819" s="2">
        <f>IFERROR(__xludf.DUMMYFUNCTION("""COMPUTED_VALUE"""),43250.64583333333)</f>
        <v>43250.64583</v>
      </c>
      <c r="B1819" s="1">
        <f>IFERROR(__xludf.DUMMYFUNCTION("""COMPUTED_VALUE"""),51300.0)</f>
        <v>51300</v>
      </c>
      <c r="C1819" s="1">
        <f>IFERROR(__xludf.DUMMYFUNCTION("""COMPUTED_VALUE"""),51500.0)</f>
        <v>51500</v>
      </c>
      <c r="D1819" s="1">
        <f>IFERROR(__xludf.DUMMYFUNCTION("""COMPUTED_VALUE"""),49100.0)</f>
        <v>49100</v>
      </c>
      <c r="E1819" s="1">
        <f>IFERROR(__xludf.DUMMYFUNCTION("""COMPUTED_VALUE"""),49500.0)</f>
        <v>49500</v>
      </c>
      <c r="F1819" s="1">
        <f>IFERROR(__xludf.DUMMYFUNCTION("""COMPUTED_VALUE"""),2.0498098E7)</f>
        <v>20498098</v>
      </c>
    </row>
    <row r="1820">
      <c r="A1820" s="2">
        <f>IFERROR(__xludf.DUMMYFUNCTION("""COMPUTED_VALUE"""),43251.64583333333)</f>
        <v>43251.64583</v>
      </c>
      <c r="B1820" s="1">
        <f>IFERROR(__xludf.DUMMYFUNCTION("""COMPUTED_VALUE"""),50400.0)</f>
        <v>50400</v>
      </c>
      <c r="C1820" s="1">
        <f>IFERROR(__xludf.DUMMYFUNCTION("""COMPUTED_VALUE"""),50800.0)</f>
        <v>50800</v>
      </c>
      <c r="D1820" s="1">
        <f>IFERROR(__xludf.DUMMYFUNCTION("""COMPUTED_VALUE"""),49850.0)</f>
        <v>49850</v>
      </c>
      <c r="E1820" s="1">
        <f>IFERROR(__xludf.DUMMYFUNCTION("""COMPUTED_VALUE"""),50700.0)</f>
        <v>50700</v>
      </c>
      <c r="F1820" s="1">
        <f>IFERROR(__xludf.DUMMYFUNCTION("""COMPUTED_VALUE"""),6.3491109E7)</f>
        <v>63491109</v>
      </c>
    </row>
    <row r="1821">
      <c r="A1821" s="2">
        <f>IFERROR(__xludf.DUMMYFUNCTION("""COMPUTED_VALUE"""),43252.64583333333)</f>
        <v>43252.64583</v>
      </c>
      <c r="B1821" s="1">
        <f>IFERROR(__xludf.DUMMYFUNCTION("""COMPUTED_VALUE"""),50500.0)</f>
        <v>50500</v>
      </c>
      <c r="C1821" s="1">
        <f>IFERROR(__xludf.DUMMYFUNCTION("""COMPUTED_VALUE"""),51700.0)</f>
        <v>51700</v>
      </c>
      <c r="D1821" s="1">
        <f>IFERROR(__xludf.DUMMYFUNCTION("""COMPUTED_VALUE"""),49950.0)</f>
        <v>49950</v>
      </c>
      <c r="E1821" s="1">
        <f>IFERROR(__xludf.DUMMYFUNCTION("""COMPUTED_VALUE"""),51300.0)</f>
        <v>51300</v>
      </c>
      <c r="F1821" s="1">
        <f>IFERROR(__xludf.DUMMYFUNCTION("""COMPUTED_VALUE"""),1.3038499E7)</f>
        <v>13038499</v>
      </c>
    </row>
    <row r="1822">
      <c r="A1822" s="2">
        <f>IFERROR(__xludf.DUMMYFUNCTION("""COMPUTED_VALUE"""),43255.64583333333)</f>
        <v>43255.64583</v>
      </c>
      <c r="B1822" s="1">
        <f>IFERROR(__xludf.DUMMYFUNCTION("""COMPUTED_VALUE"""),50800.0)</f>
        <v>50800</v>
      </c>
      <c r="C1822" s="1">
        <f>IFERROR(__xludf.DUMMYFUNCTION("""COMPUTED_VALUE"""),51200.0)</f>
        <v>51200</v>
      </c>
      <c r="D1822" s="1">
        <f>IFERROR(__xludf.DUMMYFUNCTION("""COMPUTED_VALUE"""),50700.0)</f>
        <v>50700</v>
      </c>
      <c r="E1822" s="1">
        <f>IFERROR(__xludf.DUMMYFUNCTION("""COMPUTED_VALUE"""),51100.0)</f>
        <v>51100</v>
      </c>
      <c r="F1822" s="1">
        <f>IFERROR(__xludf.DUMMYFUNCTION("""COMPUTED_VALUE"""),9767171.0)</f>
        <v>9767171</v>
      </c>
    </row>
    <row r="1823">
      <c r="A1823" s="2">
        <f>IFERROR(__xludf.DUMMYFUNCTION("""COMPUTED_VALUE"""),43256.64583333333)</f>
        <v>43256.64583</v>
      </c>
      <c r="B1823" s="1">
        <f>IFERROR(__xludf.DUMMYFUNCTION("""COMPUTED_VALUE"""),51100.0)</f>
        <v>51100</v>
      </c>
      <c r="C1823" s="1">
        <f>IFERROR(__xludf.DUMMYFUNCTION("""COMPUTED_VALUE"""),51400.0)</f>
        <v>51400</v>
      </c>
      <c r="D1823" s="1">
        <f>IFERROR(__xludf.DUMMYFUNCTION("""COMPUTED_VALUE"""),50400.0)</f>
        <v>50400</v>
      </c>
      <c r="E1823" s="1">
        <f>IFERROR(__xludf.DUMMYFUNCTION("""COMPUTED_VALUE"""),51300.0)</f>
        <v>51300</v>
      </c>
      <c r="F1823" s="1">
        <f>IFERROR(__xludf.DUMMYFUNCTION("""COMPUTED_VALUE"""),9144100.0)</f>
        <v>9144100</v>
      </c>
    </row>
    <row r="1824">
      <c r="A1824" s="2">
        <f>IFERROR(__xludf.DUMMYFUNCTION("""COMPUTED_VALUE"""),43258.64583333333)</f>
        <v>43258.64583</v>
      </c>
      <c r="B1824" s="1">
        <f>IFERROR(__xludf.DUMMYFUNCTION("""COMPUTED_VALUE"""),51800.0)</f>
        <v>51800</v>
      </c>
      <c r="C1824" s="1">
        <f>IFERROR(__xludf.DUMMYFUNCTION("""COMPUTED_VALUE"""),51800.0)</f>
        <v>51800</v>
      </c>
      <c r="D1824" s="1">
        <f>IFERROR(__xludf.DUMMYFUNCTION("""COMPUTED_VALUE"""),50500.0)</f>
        <v>50500</v>
      </c>
      <c r="E1824" s="1">
        <f>IFERROR(__xludf.DUMMYFUNCTION("""COMPUTED_VALUE"""),50600.0)</f>
        <v>50600</v>
      </c>
      <c r="F1824" s="1">
        <f>IFERROR(__xludf.DUMMYFUNCTION("""COMPUTED_VALUE"""),1.3590016E7)</f>
        <v>13590016</v>
      </c>
    </row>
    <row r="1825">
      <c r="A1825" s="2">
        <f>IFERROR(__xludf.DUMMYFUNCTION("""COMPUTED_VALUE"""),43259.64583333333)</f>
        <v>43259.64583</v>
      </c>
      <c r="B1825" s="1">
        <f>IFERROR(__xludf.DUMMYFUNCTION("""COMPUTED_VALUE"""),50200.0)</f>
        <v>50200</v>
      </c>
      <c r="C1825" s="1">
        <f>IFERROR(__xludf.DUMMYFUNCTION("""COMPUTED_VALUE"""),50400.0)</f>
        <v>50400</v>
      </c>
      <c r="D1825" s="1">
        <f>IFERROR(__xludf.DUMMYFUNCTION("""COMPUTED_VALUE"""),49600.0)</f>
        <v>49600</v>
      </c>
      <c r="E1825" s="1">
        <f>IFERROR(__xludf.DUMMYFUNCTION("""COMPUTED_VALUE"""),49650.0)</f>
        <v>49650</v>
      </c>
      <c r="F1825" s="1">
        <f>IFERROR(__xludf.DUMMYFUNCTION("""COMPUTED_VALUE"""),1.6951706E7)</f>
        <v>16951706</v>
      </c>
    </row>
    <row r="1826">
      <c r="A1826" s="2">
        <f>IFERROR(__xludf.DUMMYFUNCTION("""COMPUTED_VALUE"""),43262.64583333333)</f>
        <v>43262.64583</v>
      </c>
      <c r="B1826" s="1">
        <f>IFERROR(__xludf.DUMMYFUNCTION("""COMPUTED_VALUE"""),49750.0)</f>
        <v>49750</v>
      </c>
      <c r="C1826" s="1">
        <f>IFERROR(__xludf.DUMMYFUNCTION("""COMPUTED_VALUE"""),50300.0)</f>
        <v>50300</v>
      </c>
      <c r="D1826" s="1">
        <f>IFERROR(__xludf.DUMMYFUNCTION("""COMPUTED_VALUE"""),49350.0)</f>
        <v>49350</v>
      </c>
      <c r="E1826" s="1">
        <f>IFERROR(__xludf.DUMMYFUNCTION("""COMPUTED_VALUE"""),49900.0)</f>
        <v>49900</v>
      </c>
      <c r="F1826" s="1">
        <f>IFERROR(__xludf.DUMMYFUNCTION("""COMPUTED_VALUE"""),1.0571312E7)</f>
        <v>10571312</v>
      </c>
    </row>
    <row r="1827">
      <c r="A1827" s="2">
        <f>IFERROR(__xludf.DUMMYFUNCTION("""COMPUTED_VALUE"""),43263.64583333333)</f>
        <v>43263.64583</v>
      </c>
      <c r="B1827" s="1">
        <f>IFERROR(__xludf.DUMMYFUNCTION("""COMPUTED_VALUE"""),49700.0)</f>
        <v>49700</v>
      </c>
      <c r="C1827" s="1">
        <f>IFERROR(__xludf.DUMMYFUNCTION("""COMPUTED_VALUE"""),49800.0)</f>
        <v>49800</v>
      </c>
      <c r="D1827" s="1">
        <f>IFERROR(__xludf.DUMMYFUNCTION("""COMPUTED_VALUE"""),49250.0)</f>
        <v>49250</v>
      </c>
      <c r="E1827" s="1">
        <f>IFERROR(__xludf.DUMMYFUNCTION("""COMPUTED_VALUE"""),49400.0)</f>
        <v>49400</v>
      </c>
      <c r="F1827" s="1">
        <f>IFERROR(__xludf.DUMMYFUNCTION("""COMPUTED_VALUE"""),1.2110569E7)</f>
        <v>12110569</v>
      </c>
    </row>
    <row r="1828">
      <c r="A1828" s="2">
        <f>IFERROR(__xludf.DUMMYFUNCTION("""COMPUTED_VALUE"""),43265.64583333333)</f>
        <v>43265.64583</v>
      </c>
      <c r="B1828" s="1">
        <f>IFERROR(__xludf.DUMMYFUNCTION("""COMPUTED_VALUE"""),49000.0)</f>
        <v>49000</v>
      </c>
      <c r="C1828" s="1">
        <f>IFERROR(__xludf.DUMMYFUNCTION("""COMPUTED_VALUE"""),49000.0)</f>
        <v>49000</v>
      </c>
      <c r="D1828" s="1">
        <f>IFERROR(__xludf.DUMMYFUNCTION("""COMPUTED_VALUE"""),48200.0)</f>
        <v>48200</v>
      </c>
      <c r="E1828" s="1">
        <f>IFERROR(__xludf.DUMMYFUNCTION("""COMPUTED_VALUE"""),48200.0)</f>
        <v>48200</v>
      </c>
      <c r="F1828" s="1">
        <f>IFERROR(__xludf.DUMMYFUNCTION("""COMPUTED_VALUE"""),2.0971729E7)</f>
        <v>20971729</v>
      </c>
    </row>
    <row r="1829">
      <c r="A1829" s="2">
        <f>IFERROR(__xludf.DUMMYFUNCTION("""COMPUTED_VALUE"""),43266.64583333333)</f>
        <v>43266.64583</v>
      </c>
      <c r="B1829" s="1">
        <f>IFERROR(__xludf.DUMMYFUNCTION("""COMPUTED_VALUE"""),48500.0)</f>
        <v>48500</v>
      </c>
      <c r="C1829" s="1">
        <f>IFERROR(__xludf.DUMMYFUNCTION("""COMPUTED_VALUE"""),48700.0)</f>
        <v>48700</v>
      </c>
      <c r="D1829" s="1">
        <f>IFERROR(__xludf.DUMMYFUNCTION("""COMPUTED_VALUE"""),47650.0)</f>
        <v>47650</v>
      </c>
      <c r="E1829" s="1">
        <f>IFERROR(__xludf.DUMMYFUNCTION("""COMPUTED_VALUE"""),47650.0)</f>
        <v>47650</v>
      </c>
      <c r="F1829" s="1">
        <f>IFERROR(__xludf.DUMMYFUNCTION("""COMPUTED_VALUE"""),1.7080892E7)</f>
        <v>17080892</v>
      </c>
    </row>
    <row r="1830">
      <c r="A1830" s="2">
        <f>IFERROR(__xludf.DUMMYFUNCTION("""COMPUTED_VALUE"""),43269.64583333333)</f>
        <v>43269.64583</v>
      </c>
      <c r="B1830" s="1">
        <f>IFERROR(__xludf.DUMMYFUNCTION("""COMPUTED_VALUE"""),47600.0)</f>
        <v>47600</v>
      </c>
      <c r="C1830" s="1">
        <f>IFERROR(__xludf.DUMMYFUNCTION("""COMPUTED_VALUE"""),47650.0)</f>
        <v>47650</v>
      </c>
      <c r="D1830" s="1">
        <f>IFERROR(__xludf.DUMMYFUNCTION("""COMPUTED_VALUE"""),46200.0)</f>
        <v>46200</v>
      </c>
      <c r="E1830" s="1">
        <f>IFERROR(__xludf.DUMMYFUNCTION("""COMPUTED_VALUE"""),46600.0)</f>
        <v>46600</v>
      </c>
      <c r="F1830" s="1">
        <f>IFERROR(__xludf.DUMMYFUNCTION("""COMPUTED_VALUE"""),1.666187E7)</f>
        <v>16661870</v>
      </c>
    </row>
    <row r="1831">
      <c r="A1831" s="2">
        <f>IFERROR(__xludf.DUMMYFUNCTION("""COMPUTED_VALUE"""),43270.64583333333)</f>
        <v>43270.64583</v>
      </c>
      <c r="B1831" s="1">
        <f>IFERROR(__xludf.DUMMYFUNCTION("""COMPUTED_VALUE"""),47200.0)</f>
        <v>47200</v>
      </c>
      <c r="C1831" s="1">
        <f>IFERROR(__xludf.DUMMYFUNCTION("""COMPUTED_VALUE"""),47350.0)</f>
        <v>47350</v>
      </c>
      <c r="D1831" s="1">
        <f>IFERROR(__xludf.DUMMYFUNCTION("""COMPUTED_VALUE"""),46500.0)</f>
        <v>46500</v>
      </c>
      <c r="E1831" s="1">
        <f>IFERROR(__xludf.DUMMYFUNCTION("""COMPUTED_VALUE"""),47000.0)</f>
        <v>47000</v>
      </c>
      <c r="F1831" s="1">
        <f>IFERROR(__xludf.DUMMYFUNCTION("""COMPUTED_VALUE"""),1.5217971E7)</f>
        <v>15217971</v>
      </c>
    </row>
    <row r="1832">
      <c r="A1832" s="2">
        <f>IFERROR(__xludf.DUMMYFUNCTION("""COMPUTED_VALUE"""),43271.64583333333)</f>
        <v>43271.64583</v>
      </c>
      <c r="B1832" s="1">
        <f>IFERROR(__xludf.DUMMYFUNCTION("""COMPUTED_VALUE"""),47450.0)</f>
        <v>47450</v>
      </c>
      <c r="C1832" s="1">
        <f>IFERROR(__xludf.DUMMYFUNCTION("""COMPUTED_VALUE"""),47600.0)</f>
        <v>47600</v>
      </c>
      <c r="D1832" s="1">
        <f>IFERROR(__xludf.DUMMYFUNCTION("""COMPUTED_VALUE"""),46850.0)</f>
        <v>46850</v>
      </c>
      <c r="E1832" s="1">
        <f>IFERROR(__xludf.DUMMYFUNCTION("""COMPUTED_VALUE"""),47000.0)</f>
        <v>47000</v>
      </c>
      <c r="F1832" s="1">
        <f>IFERROR(__xludf.DUMMYFUNCTION("""COMPUTED_VALUE"""),1.2959316E7)</f>
        <v>12959316</v>
      </c>
    </row>
    <row r="1833">
      <c r="A1833" s="2">
        <f>IFERROR(__xludf.DUMMYFUNCTION("""COMPUTED_VALUE"""),43272.64583333333)</f>
        <v>43272.64583</v>
      </c>
      <c r="B1833" s="1">
        <f>IFERROR(__xludf.DUMMYFUNCTION("""COMPUTED_VALUE"""),47900.0)</f>
        <v>47900</v>
      </c>
      <c r="C1833" s="1">
        <f>IFERROR(__xludf.DUMMYFUNCTION("""COMPUTED_VALUE"""),47900.0)</f>
        <v>47900</v>
      </c>
      <c r="D1833" s="1">
        <f>IFERROR(__xludf.DUMMYFUNCTION("""COMPUTED_VALUE"""),47050.0)</f>
        <v>47050</v>
      </c>
      <c r="E1833" s="1">
        <f>IFERROR(__xludf.DUMMYFUNCTION("""COMPUTED_VALUE"""),47050.0)</f>
        <v>47050</v>
      </c>
      <c r="F1833" s="1">
        <f>IFERROR(__xludf.DUMMYFUNCTION("""COMPUTED_VALUE"""),1.0015541E7)</f>
        <v>10015541</v>
      </c>
    </row>
    <row r="1834">
      <c r="A1834" s="2">
        <f>IFERROR(__xludf.DUMMYFUNCTION("""COMPUTED_VALUE"""),43273.64583333333)</f>
        <v>43273.64583</v>
      </c>
      <c r="B1834" s="1">
        <f>IFERROR(__xludf.DUMMYFUNCTION("""COMPUTED_VALUE"""),47000.0)</f>
        <v>47000</v>
      </c>
      <c r="C1834" s="1">
        <f>IFERROR(__xludf.DUMMYFUNCTION("""COMPUTED_VALUE"""),47250.0)</f>
        <v>47250</v>
      </c>
      <c r="D1834" s="1">
        <f>IFERROR(__xludf.DUMMYFUNCTION("""COMPUTED_VALUE"""),46200.0)</f>
        <v>46200</v>
      </c>
      <c r="E1834" s="1">
        <f>IFERROR(__xludf.DUMMYFUNCTION("""COMPUTED_VALUE"""),47250.0)</f>
        <v>47250</v>
      </c>
      <c r="F1834" s="1">
        <f>IFERROR(__xludf.DUMMYFUNCTION("""COMPUTED_VALUE"""),1.0298006E7)</f>
        <v>10298006</v>
      </c>
    </row>
    <row r="1835">
      <c r="A1835" s="2">
        <f>IFERROR(__xludf.DUMMYFUNCTION("""COMPUTED_VALUE"""),43276.64583333333)</f>
        <v>43276.64583</v>
      </c>
      <c r="B1835" s="1">
        <f>IFERROR(__xludf.DUMMYFUNCTION("""COMPUTED_VALUE"""),47050.0)</f>
        <v>47050</v>
      </c>
      <c r="C1835" s="1">
        <f>IFERROR(__xludf.DUMMYFUNCTION("""COMPUTED_VALUE"""),47050.0)</f>
        <v>47050</v>
      </c>
      <c r="D1835" s="1">
        <f>IFERROR(__xludf.DUMMYFUNCTION("""COMPUTED_VALUE"""),46150.0)</f>
        <v>46150</v>
      </c>
      <c r="E1835" s="1">
        <f>IFERROR(__xludf.DUMMYFUNCTION("""COMPUTED_VALUE"""),46650.0)</f>
        <v>46650</v>
      </c>
      <c r="F1835" s="1">
        <f>IFERROR(__xludf.DUMMYFUNCTION("""COMPUTED_VALUE"""),1.0587711E7)</f>
        <v>10587711</v>
      </c>
    </row>
    <row r="1836">
      <c r="A1836" s="2">
        <f>IFERROR(__xludf.DUMMYFUNCTION("""COMPUTED_VALUE"""),43277.64583333333)</f>
        <v>43277.64583</v>
      </c>
      <c r="B1836" s="1">
        <f>IFERROR(__xludf.DUMMYFUNCTION("""COMPUTED_VALUE"""),45900.0)</f>
        <v>45900</v>
      </c>
      <c r="C1836" s="1">
        <f>IFERROR(__xludf.DUMMYFUNCTION("""COMPUTED_VALUE"""),47300.0)</f>
        <v>47300</v>
      </c>
      <c r="D1836" s="1">
        <f>IFERROR(__xludf.DUMMYFUNCTION("""COMPUTED_VALUE"""),45900.0)</f>
        <v>45900</v>
      </c>
      <c r="E1836" s="1">
        <f>IFERROR(__xludf.DUMMYFUNCTION("""COMPUTED_VALUE"""),47000.0)</f>
        <v>47000</v>
      </c>
      <c r="F1836" s="1">
        <f>IFERROR(__xludf.DUMMYFUNCTION("""COMPUTED_VALUE"""),1.1223166E7)</f>
        <v>11223166</v>
      </c>
    </row>
    <row r="1837">
      <c r="A1837" s="2">
        <f>IFERROR(__xludf.DUMMYFUNCTION("""COMPUTED_VALUE"""),43278.64583333333)</f>
        <v>43278.64583</v>
      </c>
      <c r="B1837" s="1">
        <f>IFERROR(__xludf.DUMMYFUNCTION("""COMPUTED_VALUE"""),47450.0)</f>
        <v>47450</v>
      </c>
      <c r="C1837" s="1">
        <f>IFERROR(__xludf.DUMMYFUNCTION("""COMPUTED_VALUE"""),48500.0)</f>
        <v>48500</v>
      </c>
      <c r="D1837" s="1">
        <f>IFERROR(__xludf.DUMMYFUNCTION("""COMPUTED_VALUE"""),47000.0)</f>
        <v>47000</v>
      </c>
      <c r="E1837" s="1">
        <f>IFERROR(__xludf.DUMMYFUNCTION("""COMPUTED_VALUE"""),47950.0)</f>
        <v>47950</v>
      </c>
      <c r="F1837" s="1">
        <f>IFERROR(__xludf.DUMMYFUNCTION("""COMPUTED_VALUE"""),1.5274752E7)</f>
        <v>15274752</v>
      </c>
    </row>
    <row r="1838">
      <c r="A1838" s="2">
        <f>IFERROR(__xludf.DUMMYFUNCTION("""COMPUTED_VALUE"""),43279.64583333333)</f>
        <v>43279.64583</v>
      </c>
      <c r="B1838" s="1">
        <f>IFERROR(__xludf.DUMMYFUNCTION("""COMPUTED_VALUE"""),46850.0)</f>
        <v>46850</v>
      </c>
      <c r="C1838" s="1">
        <f>IFERROR(__xludf.DUMMYFUNCTION("""COMPUTED_VALUE"""),47150.0)</f>
        <v>47150</v>
      </c>
      <c r="D1838" s="1">
        <f>IFERROR(__xludf.DUMMYFUNCTION("""COMPUTED_VALUE"""),46600.0)</f>
        <v>46600</v>
      </c>
      <c r="E1838" s="1">
        <f>IFERROR(__xludf.DUMMYFUNCTION("""COMPUTED_VALUE"""),46800.0)</f>
        <v>46800</v>
      </c>
      <c r="F1838" s="1">
        <f>IFERROR(__xludf.DUMMYFUNCTION("""COMPUTED_VALUE"""),1.27848E7)</f>
        <v>12784800</v>
      </c>
    </row>
    <row r="1839">
      <c r="A1839" s="2">
        <f>IFERROR(__xludf.DUMMYFUNCTION("""COMPUTED_VALUE"""),43280.64583333333)</f>
        <v>43280.64583</v>
      </c>
      <c r="B1839" s="1">
        <f>IFERROR(__xludf.DUMMYFUNCTION("""COMPUTED_VALUE"""),46250.0)</f>
        <v>46250</v>
      </c>
      <c r="C1839" s="1">
        <f>IFERROR(__xludf.DUMMYFUNCTION("""COMPUTED_VALUE"""),47150.0)</f>
        <v>47150</v>
      </c>
      <c r="D1839" s="1">
        <f>IFERROR(__xludf.DUMMYFUNCTION("""COMPUTED_VALUE"""),46200.0)</f>
        <v>46200</v>
      </c>
      <c r="E1839" s="1">
        <f>IFERROR(__xludf.DUMMYFUNCTION("""COMPUTED_VALUE"""),46650.0)</f>
        <v>46650</v>
      </c>
      <c r="F1839" s="1">
        <f>IFERROR(__xludf.DUMMYFUNCTION("""COMPUTED_VALUE"""),1.4099635E7)</f>
        <v>14099635</v>
      </c>
    </row>
    <row r="1840">
      <c r="A1840" s="2">
        <f>IFERROR(__xludf.DUMMYFUNCTION("""COMPUTED_VALUE"""),43283.64583333333)</f>
        <v>43283.64583</v>
      </c>
      <c r="B1840" s="1">
        <f>IFERROR(__xludf.DUMMYFUNCTION("""COMPUTED_VALUE"""),46500.0)</f>
        <v>46500</v>
      </c>
      <c r="C1840" s="1">
        <f>IFERROR(__xludf.DUMMYFUNCTION("""COMPUTED_VALUE"""),47150.0)</f>
        <v>47150</v>
      </c>
      <c r="D1840" s="1">
        <f>IFERROR(__xludf.DUMMYFUNCTION("""COMPUTED_VALUE"""),45500.0)</f>
        <v>45500</v>
      </c>
      <c r="E1840" s="1">
        <f>IFERROR(__xludf.DUMMYFUNCTION("""COMPUTED_VALUE"""),45550.0)</f>
        <v>45550</v>
      </c>
      <c r="F1840" s="1">
        <f>IFERROR(__xludf.DUMMYFUNCTION("""COMPUTED_VALUE"""),1.3112253E7)</f>
        <v>13112253</v>
      </c>
    </row>
    <row r="1841">
      <c r="A1841" s="2">
        <f>IFERROR(__xludf.DUMMYFUNCTION("""COMPUTED_VALUE"""),43284.64583333333)</f>
        <v>43284.64583</v>
      </c>
      <c r="B1841" s="1">
        <f>IFERROR(__xludf.DUMMYFUNCTION("""COMPUTED_VALUE"""),45750.0)</f>
        <v>45750</v>
      </c>
      <c r="C1841" s="1">
        <f>IFERROR(__xludf.DUMMYFUNCTION("""COMPUTED_VALUE"""),46450.0)</f>
        <v>46450</v>
      </c>
      <c r="D1841" s="1">
        <f>IFERROR(__xludf.DUMMYFUNCTION("""COMPUTED_VALUE"""),45750.0)</f>
        <v>45750</v>
      </c>
      <c r="E1841" s="1">
        <f>IFERROR(__xludf.DUMMYFUNCTION("""COMPUTED_VALUE"""),46150.0)</f>
        <v>46150</v>
      </c>
      <c r="F1841" s="1">
        <f>IFERROR(__xludf.DUMMYFUNCTION("""COMPUTED_VALUE"""),1.0959655E7)</f>
        <v>10959655</v>
      </c>
    </row>
    <row r="1842">
      <c r="A1842" s="2">
        <f>IFERROR(__xludf.DUMMYFUNCTION("""COMPUTED_VALUE"""),43285.64583333333)</f>
        <v>43285.64583</v>
      </c>
      <c r="B1842" s="1">
        <f>IFERROR(__xludf.DUMMYFUNCTION("""COMPUTED_VALUE"""),46700.0)</f>
        <v>46700</v>
      </c>
      <c r="C1842" s="1">
        <f>IFERROR(__xludf.DUMMYFUNCTION("""COMPUTED_VALUE"""),47050.0)</f>
        <v>47050</v>
      </c>
      <c r="D1842" s="1">
        <f>IFERROR(__xludf.DUMMYFUNCTION("""COMPUTED_VALUE"""),46050.0)</f>
        <v>46050</v>
      </c>
      <c r="E1842" s="1">
        <f>IFERROR(__xludf.DUMMYFUNCTION("""COMPUTED_VALUE"""),46250.0)</f>
        <v>46250</v>
      </c>
      <c r="F1842" s="1">
        <f>IFERROR(__xludf.DUMMYFUNCTION("""COMPUTED_VALUE"""),8776763.0)</f>
        <v>8776763</v>
      </c>
    </row>
    <row r="1843">
      <c r="A1843" s="2">
        <f>IFERROR(__xludf.DUMMYFUNCTION("""COMPUTED_VALUE"""),43286.64583333333)</f>
        <v>43286.64583</v>
      </c>
      <c r="B1843" s="1">
        <f>IFERROR(__xludf.DUMMYFUNCTION("""COMPUTED_VALUE"""),46100.0)</f>
        <v>46100</v>
      </c>
      <c r="C1843" s="1">
        <f>IFERROR(__xludf.DUMMYFUNCTION("""COMPUTED_VALUE"""),46550.0)</f>
        <v>46550</v>
      </c>
      <c r="D1843" s="1">
        <f>IFERROR(__xludf.DUMMYFUNCTION("""COMPUTED_VALUE"""),45600.0)</f>
        <v>45600</v>
      </c>
      <c r="E1843" s="1">
        <f>IFERROR(__xludf.DUMMYFUNCTION("""COMPUTED_VALUE"""),45950.0)</f>
        <v>45950</v>
      </c>
      <c r="F1843" s="1">
        <f>IFERROR(__xludf.DUMMYFUNCTION("""COMPUTED_VALUE"""),7039773.0)</f>
        <v>7039773</v>
      </c>
    </row>
    <row r="1844">
      <c r="A1844" s="2">
        <f>IFERROR(__xludf.DUMMYFUNCTION("""COMPUTED_VALUE"""),43287.64583333333)</f>
        <v>43287.64583</v>
      </c>
      <c r="B1844" s="1">
        <f>IFERROR(__xludf.DUMMYFUNCTION("""COMPUTED_VALUE"""),45500.0)</f>
        <v>45500</v>
      </c>
      <c r="C1844" s="1">
        <f>IFERROR(__xludf.DUMMYFUNCTION("""COMPUTED_VALUE"""),45850.0)</f>
        <v>45850</v>
      </c>
      <c r="D1844" s="1">
        <f>IFERROR(__xludf.DUMMYFUNCTION("""COMPUTED_VALUE"""),44650.0)</f>
        <v>44650</v>
      </c>
      <c r="E1844" s="1">
        <f>IFERROR(__xludf.DUMMYFUNCTION("""COMPUTED_VALUE"""),44900.0)</f>
        <v>44900</v>
      </c>
      <c r="F1844" s="1">
        <f>IFERROR(__xludf.DUMMYFUNCTION("""COMPUTED_VALUE"""),1.7843706E7)</f>
        <v>17843706</v>
      </c>
    </row>
    <row r="1845">
      <c r="A1845" s="2">
        <f>IFERROR(__xludf.DUMMYFUNCTION("""COMPUTED_VALUE"""),43290.64583333333)</f>
        <v>43290.64583</v>
      </c>
      <c r="B1845" s="1">
        <f>IFERROR(__xludf.DUMMYFUNCTION("""COMPUTED_VALUE"""),45500.0)</f>
        <v>45500</v>
      </c>
      <c r="C1845" s="1">
        <f>IFERROR(__xludf.DUMMYFUNCTION("""COMPUTED_VALUE"""),46100.0)</f>
        <v>46100</v>
      </c>
      <c r="D1845" s="1">
        <f>IFERROR(__xludf.DUMMYFUNCTION("""COMPUTED_VALUE"""),45200.0)</f>
        <v>45200</v>
      </c>
      <c r="E1845" s="1">
        <f>IFERROR(__xludf.DUMMYFUNCTION("""COMPUTED_VALUE"""),45600.0)</f>
        <v>45600</v>
      </c>
      <c r="F1845" s="1">
        <f>IFERROR(__xludf.DUMMYFUNCTION("""COMPUTED_VALUE"""),1.1602464E7)</f>
        <v>11602464</v>
      </c>
    </row>
    <row r="1846">
      <c r="A1846" s="2">
        <f>IFERROR(__xludf.DUMMYFUNCTION("""COMPUTED_VALUE"""),43291.64583333333)</f>
        <v>43291.64583</v>
      </c>
      <c r="B1846" s="1">
        <f>IFERROR(__xludf.DUMMYFUNCTION("""COMPUTED_VALUE"""),46200.0)</f>
        <v>46200</v>
      </c>
      <c r="C1846" s="1">
        <f>IFERROR(__xludf.DUMMYFUNCTION("""COMPUTED_VALUE"""),46550.0)</f>
        <v>46550</v>
      </c>
      <c r="D1846" s="1">
        <f>IFERROR(__xludf.DUMMYFUNCTION("""COMPUTED_VALUE"""),46100.0)</f>
        <v>46100</v>
      </c>
      <c r="E1846" s="1">
        <f>IFERROR(__xludf.DUMMYFUNCTION("""COMPUTED_VALUE"""),46300.0)</f>
        <v>46300</v>
      </c>
      <c r="F1846" s="1">
        <f>IFERROR(__xludf.DUMMYFUNCTION("""COMPUTED_VALUE"""),1.0528665E7)</f>
        <v>10528665</v>
      </c>
    </row>
    <row r="1847">
      <c r="A1847" s="2">
        <f>IFERROR(__xludf.DUMMYFUNCTION("""COMPUTED_VALUE"""),43292.64583333333)</f>
        <v>43292.64583</v>
      </c>
      <c r="B1847" s="1">
        <f>IFERROR(__xludf.DUMMYFUNCTION("""COMPUTED_VALUE"""),46400.0)</f>
        <v>46400</v>
      </c>
      <c r="C1847" s="1">
        <f>IFERROR(__xludf.DUMMYFUNCTION("""COMPUTED_VALUE"""),46450.0)</f>
        <v>46450</v>
      </c>
      <c r="D1847" s="1">
        <f>IFERROR(__xludf.DUMMYFUNCTION("""COMPUTED_VALUE"""),45400.0)</f>
        <v>45400</v>
      </c>
      <c r="E1847" s="1">
        <f>IFERROR(__xludf.DUMMYFUNCTION("""COMPUTED_VALUE"""),46000.0)</f>
        <v>46000</v>
      </c>
      <c r="F1847" s="1">
        <f>IFERROR(__xludf.DUMMYFUNCTION("""COMPUTED_VALUE"""),1.1224077E7)</f>
        <v>11224077</v>
      </c>
    </row>
    <row r="1848">
      <c r="A1848" s="2">
        <f>IFERROR(__xludf.DUMMYFUNCTION("""COMPUTED_VALUE"""),43293.64583333333)</f>
        <v>43293.64583</v>
      </c>
      <c r="B1848" s="1">
        <f>IFERROR(__xludf.DUMMYFUNCTION("""COMPUTED_VALUE"""),45900.0)</f>
        <v>45900</v>
      </c>
      <c r="C1848" s="1">
        <f>IFERROR(__xludf.DUMMYFUNCTION("""COMPUTED_VALUE"""),46250.0)</f>
        <v>46250</v>
      </c>
      <c r="D1848" s="1">
        <f>IFERROR(__xludf.DUMMYFUNCTION("""COMPUTED_VALUE"""),45450.0)</f>
        <v>45450</v>
      </c>
      <c r="E1848" s="1">
        <f>IFERROR(__xludf.DUMMYFUNCTION("""COMPUTED_VALUE"""),45500.0)</f>
        <v>45500</v>
      </c>
      <c r="F1848" s="1">
        <f>IFERROR(__xludf.DUMMYFUNCTION("""COMPUTED_VALUE"""),1.1828104E7)</f>
        <v>11828104</v>
      </c>
    </row>
    <row r="1849">
      <c r="A1849" s="2">
        <f>IFERROR(__xludf.DUMMYFUNCTION("""COMPUTED_VALUE"""),43294.64583333333)</f>
        <v>43294.64583</v>
      </c>
      <c r="B1849" s="1">
        <f>IFERROR(__xludf.DUMMYFUNCTION("""COMPUTED_VALUE"""),45800.0)</f>
        <v>45800</v>
      </c>
      <c r="C1849" s="1">
        <f>IFERROR(__xludf.DUMMYFUNCTION("""COMPUTED_VALUE"""),46500.0)</f>
        <v>46500</v>
      </c>
      <c r="D1849" s="1">
        <f>IFERROR(__xludf.DUMMYFUNCTION("""COMPUTED_VALUE"""),45750.0)</f>
        <v>45750</v>
      </c>
      <c r="E1849" s="1">
        <f>IFERROR(__xludf.DUMMYFUNCTION("""COMPUTED_VALUE"""),46500.0)</f>
        <v>46500</v>
      </c>
      <c r="F1849" s="1">
        <f>IFERROR(__xludf.DUMMYFUNCTION("""COMPUTED_VALUE"""),1.1543389E7)</f>
        <v>11543389</v>
      </c>
    </row>
    <row r="1850">
      <c r="A1850" s="2">
        <f>IFERROR(__xludf.DUMMYFUNCTION("""COMPUTED_VALUE"""),43297.64583333333)</f>
        <v>43297.64583</v>
      </c>
      <c r="B1850" s="1">
        <f>IFERROR(__xludf.DUMMYFUNCTION("""COMPUTED_VALUE"""),46800.0)</f>
        <v>46800</v>
      </c>
      <c r="C1850" s="1">
        <f>IFERROR(__xludf.DUMMYFUNCTION("""COMPUTED_VALUE"""),46800.0)</f>
        <v>46800</v>
      </c>
      <c r="D1850" s="1">
        <f>IFERROR(__xludf.DUMMYFUNCTION("""COMPUTED_VALUE"""),46000.0)</f>
        <v>46000</v>
      </c>
      <c r="E1850" s="1">
        <f>IFERROR(__xludf.DUMMYFUNCTION("""COMPUTED_VALUE"""),46050.0)</f>
        <v>46050</v>
      </c>
      <c r="F1850" s="1">
        <f>IFERROR(__xludf.DUMMYFUNCTION("""COMPUTED_VALUE"""),7678719.0)</f>
        <v>7678719</v>
      </c>
    </row>
    <row r="1851">
      <c r="A1851" s="2">
        <f>IFERROR(__xludf.DUMMYFUNCTION("""COMPUTED_VALUE"""),43298.64583333333)</f>
        <v>43298.64583</v>
      </c>
      <c r="B1851" s="1">
        <f>IFERROR(__xludf.DUMMYFUNCTION("""COMPUTED_VALUE"""),46150.0)</f>
        <v>46150</v>
      </c>
      <c r="C1851" s="1">
        <f>IFERROR(__xludf.DUMMYFUNCTION("""COMPUTED_VALUE"""),46200.0)</f>
        <v>46200</v>
      </c>
      <c r="D1851" s="1">
        <f>IFERROR(__xludf.DUMMYFUNCTION("""COMPUTED_VALUE"""),45600.0)</f>
        <v>45600</v>
      </c>
      <c r="E1851" s="1">
        <f>IFERROR(__xludf.DUMMYFUNCTION("""COMPUTED_VALUE"""),45850.0)</f>
        <v>45850</v>
      </c>
      <c r="F1851" s="1">
        <f>IFERROR(__xludf.DUMMYFUNCTION("""COMPUTED_VALUE"""),8892953.0)</f>
        <v>8892953</v>
      </c>
    </row>
    <row r="1852">
      <c r="A1852" s="2">
        <f>IFERROR(__xludf.DUMMYFUNCTION("""COMPUTED_VALUE"""),43299.64583333333)</f>
        <v>43299.64583</v>
      </c>
      <c r="B1852" s="1">
        <f>IFERROR(__xludf.DUMMYFUNCTION("""COMPUTED_VALUE"""),46700.0)</f>
        <v>46700</v>
      </c>
      <c r="C1852" s="1">
        <f>IFERROR(__xludf.DUMMYFUNCTION("""COMPUTED_VALUE"""),47200.0)</f>
        <v>47200</v>
      </c>
      <c r="D1852" s="1">
        <f>IFERROR(__xludf.DUMMYFUNCTION("""COMPUTED_VALUE"""),46450.0)</f>
        <v>46450</v>
      </c>
      <c r="E1852" s="1">
        <f>IFERROR(__xludf.DUMMYFUNCTION("""COMPUTED_VALUE"""),46550.0)</f>
        <v>46550</v>
      </c>
      <c r="F1852" s="1">
        <f>IFERROR(__xludf.DUMMYFUNCTION("""COMPUTED_VALUE"""),1.0952645E7)</f>
        <v>10952645</v>
      </c>
    </row>
    <row r="1853">
      <c r="A1853" s="2">
        <f>IFERROR(__xludf.DUMMYFUNCTION("""COMPUTED_VALUE"""),43300.64583333333)</f>
        <v>43300.64583</v>
      </c>
      <c r="B1853" s="1">
        <f>IFERROR(__xludf.DUMMYFUNCTION("""COMPUTED_VALUE"""),47050.0)</f>
        <v>47050</v>
      </c>
      <c r="C1853" s="1">
        <f>IFERROR(__xludf.DUMMYFUNCTION("""COMPUTED_VALUE"""),47200.0)</f>
        <v>47200</v>
      </c>
      <c r="D1853" s="1">
        <f>IFERROR(__xludf.DUMMYFUNCTION("""COMPUTED_VALUE"""),46600.0)</f>
        <v>46600</v>
      </c>
      <c r="E1853" s="1">
        <f>IFERROR(__xludf.DUMMYFUNCTION("""COMPUTED_VALUE"""),46900.0)</f>
        <v>46900</v>
      </c>
      <c r="F1853" s="1">
        <f>IFERROR(__xludf.DUMMYFUNCTION("""COMPUTED_VALUE"""),9880128.0)</f>
        <v>9880128</v>
      </c>
    </row>
    <row r="1854">
      <c r="A1854" s="2">
        <f>IFERROR(__xludf.DUMMYFUNCTION("""COMPUTED_VALUE"""),43301.64583333333)</f>
        <v>43301.64583</v>
      </c>
      <c r="B1854" s="1">
        <f>IFERROR(__xludf.DUMMYFUNCTION("""COMPUTED_VALUE"""),47000.0)</f>
        <v>47000</v>
      </c>
      <c r="C1854" s="1">
        <f>IFERROR(__xludf.DUMMYFUNCTION("""COMPUTED_VALUE"""),47600.0)</f>
        <v>47600</v>
      </c>
      <c r="D1854" s="1">
        <f>IFERROR(__xludf.DUMMYFUNCTION("""COMPUTED_VALUE"""),46700.0)</f>
        <v>46700</v>
      </c>
      <c r="E1854" s="1">
        <f>IFERROR(__xludf.DUMMYFUNCTION("""COMPUTED_VALUE"""),47450.0)</f>
        <v>47450</v>
      </c>
      <c r="F1854" s="1">
        <f>IFERROR(__xludf.DUMMYFUNCTION("""COMPUTED_VALUE"""),1.0474547E7)</f>
        <v>10474547</v>
      </c>
    </row>
    <row r="1855">
      <c r="A1855" s="2">
        <f>IFERROR(__xludf.DUMMYFUNCTION("""COMPUTED_VALUE"""),43304.64583333333)</f>
        <v>43304.64583</v>
      </c>
      <c r="B1855" s="1">
        <f>IFERROR(__xludf.DUMMYFUNCTION("""COMPUTED_VALUE"""),47100.0)</f>
        <v>47100</v>
      </c>
      <c r="C1855" s="1">
        <f>IFERROR(__xludf.DUMMYFUNCTION("""COMPUTED_VALUE"""),47200.0)</f>
        <v>47200</v>
      </c>
      <c r="D1855" s="1">
        <f>IFERROR(__xludf.DUMMYFUNCTION("""COMPUTED_VALUE"""),46150.0)</f>
        <v>46150</v>
      </c>
      <c r="E1855" s="1">
        <f>IFERROR(__xludf.DUMMYFUNCTION("""COMPUTED_VALUE"""),46500.0)</f>
        <v>46500</v>
      </c>
      <c r="F1855" s="1">
        <f>IFERROR(__xludf.DUMMYFUNCTION("""COMPUTED_VALUE"""),1.0823782E7)</f>
        <v>10823782</v>
      </c>
    </row>
    <row r="1856">
      <c r="A1856" s="2">
        <f>IFERROR(__xludf.DUMMYFUNCTION("""COMPUTED_VALUE"""),43305.64583333333)</f>
        <v>43305.64583</v>
      </c>
      <c r="B1856" s="1">
        <f>IFERROR(__xludf.DUMMYFUNCTION("""COMPUTED_VALUE"""),46350.0)</f>
        <v>46350</v>
      </c>
      <c r="C1856" s="1">
        <f>IFERROR(__xludf.DUMMYFUNCTION("""COMPUTED_VALUE"""),46600.0)</f>
        <v>46600</v>
      </c>
      <c r="D1856" s="1">
        <f>IFERROR(__xludf.DUMMYFUNCTION("""COMPUTED_VALUE"""),45950.0)</f>
        <v>45950</v>
      </c>
      <c r="E1856" s="1">
        <f>IFERROR(__xludf.DUMMYFUNCTION("""COMPUTED_VALUE"""),46150.0)</f>
        <v>46150</v>
      </c>
      <c r="F1856" s="1">
        <f>IFERROR(__xludf.DUMMYFUNCTION("""COMPUTED_VALUE"""),8261363.0)</f>
        <v>8261363</v>
      </c>
    </row>
    <row r="1857">
      <c r="A1857" s="2">
        <f>IFERROR(__xludf.DUMMYFUNCTION("""COMPUTED_VALUE"""),43306.64583333333)</f>
        <v>43306.64583</v>
      </c>
      <c r="B1857" s="1">
        <f>IFERROR(__xludf.DUMMYFUNCTION("""COMPUTED_VALUE"""),46250.0)</f>
        <v>46250</v>
      </c>
      <c r="C1857" s="1">
        <f>IFERROR(__xludf.DUMMYFUNCTION("""COMPUTED_VALUE"""),46550.0)</f>
        <v>46550</v>
      </c>
      <c r="D1857" s="1">
        <f>IFERROR(__xludf.DUMMYFUNCTION("""COMPUTED_VALUE"""),45900.0)</f>
        <v>45900</v>
      </c>
      <c r="E1857" s="1">
        <f>IFERROR(__xludf.DUMMYFUNCTION("""COMPUTED_VALUE"""),46150.0)</f>
        <v>46150</v>
      </c>
      <c r="F1857" s="1">
        <f>IFERROR(__xludf.DUMMYFUNCTION("""COMPUTED_VALUE"""),7222471.0)</f>
        <v>7222471</v>
      </c>
    </row>
    <row r="1858">
      <c r="A1858" s="2">
        <f>IFERROR(__xludf.DUMMYFUNCTION("""COMPUTED_VALUE"""),43307.64583333333)</f>
        <v>43307.64583</v>
      </c>
      <c r="B1858" s="1">
        <f>IFERROR(__xludf.DUMMYFUNCTION("""COMPUTED_VALUE"""),46100.0)</f>
        <v>46100</v>
      </c>
      <c r="C1858" s="1">
        <f>IFERROR(__xludf.DUMMYFUNCTION("""COMPUTED_VALUE"""),47000.0)</f>
        <v>47000</v>
      </c>
      <c r="D1858" s="1">
        <f>IFERROR(__xludf.DUMMYFUNCTION("""COMPUTED_VALUE"""),46000.0)</f>
        <v>46000</v>
      </c>
      <c r="E1858" s="1">
        <f>IFERROR(__xludf.DUMMYFUNCTION("""COMPUTED_VALUE"""),46900.0)</f>
        <v>46900</v>
      </c>
      <c r="F1858" s="1">
        <f>IFERROR(__xludf.DUMMYFUNCTION("""COMPUTED_VALUE"""),7374946.0)</f>
        <v>7374946</v>
      </c>
    </row>
    <row r="1859">
      <c r="A1859" s="2">
        <f>IFERROR(__xludf.DUMMYFUNCTION("""COMPUTED_VALUE"""),43308.64583333333)</f>
        <v>43308.64583</v>
      </c>
      <c r="B1859" s="1">
        <f>IFERROR(__xludf.DUMMYFUNCTION("""COMPUTED_VALUE"""),46450.0)</f>
        <v>46450</v>
      </c>
      <c r="C1859" s="1">
        <f>IFERROR(__xludf.DUMMYFUNCTION("""COMPUTED_VALUE"""),47000.0)</f>
        <v>47000</v>
      </c>
      <c r="D1859" s="1">
        <f>IFERROR(__xludf.DUMMYFUNCTION("""COMPUTED_VALUE"""),46450.0)</f>
        <v>46450</v>
      </c>
      <c r="E1859" s="1">
        <f>IFERROR(__xludf.DUMMYFUNCTION("""COMPUTED_VALUE"""),46900.0)</f>
        <v>46900</v>
      </c>
      <c r="F1859" s="1">
        <f>IFERROR(__xludf.DUMMYFUNCTION("""COMPUTED_VALUE"""),4762460.0)</f>
        <v>4762460</v>
      </c>
    </row>
    <row r="1860">
      <c r="A1860" s="2">
        <f>IFERROR(__xludf.DUMMYFUNCTION("""COMPUTED_VALUE"""),43311.64583333333)</f>
        <v>43311.64583</v>
      </c>
      <c r="B1860" s="1">
        <f>IFERROR(__xludf.DUMMYFUNCTION("""COMPUTED_VALUE"""),46550.0)</f>
        <v>46550</v>
      </c>
      <c r="C1860" s="1">
        <f>IFERROR(__xludf.DUMMYFUNCTION("""COMPUTED_VALUE"""),46800.0)</f>
        <v>46800</v>
      </c>
      <c r="D1860" s="1">
        <f>IFERROR(__xludf.DUMMYFUNCTION("""COMPUTED_VALUE"""),46350.0)</f>
        <v>46350</v>
      </c>
      <c r="E1860" s="1">
        <f>IFERROR(__xludf.DUMMYFUNCTION("""COMPUTED_VALUE"""),46500.0)</f>
        <v>46500</v>
      </c>
      <c r="F1860" s="1">
        <f>IFERROR(__xludf.DUMMYFUNCTION("""COMPUTED_VALUE"""),5723035.0)</f>
        <v>5723035</v>
      </c>
    </row>
    <row r="1861">
      <c r="A1861" s="2">
        <f>IFERROR(__xludf.DUMMYFUNCTION("""COMPUTED_VALUE"""),43312.64583333333)</f>
        <v>43312.64583</v>
      </c>
      <c r="B1861" s="1">
        <f>IFERROR(__xludf.DUMMYFUNCTION("""COMPUTED_VALUE"""),46200.0)</f>
        <v>46200</v>
      </c>
      <c r="C1861" s="1">
        <f>IFERROR(__xludf.DUMMYFUNCTION("""COMPUTED_VALUE"""),46450.0)</f>
        <v>46450</v>
      </c>
      <c r="D1861" s="1">
        <f>IFERROR(__xludf.DUMMYFUNCTION("""COMPUTED_VALUE"""),46000.0)</f>
        <v>46000</v>
      </c>
      <c r="E1861" s="1">
        <f>IFERROR(__xludf.DUMMYFUNCTION("""COMPUTED_VALUE"""),46250.0)</f>
        <v>46250</v>
      </c>
      <c r="F1861" s="1">
        <f>IFERROR(__xludf.DUMMYFUNCTION("""COMPUTED_VALUE"""),8033607.0)</f>
        <v>8033607</v>
      </c>
    </row>
    <row r="1862">
      <c r="A1862" s="2">
        <f>IFERROR(__xludf.DUMMYFUNCTION("""COMPUTED_VALUE"""),43313.64583333333)</f>
        <v>43313.64583</v>
      </c>
      <c r="B1862" s="1">
        <f>IFERROR(__xludf.DUMMYFUNCTION("""COMPUTED_VALUE"""),46050.0)</f>
        <v>46050</v>
      </c>
      <c r="C1862" s="1">
        <f>IFERROR(__xludf.DUMMYFUNCTION("""COMPUTED_VALUE"""),46850.0)</f>
        <v>46850</v>
      </c>
      <c r="D1862" s="1">
        <f>IFERROR(__xludf.DUMMYFUNCTION("""COMPUTED_VALUE"""),46050.0)</f>
        <v>46050</v>
      </c>
      <c r="E1862" s="1">
        <f>IFERROR(__xludf.DUMMYFUNCTION("""COMPUTED_VALUE"""),46550.0)</f>
        <v>46550</v>
      </c>
      <c r="F1862" s="1">
        <f>IFERROR(__xludf.DUMMYFUNCTION("""COMPUTED_VALUE"""),7484499.0)</f>
        <v>7484499</v>
      </c>
    </row>
    <row r="1863">
      <c r="A1863" s="2">
        <f>IFERROR(__xludf.DUMMYFUNCTION("""COMPUTED_VALUE"""),43314.64583333333)</f>
        <v>43314.64583</v>
      </c>
      <c r="B1863" s="1">
        <f>IFERROR(__xludf.DUMMYFUNCTION("""COMPUTED_VALUE"""),46550.0)</f>
        <v>46550</v>
      </c>
      <c r="C1863" s="1">
        <f>IFERROR(__xludf.DUMMYFUNCTION("""COMPUTED_VALUE"""),46800.0)</f>
        <v>46800</v>
      </c>
      <c r="D1863" s="1">
        <f>IFERROR(__xludf.DUMMYFUNCTION("""COMPUTED_VALUE"""),45500.0)</f>
        <v>45500</v>
      </c>
      <c r="E1863" s="1">
        <f>IFERROR(__xludf.DUMMYFUNCTION("""COMPUTED_VALUE"""),45550.0)</f>
        <v>45550</v>
      </c>
      <c r="F1863" s="1">
        <f>IFERROR(__xludf.DUMMYFUNCTION("""COMPUTED_VALUE"""),8560924.0)</f>
        <v>8560924</v>
      </c>
    </row>
    <row r="1864">
      <c r="A1864" s="2">
        <f>IFERROR(__xludf.DUMMYFUNCTION("""COMPUTED_VALUE"""),43315.64583333333)</f>
        <v>43315.64583</v>
      </c>
      <c r="B1864" s="1">
        <f>IFERROR(__xludf.DUMMYFUNCTION("""COMPUTED_VALUE"""),45850.0)</f>
        <v>45850</v>
      </c>
      <c r="C1864" s="1">
        <f>IFERROR(__xludf.DUMMYFUNCTION("""COMPUTED_VALUE"""),45900.0)</f>
        <v>45900</v>
      </c>
      <c r="D1864" s="1">
        <f>IFERROR(__xludf.DUMMYFUNCTION("""COMPUTED_VALUE"""),45450.0)</f>
        <v>45450</v>
      </c>
      <c r="E1864" s="1">
        <f>IFERROR(__xludf.DUMMYFUNCTION("""COMPUTED_VALUE"""),45750.0)</f>
        <v>45750</v>
      </c>
      <c r="F1864" s="1">
        <f>IFERROR(__xludf.DUMMYFUNCTION("""COMPUTED_VALUE"""),8274944.0)</f>
        <v>8274944</v>
      </c>
    </row>
    <row r="1865">
      <c r="A1865" s="2">
        <f>IFERROR(__xludf.DUMMYFUNCTION("""COMPUTED_VALUE"""),43318.64583333333)</f>
        <v>43318.64583</v>
      </c>
      <c r="B1865" s="1">
        <f>IFERROR(__xludf.DUMMYFUNCTION("""COMPUTED_VALUE"""),46150.0)</f>
        <v>46150</v>
      </c>
      <c r="C1865" s="1">
        <f>IFERROR(__xludf.DUMMYFUNCTION("""COMPUTED_VALUE"""),46150.0)</f>
        <v>46150</v>
      </c>
      <c r="D1865" s="1">
        <f>IFERROR(__xludf.DUMMYFUNCTION("""COMPUTED_VALUE"""),45750.0)</f>
        <v>45750</v>
      </c>
      <c r="E1865" s="1">
        <f>IFERROR(__xludf.DUMMYFUNCTION("""COMPUTED_VALUE"""),45800.0)</f>
        <v>45800</v>
      </c>
      <c r="F1865" s="1">
        <f>IFERROR(__xludf.DUMMYFUNCTION("""COMPUTED_VALUE"""),6771979.0)</f>
        <v>6771979</v>
      </c>
    </row>
    <row r="1866">
      <c r="A1866" s="2">
        <f>IFERROR(__xludf.DUMMYFUNCTION("""COMPUTED_VALUE"""),43319.64583333333)</f>
        <v>43319.64583</v>
      </c>
      <c r="B1866" s="1">
        <f>IFERROR(__xludf.DUMMYFUNCTION("""COMPUTED_VALUE"""),46300.0)</f>
        <v>46300</v>
      </c>
      <c r="C1866" s="1">
        <f>IFERROR(__xludf.DUMMYFUNCTION("""COMPUTED_VALUE"""),46750.0)</f>
        <v>46750</v>
      </c>
      <c r="D1866" s="1">
        <f>IFERROR(__xludf.DUMMYFUNCTION("""COMPUTED_VALUE"""),45900.0)</f>
        <v>45900</v>
      </c>
      <c r="E1866" s="1">
        <f>IFERROR(__xludf.DUMMYFUNCTION("""COMPUTED_VALUE"""),46700.0)</f>
        <v>46700</v>
      </c>
      <c r="F1866" s="1">
        <f>IFERROR(__xludf.DUMMYFUNCTION("""COMPUTED_VALUE"""),9058174.0)</f>
        <v>9058174</v>
      </c>
    </row>
    <row r="1867">
      <c r="A1867" s="2">
        <f>IFERROR(__xludf.DUMMYFUNCTION("""COMPUTED_VALUE"""),43320.64583333333)</f>
        <v>43320.64583</v>
      </c>
      <c r="B1867" s="1">
        <f>IFERROR(__xludf.DUMMYFUNCTION("""COMPUTED_VALUE"""),47000.0)</f>
        <v>47000</v>
      </c>
      <c r="C1867" s="1">
        <f>IFERROR(__xludf.DUMMYFUNCTION("""COMPUTED_VALUE"""),47000.0)</f>
        <v>47000</v>
      </c>
      <c r="D1867" s="1">
        <f>IFERROR(__xludf.DUMMYFUNCTION("""COMPUTED_VALUE"""),46550.0)</f>
        <v>46550</v>
      </c>
      <c r="E1867" s="1">
        <f>IFERROR(__xludf.DUMMYFUNCTION("""COMPUTED_VALUE"""),46800.0)</f>
        <v>46800</v>
      </c>
      <c r="F1867" s="1">
        <f>IFERROR(__xludf.DUMMYFUNCTION("""COMPUTED_VALUE"""),6429338.0)</f>
        <v>6429338</v>
      </c>
    </row>
    <row r="1868">
      <c r="A1868" s="2">
        <f>IFERROR(__xludf.DUMMYFUNCTION("""COMPUTED_VALUE"""),43321.64583333333)</f>
        <v>43321.64583</v>
      </c>
      <c r="B1868" s="1">
        <f>IFERROR(__xludf.DUMMYFUNCTION("""COMPUTED_VALUE"""),47000.0)</f>
        <v>47000</v>
      </c>
      <c r="C1868" s="1">
        <f>IFERROR(__xludf.DUMMYFUNCTION("""COMPUTED_VALUE"""),47050.0)</f>
        <v>47050</v>
      </c>
      <c r="D1868" s="1">
        <f>IFERROR(__xludf.DUMMYFUNCTION("""COMPUTED_VALUE"""),46450.0)</f>
        <v>46450</v>
      </c>
      <c r="E1868" s="1">
        <f>IFERROR(__xludf.DUMMYFUNCTION("""COMPUTED_VALUE"""),46900.0)</f>
        <v>46900</v>
      </c>
      <c r="F1868" s="1">
        <f>IFERROR(__xludf.DUMMYFUNCTION("""COMPUTED_VALUE"""),1.2010886E7)</f>
        <v>12010886</v>
      </c>
    </row>
    <row r="1869">
      <c r="A1869" s="2">
        <f>IFERROR(__xludf.DUMMYFUNCTION("""COMPUTED_VALUE"""),43322.64583333333)</f>
        <v>43322.64583</v>
      </c>
      <c r="B1869" s="1">
        <f>IFERROR(__xludf.DUMMYFUNCTION("""COMPUTED_VALUE"""),46150.0)</f>
        <v>46150</v>
      </c>
      <c r="C1869" s="1">
        <f>IFERROR(__xludf.DUMMYFUNCTION("""COMPUTED_VALUE"""),46400.0)</f>
        <v>46400</v>
      </c>
      <c r="D1869" s="1">
        <f>IFERROR(__xludf.DUMMYFUNCTION("""COMPUTED_VALUE"""),44850.0)</f>
        <v>44850</v>
      </c>
      <c r="E1869" s="1">
        <f>IFERROR(__xludf.DUMMYFUNCTION("""COMPUTED_VALUE"""),45400.0)</f>
        <v>45400</v>
      </c>
      <c r="F1869" s="1">
        <f>IFERROR(__xludf.DUMMYFUNCTION("""COMPUTED_VALUE"""),1.6670643E7)</f>
        <v>16670643</v>
      </c>
    </row>
    <row r="1870">
      <c r="A1870" s="2">
        <f>IFERROR(__xludf.DUMMYFUNCTION("""COMPUTED_VALUE"""),43325.64583333333)</f>
        <v>43325.64583</v>
      </c>
      <c r="B1870" s="1">
        <f>IFERROR(__xludf.DUMMYFUNCTION("""COMPUTED_VALUE"""),44950.0)</f>
        <v>44950</v>
      </c>
      <c r="C1870" s="1">
        <f>IFERROR(__xludf.DUMMYFUNCTION("""COMPUTED_VALUE"""),45100.0)</f>
        <v>45100</v>
      </c>
      <c r="D1870" s="1">
        <f>IFERROR(__xludf.DUMMYFUNCTION("""COMPUTED_VALUE"""),44650.0)</f>
        <v>44650</v>
      </c>
      <c r="E1870" s="1">
        <f>IFERROR(__xludf.DUMMYFUNCTION("""COMPUTED_VALUE"""),45050.0)</f>
        <v>45050</v>
      </c>
      <c r="F1870" s="1">
        <f>IFERROR(__xludf.DUMMYFUNCTION("""COMPUTED_VALUE"""),9803831.0)</f>
        <v>9803831</v>
      </c>
    </row>
    <row r="1871">
      <c r="A1871" s="2">
        <f>IFERROR(__xludf.DUMMYFUNCTION("""COMPUTED_VALUE"""),43326.64583333333)</f>
        <v>43326.64583</v>
      </c>
      <c r="B1871" s="1">
        <f>IFERROR(__xludf.DUMMYFUNCTION("""COMPUTED_VALUE"""),44850.0)</f>
        <v>44850</v>
      </c>
      <c r="C1871" s="1">
        <f>IFERROR(__xludf.DUMMYFUNCTION("""COMPUTED_VALUE"""),45400.0)</f>
        <v>45400</v>
      </c>
      <c r="D1871" s="1">
        <f>IFERROR(__xludf.DUMMYFUNCTION("""COMPUTED_VALUE"""),44850.0)</f>
        <v>44850</v>
      </c>
      <c r="E1871" s="1">
        <f>IFERROR(__xludf.DUMMYFUNCTION("""COMPUTED_VALUE"""),45150.0)</f>
        <v>45150</v>
      </c>
      <c r="F1871" s="1">
        <f>IFERROR(__xludf.DUMMYFUNCTION("""COMPUTED_VALUE"""),6409259.0)</f>
        <v>6409259</v>
      </c>
    </row>
    <row r="1872">
      <c r="A1872" s="2">
        <f>IFERROR(__xludf.DUMMYFUNCTION("""COMPUTED_VALUE"""),43328.64583333333)</f>
        <v>43328.64583</v>
      </c>
      <c r="B1872" s="1">
        <f>IFERROR(__xludf.DUMMYFUNCTION("""COMPUTED_VALUE"""),43800.0)</f>
        <v>43800</v>
      </c>
      <c r="C1872" s="1">
        <f>IFERROR(__xludf.DUMMYFUNCTION("""COMPUTED_VALUE"""),44650.0)</f>
        <v>44650</v>
      </c>
      <c r="D1872" s="1">
        <f>IFERROR(__xludf.DUMMYFUNCTION("""COMPUTED_VALUE"""),43700.0)</f>
        <v>43700</v>
      </c>
      <c r="E1872" s="1">
        <f>IFERROR(__xludf.DUMMYFUNCTION("""COMPUTED_VALUE"""),44250.0)</f>
        <v>44250</v>
      </c>
      <c r="F1872" s="1">
        <f>IFERROR(__xludf.DUMMYFUNCTION("""COMPUTED_VALUE"""),1.0088229E7)</f>
        <v>10088229</v>
      </c>
    </row>
    <row r="1873">
      <c r="A1873" s="2">
        <f>IFERROR(__xludf.DUMMYFUNCTION("""COMPUTED_VALUE"""),43329.64583333333)</f>
        <v>43329.64583</v>
      </c>
      <c r="B1873" s="1">
        <f>IFERROR(__xludf.DUMMYFUNCTION("""COMPUTED_VALUE"""),44050.0)</f>
        <v>44050</v>
      </c>
      <c r="C1873" s="1">
        <f>IFERROR(__xludf.DUMMYFUNCTION("""COMPUTED_VALUE"""),44400.0)</f>
        <v>44400</v>
      </c>
      <c r="D1873" s="1">
        <f>IFERROR(__xludf.DUMMYFUNCTION("""COMPUTED_VALUE"""),44050.0)</f>
        <v>44050</v>
      </c>
      <c r="E1873" s="1">
        <f>IFERROR(__xludf.DUMMYFUNCTION("""COMPUTED_VALUE"""),44100.0)</f>
        <v>44100</v>
      </c>
      <c r="F1873" s="1">
        <f>IFERROR(__xludf.DUMMYFUNCTION("""COMPUTED_VALUE"""),6808747.0)</f>
        <v>6808747</v>
      </c>
    </row>
    <row r="1874">
      <c r="A1874" s="2">
        <f>IFERROR(__xludf.DUMMYFUNCTION("""COMPUTED_VALUE"""),43332.64583333333)</f>
        <v>43332.64583</v>
      </c>
      <c r="B1874" s="1">
        <f>IFERROR(__xludf.DUMMYFUNCTION("""COMPUTED_VALUE"""),43500.0)</f>
        <v>43500</v>
      </c>
      <c r="C1874" s="1">
        <f>IFERROR(__xludf.DUMMYFUNCTION("""COMPUTED_VALUE"""),44200.0)</f>
        <v>44200</v>
      </c>
      <c r="D1874" s="1">
        <f>IFERROR(__xludf.DUMMYFUNCTION("""COMPUTED_VALUE"""),43500.0)</f>
        <v>43500</v>
      </c>
      <c r="E1874" s="1">
        <f>IFERROR(__xludf.DUMMYFUNCTION("""COMPUTED_VALUE"""),43850.0)</f>
        <v>43850</v>
      </c>
      <c r="F1874" s="1">
        <f>IFERROR(__xludf.DUMMYFUNCTION("""COMPUTED_VALUE"""),7289124.0)</f>
        <v>7289124</v>
      </c>
    </row>
    <row r="1875">
      <c r="A1875" s="2">
        <f>IFERROR(__xludf.DUMMYFUNCTION("""COMPUTED_VALUE"""),43333.64583333333)</f>
        <v>43333.64583</v>
      </c>
      <c r="B1875" s="1">
        <f>IFERROR(__xludf.DUMMYFUNCTION("""COMPUTED_VALUE"""),43700.0)</f>
        <v>43700</v>
      </c>
      <c r="C1875" s="1">
        <f>IFERROR(__xludf.DUMMYFUNCTION("""COMPUTED_VALUE"""),44900.0)</f>
        <v>44900</v>
      </c>
      <c r="D1875" s="1">
        <f>IFERROR(__xludf.DUMMYFUNCTION("""COMPUTED_VALUE"""),43700.0)</f>
        <v>43700</v>
      </c>
      <c r="E1875" s="1">
        <f>IFERROR(__xludf.DUMMYFUNCTION("""COMPUTED_VALUE"""),44800.0)</f>
        <v>44800</v>
      </c>
      <c r="F1875" s="1">
        <f>IFERROR(__xludf.DUMMYFUNCTION("""COMPUTED_VALUE"""),9520270.0)</f>
        <v>9520270</v>
      </c>
    </row>
    <row r="1876">
      <c r="A1876" s="2">
        <f>IFERROR(__xludf.DUMMYFUNCTION("""COMPUTED_VALUE"""),43334.64583333333)</f>
        <v>43334.64583</v>
      </c>
      <c r="B1876" s="1">
        <f>IFERROR(__xludf.DUMMYFUNCTION("""COMPUTED_VALUE"""),45150.0)</f>
        <v>45150</v>
      </c>
      <c r="C1876" s="1">
        <f>IFERROR(__xludf.DUMMYFUNCTION("""COMPUTED_VALUE"""),46200.0)</f>
        <v>46200</v>
      </c>
      <c r="D1876" s="1">
        <f>IFERROR(__xludf.DUMMYFUNCTION("""COMPUTED_VALUE"""),44900.0)</f>
        <v>44900</v>
      </c>
      <c r="E1876" s="1">
        <f>IFERROR(__xludf.DUMMYFUNCTION("""COMPUTED_VALUE"""),46100.0)</f>
        <v>46100</v>
      </c>
      <c r="F1876" s="1">
        <f>IFERROR(__xludf.DUMMYFUNCTION("""COMPUTED_VALUE"""),1.1641656E7)</f>
        <v>11641656</v>
      </c>
    </row>
    <row r="1877">
      <c r="A1877" s="2">
        <f>IFERROR(__xludf.DUMMYFUNCTION("""COMPUTED_VALUE"""),43335.64583333333)</f>
        <v>43335.64583</v>
      </c>
      <c r="B1877" s="1">
        <f>IFERROR(__xludf.DUMMYFUNCTION("""COMPUTED_VALUE"""),46150.0)</f>
        <v>46150</v>
      </c>
      <c r="C1877" s="1">
        <f>IFERROR(__xludf.DUMMYFUNCTION("""COMPUTED_VALUE"""),46200.0)</f>
        <v>46200</v>
      </c>
      <c r="D1877" s="1">
        <f>IFERROR(__xludf.DUMMYFUNCTION("""COMPUTED_VALUE"""),45700.0)</f>
        <v>45700</v>
      </c>
      <c r="E1877" s="1">
        <f>IFERROR(__xludf.DUMMYFUNCTION("""COMPUTED_VALUE"""),46200.0)</f>
        <v>46200</v>
      </c>
      <c r="F1877" s="1">
        <f>IFERROR(__xludf.DUMMYFUNCTION("""COMPUTED_VALUE"""),6730918.0)</f>
        <v>6730918</v>
      </c>
    </row>
    <row r="1878">
      <c r="A1878" s="2">
        <f>IFERROR(__xludf.DUMMYFUNCTION("""COMPUTED_VALUE"""),43336.64583333333)</f>
        <v>43336.64583</v>
      </c>
      <c r="B1878" s="1">
        <f>IFERROR(__xludf.DUMMYFUNCTION("""COMPUTED_VALUE"""),45900.0)</f>
        <v>45900</v>
      </c>
      <c r="C1878" s="1">
        <f>IFERROR(__xludf.DUMMYFUNCTION("""COMPUTED_VALUE"""),46400.0)</f>
        <v>46400</v>
      </c>
      <c r="D1878" s="1">
        <f>IFERROR(__xludf.DUMMYFUNCTION("""COMPUTED_VALUE"""),45550.0)</f>
        <v>45550</v>
      </c>
      <c r="E1878" s="1">
        <f>IFERROR(__xludf.DUMMYFUNCTION("""COMPUTED_VALUE"""),46150.0)</f>
        <v>46150</v>
      </c>
      <c r="F1878" s="1">
        <f>IFERROR(__xludf.DUMMYFUNCTION("""COMPUTED_VALUE"""),6582535.0)</f>
        <v>6582535</v>
      </c>
    </row>
    <row r="1879">
      <c r="A1879" s="2">
        <f>IFERROR(__xludf.DUMMYFUNCTION("""COMPUTED_VALUE"""),43339.64583333333)</f>
        <v>43339.64583</v>
      </c>
      <c r="B1879" s="1">
        <f>IFERROR(__xludf.DUMMYFUNCTION("""COMPUTED_VALUE"""),46100.0)</f>
        <v>46100</v>
      </c>
      <c r="C1879" s="1">
        <f>IFERROR(__xludf.DUMMYFUNCTION("""COMPUTED_VALUE"""),46550.0)</f>
        <v>46550</v>
      </c>
      <c r="D1879" s="1">
        <f>IFERROR(__xludf.DUMMYFUNCTION("""COMPUTED_VALUE"""),46000.0)</f>
        <v>46000</v>
      </c>
      <c r="E1879" s="1">
        <f>IFERROR(__xludf.DUMMYFUNCTION("""COMPUTED_VALUE"""),46300.0)</f>
        <v>46300</v>
      </c>
      <c r="F1879" s="1">
        <f>IFERROR(__xludf.DUMMYFUNCTION("""COMPUTED_VALUE"""),5263782.0)</f>
        <v>5263782</v>
      </c>
    </row>
    <row r="1880">
      <c r="A1880" s="2">
        <f>IFERROR(__xludf.DUMMYFUNCTION("""COMPUTED_VALUE"""),43340.64583333333)</f>
        <v>43340.64583</v>
      </c>
      <c r="B1880" s="1">
        <f>IFERROR(__xludf.DUMMYFUNCTION("""COMPUTED_VALUE"""),46800.0)</f>
        <v>46800</v>
      </c>
      <c r="C1880" s="1">
        <f>IFERROR(__xludf.DUMMYFUNCTION("""COMPUTED_VALUE"""),46950.0)</f>
        <v>46950</v>
      </c>
      <c r="D1880" s="1">
        <f>IFERROR(__xludf.DUMMYFUNCTION("""COMPUTED_VALUE"""),46300.0)</f>
        <v>46300</v>
      </c>
      <c r="E1880" s="1">
        <f>IFERROR(__xludf.DUMMYFUNCTION("""COMPUTED_VALUE"""),46550.0)</f>
        <v>46550</v>
      </c>
      <c r="F1880" s="1">
        <f>IFERROR(__xludf.DUMMYFUNCTION("""COMPUTED_VALUE"""),7365976.0)</f>
        <v>7365976</v>
      </c>
    </row>
    <row r="1881">
      <c r="A1881" s="2">
        <f>IFERROR(__xludf.DUMMYFUNCTION("""COMPUTED_VALUE"""),43341.64583333333)</f>
        <v>43341.64583</v>
      </c>
      <c r="B1881" s="1">
        <f>IFERROR(__xludf.DUMMYFUNCTION("""COMPUTED_VALUE"""),46750.0)</f>
        <v>46750</v>
      </c>
      <c r="C1881" s="1">
        <f>IFERROR(__xludf.DUMMYFUNCTION("""COMPUTED_VALUE"""),46800.0)</f>
        <v>46800</v>
      </c>
      <c r="D1881" s="1">
        <f>IFERROR(__xludf.DUMMYFUNCTION("""COMPUTED_VALUE"""),46400.0)</f>
        <v>46400</v>
      </c>
      <c r="E1881" s="1">
        <f>IFERROR(__xludf.DUMMYFUNCTION("""COMPUTED_VALUE"""),46800.0)</f>
        <v>46800</v>
      </c>
      <c r="F1881" s="1">
        <f>IFERROR(__xludf.DUMMYFUNCTION("""COMPUTED_VALUE"""),5572374.0)</f>
        <v>5572374</v>
      </c>
    </row>
    <row r="1882">
      <c r="A1882" s="2">
        <f>IFERROR(__xludf.DUMMYFUNCTION("""COMPUTED_VALUE"""),43342.64583333333)</f>
        <v>43342.64583</v>
      </c>
      <c r="B1882" s="1">
        <f>IFERROR(__xludf.DUMMYFUNCTION("""COMPUTED_VALUE"""),46950.0)</f>
        <v>46950</v>
      </c>
      <c r="C1882" s="1">
        <f>IFERROR(__xludf.DUMMYFUNCTION("""COMPUTED_VALUE"""),47950.0)</f>
        <v>47950</v>
      </c>
      <c r="D1882" s="1">
        <f>IFERROR(__xludf.DUMMYFUNCTION("""COMPUTED_VALUE"""),46700.0)</f>
        <v>46700</v>
      </c>
      <c r="E1882" s="1">
        <f>IFERROR(__xludf.DUMMYFUNCTION("""COMPUTED_VALUE"""),47650.0)</f>
        <v>47650</v>
      </c>
      <c r="F1882" s="1">
        <f>IFERROR(__xludf.DUMMYFUNCTION("""COMPUTED_VALUE"""),1.2193231E7)</f>
        <v>12193231</v>
      </c>
    </row>
    <row r="1883">
      <c r="A1883" s="2">
        <f>IFERROR(__xludf.DUMMYFUNCTION("""COMPUTED_VALUE"""),43343.64583333333)</f>
        <v>43343.64583</v>
      </c>
      <c r="B1883" s="1">
        <f>IFERROR(__xludf.DUMMYFUNCTION("""COMPUTED_VALUE"""),47100.0)</f>
        <v>47100</v>
      </c>
      <c r="C1883" s="1">
        <f>IFERROR(__xludf.DUMMYFUNCTION("""COMPUTED_VALUE"""),48450.0)</f>
        <v>48450</v>
      </c>
      <c r="D1883" s="1">
        <f>IFERROR(__xludf.DUMMYFUNCTION("""COMPUTED_VALUE"""),47000.0)</f>
        <v>47000</v>
      </c>
      <c r="E1883" s="1">
        <f>IFERROR(__xludf.DUMMYFUNCTION("""COMPUTED_VALUE"""),48450.0)</f>
        <v>48450</v>
      </c>
      <c r="F1883" s="1">
        <f>IFERROR(__xludf.DUMMYFUNCTION("""COMPUTED_VALUE"""),1.3577454E7)</f>
        <v>13577454</v>
      </c>
    </row>
    <row r="1884">
      <c r="A1884" s="2">
        <f>IFERROR(__xludf.DUMMYFUNCTION("""COMPUTED_VALUE"""),43346.64583333333)</f>
        <v>43346.64583</v>
      </c>
      <c r="B1884" s="1">
        <f>IFERROR(__xludf.DUMMYFUNCTION("""COMPUTED_VALUE"""),48200.0)</f>
        <v>48200</v>
      </c>
      <c r="C1884" s="1">
        <f>IFERROR(__xludf.DUMMYFUNCTION("""COMPUTED_VALUE"""),48300.0)</f>
        <v>48300</v>
      </c>
      <c r="D1884" s="1">
        <f>IFERROR(__xludf.DUMMYFUNCTION("""COMPUTED_VALUE"""),47300.0)</f>
        <v>47300</v>
      </c>
      <c r="E1884" s="1">
        <f>IFERROR(__xludf.DUMMYFUNCTION("""COMPUTED_VALUE"""),47450.0)</f>
        <v>47450</v>
      </c>
      <c r="F1884" s="1">
        <f>IFERROR(__xludf.DUMMYFUNCTION("""COMPUTED_VALUE"""),8595084.0)</f>
        <v>8595084</v>
      </c>
    </row>
    <row r="1885">
      <c r="A1885" s="2">
        <f>IFERROR(__xludf.DUMMYFUNCTION("""COMPUTED_VALUE"""),43347.64583333333)</f>
        <v>43347.64583</v>
      </c>
      <c r="B1885" s="1">
        <f>IFERROR(__xludf.DUMMYFUNCTION("""COMPUTED_VALUE"""),47550.0)</f>
        <v>47550</v>
      </c>
      <c r="C1885" s="1">
        <f>IFERROR(__xludf.DUMMYFUNCTION("""COMPUTED_VALUE"""),47800.0)</f>
        <v>47800</v>
      </c>
      <c r="D1885" s="1">
        <f>IFERROR(__xludf.DUMMYFUNCTION("""COMPUTED_VALUE"""),47200.0)</f>
        <v>47200</v>
      </c>
      <c r="E1885" s="1">
        <f>IFERROR(__xludf.DUMMYFUNCTION("""COMPUTED_VALUE"""),47650.0)</f>
        <v>47650</v>
      </c>
      <c r="F1885" s="1">
        <f>IFERROR(__xludf.DUMMYFUNCTION("""COMPUTED_VALUE"""),6791255.0)</f>
        <v>6791255</v>
      </c>
    </row>
    <row r="1886">
      <c r="A1886" s="2">
        <f>IFERROR(__xludf.DUMMYFUNCTION("""COMPUTED_VALUE"""),43348.64583333333)</f>
        <v>43348.64583</v>
      </c>
      <c r="B1886" s="1">
        <f>IFERROR(__xludf.DUMMYFUNCTION("""COMPUTED_VALUE"""),47300.0)</f>
        <v>47300</v>
      </c>
      <c r="C1886" s="1">
        <f>IFERROR(__xludf.DUMMYFUNCTION("""COMPUTED_VALUE"""),47450.0)</f>
        <v>47450</v>
      </c>
      <c r="D1886" s="1">
        <f>IFERROR(__xludf.DUMMYFUNCTION("""COMPUTED_VALUE"""),46400.0)</f>
        <v>46400</v>
      </c>
      <c r="E1886" s="1">
        <f>IFERROR(__xludf.DUMMYFUNCTION("""COMPUTED_VALUE"""),46600.0)</f>
        <v>46600</v>
      </c>
      <c r="F1886" s="1">
        <f>IFERROR(__xludf.DUMMYFUNCTION("""COMPUTED_VALUE"""),9139998.0)</f>
        <v>9139998</v>
      </c>
    </row>
    <row r="1887">
      <c r="A1887" s="2">
        <f>IFERROR(__xludf.DUMMYFUNCTION("""COMPUTED_VALUE"""),43349.64583333333)</f>
        <v>43349.64583</v>
      </c>
      <c r="B1887" s="1">
        <f>IFERROR(__xludf.DUMMYFUNCTION("""COMPUTED_VALUE"""),46200.0)</f>
        <v>46200</v>
      </c>
      <c r="C1887" s="1">
        <f>IFERROR(__xludf.DUMMYFUNCTION("""COMPUTED_VALUE"""),46400.0)</f>
        <v>46400</v>
      </c>
      <c r="D1887" s="1">
        <f>IFERROR(__xludf.DUMMYFUNCTION("""COMPUTED_VALUE"""),45800.0)</f>
        <v>45800</v>
      </c>
      <c r="E1887" s="1">
        <f>IFERROR(__xludf.DUMMYFUNCTION("""COMPUTED_VALUE"""),46100.0)</f>
        <v>46100</v>
      </c>
      <c r="F1887" s="1">
        <f>IFERROR(__xludf.DUMMYFUNCTION("""COMPUTED_VALUE"""),9040553.0)</f>
        <v>9040553</v>
      </c>
    </row>
    <row r="1888">
      <c r="A1888" s="2">
        <f>IFERROR(__xludf.DUMMYFUNCTION("""COMPUTED_VALUE"""),43350.64583333333)</f>
        <v>43350.64583</v>
      </c>
      <c r="B1888" s="1">
        <f>IFERROR(__xludf.DUMMYFUNCTION("""COMPUTED_VALUE"""),44500.0)</f>
        <v>44500</v>
      </c>
      <c r="C1888" s="1">
        <f>IFERROR(__xludf.DUMMYFUNCTION("""COMPUTED_VALUE"""),45200.0)</f>
        <v>45200</v>
      </c>
      <c r="D1888" s="1">
        <f>IFERROR(__xludf.DUMMYFUNCTION("""COMPUTED_VALUE"""),44400.0)</f>
        <v>44400</v>
      </c>
      <c r="E1888" s="1">
        <f>IFERROR(__xludf.DUMMYFUNCTION("""COMPUTED_VALUE"""),44900.0)</f>
        <v>44900</v>
      </c>
      <c r="F1888" s="1">
        <f>IFERROR(__xludf.DUMMYFUNCTION("""COMPUTED_VALUE"""),1.8285508E7)</f>
        <v>18285508</v>
      </c>
    </row>
    <row r="1889">
      <c r="A1889" s="2">
        <f>IFERROR(__xludf.DUMMYFUNCTION("""COMPUTED_VALUE"""),43353.64583333333)</f>
        <v>43353.64583</v>
      </c>
      <c r="B1889" s="1">
        <f>IFERROR(__xludf.DUMMYFUNCTION("""COMPUTED_VALUE"""),45450.0)</f>
        <v>45450</v>
      </c>
      <c r="C1889" s="1">
        <f>IFERROR(__xludf.DUMMYFUNCTION("""COMPUTED_VALUE"""),45550.0)</f>
        <v>45550</v>
      </c>
      <c r="D1889" s="1">
        <f>IFERROR(__xludf.DUMMYFUNCTION("""COMPUTED_VALUE"""),45000.0)</f>
        <v>45000</v>
      </c>
      <c r="E1889" s="1">
        <f>IFERROR(__xludf.DUMMYFUNCTION("""COMPUTED_VALUE"""),45500.0)</f>
        <v>45500</v>
      </c>
      <c r="F1889" s="1">
        <f>IFERROR(__xludf.DUMMYFUNCTION("""COMPUTED_VALUE"""),9979838.0)</f>
        <v>9979838</v>
      </c>
    </row>
    <row r="1890">
      <c r="A1890" s="2">
        <f>IFERROR(__xludf.DUMMYFUNCTION("""COMPUTED_VALUE"""),43354.64583333333)</f>
        <v>43354.64583</v>
      </c>
      <c r="B1890" s="1">
        <f>IFERROR(__xludf.DUMMYFUNCTION("""COMPUTED_VALUE"""),45550.0)</f>
        <v>45550</v>
      </c>
      <c r="C1890" s="1">
        <f>IFERROR(__xludf.DUMMYFUNCTION("""COMPUTED_VALUE"""),45900.0)</f>
        <v>45900</v>
      </c>
      <c r="D1890" s="1">
        <f>IFERROR(__xludf.DUMMYFUNCTION("""COMPUTED_VALUE"""),45050.0)</f>
        <v>45050</v>
      </c>
      <c r="E1890" s="1">
        <f>IFERROR(__xludf.DUMMYFUNCTION("""COMPUTED_VALUE"""),45050.0)</f>
        <v>45050</v>
      </c>
      <c r="F1890" s="1">
        <f>IFERROR(__xludf.DUMMYFUNCTION("""COMPUTED_VALUE"""),9865790.0)</f>
        <v>9865790</v>
      </c>
    </row>
    <row r="1891">
      <c r="A1891" s="2">
        <f>IFERROR(__xludf.DUMMYFUNCTION("""COMPUTED_VALUE"""),43355.64583333333)</f>
        <v>43355.64583</v>
      </c>
      <c r="B1891" s="1">
        <f>IFERROR(__xludf.DUMMYFUNCTION("""COMPUTED_VALUE"""),44900.0)</f>
        <v>44900</v>
      </c>
      <c r="C1891" s="1">
        <f>IFERROR(__xludf.DUMMYFUNCTION("""COMPUTED_VALUE"""),45100.0)</f>
        <v>45100</v>
      </c>
      <c r="D1891" s="1">
        <f>IFERROR(__xludf.DUMMYFUNCTION("""COMPUTED_VALUE"""),44500.0)</f>
        <v>44500</v>
      </c>
      <c r="E1891" s="1">
        <f>IFERROR(__xludf.DUMMYFUNCTION("""COMPUTED_VALUE"""),44550.0)</f>
        <v>44550</v>
      </c>
      <c r="F1891" s="1">
        <f>IFERROR(__xludf.DUMMYFUNCTION("""COMPUTED_VALUE"""),1.2995269E7)</f>
        <v>12995269</v>
      </c>
    </row>
    <row r="1892">
      <c r="A1892" s="2">
        <f>IFERROR(__xludf.DUMMYFUNCTION("""COMPUTED_VALUE"""),43356.64583333333)</f>
        <v>43356.64583</v>
      </c>
      <c r="B1892" s="1">
        <f>IFERROR(__xludf.DUMMYFUNCTION("""COMPUTED_VALUE"""),44550.0)</f>
        <v>44550</v>
      </c>
      <c r="C1892" s="1">
        <f>IFERROR(__xludf.DUMMYFUNCTION("""COMPUTED_VALUE"""),44750.0)</f>
        <v>44750</v>
      </c>
      <c r="D1892" s="1">
        <f>IFERROR(__xludf.DUMMYFUNCTION("""COMPUTED_VALUE"""),44000.0)</f>
        <v>44000</v>
      </c>
      <c r="E1892" s="1">
        <f>IFERROR(__xludf.DUMMYFUNCTION("""COMPUTED_VALUE"""),44050.0)</f>
        <v>44050</v>
      </c>
      <c r="F1892" s="1">
        <f>IFERROR(__xludf.DUMMYFUNCTION("""COMPUTED_VALUE"""),1.8277942E7)</f>
        <v>18277942</v>
      </c>
    </row>
    <row r="1893">
      <c r="A1893" s="2">
        <f>IFERROR(__xludf.DUMMYFUNCTION("""COMPUTED_VALUE"""),43357.64583333333)</f>
        <v>43357.64583</v>
      </c>
      <c r="B1893" s="1">
        <f>IFERROR(__xludf.DUMMYFUNCTION("""COMPUTED_VALUE"""),45000.0)</f>
        <v>45000</v>
      </c>
      <c r="C1893" s="1">
        <f>IFERROR(__xludf.DUMMYFUNCTION("""COMPUTED_VALUE"""),45850.0)</f>
        <v>45850</v>
      </c>
      <c r="D1893" s="1">
        <f>IFERROR(__xludf.DUMMYFUNCTION("""COMPUTED_VALUE"""),44900.0)</f>
        <v>44900</v>
      </c>
      <c r="E1893" s="1">
        <f>IFERROR(__xludf.DUMMYFUNCTION("""COMPUTED_VALUE"""),45850.0)</f>
        <v>45850</v>
      </c>
      <c r="F1893" s="1">
        <f>IFERROR(__xludf.DUMMYFUNCTION("""COMPUTED_VALUE"""),1.2446344E7)</f>
        <v>12446344</v>
      </c>
    </row>
    <row r="1894">
      <c r="A1894" s="2">
        <f>IFERROR(__xludf.DUMMYFUNCTION("""COMPUTED_VALUE"""),43360.64583333333)</f>
        <v>43360.64583</v>
      </c>
      <c r="B1894" s="1">
        <f>IFERROR(__xludf.DUMMYFUNCTION("""COMPUTED_VALUE"""),45550.0)</f>
        <v>45550</v>
      </c>
      <c r="C1894" s="1">
        <f>IFERROR(__xludf.DUMMYFUNCTION("""COMPUTED_VALUE"""),45800.0)</f>
        <v>45800</v>
      </c>
      <c r="D1894" s="1">
        <f>IFERROR(__xludf.DUMMYFUNCTION("""COMPUTED_VALUE"""),44900.0)</f>
        <v>44900</v>
      </c>
      <c r="E1894" s="1">
        <f>IFERROR(__xludf.DUMMYFUNCTION("""COMPUTED_VALUE"""),45150.0)</f>
        <v>45150</v>
      </c>
      <c r="F1894" s="1">
        <f>IFERROR(__xludf.DUMMYFUNCTION("""COMPUTED_VALUE"""),8123384.0)</f>
        <v>8123384</v>
      </c>
    </row>
    <row r="1895">
      <c r="A1895" s="2">
        <f>IFERROR(__xludf.DUMMYFUNCTION("""COMPUTED_VALUE"""),43361.64583333333)</f>
        <v>43361.64583</v>
      </c>
      <c r="B1895" s="1">
        <f>IFERROR(__xludf.DUMMYFUNCTION("""COMPUTED_VALUE"""),44950.0)</f>
        <v>44950</v>
      </c>
      <c r="C1895" s="1">
        <f>IFERROR(__xludf.DUMMYFUNCTION("""COMPUTED_VALUE"""),45900.0)</f>
        <v>45900</v>
      </c>
      <c r="D1895" s="1">
        <f>IFERROR(__xludf.DUMMYFUNCTION("""COMPUTED_VALUE"""),44700.0)</f>
        <v>44700</v>
      </c>
      <c r="E1895" s="1">
        <f>IFERROR(__xludf.DUMMYFUNCTION("""COMPUTED_VALUE"""),45500.0)</f>
        <v>45500</v>
      </c>
      <c r="F1895" s="1">
        <f>IFERROR(__xludf.DUMMYFUNCTION("""COMPUTED_VALUE"""),9987090.0)</f>
        <v>9987090</v>
      </c>
    </row>
    <row r="1896">
      <c r="A1896" s="2">
        <f>IFERROR(__xludf.DUMMYFUNCTION("""COMPUTED_VALUE"""),43362.64583333333)</f>
        <v>43362.64583</v>
      </c>
      <c r="B1896" s="1">
        <f>IFERROR(__xludf.DUMMYFUNCTION("""COMPUTED_VALUE"""),46000.0)</f>
        <v>46000</v>
      </c>
      <c r="C1896" s="1">
        <f>IFERROR(__xludf.DUMMYFUNCTION("""COMPUTED_VALUE"""),46200.0)</f>
        <v>46200</v>
      </c>
      <c r="D1896" s="1">
        <f>IFERROR(__xludf.DUMMYFUNCTION("""COMPUTED_VALUE"""),45700.0)</f>
        <v>45700</v>
      </c>
      <c r="E1896" s="1">
        <f>IFERROR(__xludf.DUMMYFUNCTION("""COMPUTED_VALUE"""),46150.0)</f>
        <v>46150</v>
      </c>
      <c r="F1896" s="1">
        <f>IFERROR(__xludf.DUMMYFUNCTION("""COMPUTED_VALUE"""),9367454.0)</f>
        <v>9367454</v>
      </c>
    </row>
    <row r="1897">
      <c r="A1897" s="2">
        <f>IFERROR(__xludf.DUMMYFUNCTION("""COMPUTED_VALUE"""),43363.64583333333)</f>
        <v>43363.64583</v>
      </c>
      <c r="B1897" s="1">
        <f>IFERROR(__xludf.DUMMYFUNCTION("""COMPUTED_VALUE"""),46850.0)</f>
        <v>46850</v>
      </c>
      <c r="C1897" s="1">
        <f>IFERROR(__xludf.DUMMYFUNCTION("""COMPUTED_VALUE"""),47600.0)</f>
        <v>47600</v>
      </c>
      <c r="D1897" s="1">
        <f>IFERROR(__xludf.DUMMYFUNCTION("""COMPUTED_VALUE"""),46400.0)</f>
        <v>46400</v>
      </c>
      <c r="E1897" s="1">
        <f>IFERROR(__xludf.DUMMYFUNCTION("""COMPUTED_VALUE"""),47250.0)</f>
        <v>47250</v>
      </c>
      <c r="F1897" s="1">
        <f>IFERROR(__xludf.DUMMYFUNCTION("""COMPUTED_VALUE"""),1.3536966E7)</f>
        <v>13536966</v>
      </c>
    </row>
    <row r="1898">
      <c r="A1898" s="2">
        <f>IFERROR(__xludf.DUMMYFUNCTION("""COMPUTED_VALUE"""),43364.64583333333)</f>
        <v>43364.64583</v>
      </c>
      <c r="B1898" s="1">
        <f>IFERROR(__xludf.DUMMYFUNCTION("""COMPUTED_VALUE"""),46550.0)</f>
        <v>46550</v>
      </c>
      <c r="C1898" s="1">
        <f>IFERROR(__xludf.DUMMYFUNCTION("""COMPUTED_VALUE"""),47550.0)</f>
        <v>47550</v>
      </c>
      <c r="D1898" s="1">
        <f>IFERROR(__xludf.DUMMYFUNCTION("""COMPUTED_VALUE"""),46550.0)</f>
        <v>46550</v>
      </c>
      <c r="E1898" s="1">
        <f>IFERROR(__xludf.DUMMYFUNCTION("""COMPUTED_VALUE"""),47400.0)</f>
        <v>47400</v>
      </c>
      <c r="F1898" s="1">
        <f>IFERROR(__xludf.DUMMYFUNCTION("""COMPUTED_VALUE"""),1.4476906E7)</f>
        <v>14476906</v>
      </c>
    </row>
    <row r="1899">
      <c r="A1899" s="2">
        <f>IFERROR(__xludf.DUMMYFUNCTION("""COMPUTED_VALUE"""),43370.64583333333)</f>
        <v>43370.64583</v>
      </c>
      <c r="B1899" s="1">
        <f>IFERROR(__xludf.DUMMYFUNCTION("""COMPUTED_VALUE"""),46950.0)</f>
        <v>46950</v>
      </c>
      <c r="C1899" s="1">
        <f>IFERROR(__xludf.DUMMYFUNCTION("""COMPUTED_VALUE"""),47500.0)</f>
        <v>47500</v>
      </c>
      <c r="D1899" s="1">
        <f>IFERROR(__xludf.DUMMYFUNCTION("""COMPUTED_VALUE"""),46450.0)</f>
        <v>46450</v>
      </c>
      <c r="E1899" s="1">
        <f>IFERROR(__xludf.DUMMYFUNCTION("""COMPUTED_VALUE"""),47500.0)</f>
        <v>47500</v>
      </c>
      <c r="F1899" s="1">
        <f>IFERROR(__xludf.DUMMYFUNCTION("""COMPUTED_VALUE"""),1.5804586E7)</f>
        <v>15804586</v>
      </c>
    </row>
    <row r="1900">
      <c r="A1900" s="2">
        <f>IFERROR(__xludf.DUMMYFUNCTION("""COMPUTED_VALUE"""),43371.64583333333)</f>
        <v>43371.64583</v>
      </c>
      <c r="B1900" s="1">
        <f>IFERROR(__xludf.DUMMYFUNCTION("""COMPUTED_VALUE"""),47250.0)</f>
        <v>47250</v>
      </c>
      <c r="C1900" s="1">
        <f>IFERROR(__xludf.DUMMYFUNCTION("""COMPUTED_VALUE"""),47250.0)</f>
        <v>47250</v>
      </c>
      <c r="D1900" s="1">
        <f>IFERROR(__xludf.DUMMYFUNCTION("""COMPUTED_VALUE"""),46300.0)</f>
        <v>46300</v>
      </c>
      <c r="E1900" s="1">
        <f>IFERROR(__xludf.DUMMYFUNCTION("""COMPUTED_VALUE"""),46450.0)</f>
        <v>46450</v>
      </c>
      <c r="F1900" s="1">
        <f>IFERROR(__xludf.DUMMYFUNCTION("""COMPUTED_VALUE"""),1.1270515E7)</f>
        <v>11270515</v>
      </c>
    </row>
    <row r="1901">
      <c r="A1901" s="2">
        <f>IFERROR(__xludf.DUMMYFUNCTION("""COMPUTED_VALUE"""),43374.64583333333)</f>
        <v>43374.64583</v>
      </c>
      <c r="B1901" s="1">
        <f>IFERROR(__xludf.DUMMYFUNCTION("""COMPUTED_VALUE"""),46450.0)</f>
        <v>46450</v>
      </c>
      <c r="C1901" s="1">
        <f>IFERROR(__xludf.DUMMYFUNCTION("""COMPUTED_VALUE"""),46800.0)</f>
        <v>46800</v>
      </c>
      <c r="D1901" s="1">
        <f>IFERROR(__xludf.DUMMYFUNCTION("""COMPUTED_VALUE"""),45800.0)</f>
        <v>45800</v>
      </c>
      <c r="E1901" s="1">
        <f>IFERROR(__xludf.DUMMYFUNCTION("""COMPUTED_VALUE"""),46350.0)</f>
        <v>46350</v>
      </c>
      <c r="F1901" s="1">
        <f>IFERROR(__xludf.DUMMYFUNCTION("""COMPUTED_VALUE"""),6354983.0)</f>
        <v>6354983</v>
      </c>
    </row>
    <row r="1902">
      <c r="A1902" s="2">
        <f>IFERROR(__xludf.DUMMYFUNCTION("""COMPUTED_VALUE"""),43375.64583333333)</f>
        <v>43375.64583</v>
      </c>
      <c r="B1902" s="1">
        <f>IFERROR(__xludf.DUMMYFUNCTION("""COMPUTED_VALUE"""),46450.0)</f>
        <v>46450</v>
      </c>
      <c r="C1902" s="1">
        <f>IFERROR(__xludf.DUMMYFUNCTION("""COMPUTED_VALUE"""),46700.0)</f>
        <v>46700</v>
      </c>
      <c r="D1902" s="1">
        <f>IFERROR(__xludf.DUMMYFUNCTION("""COMPUTED_VALUE"""),45700.0)</f>
        <v>45700</v>
      </c>
      <c r="E1902" s="1">
        <f>IFERROR(__xludf.DUMMYFUNCTION("""COMPUTED_VALUE"""),45700.0)</f>
        <v>45700</v>
      </c>
      <c r="F1902" s="1">
        <f>IFERROR(__xludf.DUMMYFUNCTION("""COMPUTED_VALUE"""),6607188.0)</f>
        <v>6607188</v>
      </c>
    </row>
    <row r="1903">
      <c r="A1903" s="2">
        <f>IFERROR(__xludf.DUMMYFUNCTION("""COMPUTED_VALUE"""),43377.64583333333)</f>
        <v>43377.64583</v>
      </c>
      <c r="B1903" s="1">
        <f>IFERROR(__xludf.DUMMYFUNCTION("""COMPUTED_VALUE"""),45150.0)</f>
        <v>45150</v>
      </c>
      <c r="C1903" s="1">
        <f>IFERROR(__xludf.DUMMYFUNCTION("""COMPUTED_VALUE"""),45600.0)</f>
        <v>45600</v>
      </c>
      <c r="D1903" s="1">
        <f>IFERROR(__xludf.DUMMYFUNCTION("""COMPUTED_VALUE"""),44700.0)</f>
        <v>44700</v>
      </c>
      <c r="E1903" s="1">
        <f>IFERROR(__xludf.DUMMYFUNCTION("""COMPUTED_VALUE"""),44700.0)</f>
        <v>44700</v>
      </c>
      <c r="F1903" s="1">
        <f>IFERROR(__xludf.DUMMYFUNCTION("""COMPUTED_VALUE"""),1.1865327E7)</f>
        <v>11865327</v>
      </c>
    </row>
    <row r="1904">
      <c r="A1904" s="2">
        <f>IFERROR(__xludf.DUMMYFUNCTION("""COMPUTED_VALUE"""),43378.64583333333)</f>
        <v>43378.64583</v>
      </c>
      <c r="B1904" s="1">
        <f>IFERROR(__xludf.DUMMYFUNCTION("""COMPUTED_VALUE"""),44800.0)</f>
        <v>44800</v>
      </c>
      <c r="C1904" s="1">
        <f>IFERROR(__xludf.DUMMYFUNCTION("""COMPUTED_VALUE"""),45500.0)</f>
        <v>45500</v>
      </c>
      <c r="D1904" s="1">
        <f>IFERROR(__xludf.DUMMYFUNCTION("""COMPUTED_VALUE"""),44550.0)</f>
        <v>44550</v>
      </c>
      <c r="E1904" s="1">
        <f>IFERROR(__xludf.DUMMYFUNCTION("""COMPUTED_VALUE"""),44700.0)</f>
        <v>44700</v>
      </c>
      <c r="F1904" s="1">
        <f>IFERROR(__xludf.DUMMYFUNCTION("""COMPUTED_VALUE"""),1.0544165E7)</f>
        <v>10544165</v>
      </c>
    </row>
    <row r="1905">
      <c r="A1905" s="2">
        <f>IFERROR(__xludf.DUMMYFUNCTION("""COMPUTED_VALUE"""),43381.64583333333)</f>
        <v>43381.64583</v>
      </c>
      <c r="B1905" s="1">
        <f>IFERROR(__xludf.DUMMYFUNCTION("""COMPUTED_VALUE"""),44200.0)</f>
        <v>44200</v>
      </c>
      <c r="C1905" s="1">
        <f>IFERROR(__xludf.DUMMYFUNCTION("""COMPUTED_VALUE"""),45200.0)</f>
        <v>45200</v>
      </c>
      <c r="D1905" s="1">
        <f>IFERROR(__xludf.DUMMYFUNCTION("""COMPUTED_VALUE"""),44200.0)</f>
        <v>44200</v>
      </c>
      <c r="E1905" s="1">
        <f>IFERROR(__xludf.DUMMYFUNCTION("""COMPUTED_VALUE"""),44950.0)</f>
        <v>44950</v>
      </c>
      <c r="F1905" s="1">
        <f>IFERROR(__xludf.DUMMYFUNCTION("""COMPUTED_VALUE"""),6759464.0)</f>
        <v>6759464</v>
      </c>
    </row>
    <row r="1906">
      <c r="A1906" s="2">
        <f>IFERROR(__xludf.DUMMYFUNCTION("""COMPUTED_VALUE"""),43383.64583333333)</f>
        <v>43383.64583</v>
      </c>
      <c r="B1906" s="1">
        <f>IFERROR(__xludf.DUMMYFUNCTION("""COMPUTED_VALUE"""),45250.0)</f>
        <v>45250</v>
      </c>
      <c r="C1906" s="1">
        <f>IFERROR(__xludf.DUMMYFUNCTION("""COMPUTED_VALUE"""),45500.0)</f>
        <v>45500</v>
      </c>
      <c r="D1906" s="1">
        <f>IFERROR(__xludf.DUMMYFUNCTION("""COMPUTED_VALUE"""),44500.0)</f>
        <v>44500</v>
      </c>
      <c r="E1906" s="1">
        <f>IFERROR(__xludf.DUMMYFUNCTION("""COMPUTED_VALUE"""),45300.0)</f>
        <v>45300</v>
      </c>
      <c r="F1906" s="1">
        <f>IFERROR(__xludf.DUMMYFUNCTION("""COMPUTED_VALUE"""),1.0341349E7)</f>
        <v>10341349</v>
      </c>
    </row>
    <row r="1907">
      <c r="A1907" s="2">
        <f>IFERROR(__xludf.DUMMYFUNCTION("""COMPUTED_VALUE"""),43384.64583333333)</f>
        <v>43384.64583</v>
      </c>
      <c r="B1907" s="1">
        <f>IFERROR(__xludf.DUMMYFUNCTION("""COMPUTED_VALUE"""),44000.0)</f>
        <v>44000</v>
      </c>
      <c r="C1907" s="1">
        <f>IFERROR(__xludf.DUMMYFUNCTION("""COMPUTED_VALUE"""),44650.0)</f>
        <v>44650</v>
      </c>
      <c r="D1907" s="1">
        <f>IFERROR(__xludf.DUMMYFUNCTION("""COMPUTED_VALUE"""),43100.0)</f>
        <v>43100</v>
      </c>
      <c r="E1907" s="1">
        <f>IFERROR(__xludf.DUMMYFUNCTION("""COMPUTED_VALUE"""),43100.0)</f>
        <v>43100</v>
      </c>
      <c r="F1907" s="1">
        <f>IFERROR(__xludf.DUMMYFUNCTION("""COMPUTED_VALUE"""),1.9324537E7)</f>
        <v>19324537</v>
      </c>
    </row>
    <row r="1908">
      <c r="A1908" s="2">
        <f>IFERROR(__xludf.DUMMYFUNCTION("""COMPUTED_VALUE"""),43385.64583333333)</f>
        <v>43385.64583</v>
      </c>
      <c r="B1908" s="1">
        <f>IFERROR(__xludf.DUMMYFUNCTION("""COMPUTED_VALUE"""),43200.0)</f>
        <v>43200</v>
      </c>
      <c r="C1908" s="1">
        <f>IFERROR(__xludf.DUMMYFUNCTION("""COMPUTED_VALUE"""),44650.0)</f>
        <v>44650</v>
      </c>
      <c r="D1908" s="1">
        <f>IFERROR(__xludf.DUMMYFUNCTION("""COMPUTED_VALUE"""),43200.0)</f>
        <v>43200</v>
      </c>
      <c r="E1908" s="1">
        <f>IFERROR(__xludf.DUMMYFUNCTION("""COMPUTED_VALUE"""),44000.0)</f>
        <v>44000</v>
      </c>
      <c r="F1908" s="1">
        <f>IFERROR(__xludf.DUMMYFUNCTION("""COMPUTED_VALUE"""),1.2640906E7)</f>
        <v>12640906</v>
      </c>
    </row>
    <row r="1909">
      <c r="A1909" s="2">
        <f>IFERROR(__xludf.DUMMYFUNCTION("""COMPUTED_VALUE"""),43388.64583333333)</f>
        <v>43388.64583</v>
      </c>
      <c r="B1909" s="1">
        <f>IFERROR(__xludf.DUMMYFUNCTION("""COMPUTED_VALUE"""),44050.0)</f>
        <v>44050</v>
      </c>
      <c r="C1909" s="1">
        <f>IFERROR(__xludf.DUMMYFUNCTION("""COMPUTED_VALUE"""),44050.0)</f>
        <v>44050</v>
      </c>
      <c r="D1909" s="1">
        <f>IFERROR(__xludf.DUMMYFUNCTION("""COMPUTED_VALUE"""),43350.0)</f>
        <v>43350</v>
      </c>
      <c r="E1909" s="1">
        <f>IFERROR(__xludf.DUMMYFUNCTION("""COMPUTED_VALUE"""),43800.0)</f>
        <v>43800</v>
      </c>
      <c r="F1909" s="1">
        <f>IFERROR(__xludf.DUMMYFUNCTION("""COMPUTED_VALUE"""),7434522.0)</f>
        <v>7434522</v>
      </c>
    </row>
    <row r="1910">
      <c r="A1910" s="2">
        <f>IFERROR(__xludf.DUMMYFUNCTION("""COMPUTED_VALUE"""),43389.64583333333)</f>
        <v>43389.64583</v>
      </c>
      <c r="B1910" s="1">
        <f>IFERROR(__xludf.DUMMYFUNCTION("""COMPUTED_VALUE"""),43700.0)</f>
        <v>43700</v>
      </c>
      <c r="C1910" s="1">
        <f>IFERROR(__xludf.DUMMYFUNCTION("""COMPUTED_VALUE"""),44150.0)</f>
        <v>44150</v>
      </c>
      <c r="D1910" s="1">
        <f>IFERROR(__xludf.DUMMYFUNCTION("""COMPUTED_VALUE"""),43350.0)</f>
        <v>43350</v>
      </c>
      <c r="E1910" s="1">
        <f>IFERROR(__xludf.DUMMYFUNCTION("""COMPUTED_VALUE"""),43600.0)</f>
        <v>43600</v>
      </c>
      <c r="F1910" s="1">
        <f>IFERROR(__xludf.DUMMYFUNCTION("""COMPUTED_VALUE"""),6825677.0)</f>
        <v>6825677</v>
      </c>
    </row>
    <row r="1911">
      <c r="A1911" s="2">
        <f>IFERROR(__xludf.DUMMYFUNCTION("""COMPUTED_VALUE"""),43390.64583333333)</f>
        <v>43390.64583</v>
      </c>
      <c r="B1911" s="1">
        <f>IFERROR(__xludf.DUMMYFUNCTION("""COMPUTED_VALUE"""),44150.0)</f>
        <v>44150</v>
      </c>
      <c r="C1911" s="1">
        <f>IFERROR(__xludf.DUMMYFUNCTION("""COMPUTED_VALUE"""),44500.0)</f>
        <v>44500</v>
      </c>
      <c r="D1911" s="1">
        <f>IFERROR(__xludf.DUMMYFUNCTION("""COMPUTED_VALUE"""),44000.0)</f>
        <v>44000</v>
      </c>
      <c r="E1911" s="1">
        <f>IFERROR(__xludf.DUMMYFUNCTION("""COMPUTED_VALUE"""),44150.0)</f>
        <v>44150</v>
      </c>
      <c r="F1911" s="1">
        <f>IFERROR(__xludf.DUMMYFUNCTION("""COMPUTED_VALUE"""),8306193.0)</f>
        <v>8306193</v>
      </c>
    </row>
    <row r="1912">
      <c r="A1912" s="2">
        <f>IFERROR(__xludf.DUMMYFUNCTION("""COMPUTED_VALUE"""),43391.64583333333)</f>
        <v>43391.64583</v>
      </c>
      <c r="B1912" s="1">
        <f>IFERROR(__xludf.DUMMYFUNCTION("""COMPUTED_VALUE"""),43950.0)</f>
        <v>43950</v>
      </c>
      <c r="C1912" s="1">
        <f>IFERROR(__xludf.DUMMYFUNCTION("""COMPUTED_VALUE"""),44450.0)</f>
        <v>44450</v>
      </c>
      <c r="D1912" s="1">
        <f>IFERROR(__xludf.DUMMYFUNCTION("""COMPUTED_VALUE"""),43700.0)</f>
        <v>43700</v>
      </c>
      <c r="E1912" s="1">
        <f>IFERROR(__xludf.DUMMYFUNCTION("""COMPUTED_VALUE"""),44050.0)</f>
        <v>44050</v>
      </c>
      <c r="F1912" s="1">
        <f>IFERROR(__xludf.DUMMYFUNCTION("""COMPUTED_VALUE"""),8347725.0)</f>
        <v>8347725</v>
      </c>
    </row>
    <row r="1913">
      <c r="A1913" s="2">
        <f>IFERROR(__xludf.DUMMYFUNCTION("""COMPUTED_VALUE"""),43392.64583333333)</f>
        <v>43392.64583</v>
      </c>
      <c r="B1913" s="1">
        <f>IFERROR(__xludf.DUMMYFUNCTION("""COMPUTED_VALUE"""),43900.0)</f>
        <v>43900</v>
      </c>
      <c r="C1913" s="1">
        <f>IFERROR(__xludf.DUMMYFUNCTION("""COMPUTED_VALUE"""),44150.0)</f>
        <v>44150</v>
      </c>
      <c r="D1913" s="1">
        <f>IFERROR(__xludf.DUMMYFUNCTION("""COMPUTED_VALUE"""),43450.0)</f>
        <v>43450</v>
      </c>
      <c r="E1913" s="1">
        <f>IFERROR(__xludf.DUMMYFUNCTION("""COMPUTED_VALUE"""),43900.0)</f>
        <v>43900</v>
      </c>
      <c r="F1913" s="1">
        <f>IFERROR(__xludf.DUMMYFUNCTION("""COMPUTED_VALUE"""),7842520.0)</f>
        <v>7842520</v>
      </c>
    </row>
    <row r="1914">
      <c r="A1914" s="2">
        <f>IFERROR(__xludf.DUMMYFUNCTION("""COMPUTED_VALUE"""),43395.64583333333)</f>
        <v>43395.64583</v>
      </c>
      <c r="B1914" s="1">
        <f>IFERROR(__xludf.DUMMYFUNCTION("""COMPUTED_VALUE"""),43450.0)</f>
        <v>43450</v>
      </c>
      <c r="C1914" s="1">
        <f>IFERROR(__xludf.DUMMYFUNCTION("""COMPUTED_VALUE"""),43950.0)</f>
        <v>43950</v>
      </c>
      <c r="D1914" s="1">
        <f>IFERROR(__xludf.DUMMYFUNCTION("""COMPUTED_VALUE"""),43200.0)</f>
        <v>43200</v>
      </c>
      <c r="E1914" s="1">
        <f>IFERROR(__xludf.DUMMYFUNCTION("""COMPUTED_VALUE"""),43550.0)</f>
        <v>43550</v>
      </c>
      <c r="F1914" s="1">
        <f>IFERROR(__xludf.DUMMYFUNCTION("""COMPUTED_VALUE"""),8357648.0)</f>
        <v>8357648</v>
      </c>
    </row>
    <row r="1915">
      <c r="A1915" s="2">
        <f>IFERROR(__xludf.DUMMYFUNCTION("""COMPUTED_VALUE"""),43396.64583333333)</f>
        <v>43396.64583</v>
      </c>
      <c r="B1915" s="1">
        <f>IFERROR(__xludf.DUMMYFUNCTION("""COMPUTED_VALUE"""),43300.0)</f>
        <v>43300</v>
      </c>
      <c r="C1915" s="1">
        <f>IFERROR(__xludf.DUMMYFUNCTION("""COMPUTED_VALUE"""),43450.0)</f>
        <v>43450</v>
      </c>
      <c r="D1915" s="1">
        <f>IFERROR(__xludf.DUMMYFUNCTION("""COMPUTED_VALUE"""),42550.0)</f>
        <v>42550</v>
      </c>
      <c r="E1915" s="1">
        <f>IFERROR(__xludf.DUMMYFUNCTION("""COMPUTED_VALUE"""),43050.0)</f>
        <v>43050</v>
      </c>
      <c r="F1915" s="1">
        <f>IFERROR(__xludf.DUMMYFUNCTION("""COMPUTED_VALUE"""),9531231.0)</f>
        <v>9531231</v>
      </c>
    </row>
    <row r="1916">
      <c r="A1916" s="2">
        <f>IFERROR(__xludf.DUMMYFUNCTION("""COMPUTED_VALUE"""),43397.64583333333)</f>
        <v>43397.64583</v>
      </c>
      <c r="B1916" s="1">
        <f>IFERROR(__xludf.DUMMYFUNCTION("""COMPUTED_VALUE"""),43050.0)</f>
        <v>43050</v>
      </c>
      <c r="C1916" s="1">
        <f>IFERROR(__xludf.DUMMYFUNCTION("""COMPUTED_VALUE"""),43100.0)</f>
        <v>43100</v>
      </c>
      <c r="D1916" s="1">
        <f>IFERROR(__xludf.DUMMYFUNCTION("""COMPUTED_VALUE"""),42250.0)</f>
        <v>42250</v>
      </c>
      <c r="E1916" s="1">
        <f>IFERROR(__xludf.DUMMYFUNCTION("""COMPUTED_VALUE"""),42550.0)</f>
        <v>42550</v>
      </c>
      <c r="F1916" s="1">
        <f>IFERROR(__xludf.DUMMYFUNCTION("""COMPUTED_VALUE"""),1.3522825E7)</f>
        <v>13522825</v>
      </c>
    </row>
    <row r="1917">
      <c r="A1917" s="2">
        <f>IFERROR(__xludf.DUMMYFUNCTION("""COMPUTED_VALUE"""),43398.64583333333)</f>
        <v>43398.64583</v>
      </c>
      <c r="B1917" s="1">
        <f>IFERROR(__xludf.DUMMYFUNCTION("""COMPUTED_VALUE"""),40600.0)</f>
        <v>40600</v>
      </c>
      <c r="C1917" s="1">
        <f>IFERROR(__xludf.DUMMYFUNCTION("""COMPUTED_VALUE"""),41550.0)</f>
        <v>41550</v>
      </c>
      <c r="D1917" s="1">
        <f>IFERROR(__xludf.DUMMYFUNCTION("""COMPUTED_VALUE"""),40550.0)</f>
        <v>40550</v>
      </c>
      <c r="E1917" s="1">
        <f>IFERROR(__xludf.DUMMYFUNCTION("""COMPUTED_VALUE"""),41000.0)</f>
        <v>41000</v>
      </c>
      <c r="F1917" s="1">
        <f>IFERROR(__xludf.DUMMYFUNCTION("""COMPUTED_VALUE"""),1.933817E7)</f>
        <v>19338170</v>
      </c>
    </row>
    <row r="1918">
      <c r="A1918" s="2">
        <f>IFERROR(__xludf.DUMMYFUNCTION("""COMPUTED_VALUE"""),43399.64583333333)</f>
        <v>43399.64583</v>
      </c>
      <c r="B1918" s="1">
        <f>IFERROR(__xludf.DUMMYFUNCTION("""COMPUTED_VALUE"""),41100.0)</f>
        <v>41100</v>
      </c>
      <c r="C1918" s="1">
        <f>IFERROR(__xludf.DUMMYFUNCTION("""COMPUTED_VALUE"""),41300.0)</f>
        <v>41300</v>
      </c>
      <c r="D1918" s="1">
        <f>IFERROR(__xludf.DUMMYFUNCTION("""COMPUTED_VALUE"""),40400.0)</f>
        <v>40400</v>
      </c>
      <c r="E1918" s="1">
        <f>IFERROR(__xludf.DUMMYFUNCTION("""COMPUTED_VALUE"""),41000.0)</f>
        <v>41000</v>
      </c>
      <c r="F1918" s="1">
        <f>IFERROR(__xludf.DUMMYFUNCTION("""COMPUTED_VALUE"""),1.4413864E7)</f>
        <v>14413864</v>
      </c>
    </row>
    <row r="1919">
      <c r="A1919" s="2">
        <f>IFERROR(__xludf.DUMMYFUNCTION("""COMPUTED_VALUE"""),43402.64583333333)</f>
        <v>43402.64583</v>
      </c>
      <c r="B1919" s="1">
        <f>IFERROR(__xludf.DUMMYFUNCTION("""COMPUTED_VALUE"""),40850.0)</f>
        <v>40850</v>
      </c>
      <c r="C1919" s="1">
        <f>IFERROR(__xludf.DUMMYFUNCTION("""COMPUTED_VALUE"""),41950.0)</f>
        <v>41950</v>
      </c>
      <c r="D1919" s="1">
        <f>IFERROR(__xludf.DUMMYFUNCTION("""COMPUTED_VALUE"""),40550.0)</f>
        <v>40550</v>
      </c>
      <c r="E1919" s="1">
        <f>IFERROR(__xludf.DUMMYFUNCTION("""COMPUTED_VALUE"""),41400.0)</f>
        <v>41400</v>
      </c>
      <c r="F1919" s="1">
        <f>IFERROR(__xludf.DUMMYFUNCTION("""COMPUTED_VALUE"""),1.4460521E7)</f>
        <v>14460521</v>
      </c>
    </row>
    <row r="1920">
      <c r="A1920" s="2">
        <f>IFERROR(__xludf.DUMMYFUNCTION("""COMPUTED_VALUE"""),43403.64583333333)</f>
        <v>43403.64583</v>
      </c>
      <c r="B1920" s="1">
        <f>IFERROR(__xludf.DUMMYFUNCTION("""COMPUTED_VALUE"""),41400.0)</f>
        <v>41400</v>
      </c>
      <c r="C1920" s="1">
        <f>IFERROR(__xludf.DUMMYFUNCTION("""COMPUTED_VALUE"""),43000.0)</f>
        <v>43000</v>
      </c>
      <c r="D1920" s="1">
        <f>IFERROR(__xludf.DUMMYFUNCTION("""COMPUTED_VALUE"""),41000.0)</f>
        <v>41000</v>
      </c>
      <c r="E1920" s="1">
        <f>IFERROR(__xludf.DUMMYFUNCTION("""COMPUTED_VALUE"""),42350.0)</f>
        <v>42350</v>
      </c>
      <c r="F1920" s="1">
        <f>IFERROR(__xludf.DUMMYFUNCTION("""COMPUTED_VALUE"""),1.420519E7)</f>
        <v>14205190</v>
      </c>
    </row>
    <row r="1921">
      <c r="A1921" s="2">
        <f>IFERROR(__xludf.DUMMYFUNCTION("""COMPUTED_VALUE"""),43404.64583333333)</f>
        <v>43404.64583</v>
      </c>
      <c r="B1921" s="1">
        <f>IFERROR(__xludf.DUMMYFUNCTION("""COMPUTED_VALUE"""),42900.0)</f>
        <v>42900</v>
      </c>
      <c r="C1921" s="1">
        <f>IFERROR(__xludf.DUMMYFUNCTION("""COMPUTED_VALUE"""),43350.0)</f>
        <v>43350</v>
      </c>
      <c r="D1921" s="1">
        <f>IFERROR(__xludf.DUMMYFUNCTION("""COMPUTED_VALUE"""),41700.0)</f>
        <v>41700</v>
      </c>
      <c r="E1921" s="1">
        <f>IFERROR(__xludf.DUMMYFUNCTION("""COMPUTED_VALUE"""),42400.0)</f>
        <v>42400</v>
      </c>
      <c r="F1921" s="1">
        <f>IFERROR(__xludf.DUMMYFUNCTION("""COMPUTED_VALUE"""),1.762148E7)</f>
        <v>17621480</v>
      </c>
    </row>
    <row r="1922">
      <c r="A1922" s="2">
        <f>IFERROR(__xludf.DUMMYFUNCTION("""COMPUTED_VALUE"""),43405.64583333333)</f>
        <v>43405.64583</v>
      </c>
      <c r="B1922" s="1">
        <f>IFERROR(__xludf.DUMMYFUNCTION("""COMPUTED_VALUE"""),42450.0)</f>
        <v>42450</v>
      </c>
      <c r="C1922" s="1">
        <f>IFERROR(__xludf.DUMMYFUNCTION("""COMPUTED_VALUE"""),42950.0)</f>
        <v>42950</v>
      </c>
      <c r="D1922" s="1">
        <f>IFERROR(__xludf.DUMMYFUNCTION("""COMPUTED_VALUE"""),42150.0)</f>
        <v>42150</v>
      </c>
      <c r="E1922" s="1">
        <f>IFERROR(__xludf.DUMMYFUNCTION("""COMPUTED_VALUE"""),42150.0)</f>
        <v>42150</v>
      </c>
      <c r="F1922" s="1">
        <f>IFERROR(__xludf.DUMMYFUNCTION("""COMPUTED_VALUE"""),1.3423132E7)</f>
        <v>13423132</v>
      </c>
    </row>
    <row r="1923">
      <c r="A1923" s="2">
        <f>IFERROR(__xludf.DUMMYFUNCTION("""COMPUTED_VALUE"""),43406.64583333333)</f>
        <v>43406.64583</v>
      </c>
      <c r="B1923" s="1">
        <f>IFERROR(__xludf.DUMMYFUNCTION("""COMPUTED_VALUE"""),43050.0)</f>
        <v>43050</v>
      </c>
      <c r="C1923" s="1">
        <f>IFERROR(__xludf.DUMMYFUNCTION("""COMPUTED_VALUE"""),44250.0)</f>
        <v>44250</v>
      </c>
      <c r="D1923" s="1">
        <f>IFERROR(__xludf.DUMMYFUNCTION("""COMPUTED_VALUE"""),42800.0)</f>
        <v>42800</v>
      </c>
      <c r="E1923" s="1">
        <f>IFERROR(__xludf.DUMMYFUNCTION("""COMPUTED_VALUE"""),44150.0)</f>
        <v>44150</v>
      </c>
      <c r="F1923" s="1">
        <f>IFERROR(__xludf.DUMMYFUNCTION("""COMPUTED_VALUE"""),1.6517112E7)</f>
        <v>16517112</v>
      </c>
    </row>
    <row r="1924">
      <c r="A1924" s="2">
        <f>IFERROR(__xludf.DUMMYFUNCTION("""COMPUTED_VALUE"""),43409.64583333333)</f>
        <v>43409.64583</v>
      </c>
      <c r="B1924" s="1">
        <f>IFERROR(__xludf.DUMMYFUNCTION("""COMPUTED_VALUE"""),43750.0)</f>
        <v>43750</v>
      </c>
      <c r="C1924" s="1">
        <f>IFERROR(__xludf.DUMMYFUNCTION("""COMPUTED_VALUE"""),43800.0)</f>
        <v>43800</v>
      </c>
      <c r="D1924" s="1">
        <f>IFERROR(__xludf.DUMMYFUNCTION("""COMPUTED_VALUE"""),42900.0)</f>
        <v>42900</v>
      </c>
      <c r="E1924" s="1">
        <f>IFERROR(__xludf.DUMMYFUNCTION("""COMPUTED_VALUE"""),43800.0)</f>
        <v>43800</v>
      </c>
      <c r="F1924" s="1">
        <f>IFERROR(__xludf.DUMMYFUNCTION("""COMPUTED_VALUE"""),9426777.0)</f>
        <v>9426777</v>
      </c>
    </row>
    <row r="1925">
      <c r="A1925" s="2">
        <f>IFERROR(__xludf.DUMMYFUNCTION("""COMPUTED_VALUE"""),43410.64583333333)</f>
        <v>43410.64583</v>
      </c>
      <c r="B1925" s="1">
        <f>IFERROR(__xludf.DUMMYFUNCTION("""COMPUTED_VALUE"""),43750.0)</f>
        <v>43750</v>
      </c>
      <c r="C1925" s="1">
        <f>IFERROR(__xludf.DUMMYFUNCTION("""COMPUTED_VALUE"""),43800.0)</f>
        <v>43800</v>
      </c>
      <c r="D1925" s="1">
        <f>IFERROR(__xludf.DUMMYFUNCTION("""COMPUTED_VALUE"""),42950.0)</f>
        <v>42950</v>
      </c>
      <c r="E1925" s="1">
        <f>IFERROR(__xludf.DUMMYFUNCTION("""COMPUTED_VALUE"""),43750.0)</f>
        <v>43750</v>
      </c>
      <c r="F1925" s="1">
        <f>IFERROR(__xludf.DUMMYFUNCTION("""COMPUTED_VALUE"""),7713625.0)</f>
        <v>7713625</v>
      </c>
    </row>
    <row r="1926">
      <c r="A1926" s="2">
        <f>IFERROR(__xludf.DUMMYFUNCTION("""COMPUTED_VALUE"""),43411.64583333333)</f>
        <v>43411.64583</v>
      </c>
      <c r="B1926" s="1">
        <f>IFERROR(__xludf.DUMMYFUNCTION("""COMPUTED_VALUE"""),43600.0)</f>
        <v>43600</v>
      </c>
      <c r="C1926" s="1">
        <f>IFERROR(__xludf.DUMMYFUNCTION("""COMPUTED_VALUE"""),44500.0)</f>
        <v>44500</v>
      </c>
      <c r="D1926" s="1">
        <f>IFERROR(__xludf.DUMMYFUNCTION("""COMPUTED_VALUE"""),43400.0)</f>
        <v>43400</v>
      </c>
      <c r="E1926" s="1">
        <f>IFERROR(__xludf.DUMMYFUNCTION("""COMPUTED_VALUE"""),44000.0)</f>
        <v>44000</v>
      </c>
      <c r="F1926" s="1">
        <f>IFERROR(__xludf.DUMMYFUNCTION("""COMPUTED_VALUE"""),1.1553998E7)</f>
        <v>11553998</v>
      </c>
    </row>
    <row r="1927">
      <c r="A1927" s="2">
        <f>IFERROR(__xludf.DUMMYFUNCTION("""COMPUTED_VALUE"""),43412.64583333333)</f>
        <v>43412.64583</v>
      </c>
      <c r="B1927" s="1">
        <f>IFERROR(__xludf.DUMMYFUNCTION("""COMPUTED_VALUE"""),44900.0)</f>
        <v>44900</v>
      </c>
      <c r="C1927" s="1">
        <f>IFERROR(__xludf.DUMMYFUNCTION("""COMPUTED_VALUE"""),45050.0)</f>
        <v>45050</v>
      </c>
      <c r="D1927" s="1">
        <f>IFERROR(__xludf.DUMMYFUNCTION("""COMPUTED_VALUE"""),44050.0)</f>
        <v>44050</v>
      </c>
      <c r="E1927" s="1">
        <f>IFERROR(__xludf.DUMMYFUNCTION("""COMPUTED_VALUE"""),44050.0)</f>
        <v>44050</v>
      </c>
      <c r="F1927" s="1">
        <f>IFERROR(__xludf.DUMMYFUNCTION("""COMPUTED_VALUE"""),1.2617397E7)</f>
        <v>12617397</v>
      </c>
    </row>
    <row r="1928">
      <c r="A1928" s="2">
        <f>IFERROR(__xludf.DUMMYFUNCTION("""COMPUTED_VALUE"""),43413.64583333333)</f>
        <v>43413.64583</v>
      </c>
      <c r="B1928" s="1">
        <f>IFERROR(__xludf.DUMMYFUNCTION("""COMPUTED_VALUE"""),44450.0)</f>
        <v>44450</v>
      </c>
      <c r="C1928" s="1">
        <f>IFERROR(__xludf.DUMMYFUNCTION("""COMPUTED_VALUE"""),44850.0)</f>
        <v>44850</v>
      </c>
      <c r="D1928" s="1">
        <f>IFERROR(__xludf.DUMMYFUNCTION("""COMPUTED_VALUE"""),43900.0)</f>
        <v>43900</v>
      </c>
      <c r="E1928" s="1">
        <f>IFERROR(__xludf.DUMMYFUNCTION("""COMPUTED_VALUE"""),44300.0)</f>
        <v>44300</v>
      </c>
      <c r="F1928" s="1">
        <f>IFERROR(__xludf.DUMMYFUNCTION("""COMPUTED_VALUE"""),7318500.0)</f>
        <v>7318500</v>
      </c>
    </row>
    <row r="1929">
      <c r="A1929" s="2">
        <f>IFERROR(__xludf.DUMMYFUNCTION("""COMPUTED_VALUE"""),43416.64583333333)</f>
        <v>43416.64583</v>
      </c>
      <c r="B1929" s="1">
        <f>IFERROR(__xludf.DUMMYFUNCTION("""COMPUTED_VALUE"""),43850.0)</f>
        <v>43850</v>
      </c>
      <c r="C1929" s="1">
        <f>IFERROR(__xludf.DUMMYFUNCTION("""COMPUTED_VALUE"""),45250.0)</f>
        <v>45250</v>
      </c>
      <c r="D1929" s="1">
        <f>IFERROR(__xludf.DUMMYFUNCTION("""COMPUTED_VALUE"""),43700.0)</f>
        <v>43700</v>
      </c>
      <c r="E1929" s="1">
        <f>IFERROR(__xludf.DUMMYFUNCTION("""COMPUTED_VALUE"""),45200.0)</f>
        <v>45200</v>
      </c>
      <c r="F1929" s="1">
        <f>IFERROR(__xludf.DUMMYFUNCTION("""COMPUTED_VALUE"""),8552566.0)</f>
        <v>8552566</v>
      </c>
    </row>
    <row r="1930">
      <c r="A1930" s="2">
        <f>IFERROR(__xludf.DUMMYFUNCTION("""COMPUTED_VALUE"""),43417.64583333333)</f>
        <v>43417.64583</v>
      </c>
      <c r="B1930" s="1">
        <f>IFERROR(__xludf.DUMMYFUNCTION("""COMPUTED_VALUE"""),43900.0)</f>
        <v>43900</v>
      </c>
      <c r="C1930" s="1">
        <f>IFERROR(__xludf.DUMMYFUNCTION("""COMPUTED_VALUE"""),44500.0)</f>
        <v>44500</v>
      </c>
      <c r="D1930" s="1">
        <f>IFERROR(__xludf.DUMMYFUNCTION("""COMPUTED_VALUE"""),43400.0)</f>
        <v>43400</v>
      </c>
      <c r="E1930" s="1">
        <f>IFERROR(__xludf.DUMMYFUNCTION("""COMPUTED_VALUE"""),44500.0)</f>
        <v>44500</v>
      </c>
      <c r="F1930" s="1">
        <f>IFERROR(__xludf.DUMMYFUNCTION("""COMPUTED_VALUE"""),9311126.0)</f>
        <v>9311126</v>
      </c>
    </row>
    <row r="1931">
      <c r="A1931" s="2">
        <f>IFERROR(__xludf.DUMMYFUNCTION("""COMPUTED_VALUE"""),43418.64583333333)</f>
        <v>43418.64583</v>
      </c>
      <c r="B1931" s="1">
        <f>IFERROR(__xludf.DUMMYFUNCTION("""COMPUTED_VALUE"""),44500.0)</f>
        <v>44500</v>
      </c>
      <c r="C1931" s="1">
        <f>IFERROR(__xludf.DUMMYFUNCTION("""COMPUTED_VALUE"""),44500.0)</f>
        <v>44500</v>
      </c>
      <c r="D1931" s="1">
        <f>IFERROR(__xludf.DUMMYFUNCTION("""COMPUTED_VALUE"""),43800.0)</f>
        <v>43800</v>
      </c>
      <c r="E1931" s="1">
        <f>IFERROR(__xludf.DUMMYFUNCTION("""COMPUTED_VALUE"""),44100.0)</f>
        <v>44100</v>
      </c>
      <c r="F1931" s="1">
        <f>IFERROR(__xludf.DUMMYFUNCTION("""COMPUTED_VALUE"""),6783344.0)</f>
        <v>6783344</v>
      </c>
    </row>
    <row r="1932">
      <c r="A1932" s="2">
        <f>IFERROR(__xludf.DUMMYFUNCTION("""COMPUTED_VALUE"""),43419.6875)</f>
        <v>43419.6875</v>
      </c>
      <c r="B1932" s="1">
        <f>IFERROR(__xludf.DUMMYFUNCTION("""COMPUTED_VALUE"""),44050.0)</f>
        <v>44050</v>
      </c>
      <c r="C1932" s="1">
        <f>IFERROR(__xludf.DUMMYFUNCTION("""COMPUTED_VALUE"""),44350.0)</f>
        <v>44350</v>
      </c>
      <c r="D1932" s="1">
        <f>IFERROR(__xludf.DUMMYFUNCTION("""COMPUTED_VALUE"""),43500.0)</f>
        <v>43500</v>
      </c>
      <c r="E1932" s="1">
        <f>IFERROR(__xludf.DUMMYFUNCTION("""COMPUTED_VALUE"""),44250.0)</f>
        <v>44250</v>
      </c>
      <c r="F1932" s="1">
        <f>IFERROR(__xludf.DUMMYFUNCTION("""COMPUTED_VALUE"""),5864067.0)</f>
        <v>5864067</v>
      </c>
    </row>
    <row r="1933">
      <c r="A1933" s="2">
        <f>IFERROR(__xludf.DUMMYFUNCTION("""COMPUTED_VALUE"""),43420.64583333333)</f>
        <v>43420.64583</v>
      </c>
      <c r="B1933" s="1">
        <f>IFERROR(__xludf.DUMMYFUNCTION("""COMPUTED_VALUE"""),44600.0)</f>
        <v>44600</v>
      </c>
      <c r="C1933" s="1">
        <f>IFERROR(__xludf.DUMMYFUNCTION("""COMPUTED_VALUE"""),44750.0)</f>
        <v>44750</v>
      </c>
      <c r="D1933" s="1">
        <f>IFERROR(__xludf.DUMMYFUNCTION("""COMPUTED_VALUE"""),43700.0)</f>
        <v>43700</v>
      </c>
      <c r="E1933" s="1">
        <f>IFERROR(__xludf.DUMMYFUNCTION("""COMPUTED_VALUE"""),44000.0)</f>
        <v>44000</v>
      </c>
      <c r="F1933" s="1">
        <f>IFERROR(__xludf.DUMMYFUNCTION("""COMPUTED_VALUE"""),7777124.0)</f>
        <v>7777124</v>
      </c>
    </row>
    <row r="1934">
      <c r="A1934" s="2">
        <f>IFERROR(__xludf.DUMMYFUNCTION("""COMPUTED_VALUE"""),43423.64583333333)</f>
        <v>43423.64583</v>
      </c>
      <c r="B1934" s="1">
        <f>IFERROR(__xludf.DUMMYFUNCTION("""COMPUTED_VALUE"""),44050.0)</f>
        <v>44050</v>
      </c>
      <c r="C1934" s="1">
        <f>IFERROR(__xludf.DUMMYFUNCTION("""COMPUTED_VALUE"""),44250.0)</f>
        <v>44250</v>
      </c>
      <c r="D1934" s="1">
        <f>IFERROR(__xludf.DUMMYFUNCTION("""COMPUTED_VALUE"""),43450.0)</f>
        <v>43450</v>
      </c>
      <c r="E1934" s="1">
        <f>IFERROR(__xludf.DUMMYFUNCTION("""COMPUTED_VALUE"""),43650.0)</f>
        <v>43650</v>
      </c>
      <c r="F1934" s="1">
        <f>IFERROR(__xludf.DUMMYFUNCTION("""COMPUTED_VALUE"""),7538720.0)</f>
        <v>7538720</v>
      </c>
    </row>
    <row r="1935">
      <c r="A1935" s="2">
        <f>IFERROR(__xludf.DUMMYFUNCTION("""COMPUTED_VALUE"""),43424.64583333333)</f>
        <v>43424.64583</v>
      </c>
      <c r="B1935" s="1">
        <f>IFERROR(__xludf.DUMMYFUNCTION("""COMPUTED_VALUE"""),42450.0)</f>
        <v>42450</v>
      </c>
      <c r="C1935" s="1">
        <f>IFERROR(__xludf.DUMMYFUNCTION("""COMPUTED_VALUE"""),43000.0)</f>
        <v>43000</v>
      </c>
      <c r="D1935" s="1">
        <f>IFERROR(__xludf.DUMMYFUNCTION("""COMPUTED_VALUE"""),42100.0)</f>
        <v>42100</v>
      </c>
      <c r="E1935" s="1">
        <f>IFERROR(__xludf.DUMMYFUNCTION("""COMPUTED_VALUE"""),42800.0)</f>
        <v>42800</v>
      </c>
      <c r="F1935" s="1">
        <f>IFERROR(__xludf.DUMMYFUNCTION("""COMPUTED_VALUE"""),9420664.0)</f>
        <v>9420664</v>
      </c>
    </row>
    <row r="1936">
      <c r="A1936" s="2">
        <f>IFERROR(__xludf.DUMMYFUNCTION("""COMPUTED_VALUE"""),43425.64583333333)</f>
        <v>43425.64583</v>
      </c>
      <c r="B1936" s="1">
        <f>IFERROR(__xludf.DUMMYFUNCTION("""COMPUTED_VALUE"""),41800.0)</f>
        <v>41800</v>
      </c>
      <c r="C1936" s="1">
        <f>IFERROR(__xludf.DUMMYFUNCTION("""COMPUTED_VALUE"""),42300.0)</f>
        <v>42300</v>
      </c>
      <c r="D1936" s="1">
        <f>IFERROR(__xludf.DUMMYFUNCTION("""COMPUTED_VALUE"""),41800.0)</f>
        <v>41800</v>
      </c>
      <c r="E1936" s="1">
        <f>IFERROR(__xludf.DUMMYFUNCTION("""COMPUTED_VALUE"""),42100.0)</f>
        <v>42100</v>
      </c>
      <c r="F1936" s="1">
        <f>IFERROR(__xludf.DUMMYFUNCTION("""COMPUTED_VALUE"""),1.0769589E7)</f>
        <v>10769589</v>
      </c>
    </row>
    <row r="1937">
      <c r="A1937" s="2">
        <f>IFERROR(__xludf.DUMMYFUNCTION("""COMPUTED_VALUE"""),43426.64583333333)</f>
        <v>43426.64583</v>
      </c>
      <c r="B1937" s="1">
        <f>IFERROR(__xludf.DUMMYFUNCTION("""COMPUTED_VALUE"""),42000.0)</f>
        <v>42000</v>
      </c>
      <c r="C1937" s="1">
        <f>IFERROR(__xludf.DUMMYFUNCTION("""COMPUTED_VALUE"""),42650.0)</f>
        <v>42650</v>
      </c>
      <c r="D1937" s="1">
        <f>IFERROR(__xludf.DUMMYFUNCTION("""COMPUTED_VALUE"""),42000.0)</f>
        <v>42000</v>
      </c>
      <c r="E1937" s="1">
        <f>IFERROR(__xludf.DUMMYFUNCTION("""COMPUTED_VALUE"""),42450.0)</f>
        <v>42450</v>
      </c>
      <c r="F1937" s="1">
        <f>IFERROR(__xludf.DUMMYFUNCTION("""COMPUTED_VALUE"""),5970796.0)</f>
        <v>5970796</v>
      </c>
    </row>
    <row r="1938">
      <c r="A1938" s="2">
        <f>IFERROR(__xludf.DUMMYFUNCTION("""COMPUTED_VALUE"""),43427.64583333333)</f>
        <v>43427.64583</v>
      </c>
      <c r="B1938" s="1">
        <f>IFERROR(__xludf.DUMMYFUNCTION("""COMPUTED_VALUE"""),42450.0)</f>
        <v>42450</v>
      </c>
      <c r="C1938" s="1">
        <f>IFERROR(__xludf.DUMMYFUNCTION("""COMPUTED_VALUE"""),42600.0)</f>
        <v>42600</v>
      </c>
      <c r="D1938" s="1">
        <f>IFERROR(__xludf.DUMMYFUNCTION("""COMPUTED_VALUE"""),41900.0)</f>
        <v>41900</v>
      </c>
      <c r="E1938" s="1">
        <f>IFERROR(__xludf.DUMMYFUNCTION("""COMPUTED_VALUE"""),42400.0)</f>
        <v>42400</v>
      </c>
      <c r="F1938" s="1">
        <f>IFERROR(__xludf.DUMMYFUNCTION("""COMPUTED_VALUE"""),5192638.0)</f>
        <v>5192638</v>
      </c>
    </row>
    <row r="1939">
      <c r="A1939" s="2">
        <f>IFERROR(__xludf.DUMMYFUNCTION("""COMPUTED_VALUE"""),43430.64583333333)</f>
        <v>43430.64583</v>
      </c>
      <c r="B1939" s="1">
        <f>IFERROR(__xludf.DUMMYFUNCTION("""COMPUTED_VALUE"""),42150.0)</f>
        <v>42150</v>
      </c>
      <c r="C1939" s="1">
        <f>IFERROR(__xludf.DUMMYFUNCTION("""COMPUTED_VALUE"""),42800.0)</f>
        <v>42800</v>
      </c>
      <c r="D1939" s="1">
        <f>IFERROR(__xludf.DUMMYFUNCTION("""COMPUTED_VALUE"""),42100.0)</f>
        <v>42100</v>
      </c>
      <c r="E1939" s="1">
        <f>IFERROR(__xludf.DUMMYFUNCTION("""COMPUTED_VALUE"""),42600.0)</f>
        <v>42600</v>
      </c>
      <c r="F1939" s="1">
        <f>IFERROR(__xludf.DUMMYFUNCTION("""COMPUTED_VALUE"""),6613009.0)</f>
        <v>6613009</v>
      </c>
    </row>
    <row r="1940">
      <c r="A1940" s="2">
        <f>IFERROR(__xludf.DUMMYFUNCTION("""COMPUTED_VALUE"""),43431.64583333333)</f>
        <v>43431.64583</v>
      </c>
      <c r="B1940" s="1">
        <f>IFERROR(__xludf.DUMMYFUNCTION("""COMPUTED_VALUE"""),42900.0)</f>
        <v>42900</v>
      </c>
      <c r="C1940" s="1">
        <f>IFERROR(__xludf.DUMMYFUNCTION("""COMPUTED_VALUE"""),43100.0)</f>
        <v>43100</v>
      </c>
      <c r="D1940" s="1">
        <f>IFERROR(__xludf.DUMMYFUNCTION("""COMPUTED_VALUE"""),42500.0)</f>
        <v>42500</v>
      </c>
      <c r="E1940" s="1">
        <f>IFERROR(__xludf.DUMMYFUNCTION("""COMPUTED_VALUE"""),43050.0)</f>
        <v>43050</v>
      </c>
      <c r="F1940" s="1">
        <f>IFERROR(__xludf.DUMMYFUNCTION("""COMPUTED_VALUE"""),8367091.0)</f>
        <v>8367091</v>
      </c>
    </row>
    <row r="1941">
      <c r="A1941" s="2">
        <f>IFERROR(__xludf.DUMMYFUNCTION("""COMPUTED_VALUE"""),43432.64583333333)</f>
        <v>43432.64583</v>
      </c>
      <c r="B1941" s="1">
        <f>IFERROR(__xludf.DUMMYFUNCTION("""COMPUTED_VALUE"""),42800.0)</f>
        <v>42800</v>
      </c>
      <c r="C1941" s="1">
        <f>IFERROR(__xludf.DUMMYFUNCTION("""COMPUTED_VALUE"""),43200.0)</f>
        <v>43200</v>
      </c>
      <c r="D1941" s="1">
        <f>IFERROR(__xludf.DUMMYFUNCTION("""COMPUTED_VALUE"""),42750.0)</f>
        <v>42750</v>
      </c>
      <c r="E1941" s="1">
        <f>IFERROR(__xludf.DUMMYFUNCTION("""COMPUTED_VALUE"""),43150.0)</f>
        <v>43150</v>
      </c>
      <c r="F1941" s="1">
        <f>IFERROR(__xludf.DUMMYFUNCTION("""COMPUTED_VALUE"""),6943099.0)</f>
        <v>6943099</v>
      </c>
    </row>
    <row r="1942">
      <c r="A1942" s="2">
        <f>IFERROR(__xludf.DUMMYFUNCTION("""COMPUTED_VALUE"""),43433.64583333333)</f>
        <v>43433.64583</v>
      </c>
      <c r="B1942" s="1">
        <f>IFERROR(__xludf.DUMMYFUNCTION("""COMPUTED_VALUE"""),43850.0)</f>
        <v>43850</v>
      </c>
      <c r="C1942" s="1">
        <f>IFERROR(__xludf.DUMMYFUNCTION("""COMPUTED_VALUE"""),43850.0)</f>
        <v>43850</v>
      </c>
      <c r="D1942" s="1">
        <f>IFERROR(__xludf.DUMMYFUNCTION("""COMPUTED_VALUE"""),42900.0)</f>
        <v>42900</v>
      </c>
      <c r="E1942" s="1">
        <f>IFERROR(__xludf.DUMMYFUNCTION("""COMPUTED_VALUE"""),43150.0)</f>
        <v>43150</v>
      </c>
      <c r="F1942" s="1">
        <f>IFERROR(__xludf.DUMMYFUNCTION("""COMPUTED_VALUE"""),8473511.0)</f>
        <v>8473511</v>
      </c>
    </row>
    <row r="1943">
      <c r="A1943" s="2">
        <f>IFERROR(__xludf.DUMMYFUNCTION("""COMPUTED_VALUE"""),43434.64583333333)</f>
        <v>43434.64583</v>
      </c>
      <c r="B1943" s="1">
        <f>IFERROR(__xludf.DUMMYFUNCTION("""COMPUTED_VALUE"""),43450.0)</f>
        <v>43450</v>
      </c>
      <c r="C1943" s="1">
        <f>IFERROR(__xludf.DUMMYFUNCTION("""COMPUTED_VALUE"""),44000.0)</f>
        <v>44000</v>
      </c>
      <c r="D1943" s="1">
        <f>IFERROR(__xludf.DUMMYFUNCTION("""COMPUTED_VALUE"""),41750.0)</f>
        <v>41750</v>
      </c>
      <c r="E1943" s="1">
        <f>IFERROR(__xludf.DUMMYFUNCTION("""COMPUTED_VALUE"""),41850.0)</f>
        <v>41850</v>
      </c>
      <c r="F1943" s="1">
        <f>IFERROR(__xludf.DUMMYFUNCTION("""COMPUTED_VALUE"""),1.9775519E7)</f>
        <v>19775519</v>
      </c>
    </row>
    <row r="1944">
      <c r="A1944" s="2">
        <f>IFERROR(__xludf.DUMMYFUNCTION("""COMPUTED_VALUE"""),43437.64583333333)</f>
        <v>43437.64583</v>
      </c>
      <c r="B1944" s="1">
        <f>IFERROR(__xludf.DUMMYFUNCTION("""COMPUTED_VALUE"""),42750.0)</f>
        <v>42750</v>
      </c>
      <c r="C1944" s="1">
        <f>IFERROR(__xludf.DUMMYFUNCTION("""COMPUTED_VALUE"""),43400.0)</f>
        <v>43400</v>
      </c>
      <c r="D1944" s="1">
        <f>IFERROR(__xludf.DUMMYFUNCTION("""COMPUTED_VALUE"""),42400.0)</f>
        <v>42400</v>
      </c>
      <c r="E1944" s="1">
        <f>IFERROR(__xludf.DUMMYFUNCTION("""COMPUTED_VALUE"""),43250.0)</f>
        <v>43250</v>
      </c>
      <c r="F1944" s="1">
        <f>IFERROR(__xludf.DUMMYFUNCTION("""COMPUTED_VALUE"""),1.2110702E7)</f>
        <v>12110702</v>
      </c>
    </row>
    <row r="1945">
      <c r="A1945" s="2">
        <f>IFERROR(__xludf.DUMMYFUNCTION("""COMPUTED_VALUE"""),43438.64583333333)</f>
        <v>43438.64583</v>
      </c>
      <c r="B1945" s="1">
        <f>IFERROR(__xludf.DUMMYFUNCTION("""COMPUTED_VALUE"""),42650.0)</f>
        <v>42650</v>
      </c>
      <c r="C1945" s="1">
        <f>IFERROR(__xludf.DUMMYFUNCTION("""COMPUTED_VALUE"""),42900.0)</f>
        <v>42900</v>
      </c>
      <c r="D1945" s="1">
        <f>IFERROR(__xludf.DUMMYFUNCTION("""COMPUTED_VALUE"""),41900.0)</f>
        <v>41900</v>
      </c>
      <c r="E1945" s="1">
        <f>IFERROR(__xludf.DUMMYFUNCTION("""COMPUTED_VALUE"""),42150.0)</f>
        <v>42150</v>
      </c>
      <c r="F1945" s="1">
        <f>IFERROR(__xludf.DUMMYFUNCTION("""COMPUTED_VALUE"""),1.4347746E7)</f>
        <v>14347746</v>
      </c>
    </row>
    <row r="1946">
      <c r="A1946" s="2">
        <f>IFERROR(__xludf.DUMMYFUNCTION("""COMPUTED_VALUE"""),43439.64583333333)</f>
        <v>43439.64583</v>
      </c>
      <c r="B1946" s="1">
        <f>IFERROR(__xludf.DUMMYFUNCTION("""COMPUTED_VALUE"""),40900.0)</f>
        <v>40900</v>
      </c>
      <c r="C1946" s="1">
        <f>IFERROR(__xludf.DUMMYFUNCTION("""COMPUTED_VALUE"""),41750.0)</f>
        <v>41750</v>
      </c>
      <c r="D1946" s="1">
        <f>IFERROR(__xludf.DUMMYFUNCTION("""COMPUTED_VALUE"""),40850.0)</f>
        <v>40850</v>
      </c>
      <c r="E1946" s="1">
        <f>IFERROR(__xludf.DUMMYFUNCTION("""COMPUTED_VALUE"""),41450.0)</f>
        <v>41450</v>
      </c>
      <c r="F1946" s="1">
        <f>IFERROR(__xludf.DUMMYFUNCTION("""COMPUTED_VALUE"""),1.2631983E7)</f>
        <v>12631983</v>
      </c>
    </row>
    <row r="1947">
      <c r="A1947" s="2">
        <f>IFERROR(__xludf.DUMMYFUNCTION("""COMPUTED_VALUE"""),43440.64583333333)</f>
        <v>43440.64583</v>
      </c>
      <c r="B1947" s="1">
        <f>IFERROR(__xludf.DUMMYFUNCTION("""COMPUTED_VALUE"""),40600.0)</f>
        <v>40600</v>
      </c>
      <c r="C1947" s="1">
        <f>IFERROR(__xludf.DUMMYFUNCTION("""COMPUTED_VALUE"""),41100.0)</f>
        <v>41100</v>
      </c>
      <c r="D1947" s="1">
        <f>IFERROR(__xludf.DUMMYFUNCTION("""COMPUTED_VALUE"""),40450.0)</f>
        <v>40450</v>
      </c>
      <c r="E1947" s="1">
        <f>IFERROR(__xludf.DUMMYFUNCTION("""COMPUTED_VALUE"""),40500.0)</f>
        <v>40500</v>
      </c>
      <c r="F1947" s="1">
        <f>IFERROR(__xludf.DUMMYFUNCTION("""COMPUTED_VALUE"""),1.4251826E7)</f>
        <v>14251826</v>
      </c>
    </row>
    <row r="1948">
      <c r="A1948" s="2">
        <f>IFERROR(__xludf.DUMMYFUNCTION("""COMPUTED_VALUE"""),43441.64583333333)</f>
        <v>43441.64583</v>
      </c>
      <c r="B1948" s="1">
        <f>IFERROR(__xludf.DUMMYFUNCTION("""COMPUTED_VALUE"""),40900.0)</f>
        <v>40900</v>
      </c>
      <c r="C1948" s="1">
        <f>IFERROR(__xludf.DUMMYFUNCTION("""COMPUTED_VALUE"""),41400.0)</f>
        <v>41400</v>
      </c>
      <c r="D1948" s="1">
        <f>IFERROR(__xludf.DUMMYFUNCTION("""COMPUTED_VALUE"""),40850.0)</f>
        <v>40850</v>
      </c>
      <c r="E1948" s="1">
        <f>IFERROR(__xludf.DUMMYFUNCTION("""COMPUTED_VALUE"""),40950.0)</f>
        <v>40950</v>
      </c>
      <c r="F1948" s="1">
        <f>IFERROR(__xludf.DUMMYFUNCTION("""COMPUTED_VALUE"""),1.1433083E7)</f>
        <v>11433083</v>
      </c>
    </row>
    <row r="1949">
      <c r="A1949" s="2">
        <f>IFERROR(__xludf.DUMMYFUNCTION("""COMPUTED_VALUE"""),43444.64583333333)</f>
        <v>43444.64583</v>
      </c>
      <c r="B1949" s="1">
        <f>IFERROR(__xludf.DUMMYFUNCTION("""COMPUTED_VALUE"""),40450.0)</f>
        <v>40450</v>
      </c>
      <c r="C1949" s="1">
        <f>IFERROR(__xludf.DUMMYFUNCTION("""COMPUTED_VALUE"""),40650.0)</f>
        <v>40650</v>
      </c>
      <c r="D1949" s="1">
        <f>IFERROR(__xludf.DUMMYFUNCTION("""COMPUTED_VALUE"""),40000.0)</f>
        <v>40000</v>
      </c>
      <c r="E1949" s="1">
        <f>IFERROR(__xludf.DUMMYFUNCTION("""COMPUTED_VALUE"""),40200.0)</f>
        <v>40200</v>
      </c>
      <c r="F1949" s="1">
        <f>IFERROR(__xludf.DUMMYFUNCTION("""COMPUTED_VALUE"""),1.4892263E7)</f>
        <v>14892263</v>
      </c>
    </row>
    <row r="1950">
      <c r="A1950" s="2">
        <f>IFERROR(__xludf.DUMMYFUNCTION("""COMPUTED_VALUE"""),43445.64583333333)</f>
        <v>43445.64583</v>
      </c>
      <c r="B1950" s="1">
        <f>IFERROR(__xludf.DUMMYFUNCTION("""COMPUTED_VALUE"""),40600.0)</f>
        <v>40600</v>
      </c>
      <c r="C1950" s="1">
        <f>IFERROR(__xludf.DUMMYFUNCTION("""COMPUTED_VALUE"""),40700.0)</f>
        <v>40700</v>
      </c>
      <c r="D1950" s="1">
        <f>IFERROR(__xludf.DUMMYFUNCTION("""COMPUTED_VALUE"""),40200.0)</f>
        <v>40200</v>
      </c>
      <c r="E1950" s="1">
        <f>IFERROR(__xludf.DUMMYFUNCTION("""COMPUTED_VALUE"""),40250.0)</f>
        <v>40250</v>
      </c>
      <c r="F1950" s="1">
        <f>IFERROR(__xludf.DUMMYFUNCTION("""COMPUTED_VALUE"""),1.0638766E7)</f>
        <v>10638766</v>
      </c>
    </row>
    <row r="1951">
      <c r="A1951" s="2">
        <f>IFERROR(__xludf.DUMMYFUNCTION("""COMPUTED_VALUE"""),43446.64583333333)</f>
        <v>43446.64583</v>
      </c>
      <c r="B1951" s="1">
        <f>IFERROR(__xludf.DUMMYFUNCTION("""COMPUTED_VALUE"""),40250.0)</f>
        <v>40250</v>
      </c>
      <c r="C1951" s="1">
        <f>IFERROR(__xludf.DUMMYFUNCTION("""COMPUTED_VALUE"""),40700.0)</f>
        <v>40700</v>
      </c>
      <c r="D1951" s="1">
        <f>IFERROR(__xludf.DUMMYFUNCTION("""COMPUTED_VALUE"""),40150.0)</f>
        <v>40150</v>
      </c>
      <c r="E1951" s="1">
        <f>IFERROR(__xludf.DUMMYFUNCTION("""COMPUTED_VALUE"""),40450.0)</f>
        <v>40450</v>
      </c>
      <c r="F1951" s="1">
        <f>IFERROR(__xludf.DUMMYFUNCTION("""COMPUTED_VALUE"""),1.2024279E7)</f>
        <v>12024279</v>
      </c>
    </row>
    <row r="1952">
      <c r="A1952" s="2">
        <f>IFERROR(__xludf.DUMMYFUNCTION("""COMPUTED_VALUE"""),43447.64583333333)</f>
        <v>43447.64583</v>
      </c>
      <c r="B1952" s="1">
        <f>IFERROR(__xludf.DUMMYFUNCTION("""COMPUTED_VALUE"""),40650.0)</f>
        <v>40650</v>
      </c>
      <c r="C1952" s="1">
        <f>IFERROR(__xludf.DUMMYFUNCTION("""COMPUTED_VALUE"""),40750.0)</f>
        <v>40750</v>
      </c>
      <c r="D1952" s="1">
        <f>IFERROR(__xludf.DUMMYFUNCTION("""COMPUTED_VALUE"""),40000.0)</f>
        <v>40000</v>
      </c>
      <c r="E1952" s="1">
        <f>IFERROR(__xludf.DUMMYFUNCTION("""COMPUTED_VALUE"""),40000.0)</f>
        <v>40000</v>
      </c>
      <c r="F1952" s="1">
        <f>IFERROR(__xludf.DUMMYFUNCTION("""COMPUTED_VALUE"""),2.6254646E7)</f>
        <v>26254646</v>
      </c>
    </row>
    <row r="1953">
      <c r="A1953" s="2">
        <f>IFERROR(__xludf.DUMMYFUNCTION("""COMPUTED_VALUE"""),43448.64583333333)</f>
        <v>43448.64583</v>
      </c>
      <c r="B1953" s="1">
        <f>IFERROR(__xludf.DUMMYFUNCTION("""COMPUTED_VALUE"""),40200.0)</f>
        <v>40200</v>
      </c>
      <c r="C1953" s="1">
        <f>IFERROR(__xludf.DUMMYFUNCTION("""COMPUTED_VALUE"""),40200.0)</f>
        <v>40200</v>
      </c>
      <c r="D1953" s="1">
        <f>IFERROR(__xludf.DUMMYFUNCTION("""COMPUTED_VALUE"""),38700.0)</f>
        <v>38700</v>
      </c>
      <c r="E1953" s="1">
        <f>IFERROR(__xludf.DUMMYFUNCTION("""COMPUTED_VALUE"""),38950.0)</f>
        <v>38950</v>
      </c>
      <c r="F1953" s="1">
        <f>IFERROR(__xludf.DUMMYFUNCTION("""COMPUTED_VALUE"""),1.9671783E7)</f>
        <v>19671783</v>
      </c>
    </row>
    <row r="1954">
      <c r="A1954" s="2">
        <f>IFERROR(__xludf.DUMMYFUNCTION("""COMPUTED_VALUE"""),43451.64583333333)</f>
        <v>43451.64583</v>
      </c>
      <c r="B1954" s="1">
        <f>IFERROR(__xludf.DUMMYFUNCTION("""COMPUTED_VALUE"""),38650.0)</f>
        <v>38650</v>
      </c>
      <c r="C1954" s="1">
        <f>IFERROR(__xludf.DUMMYFUNCTION("""COMPUTED_VALUE"""),39600.0)</f>
        <v>39600</v>
      </c>
      <c r="D1954" s="1">
        <f>IFERROR(__xludf.DUMMYFUNCTION("""COMPUTED_VALUE"""),38650.0)</f>
        <v>38650</v>
      </c>
      <c r="E1954" s="1">
        <f>IFERROR(__xludf.DUMMYFUNCTION("""COMPUTED_VALUE"""),39150.0)</f>
        <v>39150</v>
      </c>
      <c r="F1954" s="1">
        <f>IFERROR(__xludf.DUMMYFUNCTION("""COMPUTED_VALUE"""),1.1532968E7)</f>
        <v>11532968</v>
      </c>
    </row>
    <row r="1955">
      <c r="A1955" s="2">
        <f>IFERROR(__xludf.DUMMYFUNCTION("""COMPUTED_VALUE"""),43452.64583333333)</f>
        <v>43452.64583</v>
      </c>
      <c r="B1955" s="1">
        <f>IFERROR(__xludf.DUMMYFUNCTION("""COMPUTED_VALUE"""),38300.0)</f>
        <v>38300</v>
      </c>
      <c r="C1955" s="1">
        <f>IFERROR(__xludf.DUMMYFUNCTION("""COMPUTED_VALUE"""),39200.0)</f>
        <v>39200</v>
      </c>
      <c r="D1955" s="1">
        <f>IFERROR(__xludf.DUMMYFUNCTION("""COMPUTED_VALUE"""),38300.0)</f>
        <v>38300</v>
      </c>
      <c r="E1955" s="1">
        <f>IFERROR(__xludf.DUMMYFUNCTION("""COMPUTED_VALUE"""),38900.0)</f>
        <v>38900</v>
      </c>
      <c r="F1955" s="1">
        <f>IFERROR(__xludf.DUMMYFUNCTION("""COMPUTED_VALUE"""),1.1042101E7)</f>
        <v>11042101</v>
      </c>
    </row>
    <row r="1956">
      <c r="A1956" s="2">
        <f>IFERROR(__xludf.DUMMYFUNCTION("""COMPUTED_VALUE"""),43453.64583333333)</f>
        <v>43453.64583</v>
      </c>
      <c r="B1956" s="1">
        <f>IFERROR(__xludf.DUMMYFUNCTION("""COMPUTED_VALUE"""),38900.0)</f>
        <v>38900</v>
      </c>
      <c r="C1956" s="1">
        <f>IFERROR(__xludf.DUMMYFUNCTION("""COMPUTED_VALUE"""),39350.0)</f>
        <v>39350</v>
      </c>
      <c r="D1956" s="1">
        <f>IFERROR(__xludf.DUMMYFUNCTION("""COMPUTED_VALUE"""),38850.0)</f>
        <v>38850</v>
      </c>
      <c r="E1956" s="1">
        <f>IFERROR(__xludf.DUMMYFUNCTION("""COMPUTED_VALUE"""),39100.0)</f>
        <v>39100</v>
      </c>
      <c r="F1956" s="1">
        <f>IFERROR(__xludf.DUMMYFUNCTION("""COMPUTED_VALUE"""),9942037.0)</f>
        <v>9942037</v>
      </c>
    </row>
    <row r="1957">
      <c r="A1957" s="2">
        <f>IFERROR(__xludf.DUMMYFUNCTION("""COMPUTED_VALUE"""),43454.64583333333)</f>
        <v>43454.64583</v>
      </c>
      <c r="B1957" s="1">
        <f>IFERROR(__xludf.DUMMYFUNCTION("""COMPUTED_VALUE"""),38600.0)</f>
        <v>38600</v>
      </c>
      <c r="C1957" s="1">
        <f>IFERROR(__xludf.DUMMYFUNCTION("""COMPUTED_VALUE"""),39100.0)</f>
        <v>39100</v>
      </c>
      <c r="D1957" s="1">
        <f>IFERROR(__xludf.DUMMYFUNCTION("""COMPUTED_VALUE"""),38500.0)</f>
        <v>38500</v>
      </c>
      <c r="E1957" s="1">
        <f>IFERROR(__xludf.DUMMYFUNCTION("""COMPUTED_VALUE"""),38650.0)</f>
        <v>38650</v>
      </c>
      <c r="F1957" s="1">
        <f>IFERROR(__xludf.DUMMYFUNCTION("""COMPUTED_VALUE"""),1.1937617E7)</f>
        <v>11937617</v>
      </c>
    </row>
    <row r="1958">
      <c r="A1958" s="2">
        <f>IFERROR(__xludf.DUMMYFUNCTION("""COMPUTED_VALUE"""),43455.64583333333)</f>
        <v>43455.64583</v>
      </c>
      <c r="B1958" s="1">
        <f>IFERROR(__xludf.DUMMYFUNCTION("""COMPUTED_VALUE"""),38200.0)</f>
        <v>38200</v>
      </c>
      <c r="C1958" s="1">
        <f>IFERROR(__xludf.DUMMYFUNCTION("""COMPUTED_VALUE"""),38650.0)</f>
        <v>38650</v>
      </c>
      <c r="D1958" s="1">
        <f>IFERROR(__xludf.DUMMYFUNCTION("""COMPUTED_VALUE"""),38100.0)</f>
        <v>38100</v>
      </c>
      <c r="E1958" s="1">
        <f>IFERROR(__xludf.DUMMYFUNCTION("""COMPUTED_VALUE"""),38650.0)</f>
        <v>38650</v>
      </c>
      <c r="F1958" s="1">
        <f>IFERROR(__xludf.DUMMYFUNCTION("""COMPUTED_VALUE"""),1.494708E7)</f>
        <v>14947080</v>
      </c>
    </row>
    <row r="1959">
      <c r="A1959" s="2">
        <f>IFERROR(__xludf.DUMMYFUNCTION("""COMPUTED_VALUE"""),43458.64583333333)</f>
        <v>43458.64583</v>
      </c>
      <c r="B1959" s="1">
        <f>IFERROR(__xludf.DUMMYFUNCTION("""COMPUTED_VALUE"""),38500.0)</f>
        <v>38500</v>
      </c>
      <c r="C1959" s="1">
        <f>IFERROR(__xludf.DUMMYFUNCTION("""COMPUTED_VALUE"""),39050.0)</f>
        <v>39050</v>
      </c>
      <c r="D1959" s="1">
        <f>IFERROR(__xludf.DUMMYFUNCTION("""COMPUTED_VALUE"""),38300.0)</f>
        <v>38300</v>
      </c>
      <c r="E1959" s="1">
        <f>IFERROR(__xludf.DUMMYFUNCTION("""COMPUTED_VALUE"""),38800.0)</f>
        <v>38800</v>
      </c>
      <c r="F1959" s="1">
        <f>IFERROR(__xludf.DUMMYFUNCTION("""COMPUTED_VALUE"""),9729530.0)</f>
        <v>9729530</v>
      </c>
    </row>
    <row r="1960">
      <c r="A1960" s="2">
        <f>IFERROR(__xludf.DUMMYFUNCTION("""COMPUTED_VALUE"""),43460.64583333333)</f>
        <v>43460.64583</v>
      </c>
      <c r="B1960" s="1">
        <f>IFERROR(__xludf.DUMMYFUNCTION("""COMPUTED_VALUE"""),38400.0)</f>
        <v>38400</v>
      </c>
      <c r="C1960" s="1">
        <f>IFERROR(__xludf.DUMMYFUNCTION("""COMPUTED_VALUE"""),38750.0)</f>
        <v>38750</v>
      </c>
      <c r="D1960" s="1">
        <f>IFERROR(__xludf.DUMMYFUNCTION("""COMPUTED_VALUE"""),38300.0)</f>
        <v>38300</v>
      </c>
      <c r="E1960" s="1">
        <f>IFERROR(__xludf.DUMMYFUNCTION("""COMPUTED_VALUE"""),38350.0)</f>
        <v>38350</v>
      </c>
      <c r="F1960" s="1">
        <f>IFERROR(__xludf.DUMMYFUNCTION("""COMPUTED_VALUE"""),1.2707675E7)</f>
        <v>12707675</v>
      </c>
    </row>
    <row r="1961">
      <c r="A1961" s="2">
        <f>IFERROR(__xludf.DUMMYFUNCTION("""COMPUTED_VALUE"""),43461.64583333333)</f>
        <v>43461.64583</v>
      </c>
      <c r="B1961" s="1">
        <f>IFERROR(__xludf.DUMMYFUNCTION("""COMPUTED_VALUE"""),38700.0)</f>
        <v>38700</v>
      </c>
      <c r="C1961" s="1">
        <f>IFERROR(__xludf.DUMMYFUNCTION("""COMPUTED_VALUE"""),38800.0)</f>
        <v>38800</v>
      </c>
      <c r="D1961" s="1">
        <f>IFERROR(__xludf.DUMMYFUNCTION("""COMPUTED_VALUE"""),38100.0)</f>
        <v>38100</v>
      </c>
      <c r="E1961" s="1">
        <f>IFERROR(__xludf.DUMMYFUNCTION("""COMPUTED_VALUE"""),38250.0)</f>
        <v>38250</v>
      </c>
      <c r="F1961" s="1">
        <f>IFERROR(__xludf.DUMMYFUNCTION("""COMPUTED_VALUE"""),1.0510643E7)</f>
        <v>10510643</v>
      </c>
    </row>
    <row r="1962">
      <c r="A1962" s="2">
        <f>IFERROR(__xludf.DUMMYFUNCTION("""COMPUTED_VALUE"""),43462.64583333333)</f>
        <v>43462.64583</v>
      </c>
      <c r="B1962" s="1">
        <f>IFERROR(__xludf.DUMMYFUNCTION("""COMPUTED_VALUE"""),38250.0)</f>
        <v>38250</v>
      </c>
      <c r="C1962" s="1">
        <f>IFERROR(__xludf.DUMMYFUNCTION("""COMPUTED_VALUE"""),38900.0)</f>
        <v>38900</v>
      </c>
      <c r="D1962" s="1">
        <f>IFERROR(__xludf.DUMMYFUNCTION("""COMPUTED_VALUE"""),38200.0)</f>
        <v>38200</v>
      </c>
      <c r="E1962" s="1">
        <f>IFERROR(__xludf.DUMMYFUNCTION("""COMPUTED_VALUE"""),38700.0)</f>
        <v>38700</v>
      </c>
      <c r="F1962" s="1">
        <f>IFERROR(__xludf.DUMMYFUNCTION("""COMPUTED_VALUE"""),9900267.0)</f>
        <v>9900267</v>
      </c>
    </row>
    <row r="1963">
      <c r="A1963" s="2">
        <f>IFERROR(__xludf.DUMMYFUNCTION("""COMPUTED_VALUE"""),43467.64583333333)</f>
        <v>43467.64583</v>
      </c>
      <c r="B1963" s="1">
        <f>IFERROR(__xludf.DUMMYFUNCTION("""COMPUTED_VALUE"""),39400.0)</f>
        <v>39400</v>
      </c>
      <c r="C1963" s="1">
        <f>IFERROR(__xludf.DUMMYFUNCTION("""COMPUTED_VALUE"""),39400.0)</f>
        <v>39400</v>
      </c>
      <c r="D1963" s="1">
        <f>IFERROR(__xludf.DUMMYFUNCTION("""COMPUTED_VALUE"""),38550.0)</f>
        <v>38550</v>
      </c>
      <c r="E1963" s="1">
        <f>IFERROR(__xludf.DUMMYFUNCTION("""COMPUTED_VALUE"""),38750.0)</f>
        <v>38750</v>
      </c>
      <c r="F1963" s="1">
        <f>IFERROR(__xludf.DUMMYFUNCTION("""COMPUTED_VALUE"""),7847664.0)</f>
        <v>7847664</v>
      </c>
    </row>
    <row r="1964">
      <c r="A1964" s="2">
        <f>IFERROR(__xludf.DUMMYFUNCTION("""COMPUTED_VALUE"""),43468.64583333333)</f>
        <v>43468.64583</v>
      </c>
      <c r="B1964" s="1">
        <f>IFERROR(__xludf.DUMMYFUNCTION("""COMPUTED_VALUE"""),38300.0)</f>
        <v>38300</v>
      </c>
      <c r="C1964" s="1">
        <f>IFERROR(__xludf.DUMMYFUNCTION("""COMPUTED_VALUE"""),38550.0)</f>
        <v>38550</v>
      </c>
      <c r="D1964" s="1">
        <f>IFERROR(__xludf.DUMMYFUNCTION("""COMPUTED_VALUE"""),37450.0)</f>
        <v>37450</v>
      </c>
      <c r="E1964" s="1">
        <f>IFERROR(__xludf.DUMMYFUNCTION("""COMPUTED_VALUE"""),37600.0)</f>
        <v>37600</v>
      </c>
      <c r="F1964" s="1">
        <f>IFERROR(__xludf.DUMMYFUNCTION("""COMPUTED_VALUE"""),1.2471493E7)</f>
        <v>12471493</v>
      </c>
    </row>
    <row r="1965">
      <c r="A1965" s="2">
        <f>IFERROR(__xludf.DUMMYFUNCTION("""COMPUTED_VALUE"""),43469.64583333333)</f>
        <v>43469.64583</v>
      </c>
      <c r="B1965" s="1">
        <f>IFERROR(__xludf.DUMMYFUNCTION("""COMPUTED_VALUE"""),37450.0)</f>
        <v>37450</v>
      </c>
      <c r="C1965" s="1">
        <f>IFERROR(__xludf.DUMMYFUNCTION("""COMPUTED_VALUE"""),37600.0)</f>
        <v>37600</v>
      </c>
      <c r="D1965" s="1">
        <f>IFERROR(__xludf.DUMMYFUNCTION("""COMPUTED_VALUE"""),36850.0)</f>
        <v>36850</v>
      </c>
      <c r="E1965" s="1">
        <f>IFERROR(__xludf.DUMMYFUNCTION("""COMPUTED_VALUE"""),37450.0)</f>
        <v>37450</v>
      </c>
      <c r="F1965" s="1">
        <f>IFERROR(__xludf.DUMMYFUNCTION("""COMPUTED_VALUE"""),1.4108958E7)</f>
        <v>14108958</v>
      </c>
    </row>
    <row r="1966">
      <c r="A1966" s="2">
        <f>IFERROR(__xludf.DUMMYFUNCTION("""COMPUTED_VALUE"""),43472.64583333333)</f>
        <v>43472.64583</v>
      </c>
      <c r="B1966" s="1">
        <f>IFERROR(__xludf.DUMMYFUNCTION("""COMPUTED_VALUE"""),38000.0)</f>
        <v>38000</v>
      </c>
      <c r="C1966" s="1">
        <f>IFERROR(__xludf.DUMMYFUNCTION("""COMPUTED_VALUE"""),38900.0)</f>
        <v>38900</v>
      </c>
      <c r="D1966" s="1">
        <f>IFERROR(__xludf.DUMMYFUNCTION("""COMPUTED_VALUE"""),37800.0)</f>
        <v>37800</v>
      </c>
      <c r="E1966" s="1">
        <f>IFERROR(__xludf.DUMMYFUNCTION("""COMPUTED_VALUE"""),38750.0)</f>
        <v>38750</v>
      </c>
      <c r="F1966" s="1">
        <f>IFERROR(__xludf.DUMMYFUNCTION("""COMPUTED_VALUE"""),1.2748997E7)</f>
        <v>12748997</v>
      </c>
    </row>
    <row r="1967">
      <c r="A1967" s="2">
        <f>IFERROR(__xludf.DUMMYFUNCTION("""COMPUTED_VALUE"""),43473.64583333333)</f>
        <v>43473.64583</v>
      </c>
      <c r="B1967" s="1">
        <f>IFERROR(__xludf.DUMMYFUNCTION("""COMPUTED_VALUE"""),38000.0)</f>
        <v>38000</v>
      </c>
      <c r="C1967" s="1">
        <f>IFERROR(__xludf.DUMMYFUNCTION("""COMPUTED_VALUE"""),39200.0)</f>
        <v>39200</v>
      </c>
      <c r="D1967" s="1">
        <f>IFERROR(__xludf.DUMMYFUNCTION("""COMPUTED_VALUE"""),37950.0)</f>
        <v>37950</v>
      </c>
      <c r="E1967" s="1">
        <f>IFERROR(__xludf.DUMMYFUNCTION("""COMPUTED_VALUE"""),38100.0)</f>
        <v>38100</v>
      </c>
      <c r="F1967" s="1">
        <f>IFERROR(__xludf.DUMMYFUNCTION("""COMPUTED_VALUE"""),1.2756554E7)</f>
        <v>12756554</v>
      </c>
    </row>
    <row r="1968">
      <c r="A1968" s="2">
        <f>IFERROR(__xludf.DUMMYFUNCTION("""COMPUTED_VALUE"""),43474.64583333333)</f>
        <v>43474.64583</v>
      </c>
      <c r="B1968" s="1">
        <f>IFERROR(__xludf.DUMMYFUNCTION("""COMPUTED_VALUE"""),38650.0)</f>
        <v>38650</v>
      </c>
      <c r="C1968" s="1">
        <f>IFERROR(__xludf.DUMMYFUNCTION("""COMPUTED_VALUE"""),39600.0)</f>
        <v>39600</v>
      </c>
      <c r="D1968" s="1">
        <f>IFERROR(__xludf.DUMMYFUNCTION("""COMPUTED_VALUE"""),38300.0)</f>
        <v>38300</v>
      </c>
      <c r="E1968" s="1">
        <f>IFERROR(__xludf.DUMMYFUNCTION("""COMPUTED_VALUE"""),39600.0)</f>
        <v>39600</v>
      </c>
      <c r="F1968" s="1">
        <f>IFERROR(__xludf.DUMMYFUNCTION("""COMPUTED_VALUE"""),1.7452708E7)</f>
        <v>17452708</v>
      </c>
    </row>
    <row r="1969">
      <c r="A1969" s="2">
        <f>IFERROR(__xludf.DUMMYFUNCTION("""COMPUTED_VALUE"""),43475.64583333333)</f>
        <v>43475.64583</v>
      </c>
      <c r="B1969" s="1">
        <f>IFERROR(__xludf.DUMMYFUNCTION("""COMPUTED_VALUE"""),40000.0)</f>
        <v>40000</v>
      </c>
      <c r="C1969" s="1">
        <f>IFERROR(__xludf.DUMMYFUNCTION("""COMPUTED_VALUE"""),40150.0)</f>
        <v>40150</v>
      </c>
      <c r="D1969" s="1">
        <f>IFERROR(__xludf.DUMMYFUNCTION("""COMPUTED_VALUE"""),39600.0)</f>
        <v>39600</v>
      </c>
      <c r="E1969" s="1">
        <f>IFERROR(__xludf.DUMMYFUNCTION("""COMPUTED_VALUE"""),39800.0)</f>
        <v>39800</v>
      </c>
      <c r="F1969" s="1">
        <f>IFERROR(__xludf.DUMMYFUNCTION("""COMPUTED_VALUE"""),1.4731699E7)</f>
        <v>14731699</v>
      </c>
    </row>
    <row r="1970">
      <c r="A1970" s="2">
        <f>IFERROR(__xludf.DUMMYFUNCTION("""COMPUTED_VALUE"""),43476.64583333333)</f>
        <v>43476.64583</v>
      </c>
      <c r="B1970" s="1">
        <f>IFERROR(__xludf.DUMMYFUNCTION("""COMPUTED_VALUE"""),40350.0)</f>
        <v>40350</v>
      </c>
      <c r="C1970" s="1">
        <f>IFERROR(__xludf.DUMMYFUNCTION("""COMPUTED_VALUE"""),40550.0)</f>
        <v>40550</v>
      </c>
      <c r="D1970" s="1">
        <f>IFERROR(__xludf.DUMMYFUNCTION("""COMPUTED_VALUE"""),39950.0)</f>
        <v>39950</v>
      </c>
      <c r="E1970" s="1">
        <f>IFERROR(__xludf.DUMMYFUNCTION("""COMPUTED_VALUE"""),40500.0)</f>
        <v>40500</v>
      </c>
      <c r="F1970" s="1">
        <f>IFERROR(__xludf.DUMMYFUNCTION("""COMPUTED_VALUE"""),1.1661063E7)</f>
        <v>11661063</v>
      </c>
    </row>
    <row r="1971">
      <c r="A1971" s="2">
        <f>IFERROR(__xludf.DUMMYFUNCTION("""COMPUTED_VALUE"""),43479.64583333333)</f>
        <v>43479.64583</v>
      </c>
      <c r="B1971" s="1">
        <f>IFERROR(__xludf.DUMMYFUNCTION("""COMPUTED_VALUE"""),40450.0)</f>
        <v>40450</v>
      </c>
      <c r="C1971" s="1">
        <f>IFERROR(__xludf.DUMMYFUNCTION("""COMPUTED_VALUE"""),40700.0)</f>
        <v>40700</v>
      </c>
      <c r="D1971" s="1">
        <f>IFERROR(__xludf.DUMMYFUNCTION("""COMPUTED_VALUE"""),39850.0)</f>
        <v>39850</v>
      </c>
      <c r="E1971" s="1">
        <f>IFERROR(__xludf.DUMMYFUNCTION("""COMPUTED_VALUE"""),40050.0)</f>
        <v>40050</v>
      </c>
      <c r="F1971" s="1">
        <f>IFERROR(__xludf.DUMMYFUNCTION("""COMPUTED_VALUE"""),1.1984996E7)</f>
        <v>11984996</v>
      </c>
    </row>
    <row r="1972">
      <c r="A1972" s="2">
        <f>IFERROR(__xludf.DUMMYFUNCTION("""COMPUTED_VALUE"""),43480.64583333333)</f>
        <v>43480.64583</v>
      </c>
      <c r="B1972" s="1">
        <f>IFERROR(__xludf.DUMMYFUNCTION("""COMPUTED_VALUE"""),40050.0)</f>
        <v>40050</v>
      </c>
      <c r="C1972" s="1">
        <f>IFERROR(__xludf.DUMMYFUNCTION("""COMPUTED_VALUE"""),41100.0)</f>
        <v>41100</v>
      </c>
      <c r="D1972" s="1">
        <f>IFERROR(__xludf.DUMMYFUNCTION("""COMPUTED_VALUE"""),39850.0)</f>
        <v>39850</v>
      </c>
      <c r="E1972" s="1">
        <f>IFERROR(__xludf.DUMMYFUNCTION("""COMPUTED_VALUE"""),41100.0)</f>
        <v>41100</v>
      </c>
      <c r="F1972" s="1">
        <f>IFERROR(__xludf.DUMMYFUNCTION("""COMPUTED_VALUE"""),1.1492756E7)</f>
        <v>11492756</v>
      </c>
    </row>
    <row r="1973">
      <c r="A1973" s="2">
        <f>IFERROR(__xludf.DUMMYFUNCTION("""COMPUTED_VALUE"""),43481.64583333333)</f>
        <v>43481.64583</v>
      </c>
      <c r="B1973" s="1">
        <f>IFERROR(__xludf.DUMMYFUNCTION("""COMPUTED_VALUE"""),41150.0)</f>
        <v>41150</v>
      </c>
      <c r="C1973" s="1">
        <f>IFERROR(__xludf.DUMMYFUNCTION("""COMPUTED_VALUE"""),41450.0)</f>
        <v>41450</v>
      </c>
      <c r="D1973" s="1">
        <f>IFERROR(__xludf.DUMMYFUNCTION("""COMPUTED_VALUE"""),40700.0)</f>
        <v>40700</v>
      </c>
      <c r="E1973" s="1">
        <f>IFERROR(__xludf.DUMMYFUNCTION("""COMPUTED_VALUE"""),41450.0)</f>
        <v>41450</v>
      </c>
      <c r="F1973" s="1">
        <f>IFERROR(__xludf.DUMMYFUNCTION("""COMPUTED_VALUE"""),8491595.0)</f>
        <v>8491595</v>
      </c>
    </row>
    <row r="1974">
      <c r="A1974" s="2">
        <f>IFERROR(__xludf.DUMMYFUNCTION("""COMPUTED_VALUE"""),43482.64583333333)</f>
        <v>43482.64583</v>
      </c>
      <c r="B1974" s="1">
        <f>IFERROR(__xludf.DUMMYFUNCTION("""COMPUTED_VALUE"""),41700.0)</f>
        <v>41700</v>
      </c>
      <c r="C1974" s="1">
        <f>IFERROR(__xludf.DUMMYFUNCTION("""COMPUTED_VALUE"""),42100.0)</f>
        <v>42100</v>
      </c>
      <c r="D1974" s="1">
        <f>IFERROR(__xludf.DUMMYFUNCTION("""COMPUTED_VALUE"""),41450.0)</f>
        <v>41450</v>
      </c>
      <c r="E1974" s="1">
        <f>IFERROR(__xludf.DUMMYFUNCTION("""COMPUTED_VALUE"""),41950.0)</f>
        <v>41950</v>
      </c>
      <c r="F1974" s="1">
        <f>IFERROR(__xludf.DUMMYFUNCTION("""COMPUTED_VALUE"""),1.1736903E7)</f>
        <v>11736903</v>
      </c>
    </row>
    <row r="1975">
      <c r="A1975" s="2">
        <f>IFERROR(__xludf.DUMMYFUNCTION("""COMPUTED_VALUE"""),43483.64583333333)</f>
        <v>43483.64583</v>
      </c>
      <c r="B1975" s="1">
        <f>IFERROR(__xludf.DUMMYFUNCTION("""COMPUTED_VALUE"""),42000.0)</f>
        <v>42000</v>
      </c>
      <c r="C1975" s="1">
        <f>IFERROR(__xludf.DUMMYFUNCTION("""COMPUTED_VALUE"""),42400.0)</f>
        <v>42400</v>
      </c>
      <c r="D1975" s="1">
        <f>IFERROR(__xludf.DUMMYFUNCTION("""COMPUTED_VALUE"""),41950.0)</f>
        <v>41950</v>
      </c>
      <c r="E1975" s="1">
        <f>IFERROR(__xludf.DUMMYFUNCTION("""COMPUTED_VALUE"""),42300.0)</f>
        <v>42300</v>
      </c>
      <c r="F1975" s="1">
        <f>IFERROR(__xludf.DUMMYFUNCTION("""COMPUTED_VALUE"""),1.1029256E7)</f>
        <v>11029256</v>
      </c>
    </row>
    <row r="1976">
      <c r="A1976" s="2">
        <f>IFERROR(__xludf.DUMMYFUNCTION("""COMPUTED_VALUE"""),43486.64583333333)</f>
        <v>43486.64583</v>
      </c>
      <c r="B1976" s="1">
        <f>IFERROR(__xludf.DUMMYFUNCTION("""COMPUTED_VALUE"""),42700.0)</f>
        <v>42700</v>
      </c>
      <c r="C1976" s="1">
        <f>IFERROR(__xludf.DUMMYFUNCTION("""COMPUTED_VALUE"""),42750.0)</f>
        <v>42750</v>
      </c>
      <c r="D1976" s="1">
        <f>IFERROR(__xludf.DUMMYFUNCTION("""COMPUTED_VALUE"""),41900.0)</f>
        <v>41900</v>
      </c>
      <c r="E1976" s="1">
        <f>IFERROR(__xludf.DUMMYFUNCTION("""COMPUTED_VALUE"""),42750.0)</f>
        <v>42750</v>
      </c>
      <c r="F1976" s="1">
        <f>IFERROR(__xludf.DUMMYFUNCTION("""COMPUTED_VALUE"""),1.1355701E7)</f>
        <v>11355701</v>
      </c>
    </row>
    <row r="1977">
      <c r="A1977" s="2">
        <f>IFERROR(__xludf.DUMMYFUNCTION("""COMPUTED_VALUE"""),43487.64583333333)</f>
        <v>43487.64583</v>
      </c>
      <c r="B1977" s="1">
        <f>IFERROR(__xludf.DUMMYFUNCTION("""COMPUTED_VALUE"""),42750.0)</f>
        <v>42750</v>
      </c>
      <c r="C1977" s="1">
        <f>IFERROR(__xludf.DUMMYFUNCTION("""COMPUTED_VALUE"""),42850.0)</f>
        <v>42850</v>
      </c>
      <c r="D1977" s="1">
        <f>IFERROR(__xludf.DUMMYFUNCTION("""COMPUTED_VALUE"""),41850.0)</f>
        <v>41850</v>
      </c>
      <c r="E1977" s="1">
        <f>IFERROR(__xludf.DUMMYFUNCTION("""COMPUTED_VALUE"""),42150.0)</f>
        <v>42150</v>
      </c>
      <c r="F1977" s="1">
        <f>IFERROR(__xludf.DUMMYFUNCTION("""COMPUTED_VALUE"""),9964356.0)</f>
        <v>9964356</v>
      </c>
    </row>
    <row r="1978">
      <c r="A1978" s="2">
        <f>IFERROR(__xludf.DUMMYFUNCTION("""COMPUTED_VALUE"""),43488.64583333333)</f>
        <v>43488.64583</v>
      </c>
      <c r="B1978" s="1">
        <f>IFERROR(__xludf.DUMMYFUNCTION("""COMPUTED_VALUE"""),41350.0)</f>
        <v>41350</v>
      </c>
      <c r="C1978" s="1">
        <f>IFERROR(__xludf.DUMMYFUNCTION("""COMPUTED_VALUE"""),42250.0)</f>
        <v>42250</v>
      </c>
      <c r="D1978" s="1">
        <f>IFERROR(__xludf.DUMMYFUNCTION("""COMPUTED_VALUE"""),41350.0)</f>
        <v>41350</v>
      </c>
      <c r="E1978" s="1">
        <f>IFERROR(__xludf.DUMMYFUNCTION("""COMPUTED_VALUE"""),42000.0)</f>
        <v>42000</v>
      </c>
      <c r="F1978" s="1">
        <f>IFERROR(__xludf.DUMMYFUNCTION("""COMPUTED_VALUE"""),1.1071079E7)</f>
        <v>11071079</v>
      </c>
    </row>
    <row r="1979">
      <c r="A1979" s="2">
        <f>IFERROR(__xludf.DUMMYFUNCTION("""COMPUTED_VALUE"""),43489.64583333333)</f>
        <v>43489.64583</v>
      </c>
      <c r="B1979" s="1">
        <f>IFERROR(__xludf.DUMMYFUNCTION("""COMPUTED_VALUE"""),43050.0)</f>
        <v>43050</v>
      </c>
      <c r="C1979" s="1">
        <f>IFERROR(__xludf.DUMMYFUNCTION("""COMPUTED_VALUE"""),43100.0)</f>
        <v>43100</v>
      </c>
      <c r="D1979" s="1">
        <f>IFERROR(__xludf.DUMMYFUNCTION("""COMPUTED_VALUE"""),42350.0)</f>
        <v>42350</v>
      </c>
      <c r="E1979" s="1">
        <f>IFERROR(__xludf.DUMMYFUNCTION("""COMPUTED_VALUE"""),43050.0)</f>
        <v>43050</v>
      </c>
      <c r="F1979" s="1">
        <f>IFERROR(__xludf.DUMMYFUNCTION("""COMPUTED_VALUE"""),1.4747623E7)</f>
        <v>14747623</v>
      </c>
    </row>
    <row r="1980">
      <c r="A1980" s="2">
        <f>IFERROR(__xludf.DUMMYFUNCTION("""COMPUTED_VALUE"""),43490.64583333333)</f>
        <v>43490.64583</v>
      </c>
      <c r="B1980" s="1">
        <f>IFERROR(__xludf.DUMMYFUNCTION("""COMPUTED_VALUE"""),44300.0)</f>
        <v>44300</v>
      </c>
      <c r="C1980" s="1">
        <f>IFERROR(__xludf.DUMMYFUNCTION("""COMPUTED_VALUE"""),44750.0)</f>
        <v>44750</v>
      </c>
      <c r="D1980" s="1">
        <f>IFERROR(__xludf.DUMMYFUNCTION("""COMPUTED_VALUE"""),43750.0)</f>
        <v>43750</v>
      </c>
      <c r="E1980" s="1">
        <f>IFERROR(__xludf.DUMMYFUNCTION("""COMPUTED_VALUE"""),44750.0)</f>
        <v>44750</v>
      </c>
      <c r="F1980" s="1">
        <f>IFERROR(__xludf.DUMMYFUNCTION("""COMPUTED_VALUE"""),2.2789395E7)</f>
        <v>22789395</v>
      </c>
    </row>
    <row r="1981">
      <c r="A1981" s="2">
        <f>IFERROR(__xludf.DUMMYFUNCTION("""COMPUTED_VALUE"""),43493.64583333333)</f>
        <v>43493.64583</v>
      </c>
      <c r="B1981" s="1">
        <f>IFERROR(__xludf.DUMMYFUNCTION("""COMPUTED_VALUE"""),45000.0)</f>
        <v>45000</v>
      </c>
      <c r="C1981" s="1">
        <f>IFERROR(__xludf.DUMMYFUNCTION("""COMPUTED_VALUE"""),45500.0)</f>
        <v>45500</v>
      </c>
      <c r="D1981" s="1">
        <f>IFERROR(__xludf.DUMMYFUNCTION("""COMPUTED_VALUE"""),44600.0)</f>
        <v>44600</v>
      </c>
      <c r="E1981" s="1">
        <f>IFERROR(__xludf.DUMMYFUNCTION("""COMPUTED_VALUE"""),45050.0)</f>
        <v>45050</v>
      </c>
      <c r="F1981" s="1">
        <f>IFERROR(__xludf.DUMMYFUNCTION("""COMPUTED_VALUE"""),1.7998914E7)</f>
        <v>17998914</v>
      </c>
    </row>
    <row r="1982">
      <c r="A1982" s="2">
        <f>IFERROR(__xludf.DUMMYFUNCTION("""COMPUTED_VALUE"""),43494.64583333333)</f>
        <v>43494.64583</v>
      </c>
      <c r="B1982" s="1">
        <f>IFERROR(__xludf.DUMMYFUNCTION("""COMPUTED_VALUE"""),45050.0)</f>
        <v>45050</v>
      </c>
      <c r="C1982" s="1">
        <f>IFERROR(__xludf.DUMMYFUNCTION("""COMPUTED_VALUE"""),45500.0)</f>
        <v>45500</v>
      </c>
      <c r="D1982" s="1">
        <f>IFERROR(__xludf.DUMMYFUNCTION("""COMPUTED_VALUE"""),44350.0)</f>
        <v>44350</v>
      </c>
      <c r="E1982" s="1">
        <f>IFERROR(__xludf.DUMMYFUNCTION("""COMPUTED_VALUE"""),45500.0)</f>
        <v>45500</v>
      </c>
      <c r="F1982" s="1">
        <f>IFERROR(__xludf.DUMMYFUNCTION("""COMPUTED_VALUE"""),1.6215017E7)</f>
        <v>16215017</v>
      </c>
    </row>
    <row r="1983">
      <c r="A1983" s="2">
        <f>IFERROR(__xludf.DUMMYFUNCTION("""COMPUTED_VALUE"""),43495.64583333333)</f>
        <v>43495.64583</v>
      </c>
      <c r="B1983" s="1">
        <f>IFERROR(__xludf.DUMMYFUNCTION("""COMPUTED_VALUE"""),44800.0)</f>
        <v>44800</v>
      </c>
      <c r="C1983" s="1">
        <f>IFERROR(__xludf.DUMMYFUNCTION("""COMPUTED_VALUE"""),46400.0)</f>
        <v>46400</v>
      </c>
      <c r="D1983" s="1">
        <f>IFERROR(__xludf.DUMMYFUNCTION("""COMPUTED_VALUE"""),44800.0)</f>
        <v>44800</v>
      </c>
      <c r="E1983" s="1">
        <f>IFERROR(__xludf.DUMMYFUNCTION("""COMPUTED_VALUE"""),46400.0)</f>
        <v>46400</v>
      </c>
      <c r="F1983" s="1">
        <f>IFERROR(__xludf.DUMMYFUNCTION("""COMPUTED_VALUE"""),1.750598E7)</f>
        <v>17505980</v>
      </c>
    </row>
    <row r="1984">
      <c r="A1984" s="2">
        <f>IFERROR(__xludf.DUMMYFUNCTION("""COMPUTED_VALUE"""),43496.64583333333)</f>
        <v>43496.64583</v>
      </c>
      <c r="B1984" s="1">
        <f>IFERROR(__xludf.DUMMYFUNCTION("""COMPUTED_VALUE"""),46650.0)</f>
        <v>46650</v>
      </c>
      <c r="C1984" s="1">
        <f>IFERROR(__xludf.DUMMYFUNCTION("""COMPUTED_VALUE"""),47050.0)</f>
        <v>47050</v>
      </c>
      <c r="D1984" s="1">
        <f>IFERROR(__xludf.DUMMYFUNCTION("""COMPUTED_VALUE"""),46150.0)</f>
        <v>46150</v>
      </c>
      <c r="E1984" s="1">
        <f>IFERROR(__xludf.DUMMYFUNCTION("""COMPUTED_VALUE"""),46150.0)</f>
        <v>46150</v>
      </c>
      <c r="F1984" s="1">
        <f>IFERROR(__xludf.DUMMYFUNCTION("""COMPUTED_VALUE"""),2.1621145E7)</f>
        <v>21621145</v>
      </c>
    </row>
    <row r="1985">
      <c r="A1985" s="2">
        <f>IFERROR(__xludf.DUMMYFUNCTION("""COMPUTED_VALUE"""),43497.64583333333)</f>
        <v>43497.64583</v>
      </c>
      <c r="B1985" s="1">
        <f>IFERROR(__xludf.DUMMYFUNCTION("""COMPUTED_VALUE"""),46650.0)</f>
        <v>46650</v>
      </c>
      <c r="C1985" s="1">
        <f>IFERROR(__xludf.DUMMYFUNCTION("""COMPUTED_VALUE"""),46950.0)</f>
        <v>46950</v>
      </c>
      <c r="D1985" s="1">
        <f>IFERROR(__xludf.DUMMYFUNCTION("""COMPUTED_VALUE"""),46250.0)</f>
        <v>46250</v>
      </c>
      <c r="E1985" s="1">
        <f>IFERROR(__xludf.DUMMYFUNCTION("""COMPUTED_VALUE"""),46350.0)</f>
        <v>46350</v>
      </c>
      <c r="F1985" s="1">
        <f>IFERROR(__xludf.DUMMYFUNCTION("""COMPUTED_VALUE"""),1.3832454E7)</f>
        <v>13832454</v>
      </c>
    </row>
    <row r="1986">
      <c r="A1986" s="2">
        <f>IFERROR(__xludf.DUMMYFUNCTION("""COMPUTED_VALUE"""),43503.64583333333)</f>
        <v>43503.64583</v>
      </c>
      <c r="B1986" s="1">
        <f>IFERROR(__xludf.DUMMYFUNCTION("""COMPUTED_VALUE"""),46800.0)</f>
        <v>46800</v>
      </c>
      <c r="C1986" s="1">
        <f>IFERROR(__xludf.DUMMYFUNCTION("""COMPUTED_VALUE"""),47100.0)</f>
        <v>47100</v>
      </c>
      <c r="D1986" s="1">
        <f>IFERROR(__xludf.DUMMYFUNCTION("""COMPUTED_VALUE"""),46200.0)</f>
        <v>46200</v>
      </c>
      <c r="E1986" s="1">
        <f>IFERROR(__xludf.DUMMYFUNCTION("""COMPUTED_VALUE"""),46200.0)</f>
        <v>46200</v>
      </c>
      <c r="F1986" s="1">
        <f>IFERROR(__xludf.DUMMYFUNCTION("""COMPUTED_VALUE"""),1.5872001E7)</f>
        <v>15872001</v>
      </c>
    </row>
    <row r="1987">
      <c r="A1987" s="2">
        <f>IFERROR(__xludf.DUMMYFUNCTION("""COMPUTED_VALUE"""),43504.64583333333)</f>
        <v>43504.64583</v>
      </c>
      <c r="B1987" s="1">
        <f>IFERROR(__xludf.DUMMYFUNCTION("""COMPUTED_VALUE"""),45700.0)</f>
        <v>45700</v>
      </c>
      <c r="C1987" s="1">
        <f>IFERROR(__xludf.DUMMYFUNCTION("""COMPUTED_VALUE"""),45700.0)</f>
        <v>45700</v>
      </c>
      <c r="D1987" s="1">
        <f>IFERROR(__xludf.DUMMYFUNCTION("""COMPUTED_VALUE"""),44650.0)</f>
        <v>44650</v>
      </c>
      <c r="E1987" s="1">
        <f>IFERROR(__xludf.DUMMYFUNCTION("""COMPUTED_VALUE"""),44800.0)</f>
        <v>44800</v>
      </c>
      <c r="F1987" s="1">
        <f>IFERROR(__xludf.DUMMYFUNCTION("""COMPUTED_VALUE"""),1.2689196E7)</f>
        <v>12689196</v>
      </c>
    </row>
    <row r="1988">
      <c r="A1988" s="2">
        <f>IFERROR(__xludf.DUMMYFUNCTION("""COMPUTED_VALUE"""),43507.64583333333)</f>
        <v>43507.64583</v>
      </c>
      <c r="B1988" s="1">
        <f>IFERROR(__xludf.DUMMYFUNCTION("""COMPUTED_VALUE"""),44500.0)</f>
        <v>44500</v>
      </c>
      <c r="C1988" s="1">
        <f>IFERROR(__xludf.DUMMYFUNCTION("""COMPUTED_VALUE"""),45000.0)</f>
        <v>45000</v>
      </c>
      <c r="D1988" s="1">
        <f>IFERROR(__xludf.DUMMYFUNCTION("""COMPUTED_VALUE"""),44250.0)</f>
        <v>44250</v>
      </c>
      <c r="E1988" s="1">
        <f>IFERROR(__xludf.DUMMYFUNCTION("""COMPUTED_VALUE"""),45000.0)</f>
        <v>45000</v>
      </c>
      <c r="F1988" s="1">
        <f>IFERROR(__xludf.DUMMYFUNCTION("""COMPUTED_VALUE"""),1.1125044E7)</f>
        <v>11125044</v>
      </c>
    </row>
    <row r="1989">
      <c r="A1989" s="2">
        <f>IFERROR(__xludf.DUMMYFUNCTION("""COMPUTED_VALUE"""),43508.64583333333)</f>
        <v>43508.64583</v>
      </c>
      <c r="B1989" s="1">
        <f>IFERROR(__xludf.DUMMYFUNCTION("""COMPUTED_VALUE"""),44650.0)</f>
        <v>44650</v>
      </c>
      <c r="C1989" s="1">
        <f>IFERROR(__xludf.DUMMYFUNCTION("""COMPUTED_VALUE"""),46250.0)</f>
        <v>46250</v>
      </c>
      <c r="D1989" s="1">
        <f>IFERROR(__xludf.DUMMYFUNCTION("""COMPUTED_VALUE"""),44650.0)</f>
        <v>44650</v>
      </c>
      <c r="E1989" s="1">
        <f>IFERROR(__xludf.DUMMYFUNCTION("""COMPUTED_VALUE"""),46050.0)</f>
        <v>46050</v>
      </c>
      <c r="F1989" s="1">
        <f>IFERROR(__xludf.DUMMYFUNCTION("""COMPUTED_VALUE"""),1.3184367E7)</f>
        <v>13184367</v>
      </c>
    </row>
    <row r="1990">
      <c r="A1990" s="2">
        <f>IFERROR(__xludf.DUMMYFUNCTION("""COMPUTED_VALUE"""),43509.64583333333)</f>
        <v>43509.64583</v>
      </c>
      <c r="B1990" s="1">
        <f>IFERROR(__xludf.DUMMYFUNCTION("""COMPUTED_VALUE"""),46400.0)</f>
        <v>46400</v>
      </c>
      <c r="C1990" s="1">
        <f>IFERROR(__xludf.DUMMYFUNCTION("""COMPUTED_VALUE"""),46700.0)</f>
        <v>46700</v>
      </c>
      <c r="D1990" s="1">
        <f>IFERROR(__xludf.DUMMYFUNCTION("""COMPUTED_VALUE"""),46000.0)</f>
        <v>46000</v>
      </c>
      <c r="E1990" s="1">
        <f>IFERROR(__xludf.DUMMYFUNCTION("""COMPUTED_VALUE"""),46200.0)</f>
        <v>46200</v>
      </c>
      <c r="F1990" s="1">
        <f>IFERROR(__xludf.DUMMYFUNCTION("""COMPUTED_VALUE"""),1.1299738E7)</f>
        <v>11299738</v>
      </c>
    </row>
    <row r="1991">
      <c r="A1991" s="2">
        <f>IFERROR(__xludf.DUMMYFUNCTION("""COMPUTED_VALUE"""),43510.64583333333)</f>
        <v>43510.64583</v>
      </c>
      <c r="B1991" s="1">
        <f>IFERROR(__xludf.DUMMYFUNCTION("""COMPUTED_VALUE"""),46600.0)</f>
        <v>46600</v>
      </c>
      <c r="C1991" s="1">
        <f>IFERROR(__xludf.DUMMYFUNCTION("""COMPUTED_VALUE"""),47500.0)</f>
        <v>47500</v>
      </c>
      <c r="D1991" s="1">
        <f>IFERROR(__xludf.DUMMYFUNCTION("""COMPUTED_VALUE"""),46150.0)</f>
        <v>46150</v>
      </c>
      <c r="E1991" s="1">
        <f>IFERROR(__xludf.DUMMYFUNCTION("""COMPUTED_VALUE"""),47500.0)</f>
        <v>47500</v>
      </c>
      <c r="F1991" s="1">
        <f>IFERROR(__xludf.DUMMYFUNCTION("""COMPUTED_VALUE"""),1.7259341E7)</f>
        <v>17259341</v>
      </c>
    </row>
    <row r="1992">
      <c r="A1992" s="2">
        <f>IFERROR(__xludf.DUMMYFUNCTION("""COMPUTED_VALUE"""),43511.64583333333)</f>
        <v>43511.64583</v>
      </c>
      <c r="B1992" s="1">
        <f>IFERROR(__xludf.DUMMYFUNCTION("""COMPUTED_VALUE"""),46750.0)</f>
        <v>46750</v>
      </c>
      <c r="C1992" s="1">
        <f>IFERROR(__xludf.DUMMYFUNCTION("""COMPUTED_VALUE"""),46850.0)</f>
        <v>46850</v>
      </c>
      <c r="D1992" s="1">
        <f>IFERROR(__xludf.DUMMYFUNCTION("""COMPUTED_VALUE"""),45650.0)</f>
        <v>45650</v>
      </c>
      <c r="E1992" s="1">
        <f>IFERROR(__xludf.DUMMYFUNCTION("""COMPUTED_VALUE"""),46050.0)</f>
        <v>46050</v>
      </c>
      <c r="F1992" s="1">
        <f>IFERROR(__xludf.DUMMYFUNCTION("""COMPUTED_VALUE"""),1.0554643E7)</f>
        <v>10554643</v>
      </c>
    </row>
    <row r="1993">
      <c r="A1993" s="2">
        <f>IFERROR(__xludf.DUMMYFUNCTION("""COMPUTED_VALUE"""),43514.64583333333)</f>
        <v>43514.64583</v>
      </c>
      <c r="B1993" s="1">
        <f>IFERROR(__xludf.DUMMYFUNCTION("""COMPUTED_VALUE"""),46500.0)</f>
        <v>46500</v>
      </c>
      <c r="C1993" s="1">
        <f>IFERROR(__xludf.DUMMYFUNCTION("""COMPUTED_VALUE"""),46850.0)</f>
        <v>46850</v>
      </c>
      <c r="D1993" s="1">
        <f>IFERROR(__xludf.DUMMYFUNCTION("""COMPUTED_VALUE"""),45850.0)</f>
        <v>45850</v>
      </c>
      <c r="E1993" s="1">
        <f>IFERROR(__xludf.DUMMYFUNCTION("""COMPUTED_VALUE"""),46200.0)</f>
        <v>46200</v>
      </c>
      <c r="F1993" s="1">
        <f>IFERROR(__xludf.DUMMYFUNCTION("""COMPUTED_VALUE"""),8183728.0)</f>
        <v>8183728</v>
      </c>
    </row>
    <row r="1994">
      <c r="A1994" s="2">
        <f>IFERROR(__xludf.DUMMYFUNCTION("""COMPUTED_VALUE"""),43515.64583333333)</f>
        <v>43515.64583</v>
      </c>
      <c r="B1994" s="1">
        <f>IFERROR(__xludf.DUMMYFUNCTION("""COMPUTED_VALUE"""),45850.0)</f>
        <v>45850</v>
      </c>
      <c r="C1994" s="1">
        <f>IFERROR(__xludf.DUMMYFUNCTION("""COMPUTED_VALUE"""),46150.0)</f>
        <v>46150</v>
      </c>
      <c r="D1994" s="1">
        <f>IFERROR(__xludf.DUMMYFUNCTION("""COMPUTED_VALUE"""),45450.0)</f>
        <v>45450</v>
      </c>
      <c r="E1994" s="1">
        <f>IFERROR(__xludf.DUMMYFUNCTION("""COMPUTED_VALUE"""),45950.0)</f>
        <v>45950</v>
      </c>
      <c r="F1994" s="1">
        <f>IFERROR(__xludf.DUMMYFUNCTION("""COMPUTED_VALUE"""),6741395.0)</f>
        <v>6741395</v>
      </c>
    </row>
    <row r="1995">
      <c r="A1995" s="2">
        <f>IFERROR(__xludf.DUMMYFUNCTION("""COMPUTED_VALUE"""),43516.64583333333)</f>
        <v>43516.64583</v>
      </c>
      <c r="B1995" s="1">
        <f>IFERROR(__xludf.DUMMYFUNCTION("""COMPUTED_VALUE"""),46750.0)</f>
        <v>46750</v>
      </c>
      <c r="C1995" s="1">
        <f>IFERROR(__xludf.DUMMYFUNCTION("""COMPUTED_VALUE"""),47100.0)</f>
        <v>47100</v>
      </c>
      <c r="D1995" s="1">
        <f>IFERROR(__xludf.DUMMYFUNCTION("""COMPUTED_VALUE"""),46500.0)</f>
        <v>46500</v>
      </c>
      <c r="E1995" s="1">
        <f>IFERROR(__xludf.DUMMYFUNCTION("""COMPUTED_VALUE"""),46900.0)</f>
        <v>46900</v>
      </c>
      <c r="F1995" s="1">
        <f>IFERROR(__xludf.DUMMYFUNCTION("""COMPUTED_VALUE"""),1.150672E7)</f>
        <v>11506720</v>
      </c>
    </row>
    <row r="1996">
      <c r="A1996" s="2">
        <f>IFERROR(__xludf.DUMMYFUNCTION("""COMPUTED_VALUE"""),43517.64583333333)</f>
        <v>43517.64583</v>
      </c>
      <c r="B1996" s="1">
        <f>IFERROR(__xludf.DUMMYFUNCTION("""COMPUTED_VALUE"""),46500.0)</f>
        <v>46500</v>
      </c>
      <c r="C1996" s="1">
        <f>IFERROR(__xludf.DUMMYFUNCTION("""COMPUTED_VALUE"""),47200.0)</f>
        <v>47200</v>
      </c>
      <c r="D1996" s="1">
        <f>IFERROR(__xludf.DUMMYFUNCTION("""COMPUTED_VALUE"""),46200.0)</f>
        <v>46200</v>
      </c>
      <c r="E1996" s="1">
        <f>IFERROR(__xludf.DUMMYFUNCTION("""COMPUTED_VALUE"""),46950.0)</f>
        <v>46950</v>
      </c>
      <c r="F1996" s="1">
        <f>IFERROR(__xludf.DUMMYFUNCTION("""COMPUTED_VALUE"""),8694009.0)</f>
        <v>8694009</v>
      </c>
    </row>
    <row r="1997">
      <c r="A1997" s="2">
        <f>IFERROR(__xludf.DUMMYFUNCTION("""COMPUTED_VALUE"""),43518.64583333333)</f>
        <v>43518.64583</v>
      </c>
      <c r="B1997" s="1">
        <f>IFERROR(__xludf.DUMMYFUNCTION("""COMPUTED_VALUE"""),46500.0)</f>
        <v>46500</v>
      </c>
      <c r="C1997" s="1">
        <f>IFERROR(__xludf.DUMMYFUNCTION("""COMPUTED_VALUE"""),47150.0)</f>
        <v>47150</v>
      </c>
      <c r="D1997" s="1">
        <f>IFERROR(__xludf.DUMMYFUNCTION("""COMPUTED_VALUE"""),46450.0)</f>
        <v>46450</v>
      </c>
      <c r="E1997" s="1">
        <f>IFERROR(__xludf.DUMMYFUNCTION("""COMPUTED_VALUE"""),47150.0)</f>
        <v>47150</v>
      </c>
      <c r="F1997" s="1">
        <f>IFERROR(__xludf.DUMMYFUNCTION("""COMPUTED_VALUE"""),6895772.0)</f>
        <v>6895772</v>
      </c>
    </row>
    <row r="1998">
      <c r="A1998" s="2">
        <f>IFERROR(__xludf.DUMMYFUNCTION("""COMPUTED_VALUE"""),43521.64583333333)</f>
        <v>43521.64583</v>
      </c>
      <c r="B1998" s="1">
        <f>IFERROR(__xludf.DUMMYFUNCTION("""COMPUTED_VALUE"""),47400.0)</f>
        <v>47400</v>
      </c>
      <c r="C1998" s="1">
        <f>IFERROR(__xludf.DUMMYFUNCTION("""COMPUTED_VALUE"""),47550.0)</f>
        <v>47550</v>
      </c>
      <c r="D1998" s="1">
        <f>IFERROR(__xludf.DUMMYFUNCTION("""COMPUTED_VALUE"""),47050.0)</f>
        <v>47050</v>
      </c>
      <c r="E1998" s="1">
        <f>IFERROR(__xludf.DUMMYFUNCTION("""COMPUTED_VALUE"""),47350.0)</f>
        <v>47350</v>
      </c>
      <c r="F1998" s="1">
        <f>IFERROR(__xludf.DUMMYFUNCTION("""COMPUTED_VALUE"""),7484716.0)</f>
        <v>7484716</v>
      </c>
    </row>
    <row r="1999">
      <c r="A1999" s="2">
        <f>IFERROR(__xludf.DUMMYFUNCTION("""COMPUTED_VALUE"""),43522.64583333333)</f>
        <v>43522.64583</v>
      </c>
      <c r="B1999" s="1">
        <f>IFERROR(__xludf.DUMMYFUNCTION("""COMPUTED_VALUE"""),47350.0)</f>
        <v>47350</v>
      </c>
      <c r="C1999" s="1">
        <f>IFERROR(__xludf.DUMMYFUNCTION("""COMPUTED_VALUE"""),47450.0)</f>
        <v>47450</v>
      </c>
      <c r="D1999" s="1">
        <f>IFERROR(__xludf.DUMMYFUNCTION("""COMPUTED_VALUE"""),46500.0)</f>
        <v>46500</v>
      </c>
      <c r="E1999" s="1">
        <f>IFERROR(__xludf.DUMMYFUNCTION("""COMPUTED_VALUE"""),46750.0)</f>
        <v>46750</v>
      </c>
      <c r="F1999" s="1">
        <f>IFERROR(__xludf.DUMMYFUNCTION("""COMPUTED_VALUE"""),7985547.0)</f>
        <v>7985547</v>
      </c>
    </row>
    <row r="2000">
      <c r="A2000" s="2">
        <f>IFERROR(__xludf.DUMMYFUNCTION("""COMPUTED_VALUE"""),43523.64583333333)</f>
        <v>43523.64583</v>
      </c>
      <c r="B2000" s="1">
        <f>IFERROR(__xludf.DUMMYFUNCTION("""COMPUTED_VALUE"""),47000.0)</f>
        <v>47000</v>
      </c>
      <c r="C2000" s="1">
        <f>IFERROR(__xludf.DUMMYFUNCTION("""COMPUTED_VALUE"""),47250.0)</f>
        <v>47250</v>
      </c>
      <c r="D2000" s="1">
        <f>IFERROR(__xludf.DUMMYFUNCTION("""COMPUTED_VALUE"""),46750.0)</f>
        <v>46750</v>
      </c>
      <c r="E2000" s="1">
        <f>IFERROR(__xludf.DUMMYFUNCTION("""COMPUTED_VALUE"""),46750.0)</f>
        <v>46750</v>
      </c>
      <c r="F2000" s="1">
        <f>IFERROR(__xludf.DUMMYFUNCTION("""COMPUTED_VALUE"""),8045211.0)</f>
        <v>8045211</v>
      </c>
    </row>
    <row r="2001">
      <c r="A2001" s="2">
        <f>IFERROR(__xludf.DUMMYFUNCTION("""COMPUTED_VALUE"""),43524.64583333333)</f>
        <v>43524.64583</v>
      </c>
      <c r="B2001" s="1">
        <f>IFERROR(__xludf.DUMMYFUNCTION("""COMPUTED_VALUE"""),46400.0)</f>
        <v>46400</v>
      </c>
      <c r="C2001" s="1">
        <f>IFERROR(__xludf.DUMMYFUNCTION("""COMPUTED_VALUE"""),46500.0)</f>
        <v>46500</v>
      </c>
      <c r="D2001" s="1">
        <f>IFERROR(__xludf.DUMMYFUNCTION("""COMPUTED_VALUE"""),45100.0)</f>
        <v>45100</v>
      </c>
      <c r="E2001" s="1">
        <f>IFERROR(__xludf.DUMMYFUNCTION("""COMPUTED_VALUE"""),45100.0)</f>
        <v>45100</v>
      </c>
      <c r="F2001" s="1">
        <f>IFERROR(__xludf.DUMMYFUNCTION("""COMPUTED_VALUE"""),2.3569321E7)</f>
        <v>23569321</v>
      </c>
    </row>
    <row r="2002">
      <c r="A2002" s="2">
        <f>IFERROR(__xludf.DUMMYFUNCTION("""COMPUTED_VALUE"""),43528.64583333333)</f>
        <v>43528.64583</v>
      </c>
      <c r="B2002" s="1">
        <f>IFERROR(__xludf.DUMMYFUNCTION("""COMPUTED_VALUE"""),46000.0)</f>
        <v>46000</v>
      </c>
      <c r="C2002" s="1">
        <f>IFERROR(__xludf.DUMMYFUNCTION("""COMPUTED_VALUE"""),46100.0)</f>
        <v>46100</v>
      </c>
      <c r="D2002" s="1">
        <f>IFERROR(__xludf.DUMMYFUNCTION("""COMPUTED_VALUE"""),44800.0)</f>
        <v>44800</v>
      </c>
      <c r="E2002" s="1">
        <f>IFERROR(__xludf.DUMMYFUNCTION("""COMPUTED_VALUE"""),44850.0)</f>
        <v>44850</v>
      </c>
      <c r="F2002" s="1">
        <f>IFERROR(__xludf.DUMMYFUNCTION("""COMPUTED_VALUE"""),1.2926539E7)</f>
        <v>12926539</v>
      </c>
    </row>
    <row r="2003">
      <c r="A2003" s="2">
        <f>IFERROR(__xludf.DUMMYFUNCTION("""COMPUTED_VALUE"""),43529.64583333333)</f>
        <v>43529.64583</v>
      </c>
      <c r="B2003" s="1">
        <f>IFERROR(__xludf.DUMMYFUNCTION("""COMPUTED_VALUE"""),44600.0)</f>
        <v>44600</v>
      </c>
      <c r="C2003" s="1">
        <f>IFERROR(__xludf.DUMMYFUNCTION("""COMPUTED_VALUE"""),45100.0)</f>
        <v>45100</v>
      </c>
      <c r="D2003" s="1">
        <f>IFERROR(__xludf.DUMMYFUNCTION("""COMPUTED_VALUE"""),44150.0)</f>
        <v>44150</v>
      </c>
      <c r="E2003" s="1">
        <f>IFERROR(__xludf.DUMMYFUNCTION("""COMPUTED_VALUE"""),44250.0)</f>
        <v>44250</v>
      </c>
      <c r="F2003" s="1">
        <f>IFERROR(__xludf.DUMMYFUNCTION("""COMPUTED_VALUE"""),1.0612405E7)</f>
        <v>10612405</v>
      </c>
    </row>
    <row r="2004">
      <c r="A2004" s="2">
        <f>IFERROR(__xludf.DUMMYFUNCTION("""COMPUTED_VALUE"""),43530.64583333333)</f>
        <v>43530.64583</v>
      </c>
      <c r="B2004" s="1">
        <f>IFERROR(__xludf.DUMMYFUNCTION("""COMPUTED_VALUE"""),44000.0)</f>
        <v>44000</v>
      </c>
      <c r="C2004" s="1">
        <f>IFERROR(__xludf.DUMMYFUNCTION("""COMPUTED_VALUE"""),44300.0)</f>
        <v>44300</v>
      </c>
      <c r="D2004" s="1">
        <f>IFERROR(__xludf.DUMMYFUNCTION("""COMPUTED_VALUE"""),43700.0)</f>
        <v>43700</v>
      </c>
      <c r="E2004" s="1">
        <f>IFERROR(__xludf.DUMMYFUNCTION("""COMPUTED_VALUE"""),44000.0)</f>
        <v>44000</v>
      </c>
      <c r="F2004" s="1">
        <f>IFERROR(__xludf.DUMMYFUNCTION("""COMPUTED_VALUE"""),1.0202544E7)</f>
        <v>10202544</v>
      </c>
    </row>
    <row r="2005">
      <c r="A2005" s="2">
        <f>IFERROR(__xludf.DUMMYFUNCTION("""COMPUTED_VALUE"""),43531.64583333333)</f>
        <v>43531.64583</v>
      </c>
      <c r="B2005" s="1">
        <f>IFERROR(__xludf.DUMMYFUNCTION("""COMPUTED_VALUE"""),43400.0)</f>
        <v>43400</v>
      </c>
      <c r="C2005" s="1">
        <f>IFERROR(__xludf.DUMMYFUNCTION("""COMPUTED_VALUE"""),44950.0)</f>
        <v>44950</v>
      </c>
      <c r="D2005" s="1">
        <f>IFERROR(__xludf.DUMMYFUNCTION("""COMPUTED_VALUE"""),43400.0)</f>
        <v>43400</v>
      </c>
      <c r="E2005" s="1">
        <f>IFERROR(__xludf.DUMMYFUNCTION("""COMPUTED_VALUE"""),44450.0)</f>
        <v>44450</v>
      </c>
      <c r="F2005" s="1">
        <f>IFERROR(__xludf.DUMMYFUNCTION("""COMPUTED_VALUE"""),1.1049749E7)</f>
        <v>11049749</v>
      </c>
    </row>
    <row r="2006">
      <c r="A2006" s="2">
        <f>IFERROR(__xludf.DUMMYFUNCTION("""COMPUTED_VALUE"""),43532.64583333333)</f>
        <v>43532.64583</v>
      </c>
      <c r="B2006" s="1">
        <f>IFERROR(__xludf.DUMMYFUNCTION("""COMPUTED_VALUE"""),44450.0)</f>
        <v>44450</v>
      </c>
      <c r="C2006" s="1">
        <f>IFERROR(__xludf.DUMMYFUNCTION("""COMPUTED_VALUE"""),44800.0)</f>
        <v>44800</v>
      </c>
      <c r="D2006" s="1">
        <f>IFERROR(__xludf.DUMMYFUNCTION("""COMPUTED_VALUE"""),43800.0)</f>
        <v>43800</v>
      </c>
      <c r="E2006" s="1">
        <f>IFERROR(__xludf.DUMMYFUNCTION("""COMPUTED_VALUE"""),43800.0)</f>
        <v>43800</v>
      </c>
      <c r="F2006" s="1">
        <f>IFERROR(__xludf.DUMMYFUNCTION("""COMPUTED_VALUE"""),7729069.0)</f>
        <v>7729069</v>
      </c>
    </row>
    <row r="2007">
      <c r="A2007" s="2">
        <f>IFERROR(__xludf.DUMMYFUNCTION("""COMPUTED_VALUE"""),43535.64583333333)</f>
        <v>43535.64583</v>
      </c>
      <c r="B2007" s="1">
        <f>IFERROR(__xludf.DUMMYFUNCTION("""COMPUTED_VALUE"""),44400.0)</f>
        <v>44400</v>
      </c>
      <c r="C2007" s="1">
        <f>IFERROR(__xludf.DUMMYFUNCTION("""COMPUTED_VALUE"""),44450.0)</f>
        <v>44450</v>
      </c>
      <c r="D2007" s="1">
        <f>IFERROR(__xludf.DUMMYFUNCTION("""COMPUTED_VALUE"""),43650.0)</f>
        <v>43650</v>
      </c>
      <c r="E2007" s="1">
        <f>IFERROR(__xludf.DUMMYFUNCTION("""COMPUTED_VALUE"""),43650.0)</f>
        <v>43650</v>
      </c>
      <c r="F2007" s="1">
        <f>IFERROR(__xludf.DUMMYFUNCTION("""COMPUTED_VALUE"""),1.0717408E7)</f>
        <v>10717408</v>
      </c>
    </row>
    <row r="2008">
      <c r="A2008" s="2">
        <f>IFERROR(__xludf.DUMMYFUNCTION("""COMPUTED_VALUE"""),43536.64583333333)</f>
        <v>43536.64583</v>
      </c>
      <c r="B2008" s="1">
        <f>IFERROR(__xludf.DUMMYFUNCTION("""COMPUTED_VALUE"""),44300.0)</f>
        <v>44300</v>
      </c>
      <c r="C2008" s="1">
        <f>IFERROR(__xludf.DUMMYFUNCTION("""COMPUTED_VALUE"""),44950.0)</f>
        <v>44950</v>
      </c>
      <c r="D2008" s="1">
        <f>IFERROR(__xludf.DUMMYFUNCTION("""COMPUTED_VALUE"""),44150.0)</f>
        <v>44150</v>
      </c>
      <c r="E2008" s="1">
        <f>IFERROR(__xludf.DUMMYFUNCTION("""COMPUTED_VALUE"""),44650.0)</f>
        <v>44650</v>
      </c>
      <c r="F2008" s="1">
        <f>IFERROR(__xludf.DUMMYFUNCTION("""COMPUTED_VALUE"""),1.1431977E7)</f>
        <v>11431977</v>
      </c>
    </row>
    <row r="2009">
      <c r="A2009" s="2">
        <f>IFERROR(__xludf.DUMMYFUNCTION("""COMPUTED_VALUE"""),43537.64583333333)</f>
        <v>43537.64583</v>
      </c>
      <c r="B2009" s="1">
        <f>IFERROR(__xludf.DUMMYFUNCTION("""COMPUTED_VALUE"""),44250.0)</f>
        <v>44250</v>
      </c>
      <c r="C2009" s="1">
        <f>IFERROR(__xludf.DUMMYFUNCTION("""COMPUTED_VALUE"""),44450.0)</f>
        <v>44450</v>
      </c>
      <c r="D2009" s="1">
        <f>IFERROR(__xludf.DUMMYFUNCTION("""COMPUTED_VALUE"""),43700.0)</f>
        <v>43700</v>
      </c>
      <c r="E2009" s="1">
        <f>IFERROR(__xludf.DUMMYFUNCTION("""COMPUTED_VALUE"""),43850.0)</f>
        <v>43850</v>
      </c>
      <c r="F2009" s="1">
        <f>IFERROR(__xludf.DUMMYFUNCTION("""COMPUTED_VALUE"""),8108343.0)</f>
        <v>8108343</v>
      </c>
    </row>
    <row r="2010">
      <c r="A2010" s="2">
        <f>IFERROR(__xludf.DUMMYFUNCTION("""COMPUTED_VALUE"""),43538.64583333333)</f>
        <v>43538.64583</v>
      </c>
      <c r="B2010" s="1">
        <f>IFERROR(__xludf.DUMMYFUNCTION("""COMPUTED_VALUE"""),43700.0)</f>
        <v>43700</v>
      </c>
      <c r="C2010" s="1">
        <f>IFERROR(__xludf.DUMMYFUNCTION("""COMPUTED_VALUE"""),44300.0)</f>
        <v>44300</v>
      </c>
      <c r="D2010" s="1">
        <f>IFERROR(__xludf.DUMMYFUNCTION("""COMPUTED_VALUE"""),43550.0)</f>
        <v>43550</v>
      </c>
      <c r="E2010" s="1">
        <f>IFERROR(__xludf.DUMMYFUNCTION("""COMPUTED_VALUE"""),43850.0)</f>
        <v>43850</v>
      </c>
      <c r="F2010" s="1">
        <f>IFERROR(__xludf.DUMMYFUNCTION("""COMPUTED_VALUE"""),1.8039161E7)</f>
        <v>18039161</v>
      </c>
    </row>
    <row r="2011">
      <c r="A2011" s="2">
        <f>IFERROR(__xludf.DUMMYFUNCTION("""COMPUTED_VALUE"""),43539.64583333333)</f>
        <v>43539.64583</v>
      </c>
      <c r="B2011" s="1">
        <f>IFERROR(__xludf.DUMMYFUNCTION("""COMPUTED_VALUE"""),43800.0)</f>
        <v>43800</v>
      </c>
      <c r="C2011" s="1">
        <f>IFERROR(__xludf.DUMMYFUNCTION("""COMPUTED_VALUE"""),44250.0)</f>
        <v>44250</v>
      </c>
      <c r="D2011" s="1">
        <f>IFERROR(__xludf.DUMMYFUNCTION("""COMPUTED_VALUE"""),43700.0)</f>
        <v>43700</v>
      </c>
      <c r="E2011" s="1">
        <f>IFERROR(__xludf.DUMMYFUNCTION("""COMPUTED_VALUE"""),44200.0)</f>
        <v>44200</v>
      </c>
      <c r="F2011" s="1">
        <f>IFERROR(__xludf.DUMMYFUNCTION("""COMPUTED_VALUE"""),1.6814163E7)</f>
        <v>16814163</v>
      </c>
    </row>
    <row r="2012">
      <c r="A2012" s="2">
        <f>IFERROR(__xludf.DUMMYFUNCTION("""COMPUTED_VALUE"""),43542.64583333333)</f>
        <v>43542.64583</v>
      </c>
      <c r="B2012" s="1">
        <f>IFERROR(__xludf.DUMMYFUNCTION("""COMPUTED_VALUE"""),43950.0)</f>
        <v>43950</v>
      </c>
      <c r="C2012" s="1">
        <f>IFERROR(__xludf.DUMMYFUNCTION("""COMPUTED_VALUE"""),44150.0)</f>
        <v>44150</v>
      </c>
      <c r="D2012" s="1">
        <f>IFERROR(__xludf.DUMMYFUNCTION("""COMPUTED_VALUE"""),43450.0)</f>
        <v>43450</v>
      </c>
      <c r="E2012" s="1">
        <f>IFERROR(__xludf.DUMMYFUNCTION("""COMPUTED_VALUE"""),43700.0)</f>
        <v>43700</v>
      </c>
      <c r="F2012" s="1">
        <f>IFERROR(__xludf.DUMMYFUNCTION("""COMPUTED_VALUE"""),8188876.0)</f>
        <v>8188876</v>
      </c>
    </row>
    <row r="2013">
      <c r="A2013" s="2">
        <f>IFERROR(__xludf.DUMMYFUNCTION("""COMPUTED_VALUE"""),43543.64583333333)</f>
        <v>43543.64583</v>
      </c>
      <c r="B2013" s="1">
        <f>IFERROR(__xludf.DUMMYFUNCTION("""COMPUTED_VALUE"""),43750.0)</f>
        <v>43750</v>
      </c>
      <c r="C2013" s="1">
        <f>IFERROR(__xludf.DUMMYFUNCTION("""COMPUTED_VALUE"""),43900.0)</f>
        <v>43900</v>
      </c>
      <c r="D2013" s="1">
        <f>IFERROR(__xludf.DUMMYFUNCTION("""COMPUTED_VALUE"""),43550.0)</f>
        <v>43550</v>
      </c>
      <c r="E2013" s="1">
        <f>IFERROR(__xludf.DUMMYFUNCTION("""COMPUTED_VALUE"""),43900.0)</f>
        <v>43900</v>
      </c>
      <c r="F2013" s="1">
        <f>IFERROR(__xludf.DUMMYFUNCTION("""COMPUTED_VALUE"""),7609563.0)</f>
        <v>7609563</v>
      </c>
    </row>
    <row r="2014">
      <c r="A2014" s="2">
        <f>IFERROR(__xludf.DUMMYFUNCTION("""COMPUTED_VALUE"""),43544.64583333333)</f>
        <v>43544.64583</v>
      </c>
      <c r="B2014" s="1">
        <f>IFERROR(__xludf.DUMMYFUNCTION("""COMPUTED_VALUE"""),43800.0)</f>
        <v>43800</v>
      </c>
      <c r="C2014" s="1">
        <f>IFERROR(__xludf.DUMMYFUNCTION("""COMPUTED_VALUE"""),44200.0)</f>
        <v>44200</v>
      </c>
      <c r="D2014" s="1">
        <f>IFERROR(__xludf.DUMMYFUNCTION("""COMPUTED_VALUE"""),43100.0)</f>
        <v>43100</v>
      </c>
      <c r="E2014" s="1">
        <f>IFERROR(__xludf.DUMMYFUNCTION("""COMPUTED_VALUE"""),44050.0)</f>
        <v>44050</v>
      </c>
      <c r="F2014" s="1">
        <f>IFERROR(__xludf.DUMMYFUNCTION("""COMPUTED_VALUE"""),9846242.0)</f>
        <v>9846242</v>
      </c>
    </row>
    <row r="2015">
      <c r="A2015" s="2">
        <f>IFERROR(__xludf.DUMMYFUNCTION("""COMPUTED_VALUE"""),43545.64583333333)</f>
        <v>43545.64583</v>
      </c>
      <c r="B2015" s="1">
        <f>IFERROR(__xludf.DUMMYFUNCTION("""COMPUTED_VALUE"""),44600.0)</f>
        <v>44600</v>
      </c>
      <c r="C2015" s="1">
        <f>IFERROR(__xludf.DUMMYFUNCTION("""COMPUTED_VALUE"""),46250.0)</f>
        <v>46250</v>
      </c>
      <c r="D2015" s="1">
        <f>IFERROR(__xludf.DUMMYFUNCTION("""COMPUTED_VALUE"""),44050.0)</f>
        <v>44050</v>
      </c>
      <c r="E2015" s="1">
        <f>IFERROR(__xludf.DUMMYFUNCTION("""COMPUTED_VALUE"""),45850.0)</f>
        <v>45850</v>
      </c>
      <c r="F2015" s="1">
        <f>IFERROR(__xludf.DUMMYFUNCTION("""COMPUTED_VALUE"""),2.1138016E7)</f>
        <v>21138016</v>
      </c>
    </row>
    <row r="2016">
      <c r="A2016" s="2">
        <f>IFERROR(__xludf.DUMMYFUNCTION("""COMPUTED_VALUE"""),43546.64583333333)</f>
        <v>43546.64583</v>
      </c>
      <c r="B2016" s="1">
        <f>IFERROR(__xludf.DUMMYFUNCTION("""COMPUTED_VALUE"""),46850.0)</f>
        <v>46850</v>
      </c>
      <c r="C2016" s="1">
        <f>IFERROR(__xludf.DUMMYFUNCTION("""COMPUTED_VALUE"""),47000.0)</f>
        <v>47000</v>
      </c>
      <c r="D2016" s="1">
        <f>IFERROR(__xludf.DUMMYFUNCTION("""COMPUTED_VALUE"""),46250.0)</f>
        <v>46250</v>
      </c>
      <c r="E2016" s="1">
        <f>IFERROR(__xludf.DUMMYFUNCTION("""COMPUTED_VALUE"""),46550.0)</f>
        <v>46550</v>
      </c>
      <c r="F2016" s="1">
        <f>IFERROR(__xludf.DUMMYFUNCTION("""COMPUTED_VALUE"""),1.2535911E7)</f>
        <v>12535911</v>
      </c>
    </row>
    <row r="2017">
      <c r="A2017" s="2">
        <f>IFERROR(__xludf.DUMMYFUNCTION("""COMPUTED_VALUE"""),43549.64583333333)</f>
        <v>43549.64583</v>
      </c>
      <c r="B2017" s="1">
        <f>IFERROR(__xludf.DUMMYFUNCTION("""COMPUTED_VALUE"""),45300.0)</f>
        <v>45300</v>
      </c>
      <c r="C2017" s="1">
        <f>IFERROR(__xludf.DUMMYFUNCTION("""COMPUTED_VALUE"""),45650.0)</f>
        <v>45650</v>
      </c>
      <c r="D2017" s="1">
        <f>IFERROR(__xludf.DUMMYFUNCTION("""COMPUTED_VALUE"""),44800.0)</f>
        <v>44800</v>
      </c>
      <c r="E2017" s="1">
        <f>IFERROR(__xludf.DUMMYFUNCTION("""COMPUTED_VALUE"""),45500.0)</f>
        <v>45500</v>
      </c>
      <c r="F2017" s="1">
        <f>IFERROR(__xludf.DUMMYFUNCTION("""COMPUTED_VALUE"""),8699728.0)</f>
        <v>8699728</v>
      </c>
    </row>
    <row r="2018">
      <c r="A2018" s="2">
        <f>IFERROR(__xludf.DUMMYFUNCTION("""COMPUTED_VALUE"""),43550.64583333333)</f>
        <v>43550.64583</v>
      </c>
      <c r="B2018" s="1">
        <f>IFERROR(__xludf.DUMMYFUNCTION("""COMPUTED_VALUE"""),45500.0)</f>
        <v>45500</v>
      </c>
      <c r="C2018" s="1">
        <f>IFERROR(__xludf.DUMMYFUNCTION("""COMPUTED_VALUE"""),45700.0)</f>
        <v>45700</v>
      </c>
      <c r="D2018" s="1">
        <f>IFERROR(__xludf.DUMMYFUNCTION("""COMPUTED_VALUE"""),44900.0)</f>
        <v>44900</v>
      </c>
      <c r="E2018" s="1">
        <f>IFERROR(__xludf.DUMMYFUNCTION("""COMPUTED_VALUE"""),45250.0)</f>
        <v>45250</v>
      </c>
      <c r="F2018" s="1">
        <f>IFERROR(__xludf.DUMMYFUNCTION("""COMPUTED_VALUE"""),9729811.0)</f>
        <v>9729811</v>
      </c>
    </row>
    <row r="2019">
      <c r="A2019" s="2">
        <f>IFERROR(__xludf.DUMMYFUNCTION("""COMPUTED_VALUE"""),43551.64583333333)</f>
        <v>43551.64583</v>
      </c>
      <c r="B2019" s="1">
        <f>IFERROR(__xludf.DUMMYFUNCTION("""COMPUTED_VALUE"""),44750.0)</f>
        <v>44750</v>
      </c>
      <c r="C2019" s="1">
        <f>IFERROR(__xludf.DUMMYFUNCTION("""COMPUTED_VALUE"""),45600.0)</f>
        <v>45600</v>
      </c>
      <c r="D2019" s="1">
        <f>IFERROR(__xludf.DUMMYFUNCTION("""COMPUTED_VALUE"""),44250.0)</f>
        <v>44250</v>
      </c>
      <c r="E2019" s="1">
        <f>IFERROR(__xludf.DUMMYFUNCTION("""COMPUTED_VALUE"""),45350.0)</f>
        <v>45350</v>
      </c>
      <c r="F2019" s="1">
        <f>IFERROR(__xludf.DUMMYFUNCTION("""COMPUTED_VALUE"""),9568081.0)</f>
        <v>9568081</v>
      </c>
    </row>
    <row r="2020">
      <c r="A2020" s="2">
        <f>IFERROR(__xludf.DUMMYFUNCTION("""COMPUTED_VALUE"""),43552.64583333333)</f>
        <v>43552.64583</v>
      </c>
      <c r="B2020" s="1">
        <f>IFERROR(__xludf.DUMMYFUNCTION("""COMPUTED_VALUE"""),44950.0)</f>
        <v>44950</v>
      </c>
      <c r="C2020" s="1">
        <f>IFERROR(__xludf.DUMMYFUNCTION("""COMPUTED_VALUE"""),45200.0)</f>
        <v>45200</v>
      </c>
      <c r="D2020" s="1">
        <f>IFERROR(__xludf.DUMMYFUNCTION("""COMPUTED_VALUE"""),44300.0)</f>
        <v>44300</v>
      </c>
      <c r="E2020" s="1">
        <f>IFERROR(__xludf.DUMMYFUNCTION("""COMPUTED_VALUE"""),44850.0)</f>
        <v>44850</v>
      </c>
      <c r="F2020" s="1">
        <f>IFERROR(__xludf.DUMMYFUNCTION("""COMPUTED_VALUE"""),6821306.0)</f>
        <v>6821306</v>
      </c>
    </row>
    <row r="2021">
      <c r="A2021" s="2">
        <f>IFERROR(__xludf.DUMMYFUNCTION("""COMPUTED_VALUE"""),43553.64583333333)</f>
        <v>43553.64583</v>
      </c>
      <c r="B2021" s="1">
        <f>IFERROR(__xludf.DUMMYFUNCTION("""COMPUTED_VALUE"""),44500.0)</f>
        <v>44500</v>
      </c>
      <c r="C2021" s="1">
        <f>IFERROR(__xludf.DUMMYFUNCTION("""COMPUTED_VALUE"""),44900.0)</f>
        <v>44900</v>
      </c>
      <c r="D2021" s="1">
        <f>IFERROR(__xludf.DUMMYFUNCTION("""COMPUTED_VALUE"""),44200.0)</f>
        <v>44200</v>
      </c>
      <c r="E2021" s="1">
        <f>IFERROR(__xludf.DUMMYFUNCTION("""COMPUTED_VALUE"""),44650.0)</f>
        <v>44650</v>
      </c>
      <c r="F2021" s="1">
        <f>IFERROR(__xludf.DUMMYFUNCTION("""COMPUTED_VALUE"""),1.1491713E7)</f>
        <v>11491713</v>
      </c>
    </row>
    <row r="2022">
      <c r="A2022" s="2">
        <f>IFERROR(__xludf.DUMMYFUNCTION("""COMPUTED_VALUE"""),43556.64583333333)</f>
        <v>43556.64583</v>
      </c>
      <c r="B2022" s="1">
        <f>IFERROR(__xludf.DUMMYFUNCTION("""COMPUTED_VALUE"""),45200.0)</f>
        <v>45200</v>
      </c>
      <c r="C2022" s="1">
        <f>IFERROR(__xludf.DUMMYFUNCTION("""COMPUTED_VALUE"""),45450.0)</f>
        <v>45450</v>
      </c>
      <c r="D2022" s="1">
        <f>IFERROR(__xludf.DUMMYFUNCTION("""COMPUTED_VALUE"""),44850.0)</f>
        <v>44850</v>
      </c>
      <c r="E2022" s="1">
        <f>IFERROR(__xludf.DUMMYFUNCTION("""COMPUTED_VALUE"""),45050.0)</f>
        <v>45050</v>
      </c>
      <c r="F2022" s="1">
        <f>IFERROR(__xludf.DUMMYFUNCTION("""COMPUTED_VALUE"""),7362129.0)</f>
        <v>7362129</v>
      </c>
    </row>
    <row r="2023">
      <c r="A2023" s="2">
        <f>IFERROR(__xludf.DUMMYFUNCTION("""COMPUTED_VALUE"""),43557.64583333333)</f>
        <v>43557.64583</v>
      </c>
      <c r="B2023" s="1">
        <f>IFERROR(__xludf.DUMMYFUNCTION("""COMPUTED_VALUE"""),45550.0)</f>
        <v>45550</v>
      </c>
      <c r="C2023" s="1">
        <f>IFERROR(__xludf.DUMMYFUNCTION("""COMPUTED_VALUE"""),46100.0)</f>
        <v>46100</v>
      </c>
      <c r="D2023" s="1">
        <f>IFERROR(__xludf.DUMMYFUNCTION("""COMPUTED_VALUE"""),45350.0)</f>
        <v>45350</v>
      </c>
      <c r="E2023" s="1">
        <f>IFERROR(__xludf.DUMMYFUNCTION("""COMPUTED_VALUE"""),45750.0)</f>
        <v>45750</v>
      </c>
      <c r="F2023" s="1">
        <f>IFERROR(__xludf.DUMMYFUNCTION("""COMPUTED_VALUE"""),9480688.0)</f>
        <v>9480688</v>
      </c>
    </row>
    <row r="2024">
      <c r="A2024" s="2">
        <f>IFERROR(__xludf.DUMMYFUNCTION("""COMPUTED_VALUE"""),43558.64583333333)</f>
        <v>43558.64583</v>
      </c>
      <c r="B2024" s="1">
        <f>IFERROR(__xludf.DUMMYFUNCTION("""COMPUTED_VALUE"""),46750.0)</f>
        <v>46750</v>
      </c>
      <c r="C2024" s="1">
        <f>IFERROR(__xludf.DUMMYFUNCTION("""COMPUTED_VALUE"""),46750.0)</f>
        <v>46750</v>
      </c>
      <c r="D2024" s="1">
        <f>IFERROR(__xludf.DUMMYFUNCTION("""COMPUTED_VALUE"""),45800.0)</f>
        <v>45800</v>
      </c>
      <c r="E2024" s="1">
        <f>IFERROR(__xludf.DUMMYFUNCTION("""COMPUTED_VALUE"""),46600.0)</f>
        <v>46600</v>
      </c>
      <c r="F2024" s="1">
        <f>IFERROR(__xludf.DUMMYFUNCTION("""COMPUTED_VALUE"""),1.243657E7)</f>
        <v>12436570</v>
      </c>
    </row>
    <row r="2025">
      <c r="A2025" s="2">
        <f>IFERROR(__xludf.DUMMYFUNCTION("""COMPUTED_VALUE"""),43559.64583333333)</f>
        <v>43559.64583</v>
      </c>
      <c r="B2025" s="1">
        <f>IFERROR(__xludf.DUMMYFUNCTION("""COMPUTED_VALUE"""),46150.0)</f>
        <v>46150</v>
      </c>
      <c r="C2025" s="1">
        <f>IFERROR(__xludf.DUMMYFUNCTION("""COMPUTED_VALUE"""),47100.0)</f>
        <v>47100</v>
      </c>
      <c r="D2025" s="1">
        <f>IFERROR(__xludf.DUMMYFUNCTION("""COMPUTED_VALUE"""),46150.0)</f>
        <v>46150</v>
      </c>
      <c r="E2025" s="1">
        <f>IFERROR(__xludf.DUMMYFUNCTION("""COMPUTED_VALUE"""),46950.0)</f>
        <v>46950</v>
      </c>
      <c r="F2025" s="1">
        <f>IFERROR(__xludf.DUMMYFUNCTION("""COMPUTED_VALUE"""),1.2650168E7)</f>
        <v>12650168</v>
      </c>
    </row>
    <row r="2026">
      <c r="A2026" s="2">
        <f>IFERROR(__xludf.DUMMYFUNCTION("""COMPUTED_VALUE"""),43560.64583333333)</f>
        <v>43560.64583</v>
      </c>
      <c r="B2026" s="1">
        <f>IFERROR(__xludf.DUMMYFUNCTION("""COMPUTED_VALUE"""),46950.0)</f>
        <v>46950</v>
      </c>
      <c r="C2026" s="1">
        <f>IFERROR(__xludf.DUMMYFUNCTION("""COMPUTED_VALUE"""),47550.0)</f>
        <v>47550</v>
      </c>
      <c r="D2026" s="1">
        <f>IFERROR(__xludf.DUMMYFUNCTION("""COMPUTED_VALUE"""),46600.0)</f>
        <v>46600</v>
      </c>
      <c r="E2026" s="1">
        <f>IFERROR(__xludf.DUMMYFUNCTION("""COMPUTED_VALUE"""),46850.0)</f>
        <v>46850</v>
      </c>
      <c r="F2026" s="1">
        <f>IFERROR(__xludf.DUMMYFUNCTION("""COMPUTED_VALUE"""),8546339.0)</f>
        <v>8546339</v>
      </c>
    </row>
    <row r="2027">
      <c r="A2027" s="2">
        <f>IFERROR(__xludf.DUMMYFUNCTION("""COMPUTED_VALUE"""),43563.64583333333)</f>
        <v>43563.64583</v>
      </c>
      <c r="B2027" s="1">
        <f>IFERROR(__xludf.DUMMYFUNCTION("""COMPUTED_VALUE"""),47250.0)</f>
        <v>47250</v>
      </c>
      <c r="C2027" s="1">
        <f>IFERROR(__xludf.DUMMYFUNCTION("""COMPUTED_VALUE"""),47250.0)</f>
        <v>47250</v>
      </c>
      <c r="D2027" s="1">
        <f>IFERROR(__xludf.DUMMYFUNCTION("""COMPUTED_VALUE"""),46150.0)</f>
        <v>46150</v>
      </c>
      <c r="E2027" s="1">
        <f>IFERROR(__xludf.DUMMYFUNCTION("""COMPUTED_VALUE"""),46650.0)</f>
        <v>46650</v>
      </c>
      <c r="F2027" s="1">
        <f>IFERROR(__xludf.DUMMYFUNCTION("""COMPUTED_VALUE"""),8507909.0)</f>
        <v>8507909</v>
      </c>
    </row>
    <row r="2028">
      <c r="A2028" s="2">
        <f>IFERROR(__xludf.DUMMYFUNCTION("""COMPUTED_VALUE"""),43564.64583333333)</f>
        <v>43564.64583</v>
      </c>
      <c r="B2028" s="1">
        <f>IFERROR(__xludf.DUMMYFUNCTION("""COMPUTED_VALUE"""),46700.0)</f>
        <v>46700</v>
      </c>
      <c r="C2028" s="1">
        <f>IFERROR(__xludf.DUMMYFUNCTION("""COMPUTED_VALUE"""),46950.0)</f>
        <v>46950</v>
      </c>
      <c r="D2028" s="1">
        <f>IFERROR(__xludf.DUMMYFUNCTION("""COMPUTED_VALUE"""),46200.0)</f>
        <v>46200</v>
      </c>
      <c r="E2028" s="1">
        <f>IFERROR(__xludf.DUMMYFUNCTION("""COMPUTED_VALUE"""),46650.0)</f>
        <v>46650</v>
      </c>
      <c r="F2028" s="1">
        <f>IFERROR(__xludf.DUMMYFUNCTION("""COMPUTED_VALUE"""),6878761.0)</f>
        <v>6878761</v>
      </c>
    </row>
    <row r="2029">
      <c r="A2029" s="2">
        <f>IFERROR(__xludf.DUMMYFUNCTION("""COMPUTED_VALUE"""),43565.64583333333)</f>
        <v>43565.64583</v>
      </c>
      <c r="B2029" s="1">
        <f>IFERROR(__xludf.DUMMYFUNCTION("""COMPUTED_VALUE"""),46400.0)</f>
        <v>46400</v>
      </c>
      <c r="C2029" s="1">
        <f>IFERROR(__xludf.DUMMYFUNCTION("""COMPUTED_VALUE"""),46700.0)</f>
        <v>46700</v>
      </c>
      <c r="D2029" s="1">
        <f>IFERROR(__xludf.DUMMYFUNCTION("""COMPUTED_VALUE"""),46050.0)</f>
        <v>46050</v>
      </c>
      <c r="E2029" s="1">
        <f>IFERROR(__xludf.DUMMYFUNCTION("""COMPUTED_VALUE"""),46700.0)</f>
        <v>46700</v>
      </c>
      <c r="F2029" s="1">
        <f>IFERROR(__xludf.DUMMYFUNCTION("""COMPUTED_VALUE"""),1.1883995E7)</f>
        <v>11883995</v>
      </c>
    </row>
    <row r="2030">
      <c r="A2030" s="2">
        <f>IFERROR(__xludf.DUMMYFUNCTION("""COMPUTED_VALUE"""),43566.64583333333)</f>
        <v>43566.64583</v>
      </c>
      <c r="B2030" s="1">
        <f>IFERROR(__xludf.DUMMYFUNCTION("""COMPUTED_VALUE"""),46700.0)</f>
        <v>46700</v>
      </c>
      <c r="C2030" s="1">
        <f>IFERROR(__xludf.DUMMYFUNCTION("""COMPUTED_VALUE"""),46800.0)</f>
        <v>46800</v>
      </c>
      <c r="D2030" s="1">
        <f>IFERROR(__xludf.DUMMYFUNCTION("""COMPUTED_VALUE"""),46150.0)</f>
        <v>46150</v>
      </c>
      <c r="E2030" s="1">
        <f>IFERROR(__xludf.DUMMYFUNCTION("""COMPUTED_VALUE"""),46250.0)</f>
        <v>46250</v>
      </c>
      <c r="F2030" s="1">
        <f>IFERROR(__xludf.DUMMYFUNCTION("""COMPUTED_VALUE"""),1.3697399E7)</f>
        <v>13697399</v>
      </c>
    </row>
    <row r="2031">
      <c r="A2031" s="2">
        <f>IFERROR(__xludf.DUMMYFUNCTION("""COMPUTED_VALUE"""),43567.64583333333)</f>
        <v>43567.64583</v>
      </c>
      <c r="B2031" s="1">
        <f>IFERROR(__xludf.DUMMYFUNCTION("""COMPUTED_VALUE"""),46050.0)</f>
        <v>46050</v>
      </c>
      <c r="C2031" s="1">
        <f>IFERROR(__xludf.DUMMYFUNCTION("""COMPUTED_VALUE"""),46900.0)</f>
        <v>46900</v>
      </c>
      <c r="D2031" s="1">
        <f>IFERROR(__xludf.DUMMYFUNCTION("""COMPUTED_VALUE"""),46000.0)</f>
        <v>46000</v>
      </c>
      <c r="E2031" s="1">
        <f>IFERROR(__xludf.DUMMYFUNCTION("""COMPUTED_VALUE"""),46850.0)</f>
        <v>46850</v>
      </c>
      <c r="F2031" s="1">
        <f>IFERROR(__xludf.DUMMYFUNCTION("""COMPUTED_VALUE"""),7668936.0)</f>
        <v>7668936</v>
      </c>
    </row>
    <row r="2032">
      <c r="A2032" s="2">
        <f>IFERROR(__xludf.DUMMYFUNCTION("""COMPUTED_VALUE"""),43570.64583333333)</f>
        <v>43570.64583</v>
      </c>
      <c r="B2032" s="1">
        <f>IFERROR(__xludf.DUMMYFUNCTION("""COMPUTED_VALUE"""),47150.0)</f>
        <v>47150</v>
      </c>
      <c r="C2032" s="1">
        <f>IFERROR(__xludf.DUMMYFUNCTION("""COMPUTED_VALUE"""),47500.0)</f>
        <v>47500</v>
      </c>
      <c r="D2032" s="1">
        <f>IFERROR(__xludf.DUMMYFUNCTION("""COMPUTED_VALUE"""),47000.0)</f>
        <v>47000</v>
      </c>
      <c r="E2032" s="1">
        <f>IFERROR(__xludf.DUMMYFUNCTION("""COMPUTED_VALUE"""),47050.0)</f>
        <v>47050</v>
      </c>
      <c r="F2032" s="1">
        <f>IFERROR(__xludf.DUMMYFUNCTION("""COMPUTED_VALUE"""),8733019.0)</f>
        <v>8733019</v>
      </c>
    </row>
    <row r="2033">
      <c r="A2033" s="2">
        <f>IFERROR(__xludf.DUMMYFUNCTION("""COMPUTED_VALUE"""),43571.64583333333)</f>
        <v>43571.64583</v>
      </c>
      <c r="B2033" s="1">
        <f>IFERROR(__xludf.DUMMYFUNCTION("""COMPUTED_VALUE"""),47400.0)</f>
        <v>47400</v>
      </c>
      <c r="C2033" s="1">
        <f>IFERROR(__xludf.DUMMYFUNCTION("""COMPUTED_VALUE"""),47400.0)</f>
        <v>47400</v>
      </c>
      <c r="D2033" s="1">
        <f>IFERROR(__xludf.DUMMYFUNCTION("""COMPUTED_VALUE"""),46800.0)</f>
        <v>46800</v>
      </c>
      <c r="E2033" s="1">
        <f>IFERROR(__xludf.DUMMYFUNCTION("""COMPUTED_VALUE"""),47250.0)</f>
        <v>47250</v>
      </c>
      <c r="F2033" s="1">
        <f>IFERROR(__xludf.DUMMYFUNCTION("""COMPUTED_VALUE"""),7730881.0)</f>
        <v>7730881</v>
      </c>
    </row>
    <row r="2034">
      <c r="A2034" s="2">
        <f>IFERROR(__xludf.DUMMYFUNCTION("""COMPUTED_VALUE"""),43572.64583333333)</f>
        <v>43572.64583</v>
      </c>
      <c r="B2034" s="1">
        <f>IFERROR(__xludf.DUMMYFUNCTION("""COMPUTED_VALUE"""),47300.0)</f>
        <v>47300</v>
      </c>
      <c r="C2034" s="1">
        <f>IFERROR(__xludf.DUMMYFUNCTION("""COMPUTED_VALUE"""),47600.0)</f>
        <v>47600</v>
      </c>
      <c r="D2034" s="1">
        <f>IFERROR(__xludf.DUMMYFUNCTION("""COMPUTED_VALUE"""),47000.0)</f>
        <v>47000</v>
      </c>
      <c r="E2034" s="1">
        <f>IFERROR(__xludf.DUMMYFUNCTION("""COMPUTED_VALUE"""),47050.0)</f>
        <v>47050</v>
      </c>
      <c r="F2034" s="1">
        <f>IFERROR(__xludf.DUMMYFUNCTION("""COMPUTED_VALUE"""),5513658.0)</f>
        <v>5513658</v>
      </c>
    </row>
    <row r="2035">
      <c r="A2035" s="2">
        <f>IFERROR(__xludf.DUMMYFUNCTION("""COMPUTED_VALUE"""),43573.64583333333)</f>
        <v>43573.64583</v>
      </c>
      <c r="B2035" s="1">
        <f>IFERROR(__xludf.DUMMYFUNCTION("""COMPUTED_VALUE"""),47200.0)</f>
        <v>47200</v>
      </c>
      <c r="C2035" s="1">
        <f>IFERROR(__xludf.DUMMYFUNCTION("""COMPUTED_VALUE"""),47250.0)</f>
        <v>47250</v>
      </c>
      <c r="D2035" s="1">
        <f>IFERROR(__xludf.DUMMYFUNCTION("""COMPUTED_VALUE"""),45500.0)</f>
        <v>45500</v>
      </c>
      <c r="E2035" s="1">
        <f>IFERROR(__xludf.DUMMYFUNCTION("""COMPUTED_VALUE"""),45600.0)</f>
        <v>45600</v>
      </c>
      <c r="F2035" s="1">
        <f>IFERROR(__xludf.DUMMYFUNCTION("""COMPUTED_VALUE"""),1.2808747E7)</f>
        <v>12808747</v>
      </c>
    </row>
    <row r="2036">
      <c r="A2036" s="2">
        <f>IFERROR(__xludf.DUMMYFUNCTION("""COMPUTED_VALUE"""),43574.64583333333)</f>
        <v>43574.64583</v>
      </c>
      <c r="B2036" s="1">
        <f>IFERROR(__xludf.DUMMYFUNCTION("""COMPUTED_VALUE"""),45750.0)</f>
        <v>45750</v>
      </c>
      <c r="C2036" s="1">
        <f>IFERROR(__xludf.DUMMYFUNCTION("""COMPUTED_VALUE"""),46000.0)</f>
        <v>46000</v>
      </c>
      <c r="D2036" s="1">
        <f>IFERROR(__xludf.DUMMYFUNCTION("""COMPUTED_VALUE"""),45250.0)</f>
        <v>45250</v>
      </c>
      <c r="E2036" s="1">
        <f>IFERROR(__xludf.DUMMYFUNCTION("""COMPUTED_VALUE"""),45300.0)</f>
        <v>45300</v>
      </c>
      <c r="F2036" s="1">
        <f>IFERROR(__xludf.DUMMYFUNCTION("""COMPUTED_VALUE"""),8479710.0)</f>
        <v>8479710</v>
      </c>
    </row>
    <row r="2037">
      <c r="A2037" s="2">
        <f>IFERROR(__xludf.DUMMYFUNCTION("""COMPUTED_VALUE"""),43577.64583333333)</f>
        <v>43577.64583</v>
      </c>
      <c r="B2037" s="1">
        <f>IFERROR(__xludf.DUMMYFUNCTION("""COMPUTED_VALUE"""),45400.0)</f>
        <v>45400</v>
      </c>
      <c r="C2037" s="1">
        <f>IFERROR(__xludf.DUMMYFUNCTION("""COMPUTED_VALUE"""),45900.0)</f>
        <v>45900</v>
      </c>
      <c r="D2037" s="1">
        <f>IFERROR(__xludf.DUMMYFUNCTION("""COMPUTED_VALUE"""),45100.0)</f>
        <v>45100</v>
      </c>
      <c r="E2037" s="1">
        <f>IFERROR(__xludf.DUMMYFUNCTION("""COMPUTED_VALUE"""),45350.0)</f>
        <v>45350</v>
      </c>
      <c r="F2037" s="1">
        <f>IFERROR(__xludf.DUMMYFUNCTION("""COMPUTED_VALUE"""),6006957.0)</f>
        <v>6006957</v>
      </c>
    </row>
    <row r="2038">
      <c r="A2038" s="2">
        <f>IFERROR(__xludf.DUMMYFUNCTION("""COMPUTED_VALUE"""),43578.64583333333)</f>
        <v>43578.64583</v>
      </c>
      <c r="B2038" s="1">
        <f>IFERROR(__xludf.DUMMYFUNCTION("""COMPUTED_VALUE"""),45050.0)</f>
        <v>45050</v>
      </c>
      <c r="C2038" s="1">
        <f>IFERROR(__xludf.DUMMYFUNCTION("""COMPUTED_VALUE"""),45500.0)</f>
        <v>45500</v>
      </c>
      <c r="D2038" s="1">
        <f>IFERROR(__xludf.DUMMYFUNCTION("""COMPUTED_VALUE"""),45000.0)</f>
        <v>45000</v>
      </c>
      <c r="E2038" s="1">
        <f>IFERROR(__xludf.DUMMYFUNCTION("""COMPUTED_VALUE"""),45200.0)</f>
        <v>45200</v>
      </c>
      <c r="F2038" s="1">
        <f>IFERROR(__xludf.DUMMYFUNCTION("""COMPUTED_VALUE"""),6920566.0)</f>
        <v>6920566</v>
      </c>
    </row>
    <row r="2039">
      <c r="A2039" s="2">
        <f>IFERROR(__xludf.DUMMYFUNCTION("""COMPUTED_VALUE"""),43579.64583333333)</f>
        <v>43579.64583</v>
      </c>
      <c r="B2039" s="1">
        <f>IFERROR(__xludf.DUMMYFUNCTION("""COMPUTED_VALUE"""),45400.0)</f>
        <v>45400</v>
      </c>
      <c r="C2039" s="1">
        <f>IFERROR(__xludf.DUMMYFUNCTION("""COMPUTED_VALUE"""),45650.0)</f>
        <v>45650</v>
      </c>
      <c r="D2039" s="1">
        <f>IFERROR(__xludf.DUMMYFUNCTION("""COMPUTED_VALUE"""),44150.0)</f>
        <v>44150</v>
      </c>
      <c r="E2039" s="1">
        <f>IFERROR(__xludf.DUMMYFUNCTION("""COMPUTED_VALUE"""),44750.0)</f>
        <v>44750</v>
      </c>
      <c r="F2039" s="1">
        <f>IFERROR(__xludf.DUMMYFUNCTION("""COMPUTED_VALUE"""),1.3299267E7)</f>
        <v>13299267</v>
      </c>
    </row>
    <row r="2040">
      <c r="A2040" s="2">
        <f>IFERROR(__xludf.DUMMYFUNCTION("""COMPUTED_VALUE"""),43580.64583333333)</f>
        <v>43580.64583</v>
      </c>
      <c r="B2040" s="1">
        <f>IFERROR(__xludf.DUMMYFUNCTION("""COMPUTED_VALUE"""),44250.0)</f>
        <v>44250</v>
      </c>
      <c r="C2040" s="1">
        <f>IFERROR(__xludf.DUMMYFUNCTION("""COMPUTED_VALUE"""),45000.0)</f>
        <v>45000</v>
      </c>
      <c r="D2040" s="1">
        <f>IFERROR(__xludf.DUMMYFUNCTION("""COMPUTED_VALUE"""),44100.0)</f>
        <v>44100</v>
      </c>
      <c r="E2040" s="1">
        <f>IFERROR(__xludf.DUMMYFUNCTION("""COMPUTED_VALUE"""),44650.0)</f>
        <v>44650</v>
      </c>
      <c r="F2040" s="1">
        <f>IFERROR(__xludf.DUMMYFUNCTION("""COMPUTED_VALUE"""),1.0868965E7)</f>
        <v>10868965</v>
      </c>
    </row>
    <row r="2041">
      <c r="A2041" s="2">
        <f>IFERROR(__xludf.DUMMYFUNCTION("""COMPUTED_VALUE"""),43581.64583333333)</f>
        <v>43581.64583</v>
      </c>
      <c r="B2041" s="1">
        <f>IFERROR(__xludf.DUMMYFUNCTION("""COMPUTED_VALUE"""),44200.0)</f>
        <v>44200</v>
      </c>
      <c r="C2041" s="1">
        <f>IFERROR(__xludf.DUMMYFUNCTION("""COMPUTED_VALUE"""),45000.0)</f>
        <v>45000</v>
      </c>
      <c r="D2041" s="1">
        <f>IFERROR(__xludf.DUMMYFUNCTION("""COMPUTED_VALUE"""),43800.0)</f>
        <v>43800</v>
      </c>
      <c r="E2041" s="1">
        <f>IFERROR(__xludf.DUMMYFUNCTION("""COMPUTED_VALUE"""),44850.0)</f>
        <v>44850</v>
      </c>
      <c r="F2041" s="1">
        <f>IFERROR(__xludf.DUMMYFUNCTION("""COMPUTED_VALUE"""),9739982.0)</f>
        <v>9739982</v>
      </c>
    </row>
    <row r="2042">
      <c r="A2042" s="2">
        <f>IFERROR(__xludf.DUMMYFUNCTION("""COMPUTED_VALUE"""),43584.64583333333)</f>
        <v>43584.64583</v>
      </c>
      <c r="B2042" s="1">
        <f>IFERROR(__xludf.DUMMYFUNCTION("""COMPUTED_VALUE"""),45150.0)</f>
        <v>45150</v>
      </c>
      <c r="C2042" s="1">
        <f>IFERROR(__xludf.DUMMYFUNCTION("""COMPUTED_VALUE"""),46150.0)</f>
        <v>46150</v>
      </c>
      <c r="D2042" s="1">
        <f>IFERROR(__xludf.DUMMYFUNCTION("""COMPUTED_VALUE"""),45100.0)</f>
        <v>45100</v>
      </c>
      <c r="E2042" s="1">
        <f>IFERROR(__xludf.DUMMYFUNCTION("""COMPUTED_VALUE"""),46150.0)</f>
        <v>46150</v>
      </c>
      <c r="F2042" s="1">
        <f>IFERROR(__xludf.DUMMYFUNCTION("""COMPUTED_VALUE"""),8777517.0)</f>
        <v>8777517</v>
      </c>
    </row>
    <row r="2043">
      <c r="A2043" s="2">
        <f>IFERROR(__xludf.DUMMYFUNCTION("""COMPUTED_VALUE"""),43585.64583333333)</f>
        <v>43585.64583</v>
      </c>
      <c r="B2043" s="1">
        <f>IFERROR(__xludf.DUMMYFUNCTION("""COMPUTED_VALUE"""),46000.0)</f>
        <v>46000</v>
      </c>
      <c r="C2043" s="1">
        <f>IFERROR(__xludf.DUMMYFUNCTION("""COMPUTED_VALUE"""),46300.0)</f>
        <v>46300</v>
      </c>
      <c r="D2043" s="1">
        <f>IFERROR(__xludf.DUMMYFUNCTION("""COMPUTED_VALUE"""),45350.0)</f>
        <v>45350</v>
      </c>
      <c r="E2043" s="1">
        <f>IFERROR(__xludf.DUMMYFUNCTION("""COMPUTED_VALUE"""),45850.0)</f>
        <v>45850</v>
      </c>
      <c r="F2043" s="1">
        <f>IFERROR(__xludf.DUMMYFUNCTION("""COMPUTED_VALUE"""),1.1121273E7)</f>
        <v>11121273</v>
      </c>
    </row>
    <row r="2044">
      <c r="A2044" s="2">
        <f>IFERROR(__xludf.DUMMYFUNCTION("""COMPUTED_VALUE"""),43587.64583333333)</f>
        <v>43587.64583</v>
      </c>
      <c r="B2044" s="1">
        <f>IFERROR(__xludf.DUMMYFUNCTION("""COMPUTED_VALUE"""),45500.0)</f>
        <v>45500</v>
      </c>
      <c r="C2044" s="1">
        <f>IFERROR(__xludf.DUMMYFUNCTION("""COMPUTED_VALUE"""),46150.0)</f>
        <v>46150</v>
      </c>
      <c r="D2044" s="1">
        <f>IFERROR(__xludf.DUMMYFUNCTION("""COMPUTED_VALUE"""),45400.0)</f>
        <v>45400</v>
      </c>
      <c r="E2044" s="1">
        <f>IFERROR(__xludf.DUMMYFUNCTION("""COMPUTED_VALUE"""),45900.0)</f>
        <v>45900</v>
      </c>
      <c r="F2044" s="1">
        <f>IFERROR(__xludf.DUMMYFUNCTION("""COMPUTED_VALUE"""),8625126.0)</f>
        <v>8625126</v>
      </c>
    </row>
    <row r="2045">
      <c r="A2045" s="2">
        <f>IFERROR(__xludf.DUMMYFUNCTION("""COMPUTED_VALUE"""),43588.64583333333)</f>
        <v>43588.64583</v>
      </c>
      <c r="B2045" s="1">
        <f>IFERROR(__xludf.DUMMYFUNCTION("""COMPUTED_VALUE"""),45900.0)</f>
        <v>45900</v>
      </c>
      <c r="C2045" s="1">
        <f>IFERROR(__xludf.DUMMYFUNCTION("""COMPUTED_VALUE"""),46050.0)</f>
        <v>46050</v>
      </c>
      <c r="D2045" s="1">
        <f>IFERROR(__xludf.DUMMYFUNCTION("""COMPUTED_VALUE"""),45300.0)</f>
        <v>45300</v>
      </c>
      <c r="E2045" s="1">
        <f>IFERROR(__xludf.DUMMYFUNCTION("""COMPUTED_VALUE"""),45300.0)</f>
        <v>45300</v>
      </c>
      <c r="F2045" s="1">
        <f>IFERROR(__xludf.DUMMYFUNCTION("""COMPUTED_VALUE"""),6562916.0)</f>
        <v>6562916</v>
      </c>
    </row>
    <row r="2046">
      <c r="A2046" s="2">
        <f>IFERROR(__xludf.DUMMYFUNCTION("""COMPUTED_VALUE"""),43592.64583333333)</f>
        <v>43592.64583</v>
      </c>
      <c r="B2046" s="1">
        <f>IFERROR(__xludf.DUMMYFUNCTION("""COMPUTED_VALUE"""),45250.0)</f>
        <v>45250</v>
      </c>
      <c r="C2046" s="1">
        <f>IFERROR(__xludf.DUMMYFUNCTION("""COMPUTED_VALUE"""),45300.0)</f>
        <v>45300</v>
      </c>
      <c r="D2046" s="1">
        <f>IFERROR(__xludf.DUMMYFUNCTION("""COMPUTED_VALUE"""),44400.0)</f>
        <v>44400</v>
      </c>
      <c r="E2046" s="1">
        <f>IFERROR(__xludf.DUMMYFUNCTION("""COMPUTED_VALUE"""),44850.0)</f>
        <v>44850</v>
      </c>
      <c r="F2046" s="1">
        <f>IFERROR(__xludf.DUMMYFUNCTION("""COMPUTED_VALUE"""),1.2014907E7)</f>
        <v>12014907</v>
      </c>
    </row>
    <row r="2047">
      <c r="A2047" s="2">
        <f>IFERROR(__xludf.DUMMYFUNCTION("""COMPUTED_VALUE"""),43593.64583333333)</f>
        <v>43593.64583</v>
      </c>
      <c r="B2047" s="1">
        <f>IFERROR(__xludf.DUMMYFUNCTION("""COMPUTED_VALUE"""),44300.0)</f>
        <v>44300</v>
      </c>
      <c r="C2047" s="1">
        <f>IFERROR(__xludf.DUMMYFUNCTION("""COMPUTED_VALUE"""),44850.0)</f>
        <v>44850</v>
      </c>
      <c r="D2047" s="1">
        <f>IFERROR(__xludf.DUMMYFUNCTION("""COMPUTED_VALUE"""),44200.0)</f>
        <v>44200</v>
      </c>
      <c r="E2047" s="1">
        <f>IFERROR(__xludf.DUMMYFUNCTION("""COMPUTED_VALUE"""),44250.0)</f>
        <v>44250</v>
      </c>
      <c r="F2047" s="1">
        <f>IFERROR(__xludf.DUMMYFUNCTION("""COMPUTED_VALUE"""),1.0398754E7)</f>
        <v>10398754</v>
      </c>
    </row>
    <row r="2048">
      <c r="A2048" s="2">
        <f>IFERROR(__xludf.DUMMYFUNCTION("""COMPUTED_VALUE"""),43594.64583333333)</f>
        <v>43594.64583</v>
      </c>
      <c r="B2048" s="1">
        <f>IFERROR(__xludf.DUMMYFUNCTION("""COMPUTED_VALUE"""),43900.0)</f>
        <v>43900</v>
      </c>
      <c r="C2048" s="1">
        <f>IFERROR(__xludf.DUMMYFUNCTION("""COMPUTED_VALUE"""),44250.0)</f>
        <v>44250</v>
      </c>
      <c r="D2048" s="1">
        <f>IFERROR(__xludf.DUMMYFUNCTION("""COMPUTED_VALUE"""),42450.0)</f>
        <v>42450</v>
      </c>
      <c r="E2048" s="1">
        <f>IFERROR(__xludf.DUMMYFUNCTION("""COMPUTED_VALUE"""),42450.0)</f>
        <v>42450</v>
      </c>
      <c r="F2048" s="1">
        <f>IFERROR(__xludf.DUMMYFUNCTION("""COMPUTED_VALUE"""),2.3029718E7)</f>
        <v>23029718</v>
      </c>
    </row>
    <row r="2049">
      <c r="A2049" s="2">
        <f>IFERROR(__xludf.DUMMYFUNCTION("""COMPUTED_VALUE"""),43595.64583333333)</f>
        <v>43595.64583</v>
      </c>
      <c r="B2049" s="1">
        <f>IFERROR(__xludf.DUMMYFUNCTION("""COMPUTED_VALUE"""),42600.0)</f>
        <v>42600</v>
      </c>
      <c r="C2049" s="1">
        <f>IFERROR(__xludf.DUMMYFUNCTION("""COMPUTED_VALUE"""),43450.0)</f>
        <v>43450</v>
      </c>
      <c r="D2049" s="1">
        <f>IFERROR(__xludf.DUMMYFUNCTION("""COMPUTED_VALUE"""),42450.0)</f>
        <v>42450</v>
      </c>
      <c r="E2049" s="1">
        <f>IFERROR(__xludf.DUMMYFUNCTION("""COMPUTED_VALUE"""),42900.0)</f>
        <v>42900</v>
      </c>
      <c r="F2049" s="1">
        <f>IFERROR(__xludf.DUMMYFUNCTION("""COMPUTED_VALUE"""),1.4579512E7)</f>
        <v>14579512</v>
      </c>
    </row>
    <row r="2050">
      <c r="A2050" s="2">
        <f>IFERROR(__xludf.DUMMYFUNCTION("""COMPUTED_VALUE"""),43598.64583333333)</f>
        <v>43598.64583</v>
      </c>
      <c r="B2050" s="1">
        <f>IFERROR(__xludf.DUMMYFUNCTION("""COMPUTED_VALUE"""),42500.0)</f>
        <v>42500</v>
      </c>
      <c r="C2050" s="1">
        <f>IFERROR(__xludf.DUMMYFUNCTION("""COMPUTED_VALUE"""),43200.0)</f>
        <v>43200</v>
      </c>
      <c r="D2050" s="1">
        <f>IFERROR(__xludf.DUMMYFUNCTION("""COMPUTED_VALUE"""),42350.0)</f>
        <v>42350</v>
      </c>
      <c r="E2050" s="1">
        <f>IFERROR(__xludf.DUMMYFUNCTION("""COMPUTED_VALUE"""),42650.0)</f>
        <v>42650</v>
      </c>
      <c r="F2050" s="1">
        <f>IFERROR(__xludf.DUMMYFUNCTION("""COMPUTED_VALUE"""),7635079.0)</f>
        <v>7635079</v>
      </c>
    </row>
    <row r="2051">
      <c r="A2051" s="2">
        <f>IFERROR(__xludf.DUMMYFUNCTION("""COMPUTED_VALUE"""),43599.64583333333)</f>
        <v>43599.64583</v>
      </c>
      <c r="B2051" s="1">
        <f>IFERROR(__xludf.DUMMYFUNCTION("""COMPUTED_VALUE"""),41300.0)</f>
        <v>41300</v>
      </c>
      <c r="C2051" s="1">
        <f>IFERROR(__xludf.DUMMYFUNCTION("""COMPUTED_VALUE"""),43100.0)</f>
        <v>43100</v>
      </c>
      <c r="D2051" s="1">
        <f>IFERROR(__xludf.DUMMYFUNCTION("""COMPUTED_VALUE"""),41300.0)</f>
        <v>41300</v>
      </c>
      <c r="E2051" s="1">
        <f>IFERROR(__xludf.DUMMYFUNCTION("""COMPUTED_VALUE"""),42650.0)</f>
        <v>42650</v>
      </c>
      <c r="F2051" s="1">
        <f>IFERROR(__xludf.DUMMYFUNCTION("""COMPUTED_VALUE"""),1.156373E7)</f>
        <v>11563730</v>
      </c>
    </row>
    <row r="2052">
      <c r="A2052" s="2">
        <f>IFERROR(__xludf.DUMMYFUNCTION("""COMPUTED_VALUE"""),43600.64583333333)</f>
        <v>43600.64583</v>
      </c>
      <c r="B2052" s="1">
        <f>IFERROR(__xludf.DUMMYFUNCTION("""COMPUTED_VALUE"""),42700.0)</f>
        <v>42700</v>
      </c>
      <c r="C2052" s="1">
        <f>IFERROR(__xludf.DUMMYFUNCTION("""COMPUTED_VALUE"""),43050.0)</f>
        <v>43050</v>
      </c>
      <c r="D2052" s="1">
        <f>IFERROR(__xludf.DUMMYFUNCTION("""COMPUTED_VALUE"""),42550.0)</f>
        <v>42550</v>
      </c>
      <c r="E2052" s="1">
        <f>IFERROR(__xludf.DUMMYFUNCTION("""COMPUTED_VALUE"""),42550.0)</f>
        <v>42550</v>
      </c>
      <c r="F2052" s="1">
        <f>IFERROR(__xludf.DUMMYFUNCTION("""COMPUTED_VALUE"""),7670185.0)</f>
        <v>7670185</v>
      </c>
    </row>
    <row r="2053">
      <c r="A2053" s="2">
        <f>IFERROR(__xludf.DUMMYFUNCTION("""COMPUTED_VALUE"""),43601.64583333333)</f>
        <v>43601.64583</v>
      </c>
      <c r="B2053" s="1">
        <f>IFERROR(__xludf.DUMMYFUNCTION("""COMPUTED_VALUE"""),42350.0)</f>
        <v>42350</v>
      </c>
      <c r="C2053" s="1">
        <f>IFERROR(__xludf.DUMMYFUNCTION("""COMPUTED_VALUE"""),42400.0)</f>
        <v>42400</v>
      </c>
      <c r="D2053" s="1">
        <f>IFERROR(__xludf.DUMMYFUNCTION("""COMPUTED_VALUE"""),41350.0)</f>
        <v>41350</v>
      </c>
      <c r="E2053" s="1">
        <f>IFERROR(__xludf.DUMMYFUNCTION("""COMPUTED_VALUE"""),41550.0)</f>
        <v>41550</v>
      </c>
      <c r="F2053" s="1">
        <f>IFERROR(__xludf.DUMMYFUNCTION("""COMPUTED_VALUE"""),1.3687828E7)</f>
        <v>13687828</v>
      </c>
    </row>
    <row r="2054">
      <c r="A2054" s="2">
        <f>IFERROR(__xludf.DUMMYFUNCTION("""COMPUTED_VALUE"""),43602.64583333333)</f>
        <v>43602.64583</v>
      </c>
      <c r="B2054" s="1">
        <f>IFERROR(__xludf.DUMMYFUNCTION("""COMPUTED_VALUE"""),41950.0)</f>
        <v>41950</v>
      </c>
      <c r="C2054" s="1">
        <f>IFERROR(__xludf.DUMMYFUNCTION("""COMPUTED_VALUE"""),42050.0)</f>
        <v>42050</v>
      </c>
      <c r="D2054" s="1">
        <f>IFERROR(__xludf.DUMMYFUNCTION("""COMPUTED_VALUE"""),40850.0)</f>
        <v>40850</v>
      </c>
      <c r="E2054" s="1">
        <f>IFERROR(__xludf.DUMMYFUNCTION("""COMPUTED_VALUE"""),41200.0)</f>
        <v>41200</v>
      </c>
      <c r="F2054" s="1">
        <f>IFERROR(__xludf.DUMMYFUNCTION("""COMPUTED_VALUE"""),1.3357951E7)</f>
        <v>13357951</v>
      </c>
    </row>
    <row r="2055">
      <c r="A2055" s="2">
        <f>IFERROR(__xludf.DUMMYFUNCTION("""COMPUTED_VALUE"""),43605.64583333333)</f>
        <v>43605.64583</v>
      </c>
      <c r="B2055" s="1">
        <f>IFERROR(__xludf.DUMMYFUNCTION("""COMPUTED_VALUE"""),41650.0)</f>
        <v>41650</v>
      </c>
      <c r="C2055" s="1">
        <f>IFERROR(__xludf.DUMMYFUNCTION("""COMPUTED_VALUE"""),42100.0)</f>
        <v>42100</v>
      </c>
      <c r="D2055" s="1">
        <f>IFERROR(__xludf.DUMMYFUNCTION("""COMPUTED_VALUE"""),41550.0)</f>
        <v>41550</v>
      </c>
      <c r="E2055" s="1">
        <f>IFERROR(__xludf.DUMMYFUNCTION("""COMPUTED_VALUE"""),42000.0)</f>
        <v>42000</v>
      </c>
      <c r="F2055" s="1">
        <f>IFERROR(__xludf.DUMMYFUNCTION("""COMPUTED_VALUE"""),1.5752397E7)</f>
        <v>15752397</v>
      </c>
    </row>
    <row r="2056">
      <c r="A2056" s="2">
        <f>IFERROR(__xludf.DUMMYFUNCTION("""COMPUTED_VALUE"""),43606.64583333333)</f>
        <v>43606.64583</v>
      </c>
      <c r="B2056" s="1">
        <f>IFERROR(__xludf.DUMMYFUNCTION("""COMPUTED_VALUE"""),42600.0)</f>
        <v>42600</v>
      </c>
      <c r="C2056" s="1">
        <f>IFERROR(__xludf.DUMMYFUNCTION("""COMPUTED_VALUE"""),43950.0)</f>
        <v>43950</v>
      </c>
      <c r="D2056" s="1">
        <f>IFERROR(__xludf.DUMMYFUNCTION("""COMPUTED_VALUE"""),42350.0)</f>
        <v>42350</v>
      </c>
      <c r="E2056" s="1">
        <f>IFERROR(__xludf.DUMMYFUNCTION("""COMPUTED_VALUE"""),43150.0)</f>
        <v>43150</v>
      </c>
      <c r="F2056" s="1">
        <f>IFERROR(__xludf.DUMMYFUNCTION("""COMPUTED_VALUE"""),1.8812133E7)</f>
        <v>18812133</v>
      </c>
    </row>
    <row r="2057">
      <c r="A2057" s="2">
        <f>IFERROR(__xludf.DUMMYFUNCTION("""COMPUTED_VALUE"""),43607.64583333333)</f>
        <v>43607.64583</v>
      </c>
      <c r="B2057" s="1">
        <f>IFERROR(__xludf.DUMMYFUNCTION("""COMPUTED_VALUE"""),43700.0)</f>
        <v>43700</v>
      </c>
      <c r="C2057" s="1">
        <f>IFERROR(__xludf.DUMMYFUNCTION("""COMPUTED_VALUE"""),43800.0)</f>
        <v>43800</v>
      </c>
      <c r="D2057" s="1">
        <f>IFERROR(__xludf.DUMMYFUNCTION("""COMPUTED_VALUE"""),42400.0)</f>
        <v>42400</v>
      </c>
      <c r="E2057" s="1">
        <f>IFERROR(__xludf.DUMMYFUNCTION("""COMPUTED_VALUE"""),43500.0)</f>
        <v>43500</v>
      </c>
      <c r="F2057" s="1">
        <f>IFERROR(__xludf.DUMMYFUNCTION("""COMPUTED_VALUE"""),1.1033339E7)</f>
        <v>11033339</v>
      </c>
    </row>
    <row r="2058">
      <c r="A2058" s="2">
        <f>IFERROR(__xludf.DUMMYFUNCTION("""COMPUTED_VALUE"""),43608.64583333333)</f>
        <v>43608.64583</v>
      </c>
      <c r="B2058" s="1">
        <f>IFERROR(__xludf.DUMMYFUNCTION("""COMPUTED_VALUE"""),43900.0)</f>
        <v>43900</v>
      </c>
      <c r="C2058" s="1">
        <f>IFERROR(__xludf.DUMMYFUNCTION("""COMPUTED_VALUE"""),44000.0)</f>
        <v>44000</v>
      </c>
      <c r="D2058" s="1">
        <f>IFERROR(__xludf.DUMMYFUNCTION("""COMPUTED_VALUE"""),43250.0)</f>
        <v>43250</v>
      </c>
      <c r="E2058" s="1">
        <f>IFERROR(__xludf.DUMMYFUNCTION("""COMPUTED_VALUE"""),43850.0)</f>
        <v>43850</v>
      </c>
      <c r="F2058" s="1">
        <f>IFERROR(__xludf.DUMMYFUNCTION("""COMPUTED_VALUE"""),1.2259006E7)</f>
        <v>12259006</v>
      </c>
    </row>
    <row r="2059">
      <c r="A2059" s="2">
        <f>IFERROR(__xludf.DUMMYFUNCTION("""COMPUTED_VALUE"""),43609.64583333333)</f>
        <v>43609.64583</v>
      </c>
      <c r="B2059" s="1">
        <f>IFERROR(__xludf.DUMMYFUNCTION("""COMPUTED_VALUE"""),43800.0)</f>
        <v>43800</v>
      </c>
      <c r="C2059" s="1">
        <f>IFERROR(__xludf.DUMMYFUNCTION("""COMPUTED_VALUE"""),43800.0)</f>
        <v>43800</v>
      </c>
      <c r="D2059" s="1">
        <f>IFERROR(__xludf.DUMMYFUNCTION("""COMPUTED_VALUE"""),42400.0)</f>
        <v>42400</v>
      </c>
      <c r="E2059" s="1">
        <f>IFERROR(__xludf.DUMMYFUNCTION("""COMPUTED_VALUE"""),42700.0)</f>
        <v>42700</v>
      </c>
      <c r="F2059" s="1">
        <f>IFERROR(__xludf.DUMMYFUNCTION("""COMPUTED_VALUE"""),1.3966305E7)</f>
        <v>13966305</v>
      </c>
    </row>
    <row r="2060">
      <c r="A2060" s="2">
        <f>IFERROR(__xludf.DUMMYFUNCTION("""COMPUTED_VALUE"""),43612.64583333333)</f>
        <v>43612.64583</v>
      </c>
      <c r="B2060" s="1">
        <f>IFERROR(__xludf.DUMMYFUNCTION("""COMPUTED_VALUE"""),42500.0)</f>
        <v>42500</v>
      </c>
      <c r="C2060" s="1">
        <f>IFERROR(__xludf.DUMMYFUNCTION("""COMPUTED_VALUE"""),43000.0)</f>
        <v>43000</v>
      </c>
      <c r="D2060" s="1">
        <f>IFERROR(__xludf.DUMMYFUNCTION("""COMPUTED_VALUE"""),42350.0)</f>
        <v>42350</v>
      </c>
      <c r="E2060" s="1">
        <f>IFERROR(__xludf.DUMMYFUNCTION("""COMPUTED_VALUE"""),42650.0)</f>
        <v>42650</v>
      </c>
      <c r="F2060" s="1">
        <f>IFERROR(__xludf.DUMMYFUNCTION("""COMPUTED_VALUE"""),8066669.0)</f>
        <v>8066669</v>
      </c>
    </row>
    <row r="2061">
      <c r="A2061" s="2">
        <f>IFERROR(__xludf.DUMMYFUNCTION("""COMPUTED_VALUE"""),43613.64583333333)</f>
        <v>43613.64583</v>
      </c>
      <c r="B2061" s="1">
        <f>IFERROR(__xludf.DUMMYFUNCTION("""COMPUTED_VALUE"""),42550.0)</f>
        <v>42550</v>
      </c>
      <c r="C2061" s="1">
        <f>IFERROR(__xludf.DUMMYFUNCTION("""COMPUTED_VALUE"""),42950.0)</f>
        <v>42950</v>
      </c>
      <c r="D2061" s="1">
        <f>IFERROR(__xludf.DUMMYFUNCTION("""COMPUTED_VALUE"""),42150.0)</f>
        <v>42150</v>
      </c>
      <c r="E2061" s="1">
        <f>IFERROR(__xludf.DUMMYFUNCTION("""COMPUTED_VALUE"""),42550.0)</f>
        <v>42550</v>
      </c>
      <c r="F2061" s="1">
        <f>IFERROR(__xludf.DUMMYFUNCTION("""COMPUTED_VALUE"""),2.4506881E7)</f>
        <v>24506881</v>
      </c>
    </row>
    <row r="2062">
      <c r="A2062" s="2">
        <f>IFERROR(__xludf.DUMMYFUNCTION("""COMPUTED_VALUE"""),43614.64583333333)</f>
        <v>43614.64583</v>
      </c>
      <c r="B2062" s="1">
        <f>IFERROR(__xludf.DUMMYFUNCTION("""COMPUTED_VALUE"""),41850.0)</f>
        <v>41850</v>
      </c>
      <c r="C2062" s="1">
        <f>IFERROR(__xludf.DUMMYFUNCTION("""COMPUTED_VALUE"""),42100.0)</f>
        <v>42100</v>
      </c>
      <c r="D2062" s="1">
        <f>IFERROR(__xludf.DUMMYFUNCTION("""COMPUTED_VALUE"""),41300.0)</f>
        <v>41300</v>
      </c>
      <c r="E2062" s="1">
        <f>IFERROR(__xludf.DUMMYFUNCTION("""COMPUTED_VALUE"""),41800.0)</f>
        <v>41800</v>
      </c>
      <c r="F2062" s="1">
        <f>IFERROR(__xludf.DUMMYFUNCTION("""COMPUTED_VALUE"""),1.4930618E7)</f>
        <v>14930618</v>
      </c>
    </row>
    <row r="2063">
      <c r="A2063" s="2">
        <f>IFERROR(__xludf.DUMMYFUNCTION("""COMPUTED_VALUE"""),43615.64583333333)</f>
        <v>43615.64583</v>
      </c>
      <c r="B2063" s="1">
        <f>IFERROR(__xludf.DUMMYFUNCTION("""COMPUTED_VALUE"""),42200.0)</f>
        <v>42200</v>
      </c>
      <c r="C2063" s="1">
        <f>IFERROR(__xludf.DUMMYFUNCTION("""COMPUTED_VALUE"""),42700.0)</f>
        <v>42700</v>
      </c>
      <c r="D2063" s="1">
        <f>IFERROR(__xludf.DUMMYFUNCTION("""COMPUTED_VALUE"""),42150.0)</f>
        <v>42150</v>
      </c>
      <c r="E2063" s="1">
        <f>IFERROR(__xludf.DUMMYFUNCTION("""COMPUTED_VALUE"""),42550.0)</f>
        <v>42550</v>
      </c>
      <c r="F2063" s="1">
        <f>IFERROR(__xludf.DUMMYFUNCTION("""COMPUTED_VALUE"""),1.1766018E7)</f>
        <v>11766018</v>
      </c>
    </row>
    <row r="2064">
      <c r="A2064" s="2">
        <f>IFERROR(__xludf.DUMMYFUNCTION("""COMPUTED_VALUE"""),43616.64583333333)</f>
        <v>43616.64583</v>
      </c>
      <c r="B2064" s="1">
        <f>IFERROR(__xludf.DUMMYFUNCTION("""COMPUTED_VALUE"""),42600.0)</f>
        <v>42600</v>
      </c>
      <c r="C2064" s="1">
        <f>IFERROR(__xludf.DUMMYFUNCTION("""COMPUTED_VALUE"""),42800.0)</f>
        <v>42800</v>
      </c>
      <c r="D2064" s="1">
        <f>IFERROR(__xludf.DUMMYFUNCTION("""COMPUTED_VALUE"""),42150.0)</f>
        <v>42150</v>
      </c>
      <c r="E2064" s="1">
        <f>IFERROR(__xludf.DUMMYFUNCTION("""COMPUTED_VALUE"""),42500.0)</f>
        <v>42500</v>
      </c>
      <c r="F2064" s="1">
        <f>IFERROR(__xludf.DUMMYFUNCTION("""COMPUTED_VALUE"""),1.1365999E7)</f>
        <v>11365999</v>
      </c>
    </row>
    <row r="2065">
      <c r="A2065" s="2">
        <f>IFERROR(__xludf.DUMMYFUNCTION("""COMPUTED_VALUE"""),43619.64583333333)</f>
        <v>43619.64583</v>
      </c>
      <c r="B2065" s="1">
        <f>IFERROR(__xludf.DUMMYFUNCTION("""COMPUTED_VALUE"""),42950.0)</f>
        <v>42950</v>
      </c>
      <c r="C2065" s="1">
        <f>IFERROR(__xludf.DUMMYFUNCTION("""COMPUTED_VALUE"""),43900.0)</f>
        <v>43900</v>
      </c>
      <c r="D2065" s="1">
        <f>IFERROR(__xludf.DUMMYFUNCTION("""COMPUTED_VALUE"""),42500.0)</f>
        <v>42500</v>
      </c>
      <c r="E2065" s="1">
        <f>IFERROR(__xludf.DUMMYFUNCTION("""COMPUTED_VALUE"""),43800.0)</f>
        <v>43800</v>
      </c>
      <c r="F2065" s="1">
        <f>IFERROR(__xludf.DUMMYFUNCTION("""COMPUTED_VALUE"""),1.546658E7)</f>
        <v>15466580</v>
      </c>
    </row>
    <row r="2066">
      <c r="A2066" s="2">
        <f>IFERROR(__xludf.DUMMYFUNCTION("""COMPUTED_VALUE"""),43620.64583333333)</f>
        <v>43620.64583</v>
      </c>
      <c r="B2066" s="1">
        <f>IFERROR(__xludf.DUMMYFUNCTION("""COMPUTED_VALUE"""),43400.0)</f>
        <v>43400</v>
      </c>
      <c r="C2066" s="1">
        <f>IFERROR(__xludf.DUMMYFUNCTION("""COMPUTED_VALUE"""),43700.0)</f>
        <v>43700</v>
      </c>
      <c r="D2066" s="1">
        <f>IFERROR(__xludf.DUMMYFUNCTION("""COMPUTED_VALUE"""),43000.0)</f>
        <v>43000</v>
      </c>
      <c r="E2066" s="1">
        <f>IFERROR(__xludf.DUMMYFUNCTION("""COMPUTED_VALUE"""),43450.0)</f>
        <v>43450</v>
      </c>
      <c r="F2066" s="1">
        <f>IFERROR(__xludf.DUMMYFUNCTION("""COMPUTED_VALUE"""),9913497.0)</f>
        <v>9913497</v>
      </c>
    </row>
    <row r="2067">
      <c r="A2067" s="2">
        <f>IFERROR(__xludf.DUMMYFUNCTION("""COMPUTED_VALUE"""),43621.64583333333)</f>
        <v>43621.64583</v>
      </c>
      <c r="B2067" s="1">
        <f>IFERROR(__xludf.DUMMYFUNCTION("""COMPUTED_VALUE"""),44050.0)</f>
        <v>44050</v>
      </c>
      <c r="C2067" s="1">
        <f>IFERROR(__xludf.DUMMYFUNCTION("""COMPUTED_VALUE"""),44200.0)</f>
        <v>44200</v>
      </c>
      <c r="D2067" s="1">
        <f>IFERROR(__xludf.DUMMYFUNCTION("""COMPUTED_VALUE"""),43700.0)</f>
        <v>43700</v>
      </c>
      <c r="E2067" s="1">
        <f>IFERROR(__xludf.DUMMYFUNCTION("""COMPUTED_VALUE"""),43900.0)</f>
        <v>43900</v>
      </c>
      <c r="F2067" s="1">
        <f>IFERROR(__xludf.DUMMYFUNCTION("""COMPUTED_VALUE"""),1.2464135E7)</f>
        <v>12464135</v>
      </c>
    </row>
    <row r="2068">
      <c r="A2068" s="2">
        <f>IFERROR(__xludf.DUMMYFUNCTION("""COMPUTED_VALUE"""),43623.64583333333)</f>
        <v>43623.64583</v>
      </c>
      <c r="B2068" s="1">
        <f>IFERROR(__xludf.DUMMYFUNCTION("""COMPUTED_VALUE"""),43600.0)</f>
        <v>43600</v>
      </c>
      <c r="C2068" s="1">
        <f>IFERROR(__xludf.DUMMYFUNCTION("""COMPUTED_VALUE"""),44350.0)</f>
        <v>44350</v>
      </c>
      <c r="D2068" s="1">
        <f>IFERROR(__xludf.DUMMYFUNCTION("""COMPUTED_VALUE"""),43450.0)</f>
        <v>43450</v>
      </c>
      <c r="E2068" s="1">
        <f>IFERROR(__xludf.DUMMYFUNCTION("""COMPUTED_VALUE"""),44200.0)</f>
        <v>44200</v>
      </c>
      <c r="F2068" s="1">
        <f>IFERROR(__xludf.DUMMYFUNCTION("""COMPUTED_VALUE"""),1.1683682E7)</f>
        <v>11683682</v>
      </c>
    </row>
    <row r="2069">
      <c r="A2069" s="2">
        <f>IFERROR(__xludf.DUMMYFUNCTION("""COMPUTED_VALUE"""),43626.64583333333)</f>
        <v>43626.64583</v>
      </c>
      <c r="B2069" s="1">
        <f>IFERROR(__xludf.DUMMYFUNCTION("""COMPUTED_VALUE"""),44300.0)</f>
        <v>44300</v>
      </c>
      <c r="C2069" s="1">
        <f>IFERROR(__xludf.DUMMYFUNCTION("""COMPUTED_VALUE"""),44850.0)</f>
        <v>44850</v>
      </c>
      <c r="D2069" s="1">
        <f>IFERROR(__xludf.DUMMYFUNCTION("""COMPUTED_VALUE"""),44050.0)</f>
        <v>44050</v>
      </c>
      <c r="E2069" s="1">
        <f>IFERROR(__xludf.DUMMYFUNCTION("""COMPUTED_VALUE"""),44800.0)</f>
        <v>44800</v>
      </c>
      <c r="F2069" s="1">
        <f>IFERROR(__xludf.DUMMYFUNCTION("""COMPUTED_VALUE"""),8792182.0)</f>
        <v>8792182</v>
      </c>
    </row>
    <row r="2070">
      <c r="A2070" s="2">
        <f>IFERROR(__xludf.DUMMYFUNCTION("""COMPUTED_VALUE"""),43627.64583333333)</f>
        <v>43627.64583</v>
      </c>
      <c r="B2070" s="1">
        <f>IFERROR(__xludf.DUMMYFUNCTION("""COMPUTED_VALUE"""),44800.0)</f>
        <v>44800</v>
      </c>
      <c r="C2070" s="1">
        <f>IFERROR(__xludf.DUMMYFUNCTION("""COMPUTED_VALUE"""),45000.0)</f>
        <v>45000</v>
      </c>
      <c r="D2070" s="1">
        <f>IFERROR(__xludf.DUMMYFUNCTION("""COMPUTED_VALUE"""),44550.0)</f>
        <v>44550</v>
      </c>
      <c r="E2070" s="1">
        <f>IFERROR(__xludf.DUMMYFUNCTION("""COMPUTED_VALUE"""),44850.0)</f>
        <v>44850</v>
      </c>
      <c r="F2070" s="1">
        <f>IFERROR(__xludf.DUMMYFUNCTION("""COMPUTED_VALUE"""),6664872.0)</f>
        <v>6664872</v>
      </c>
    </row>
    <row r="2071">
      <c r="A2071" s="2">
        <f>IFERROR(__xludf.DUMMYFUNCTION("""COMPUTED_VALUE"""),43628.64583333333)</f>
        <v>43628.64583</v>
      </c>
      <c r="B2071" s="1">
        <f>IFERROR(__xludf.DUMMYFUNCTION("""COMPUTED_VALUE"""),44800.0)</f>
        <v>44800</v>
      </c>
      <c r="C2071" s="1">
        <f>IFERROR(__xludf.DUMMYFUNCTION("""COMPUTED_VALUE"""),45050.0)</f>
        <v>45050</v>
      </c>
      <c r="D2071" s="1">
        <f>IFERROR(__xludf.DUMMYFUNCTION("""COMPUTED_VALUE"""),44300.0)</f>
        <v>44300</v>
      </c>
      <c r="E2071" s="1">
        <f>IFERROR(__xludf.DUMMYFUNCTION("""COMPUTED_VALUE"""),44600.0)</f>
        <v>44600</v>
      </c>
      <c r="F2071" s="1">
        <f>IFERROR(__xludf.DUMMYFUNCTION("""COMPUTED_VALUE"""),8607439.0)</f>
        <v>8607439</v>
      </c>
    </row>
    <row r="2072">
      <c r="A2072" s="2">
        <f>IFERROR(__xludf.DUMMYFUNCTION("""COMPUTED_VALUE"""),43629.64583333333)</f>
        <v>43629.64583</v>
      </c>
      <c r="B2072" s="1">
        <f>IFERROR(__xludf.DUMMYFUNCTION("""COMPUTED_VALUE"""),44200.0)</f>
        <v>44200</v>
      </c>
      <c r="C2072" s="1">
        <f>IFERROR(__xludf.DUMMYFUNCTION("""COMPUTED_VALUE"""),44400.0)</f>
        <v>44400</v>
      </c>
      <c r="D2072" s="1">
        <f>IFERROR(__xludf.DUMMYFUNCTION("""COMPUTED_VALUE"""),43400.0)</f>
        <v>43400</v>
      </c>
      <c r="E2072" s="1">
        <f>IFERROR(__xludf.DUMMYFUNCTION("""COMPUTED_VALUE"""),43750.0)</f>
        <v>43750</v>
      </c>
      <c r="F2072" s="1">
        <f>IFERROR(__xludf.DUMMYFUNCTION("""COMPUTED_VALUE"""),1.6906541E7)</f>
        <v>16906541</v>
      </c>
    </row>
    <row r="2073">
      <c r="A2073" s="2">
        <f>IFERROR(__xludf.DUMMYFUNCTION("""COMPUTED_VALUE"""),43630.64583333333)</f>
        <v>43630.64583</v>
      </c>
      <c r="B2073" s="1">
        <f>IFERROR(__xludf.DUMMYFUNCTION("""COMPUTED_VALUE"""),43750.0)</f>
        <v>43750</v>
      </c>
      <c r="C2073" s="1">
        <f>IFERROR(__xludf.DUMMYFUNCTION("""COMPUTED_VALUE"""),44150.0)</f>
        <v>44150</v>
      </c>
      <c r="D2073" s="1">
        <f>IFERROR(__xludf.DUMMYFUNCTION("""COMPUTED_VALUE"""),43300.0)</f>
        <v>43300</v>
      </c>
      <c r="E2073" s="1">
        <f>IFERROR(__xludf.DUMMYFUNCTION("""COMPUTED_VALUE"""),44000.0)</f>
        <v>44000</v>
      </c>
      <c r="F2073" s="1">
        <f>IFERROR(__xludf.DUMMYFUNCTION("""COMPUTED_VALUE"""),9322873.0)</f>
        <v>9322873</v>
      </c>
    </row>
    <row r="2074">
      <c r="A2074" s="2">
        <f>IFERROR(__xludf.DUMMYFUNCTION("""COMPUTED_VALUE"""),43633.64583333333)</f>
        <v>43633.64583</v>
      </c>
      <c r="B2074" s="1">
        <f>IFERROR(__xludf.DUMMYFUNCTION("""COMPUTED_VALUE"""),43750.0)</f>
        <v>43750</v>
      </c>
      <c r="C2074" s="1">
        <f>IFERROR(__xludf.DUMMYFUNCTION("""COMPUTED_VALUE"""),44050.0)</f>
        <v>44050</v>
      </c>
      <c r="D2074" s="1">
        <f>IFERROR(__xludf.DUMMYFUNCTION("""COMPUTED_VALUE"""),43400.0)</f>
        <v>43400</v>
      </c>
      <c r="E2074" s="1">
        <f>IFERROR(__xludf.DUMMYFUNCTION("""COMPUTED_VALUE"""),43900.0)</f>
        <v>43900</v>
      </c>
      <c r="F2074" s="1">
        <f>IFERROR(__xludf.DUMMYFUNCTION("""COMPUTED_VALUE"""),1.1890424E7)</f>
        <v>11890424</v>
      </c>
    </row>
    <row r="2075">
      <c r="A2075" s="2">
        <f>IFERROR(__xludf.DUMMYFUNCTION("""COMPUTED_VALUE"""),43634.64583333333)</f>
        <v>43634.64583</v>
      </c>
      <c r="B2075" s="1">
        <f>IFERROR(__xludf.DUMMYFUNCTION("""COMPUTED_VALUE"""),43750.0)</f>
        <v>43750</v>
      </c>
      <c r="C2075" s="1">
        <f>IFERROR(__xludf.DUMMYFUNCTION("""COMPUTED_VALUE"""),44500.0)</f>
        <v>44500</v>
      </c>
      <c r="D2075" s="1">
        <f>IFERROR(__xludf.DUMMYFUNCTION("""COMPUTED_VALUE"""),43650.0)</f>
        <v>43650</v>
      </c>
      <c r="E2075" s="1">
        <f>IFERROR(__xludf.DUMMYFUNCTION("""COMPUTED_VALUE"""),44350.0)</f>
        <v>44350</v>
      </c>
      <c r="F2075" s="1">
        <f>IFERROR(__xludf.DUMMYFUNCTION("""COMPUTED_VALUE"""),7994928.0)</f>
        <v>7994928</v>
      </c>
    </row>
    <row r="2076">
      <c r="A2076" s="2">
        <f>IFERROR(__xludf.DUMMYFUNCTION("""COMPUTED_VALUE"""),43635.64583333333)</f>
        <v>43635.64583</v>
      </c>
      <c r="B2076" s="1">
        <f>IFERROR(__xludf.DUMMYFUNCTION("""COMPUTED_VALUE"""),45450.0)</f>
        <v>45450</v>
      </c>
      <c r="C2076" s="1">
        <f>IFERROR(__xludf.DUMMYFUNCTION("""COMPUTED_VALUE"""),45450.0)</f>
        <v>45450</v>
      </c>
      <c r="D2076" s="1">
        <f>IFERROR(__xludf.DUMMYFUNCTION("""COMPUTED_VALUE"""),45000.0)</f>
        <v>45000</v>
      </c>
      <c r="E2076" s="1">
        <f>IFERROR(__xludf.DUMMYFUNCTION("""COMPUTED_VALUE"""),45350.0)</f>
        <v>45350</v>
      </c>
      <c r="F2076" s="1">
        <f>IFERROR(__xludf.DUMMYFUNCTION("""COMPUTED_VALUE"""),1.041769E7)</f>
        <v>10417690</v>
      </c>
    </row>
    <row r="2077">
      <c r="A2077" s="2">
        <f>IFERROR(__xludf.DUMMYFUNCTION("""COMPUTED_VALUE"""),43636.64583333333)</f>
        <v>43636.64583</v>
      </c>
      <c r="B2077" s="1">
        <f>IFERROR(__xludf.DUMMYFUNCTION("""COMPUTED_VALUE"""),44850.0)</f>
        <v>44850</v>
      </c>
      <c r="C2077" s="1">
        <f>IFERROR(__xludf.DUMMYFUNCTION("""COMPUTED_VALUE"""),45500.0)</f>
        <v>45500</v>
      </c>
      <c r="D2077" s="1">
        <f>IFERROR(__xludf.DUMMYFUNCTION("""COMPUTED_VALUE"""),44850.0)</f>
        <v>44850</v>
      </c>
      <c r="E2077" s="1">
        <f>IFERROR(__xludf.DUMMYFUNCTION("""COMPUTED_VALUE"""),45500.0)</f>
        <v>45500</v>
      </c>
      <c r="F2077" s="1">
        <f>IFERROR(__xludf.DUMMYFUNCTION("""COMPUTED_VALUE"""),7147785.0)</f>
        <v>7147785</v>
      </c>
    </row>
    <row r="2078">
      <c r="A2078" s="2">
        <f>IFERROR(__xludf.DUMMYFUNCTION("""COMPUTED_VALUE"""),43637.64583333333)</f>
        <v>43637.64583</v>
      </c>
      <c r="B2078" s="1">
        <f>IFERROR(__xludf.DUMMYFUNCTION("""COMPUTED_VALUE"""),45750.0)</f>
        <v>45750</v>
      </c>
      <c r="C2078" s="1">
        <f>IFERROR(__xludf.DUMMYFUNCTION("""COMPUTED_VALUE"""),45800.0)</f>
        <v>45800</v>
      </c>
      <c r="D2078" s="1">
        <f>IFERROR(__xludf.DUMMYFUNCTION("""COMPUTED_VALUE"""),45200.0)</f>
        <v>45200</v>
      </c>
      <c r="E2078" s="1">
        <f>IFERROR(__xludf.DUMMYFUNCTION("""COMPUTED_VALUE"""),45700.0)</f>
        <v>45700</v>
      </c>
      <c r="F2078" s="1">
        <f>IFERROR(__xludf.DUMMYFUNCTION("""COMPUTED_VALUE"""),9454913.0)</f>
        <v>9454913</v>
      </c>
    </row>
    <row r="2079">
      <c r="A2079" s="2">
        <f>IFERROR(__xludf.DUMMYFUNCTION("""COMPUTED_VALUE"""),43640.64583333333)</f>
        <v>43640.64583</v>
      </c>
      <c r="B2079" s="1">
        <f>IFERROR(__xludf.DUMMYFUNCTION("""COMPUTED_VALUE"""),45200.0)</f>
        <v>45200</v>
      </c>
      <c r="C2079" s="1">
        <f>IFERROR(__xludf.DUMMYFUNCTION("""COMPUTED_VALUE"""),45800.0)</f>
        <v>45800</v>
      </c>
      <c r="D2079" s="1">
        <f>IFERROR(__xludf.DUMMYFUNCTION("""COMPUTED_VALUE"""),45200.0)</f>
        <v>45200</v>
      </c>
      <c r="E2079" s="1">
        <f>IFERROR(__xludf.DUMMYFUNCTION("""COMPUTED_VALUE"""),45500.0)</f>
        <v>45500</v>
      </c>
      <c r="F2079" s="1">
        <f>IFERROR(__xludf.DUMMYFUNCTION("""COMPUTED_VALUE"""),6085066.0)</f>
        <v>6085066</v>
      </c>
    </row>
    <row r="2080">
      <c r="A2080" s="2">
        <f>IFERROR(__xludf.DUMMYFUNCTION("""COMPUTED_VALUE"""),43641.64583333333)</f>
        <v>43641.64583</v>
      </c>
      <c r="B2080" s="1">
        <f>IFERROR(__xludf.DUMMYFUNCTION("""COMPUTED_VALUE"""),45200.0)</f>
        <v>45200</v>
      </c>
      <c r="C2080" s="1">
        <f>IFERROR(__xludf.DUMMYFUNCTION("""COMPUTED_VALUE"""),45800.0)</f>
        <v>45800</v>
      </c>
      <c r="D2080" s="1">
        <f>IFERROR(__xludf.DUMMYFUNCTION("""COMPUTED_VALUE"""),45200.0)</f>
        <v>45200</v>
      </c>
      <c r="E2080" s="1">
        <f>IFERROR(__xludf.DUMMYFUNCTION("""COMPUTED_VALUE"""),45600.0)</f>
        <v>45600</v>
      </c>
      <c r="F2080" s="1">
        <f>IFERROR(__xludf.DUMMYFUNCTION("""COMPUTED_VALUE"""),7076774.0)</f>
        <v>7076774</v>
      </c>
    </row>
    <row r="2081">
      <c r="A2081" s="2">
        <f>IFERROR(__xludf.DUMMYFUNCTION("""COMPUTED_VALUE"""),43642.64583333333)</f>
        <v>43642.64583</v>
      </c>
      <c r="B2081" s="1">
        <f>IFERROR(__xludf.DUMMYFUNCTION("""COMPUTED_VALUE"""),45800.0)</f>
        <v>45800</v>
      </c>
      <c r="C2081" s="1">
        <f>IFERROR(__xludf.DUMMYFUNCTION("""COMPUTED_VALUE"""),46000.0)</f>
        <v>46000</v>
      </c>
      <c r="D2081" s="1">
        <f>IFERROR(__xludf.DUMMYFUNCTION("""COMPUTED_VALUE"""),45600.0)</f>
        <v>45600</v>
      </c>
      <c r="E2081" s="1">
        <f>IFERROR(__xludf.DUMMYFUNCTION("""COMPUTED_VALUE"""),45700.0)</f>
        <v>45700</v>
      </c>
      <c r="F2081" s="1">
        <f>IFERROR(__xludf.DUMMYFUNCTION("""COMPUTED_VALUE"""),9226097.0)</f>
        <v>9226097</v>
      </c>
    </row>
    <row r="2082">
      <c r="A2082" s="2">
        <f>IFERROR(__xludf.DUMMYFUNCTION("""COMPUTED_VALUE"""),43643.64583333333)</f>
        <v>43643.64583</v>
      </c>
      <c r="B2082" s="1">
        <f>IFERROR(__xludf.DUMMYFUNCTION("""COMPUTED_VALUE"""),46000.0)</f>
        <v>46000</v>
      </c>
      <c r="C2082" s="1">
        <f>IFERROR(__xludf.DUMMYFUNCTION("""COMPUTED_VALUE"""),46600.0)</f>
        <v>46600</v>
      </c>
      <c r="D2082" s="1">
        <f>IFERROR(__xludf.DUMMYFUNCTION("""COMPUTED_VALUE"""),45750.0)</f>
        <v>45750</v>
      </c>
      <c r="E2082" s="1">
        <f>IFERROR(__xludf.DUMMYFUNCTION("""COMPUTED_VALUE"""),46500.0)</f>
        <v>46500</v>
      </c>
      <c r="F2082" s="1">
        <f>IFERROR(__xludf.DUMMYFUNCTION("""COMPUTED_VALUE"""),1.2603534E7)</f>
        <v>12603534</v>
      </c>
    </row>
    <row r="2083">
      <c r="A2083" s="2">
        <f>IFERROR(__xludf.DUMMYFUNCTION("""COMPUTED_VALUE"""),43644.64583333333)</f>
        <v>43644.64583</v>
      </c>
      <c r="B2083" s="1">
        <f>IFERROR(__xludf.DUMMYFUNCTION("""COMPUTED_VALUE"""),47000.0)</f>
        <v>47000</v>
      </c>
      <c r="C2083" s="1">
        <f>IFERROR(__xludf.DUMMYFUNCTION("""COMPUTED_VALUE"""),47000.0)</f>
        <v>47000</v>
      </c>
      <c r="D2083" s="1">
        <f>IFERROR(__xludf.DUMMYFUNCTION("""COMPUTED_VALUE"""),46700.0)</f>
        <v>46700</v>
      </c>
      <c r="E2083" s="1">
        <f>IFERROR(__xludf.DUMMYFUNCTION("""COMPUTED_VALUE"""),47000.0)</f>
        <v>47000</v>
      </c>
      <c r="F2083" s="1">
        <f>IFERROR(__xludf.DUMMYFUNCTION("""COMPUTED_VALUE"""),1.2949231E7)</f>
        <v>12949231</v>
      </c>
    </row>
    <row r="2084">
      <c r="A2084" s="2">
        <f>IFERROR(__xludf.DUMMYFUNCTION("""COMPUTED_VALUE"""),43647.64583333333)</f>
        <v>43647.64583</v>
      </c>
      <c r="B2084" s="1">
        <f>IFERROR(__xludf.DUMMYFUNCTION("""COMPUTED_VALUE"""),47350.0)</f>
        <v>47350</v>
      </c>
      <c r="C2084" s="1">
        <f>IFERROR(__xludf.DUMMYFUNCTION("""COMPUTED_VALUE"""),47400.0)</f>
        <v>47400</v>
      </c>
      <c r="D2084" s="1">
        <f>IFERROR(__xludf.DUMMYFUNCTION("""COMPUTED_VALUE"""),46250.0)</f>
        <v>46250</v>
      </c>
      <c r="E2084" s="1">
        <f>IFERROR(__xludf.DUMMYFUNCTION("""COMPUTED_VALUE"""),46600.0)</f>
        <v>46600</v>
      </c>
      <c r="F2084" s="1">
        <f>IFERROR(__xludf.DUMMYFUNCTION("""COMPUTED_VALUE"""),1.1383522E7)</f>
        <v>11383522</v>
      </c>
    </row>
    <row r="2085">
      <c r="A2085" s="2">
        <f>IFERROR(__xludf.DUMMYFUNCTION("""COMPUTED_VALUE"""),43648.64583333333)</f>
        <v>43648.64583</v>
      </c>
      <c r="B2085" s="1">
        <f>IFERROR(__xludf.DUMMYFUNCTION("""COMPUTED_VALUE"""),46200.0)</f>
        <v>46200</v>
      </c>
      <c r="C2085" s="1">
        <f>IFERROR(__xludf.DUMMYFUNCTION("""COMPUTED_VALUE"""),46900.0)</f>
        <v>46900</v>
      </c>
      <c r="D2085" s="1">
        <f>IFERROR(__xludf.DUMMYFUNCTION("""COMPUTED_VALUE"""),45850.0)</f>
        <v>45850</v>
      </c>
      <c r="E2085" s="1">
        <f>IFERROR(__xludf.DUMMYFUNCTION("""COMPUTED_VALUE"""),46250.0)</f>
        <v>46250</v>
      </c>
      <c r="F2085" s="1">
        <f>IFERROR(__xludf.DUMMYFUNCTION("""COMPUTED_VALUE"""),8463073.0)</f>
        <v>8463073</v>
      </c>
    </row>
    <row r="2086">
      <c r="A2086" s="2">
        <f>IFERROR(__xludf.DUMMYFUNCTION("""COMPUTED_VALUE"""),43649.64583333333)</f>
        <v>43649.64583</v>
      </c>
      <c r="B2086" s="1">
        <f>IFERROR(__xludf.DUMMYFUNCTION("""COMPUTED_VALUE"""),45750.0)</f>
        <v>45750</v>
      </c>
      <c r="C2086" s="1">
        <f>IFERROR(__xludf.DUMMYFUNCTION("""COMPUTED_VALUE"""),46350.0)</f>
        <v>46350</v>
      </c>
      <c r="D2086" s="1">
        <f>IFERROR(__xludf.DUMMYFUNCTION("""COMPUTED_VALUE"""),45200.0)</f>
        <v>45200</v>
      </c>
      <c r="E2086" s="1">
        <f>IFERROR(__xludf.DUMMYFUNCTION("""COMPUTED_VALUE"""),45400.0)</f>
        <v>45400</v>
      </c>
      <c r="F2086" s="1">
        <f>IFERROR(__xludf.DUMMYFUNCTION("""COMPUTED_VALUE"""),9669368.0)</f>
        <v>9669368</v>
      </c>
    </row>
    <row r="2087">
      <c r="A2087" s="2">
        <f>IFERROR(__xludf.DUMMYFUNCTION("""COMPUTED_VALUE"""),43650.64583333333)</f>
        <v>43650.64583</v>
      </c>
      <c r="B2087" s="1">
        <f>IFERROR(__xludf.DUMMYFUNCTION("""COMPUTED_VALUE"""),45250.0)</f>
        <v>45250</v>
      </c>
      <c r="C2087" s="1">
        <f>IFERROR(__xludf.DUMMYFUNCTION("""COMPUTED_VALUE"""),46200.0)</f>
        <v>46200</v>
      </c>
      <c r="D2087" s="1">
        <f>IFERROR(__xludf.DUMMYFUNCTION("""COMPUTED_VALUE"""),45250.0)</f>
        <v>45250</v>
      </c>
      <c r="E2087" s="1">
        <f>IFERROR(__xludf.DUMMYFUNCTION("""COMPUTED_VALUE"""),46000.0)</f>
        <v>46000</v>
      </c>
      <c r="F2087" s="1">
        <f>IFERROR(__xludf.DUMMYFUNCTION("""COMPUTED_VALUE"""),6365573.0)</f>
        <v>6365573</v>
      </c>
    </row>
    <row r="2088">
      <c r="A2088" s="2">
        <f>IFERROR(__xludf.DUMMYFUNCTION("""COMPUTED_VALUE"""),43651.64583333333)</f>
        <v>43651.64583</v>
      </c>
      <c r="B2088" s="1">
        <f>IFERROR(__xludf.DUMMYFUNCTION("""COMPUTED_VALUE"""),45950.0)</f>
        <v>45950</v>
      </c>
      <c r="C2088" s="1">
        <f>IFERROR(__xludf.DUMMYFUNCTION("""COMPUTED_VALUE"""),45950.0)</f>
        <v>45950</v>
      </c>
      <c r="D2088" s="1">
        <f>IFERROR(__xludf.DUMMYFUNCTION("""COMPUTED_VALUE"""),45250.0)</f>
        <v>45250</v>
      </c>
      <c r="E2088" s="1">
        <f>IFERROR(__xludf.DUMMYFUNCTION("""COMPUTED_VALUE"""),45650.0)</f>
        <v>45650</v>
      </c>
      <c r="F2088" s="1">
        <f>IFERROR(__xludf.DUMMYFUNCTION("""COMPUTED_VALUE"""),7235395.0)</f>
        <v>7235395</v>
      </c>
    </row>
    <row r="2089">
      <c r="A2089" s="2">
        <f>IFERROR(__xludf.DUMMYFUNCTION("""COMPUTED_VALUE"""),43654.64583333333)</f>
        <v>43654.64583</v>
      </c>
      <c r="B2089" s="1">
        <f>IFERROR(__xludf.DUMMYFUNCTION("""COMPUTED_VALUE"""),44750.0)</f>
        <v>44750</v>
      </c>
      <c r="C2089" s="1">
        <f>IFERROR(__xludf.DUMMYFUNCTION("""COMPUTED_VALUE"""),44800.0)</f>
        <v>44800</v>
      </c>
      <c r="D2089" s="1">
        <f>IFERROR(__xludf.DUMMYFUNCTION("""COMPUTED_VALUE"""),44350.0)</f>
        <v>44350</v>
      </c>
      <c r="E2089" s="1">
        <f>IFERROR(__xludf.DUMMYFUNCTION("""COMPUTED_VALUE"""),44400.0)</f>
        <v>44400</v>
      </c>
      <c r="F2089" s="1">
        <f>IFERROR(__xludf.DUMMYFUNCTION("""COMPUTED_VALUE"""),7823843.0)</f>
        <v>7823843</v>
      </c>
    </row>
    <row r="2090">
      <c r="A2090" s="2">
        <f>IFERROR(__xludf.DUMMYFUNCTION("""COMPUTED_VALUE"""),43655.64583333333)</f>
        <v>43655.64583</v>
      </c>
      <c r="B2090" s="1">
        <f>IFERROR(__xludf.DUMMYFUNCTION("""COMPUTED_VALUE"""),44850.0)</f>
        <v>44850</v>
      </c>
      <c r="C2090" s="1">
        <f>IFERROR(__xludf.DUMMYFUNCTION("""COMPUTED_VALUE"""),45450.0)</f>
        <v>45450</v>
      </c>
      <c r="D2090" s="1">
        <f>IFERROR(__xludf.DUMMYFUNCTION("""COMPUTED_VALUE"""),44700.0)</f>
        <v>44700</v>
      </c>
      <c r="E2090" s="1">
        <f>IFERROR(__xludf.DUMMYFUNCTION("""COMPUTED_VALUE"""),45100.0)</f>
        <v>45100</v>
      </c>
      <c r="F2090" s="1">
        <f>IFERROR(__xludf.DUMMYFUNCTION("""COMPUTED_VALUE"""),7646421.0)</f>
        <v>7646421</v>
      </c>
    </row>
    <row r="2091">
      <c r="A2091" s="2">
        <f>IFERROR(__xludf.DUMMYFUNCTION("""COMPUTED_VALUE"""),43656.64583333333)</f>
        <v>43656.64583</v>
      </c>
      <c r="B2091" s="1">
        <f>IFERROR(__xludf.DUMMYFUNCTION("""COMPUTED_VALUE"""),45550.0)</f>
        <v>45550</v>
      </c>
      <c r="C2091" s="1">
        <f>IFERROR(__xludf.DUMMYFUNCTION("""COMPUTED_VALUE"""),46150.0)</f>
        <v>46150</v>
      </c>
      <c r="D2091" s="1">
        <f>IFERROR(__xludf.DUMMYFUNCTION("""COMPUTED_VALUE"""),45500.0)</f>
        <v>45500</v>
      </c>
      <c r="E2091" s="1">
        <f>IFERROR(__xludf.DUMMYFUNCTION("""COMPUTED_VALUE"""),45550.0)</f>
        <v>45550</v>
      </c>
      <c r="F2091" s="1">
        <f>IFERROR(__xludf.DUMMYFUNCTION("""COMPUTED_VALUE"""),9253930.0)</f>
        <v>9253930</v>
      </c>
    </row>
    <row r="2092">
      <c r="A2092" s="2">
        <f>IFERROR(__xludf.DUMMYFUNCTION("""COMPUTED_VALUE"""),43657.64583333333)</f>
        <v>43657.64583</v>
      </c>
      <c r="B2092" s="1">
        <f>IFERROR(__xludf.DUMMYFUNCTION("""COMPUTED_VALUE"""),46350.0)</f>
        <v>46350</v>
      </c>
      <c r="C2092" s="1">
        <f>IFERROR(__xludf.DUMMYFUNCTION("""COMPUTED_VALUE"""),46550.0)</f>
        <v>46550</v>
      </c>
      <c r="D2092" s="1">
        <f>IFERROR(__xludf.DUMMYFUNCTION("""COMPUTED_VALUE"""),46150.0)</f>
        <v>46150</v>
      </c>
      <c r="E2092" s="1">
        <f>IFERROR(__xludf.DUMMYFUNCTION("""COMPUTED_VALUE"""),46200.0)</f>
        <v>46200</v>
      </c>
      <c r="F2092" s="1">
        <f>IFERROR(__xludf.DUMMYFUNCTION("""COMPUTED_VALUE"""),1.0989751E7)</f>
        <v>10989751</v>
      </c>
    </row>
    <row r="2093">
      <c r="A2093" s="2">
        <f>IFERROR(__xludf.DUMMYFUNCTION("""COMPUTED_VALUE"""),43658.64583333333)</f>
        <v>43658.64583</v>
      </c>
      <c r="B2093" s="1">
        <f>IFERROR(__xludf.DUMMYFUNCTION("""COMPUTED_VALUE"""),46350.0)</f>
        <v>46350</v>
      </c>
      <c r="C2093" s="1">
        <f>IFERROR(__xludf.DUMMYFUNCTION("""COMPUTED_VALUE"""),46400.0)</f>
        <v>46400</v>
      </c>
      <c r="D2093" s="1">
        <f>IFERROR(__xludf.DUMMYFUNCTION("""COMPUTED_VALUE"""),45800.0)</f>
        <v>45800</v>
      </c>
      <c r="E2093" s="1">
        <f>IFERROR(__xludf.DUMMYFUNCTION("""COMPUTED_VALUE"""),46300.0)</f>
        <v>46300</v>
      </c>
      <c r="F2093" s="1">
        <f>IFERROR(__xludf.DUMMYFUNCTION("""COMPUTED_VALUE"""),5245804.0)</f>
        <v>5245804</v>
      </c>
    </row>
    <row r="2094">
      <c r="A2094" s="2">
        <f>IFERROR(__xludf.DUMMYFUNCTION("""COMPUTED_VALUE"""),43661.64583333333)</f>
        <v>43661.64583</v>
      </c>
      <c r="B2094" s="1">
        <f>IFERROR(__xludf.DUMMYFUNCTION("""COMPUTED_VALUE"""),45950.0)</f>
        <v>45950</v>
      </c>
      <c r="C2094" s="1">
        <f>IFERROR(__xludf.DUMMYFUNCTION("""COMPUTED_VALUE"""),46650.0)</f>
        <v>46650</v>
      </c>
      <c r="D2094" s="1">
        <f>IFERROR(__xludf.DUMMYFUNCTION("""COMPUTED_VALUE"""),45750.0)</f>
        <v>45750</v>
      </c>
      <c r="E2094" s="1">
        <f>IFERROR(__xludf.DUMMYFUNCTION("""COMPUTED_VALUE"""),46450.0)</f>
        <v>46450</v>
      </c>
      <c r="F2094" s="1">
        <f>IFERROR(__xludf.DUMMYFUNCTION("""COMPUTED_VALUE"""),4717226.0)</f>
        <v>4717226</v>
      </c>
    </row>
    <row r="2095">
      <c r="A2095" s="2">
        <f>IFERROR(__xludf.DUMMYFUNCTION("""COMPUTED_VALUE"""),43662.64583333333)</f>
        <v>43662.64583</v>
      </c>
      <c r="B2095" s="1">
        <f>IFERROR(__xludf.DUMMYFUNCTION("""COMPUTED_VALUE"""),46450.0)</f>
        <v>46450</v>
      </c>
      <c r="C2095" s="1">
        <f>IFERROR(__xludf.DUMMYFUNCTION("""COMPUTED_VALUE"""),46850.0)</f>
        <v>46850</v>
      </c>
      <c r="D2095" s="1">
        <f>IFERROR(__xludf.DUMMYFUNCTION("""COMPUTED_VALUE"""),46300.0)</f>
        <v>46300</v>
      </c>
      <c r="E2095" s="1">
        <f>IFERROR(__xludf.DUMMYFUNCTION("""COMPUTED_VALUE"""),46850.0)</f>
        <v>46850</v>
      </c>
      <c r="F2095" s="1">
        <f>IFERROR(__xludf.DUMMYFUNCTION("""COMPUTED_VALUE"""),7407824.0)</f>
        <v>7407824</v>
      </c>
    </row>
    <row r="2096">
      <c r="A2096" s="2">
        <f>IFERROR(__xludf.DUMMYFUNCTION("""COMPUTED_VALUE"""),43663.64583333333)</f>
        <v>43663.64583</v>
      </c>
      <c r="B2096" s="1">
        <f>IFERROR(__xludf.DUMMYFUNCTION("""COMPUTED_VALUE"""),46150.0)</f>
        <v>46150</v>
      </c>
      <c r="C2096" s="1">
        <f>IFERROR(__xludf.DUMMYFUNCTION("""COMPUTED_VALUE"""),46350.0)</f>
        <v>46350</v>
      </c>
      <c r="D2096" s="1">
        <f>IFERROR(__xludf.DUMMYFUNCTION("""COMPUTED_VALUE"""),45950.0)</f>
        <v>45950</v>
      </c>
      <c r="E2096" s="1">
        <f>IFERROR(__xludf.DUMMYFUNCTION("""COMPUTED_VALUE"""),46050.0)</f>
        <v>46050</v>
      </c>
      <c r="F2096" s="1">
        <f>IFERROR(__xludf.DUMMYFUNCTION("""COMPUTED_VALUE"""),5216602.0)</f>
        <v>5216602</v>
      </c>
    </row>
    <row r="2097">
      <c r="A2097" s="2">
        <f>IFERROR(__xludf.DUMMYFUNCTION("""COMPUTED_VALUE"""),43664.64583333333)</f>
        <v>43664.64583</v>
      </c>
      <c r="B2097" s="1">
        <f>IFERROR(__xludf.DUMMYFUNCTION("""COMPUTED_VALUE"""),46450.0)</f>
        <v>46450</v>
      </c>
      <c r="C2097" s="1">
        <f>IFERROR(__xludf.DUMMYFUNCTION("""COMPUTED_VALUE"""),46450.0)</f>
        <v>46450</v>
      </c>
      <c r="D2097" s="1">
        <f>IFERROR(__xludf.DUMMYFUNCTION("""COMPUTED_VALUE"""),45650.0)</f>
        <v>45650</v>
      </c>
      <c r="E2097" s="1">
        <f>IFERROR(__xludf.DUMMYFUNCTION("""COMPUTED_VALUE"""),46100.0)</f>
        <v>46100</v>
      </c>
      <c r="F2097" s="1">
        <f>IFERROR(__xludf.DUMMYFUNCTION("""COMPUTED_VALUE"""),5143554.0)</f>
        <v>5143554</v>
      </c>
    </row>
    <row r="2098">
      <c r="A2098" s="2">
        <f>IFERROR(__xludf.DUMMYFUNCTION("""COMPUTED_VALUE"""),43665.64583333333)</f>
        <v>43665.64583</v>
      </c>
      <c r="B2098" s="1">
        <f>IFERROR(__xludf.DUMMYFUNCTION("""COMPUTED_VALUE"""),46650.0)</f>
        <v>46650</v>
      </c>
      <c r="C2098" s="1">
        <f>IFERROR(__xludf.DUMMYFUNCTION("""COMPUTED_VALUE"""),46950.0)</f>
        <v>46950</v>
      </c>
      <c r="D2098" s="1">
        <f>IFERROR(__xludf.DUMMYFUNCTION("""COMPUTED_VALUE"""),46600.0)</f>
        <v>46600</v>
      </c>
      <c r="E2098" s="1">
        <f>IFERROR(__xludf.DUMMYFUNCTION("""COMPUTED_VALUE"""),46800.0)</f>
        <v>46800</v>
      </c>
      <c r="F2098" s="1">
        <f>IFERROR(__xludf.DUMMYFUNCTION("""COMPUTED_VALUE"""),8819393.0)</f>
        <v>8819393</v>
      </c>
    </row>
    <row r="2099">
      <c r="A2099" s="2">
        <f>IFERROR(__xludf.DUMMYFUNCTION("""COMPUTED_VALUE"""),43668.64583333333)</f>
        <v>43668.64583</v>
      </c>
      <c r="B2099" s="1">
        <f>IFERROR(__xludf.DUMMYFUNCTION("""COMPUTED_VALUE"""),46800.0)</f>
        <v>46800</v>
      </c>
      <c r="C2099" s="1">
        <f>IFERROR(__xludf.DUMMYFUNCTION("""COMPUTED_VALUE"""),47300.0)</f>
        <v>47300</v>
      </c>
      <c r="D2099" s="1">
        <f>IFERROR(__xludf.DUMMYFUNCTION("""COMPUTED_VALUE"""),46600.0)</f>
        <v>46600</v>
      </c>
      <c r="E2099" s="1">
        <f>IFERROR(__xludf.DUMMYFUNCTION("""COMPUTED_VALUE"""),47200.0)</f>
        <v>47200</v>
      </c>
      <c r="F2099" s="1">
        <f>IFERROR(__xludf.DUMMYFUNCTION("""COMPUTED_VALUE"""),9009109.0)</f>
        <v>9009109</v>
      </c>
    </row>
    <row r="2100">
      <c r="A2100" s="2">
        <f>IFERROR(__xludf.DUMMYFUNCTION("""COMPUTED_VALUE"""),43669.64583333333)</f>
        <v>43669.64583</v>
      </c>
      <c r="B2100" s="1">
        <f>IFERROR(__xludf.DUMMYFUNCTION("""COMPUTED_VALUE"""),47350.0)</f>
        <v>47350</v>
      </c>
      <c r="C2100" s="1">
        <f>IFERROR(__xludf.DUMMYFUNCTION("""COMPUTED_VALUE"""),47550.0)</f>
        <v>47550</v>
      </c>
      <c r="D2100" s="1">
        <f>IFERROR(__xludf.DUMMYFUNCTION("""COMPUTED_VALUE"""),47050.0)</f>
        <v>47050</v>
      </c>
      <c r="E2100" s="1">
        <f>IFERROR(__xludf.DUMMYFUNCTION("""COMPUTED_VALUE"""),47300.0)</f>
        <v>47300</v>
      </c>
      <c r="F2100" s="1">
        <f>IFERROR(__xludf.DUMMYFUNCTION("""COMPUTED_VALUE"""),9061381.0)</f>
        <v>9061381</v>
      </c>
    </row>
    <row r="2101">
      <c r="A2101" s="2">
        <f>IFERROR(__xludf.DUMMYFUNCTION("""COMPUTED_VALUE"""),43670.64583333333)</f>
        <v>43670.64583</v>
      </c>
      <c r="B2101" s="1">
        <f>IFERROR(__xludf.DUMMYFUNCTION("""COMPUTED_VALUE"""),47100.0)</f>
        <v>47100</v>
      </c>
      <c r="C2101" s="1">
        <f>IFERROR(__xludf.DUMMYFUNCTION("""COMPUTED_VALUE"""),47150.0)</f>
        <v>47150</v>
      </c>
      <c r="D2101" s="1">
        <f>IFERROR(__xludf.DUMMYFUNCTION("""COMPUTED_VALUE"""),46250.0)</f>
        <v>46250</v>
      </c>
      <c r="E2101" s="1">
        <f>IFERROR(__xludf.DUMMYFUNCTION("""COMPUTED_VALUE"""),46400.0)</f>
        <v>46400</v>
      </c>
      <c r="F2101" s="1">
        <f>IFERROR(__xludf.DUMMYFUNCTION("""COMPUTED_VALUE"""),8756522.0)</f>
        <v>8756522</v>
      </c>
    </row>
    <row r="2102">
      <c r="A2102" s="2">
        <f>IFERROR(__xludf.DUMMYFUNCTION("""COMPUTED_VALUE"""),43671.64583333333)</f>
        <v>43671.64583</v>
      </c>
      <c r="B2102" s="1">
        <f>IFERROR(__xludf.DUMMYFUNCTION("""COMPUTED_VALUE"""),47150.0)</f>
        <v>47150</v>
      </c>
      <c r="C2102" s="1">
        <f>IFERROR(__xludf.DUMMYFUNCTION("""COMPUTED_VALUE"""),47200.0)</f>
        <v>47200</v>
      </c>
      <c r="D2102" s="1">
        <f>IFERROR(__xludf.DUMMYFUNCTION("""COMPUTED_VALUE"""),46600.0)</f>
        <v>46600</v>
      </c>
      <c r="E2102" s="1">
        <f>IFERROR(__xludf.DUMMYFUNCTION("""COMPUTED_VALUE"""),47200.0)</f>
        <v>47200</v>
      </c>
      <c r="F2102" s="1">
        <f>IFERROR(__xludf.DUMMYFUNCTION("""COMPUTED_VALUE"""),8408838.0)</f>
        <v>8408838</v>
      </c>
    </row>
    <row r="2103">
      <c r="A2103" s="2">
        <f>IFERROR(__xludf.DUMMYFUNCTION("""COMPUTED_VALUE"""),43672.64583333333)</f>
        <v>43672.64583</v>
      </c>
      <c r="B2103" s="1">
        <f>IFERROR(__xludf.DUMMYFUNCTION("""COMPUTED_VALUE"""),46650.0)</f>
        <v>46650</v>
      </c>
      <c r="C2103" s="1">
        <f>IFERROR(__xludf.DUMMYFUNCTION("""COMPUTED_VALUE"""),47150.0)</f>
        <v>47150</v>
      </c>
      <c r="D2103" s="1">
        <f>IFERROR(__xludf.DUMMYFUNCTION("""COMPUTED_VALUE"""),46550.0)</f>
        <v>46550</v>
      </c>
      <c r="E2103" s="1">
        <f>IFERROR(__xludf.DUMMYFUNCTION("""COMPUTED_VALUE"""),47150.0)</f>
        <v>47150</v>
      </c>
      <c r="F2103" s="1">
        <f>IFERROR(__xludf.DUMMYFUNCTION("""COMPUTED_VALUE"""),7873886.0)</f>
        <v>7873886</v>
      </c>
    </row>
    <row r="2104">
      <c r="A2104" s="2">
        <f>IFERROR(__xludf.DUMMYFUNCTION("""COMPUTED_VALUE"""),43675.64583333333)</f>
        <v>43675.64583</v>
      </c>
      <c r="B2104" s="1">
        <f>IFERROR(__xludf.DUMMYFUNCTION("""COMPUTED_VALUE"""),46800.0)</f>
        <v>46800</v>
      </c>
      <c r="C2104" s="1">
        <f>IFERROR(__xludf.DUMMYFUNCTION("""COMPUTED_VALUE"""),47050.0)</f>
        <v>47050</v>
      </c>
      <c r="D2104" s="1">
        <f>IFERROR(__xludf.DUMMYFUNCTION("""COMPUTED_VALUE"""),46000.0)</f>
        <v>46000</v>
      </c>
      <c r="E2104" s="1">
        <f>IFERROR(__xludf.DUMMYFUNCTION("""COMPUTED_VALUE"""),46100.0)</f>
        <v>46100</v>
      </c>
      <c r="F2104" s="1">
        <f>IFERROR(__xludf.DUMMYFUNCTION("""COMPUTED_VALUE"""),6856846.0)</f>
        <v>6856846</v>
      </c>
    </row>
    <row r="2105">
      <c r="A2105" s="2">
        <f>IFERROR(__xludf.DUMMYFUNCTION("""COMPUTED_VALUE"""),43676.64583333333)</f>
        <v>43676.64583</v>
      </c>
      <c r="B2105" s="1">
        <f>IFERROR(__xludf.DUMMYFUNCTION("""COMPUTED_VALUE"""),46300.0)</f>
        <v>46300</v>
      </c>
      <c r="C2105" s="1">
        <f>IFERROR(__xludf.DUMMYFUNCTION("""COMPUTED_VALUE"""),46850.0)</f>
        <v>46850</v>
      </c>
      <c r="D2105" s="1">
        <f>IFERROR(__xludf.DUMMYFUNCTION("""COMPUTED_VALUE"""),46300.0)</f>
        <v>46300</v>
      </c>
      <c r="E2105" s="1">
        <f>IFERROR(__xludf.DUMMYFUNCTION("""COMPUTED_VALUE"""),46550.0)</f>
        <v>46550</v>
      </c>
      <c r="F2105" s="1">
        <f>IFERROR(__xludf.DUMMYFUNCTION("""COMPUTED_VALUE"""),5551014.0)</f>
        <v>5551014</v>
      </c>
    </row>
    <row r="2106">
      <c r="A2106" s="2">
        <f>IFERROR(__xludf.DUMMYFUNCTION("""COMPUTED_VALUE"""),43677.64583333333)</f>
        <v>43677.64583</v>
      </c>
      <c r="B2106" s="1">
        <f>IFERROR(__xludf.DUMMYFUNCTION("""COMPUTED_VALUE"""),46200.0)</f>
        <v>46200</v>
      </c>
      <c r="C2106" s="1">
        <f>IFERROR(__xludf.DUMMYFUNCTION("""COMPUTED_VALUE"""),46600.0)</f>
        <v>46600</v>
      </c>
      <c r="D2106" s="1">
        <f>IFERROR(__xludf.DUMMYFUNCTION("""COMPUTED_VALUE"""),45000.0)</f>
        <v>45000</v>
      </c>
      <c r="E2106" s="1">
        <f>IFERROR(__xludf.DUMMYFUNCTION("""COMPUTED_VALUE"""),45350.0)</f>
        <v>45350</v>
      </c>
      <c r="F2106" s="1">
        <f>IFERROR(__xludf.DUMMYFUNCTION("""COMPUTED_VALUE"""),1.2872916E7)</f>
        <v>12872916</v>
      </c>
    </row>
    <row r="2107">
      <c r="A2107" s="2">
        <f>IFERROR(__xludf.DUMMYFUNCTION("""COMPUTED_VALUE"""),43678.64583333333)</f>
        <v>43678.64583</v>
      </c>
      <c r="B2107" s="1">
        <f>IFERROR(__xludf.DUMMYFUNCTION("""COMPUTED_VALUE"""),44900.0)</f>
        <v>44900</v>
      </c>
      <c r="C2107" s="1">
        <f>IFERROR(__xludf.DUMMYFUNCTION("""COMPUTED_VALUE"""),45500.0)</f>
        <v>45500</v>
      </c>
      <c r="D2107" s="1">
        <f>IFERROR(__xludf.DUMMYFUNCTION("""COMPUTED_VALUE"""),44850.0)</f>
        <v>44850</v>
      </c>
      <c r="E2107" s="1">
        <f>IFERROR(__xludf.DUMMYFUNCTION("""COMPUTED_VALUE"""),45200.0)</f>
        <v>45200</v>
      </c>
      <c r="F2107" s="1">
        <f>IFERROR(__xludf.DUMMYFUNCTION("""COMPUTED_VALUE"""),7811181.0)</f>
        <v>7811181</v>
      </c>
    </row>
    <row r="2108">
      <c r="A2108" s="2">
        <f>IFERROR(__xludf.DUMMYFUNCTION("""COMPUTED_VALUE"""),43679.64583333333)</f>
        <v>43679.64583</v>
      </c>
      <c r="B2108" s="1">
        <f>IFERROR(__xludf.DUMMYFUNCTION("""COMPUTED_VALUE"""),44550.0)</f>
        <v>44550</v>
      </c>
      <c r="C2108" s="1">
        <f>IFERROR(__xludf.DUMMYFUNCTION("""COMPUTED_VALUE"""),45500.0)</f>
        <v>45500</v>
      </c>
      <c r="D2108" s="1">
        <f>IFERROR(__xludf.DUMMYFUNCTION("""COMPUTED_VALUE"""),44300.0)</f>
        <v>44300</v>
      </c>
      <c r="E2108" s="1">
        <f>IFERROR(__xludf.DUMMYFUNCTION("""COMPUTED_VALUE"""),44950.0)</f>
        <v>44950</v>
      </c>
      <c r="F2108" s="1">
        <f>IFERROR(__xludf.DUMMYFUNCTION("""COMPUTED_VALUE"""),1.2151374E7)</f>
        <v>12151374</v>
      </c>
    </row>
    <row r="2109">
      <c r="A2109" s="2">
        <f>IFERROR(__xludf.DUMMYFUNCTION("""COMPUTED_VALUE"""),43682.64583333333)</f>
        <v>43682.64583</v>
      </c>
      <c r="B2109" s="1">
        <f>IFERROR(__xludf.DUMMYFUNCTION("""COMPUTED_VALUE"""),44350.0)</f>
        <v>44350</v>
      </c>
      <c r="C2109" s="1">
        <f>IFERROR(__xludf.DUMMYFUNCTION("""COMPUTED_VALUE"""),44600.0)</f>
        <v>44600</v>
      </c>
      <c r="D2109" s="1">
        <f>IFERROR(__xludf.DUMMYFUNCTION("""COMPUTED_VALUE"""),43600.0)</f>
        <v>43600</v>
      </c>
      <c r="E2109" s="1">
        <f>IFERROR(__xludf.DUMMYFUNCTION("""COMPUTED_VALUE"""),43950.0)</f>
        <v>43950</v>
      </c>
      <c r="F2109" s="1">
        <f>IFERROR(__xludf.DUMMYFUNCTION("""COMPUTED_VALUE"""),1.4214086E7)</f>
        <v>14214086</v>
      </c>
    </row>
    <row r="2110">
      <c r="A2110" s="2">
        <f>IFERROR(__xludf.DUMMYFUNCTION("""COMPUTED_VALUE"""),43683.64583333333)</f>
        <v>43683.64583</v>
      </c>
      <c r="B2110" s="1">
        <f>IFERROR(__xludf.DUMMYFUNCTION("""COMPUTED_VALUE"""),42500.0)</f>
        <v>42500</v>
      </c>
      <c r="C2110" s="1">
        <f>IFERROR(__xludf.DUMMYFUNCTION("""COMPUTED_VALUE"""),43800.0)</f>
        <v>43800</v>
      </c>
      <c r="D2110" s="1">
        <f>IFERROR(__xludf.DUMMYFUNCTION("""COMPUTED_VALUE"""),42500.0)</f>
        <v>42500</v>
      </c>
      <c r="E2110" s="1">
        <f>IFERROR(__xludf.DUMMYFUNCTION("""COMPUTED_VALUE"""),43500.0)</f>
        <v>43500</v>
      </c>
      <c r="F2110" s="1">
        <f>IFERROR(__xludf.DUMMYFUNCTION("""COMPUTED_VALUE"""),1.5083824E7)</f>
        <v>15083824</v>
      </c>
    </row>
    <row r="2111">
      <c r="A2111" s="2">
        <f>IFERROR(__xludf.DUMMYFUNCTION("""COMPUTED_VALUE"""),43684.64583333333)</f>
        <v>43684.64583</v>
      </c>
      <c r="B2111" s="1">
        <f>IFERROR(__xludf.DUMMYFUNCTION("""COMPUTED_VALUE"""),43600.0)</f>
        <v>43600</v>
      </c>
      <c r="C2111" s="1">
        <f>IFERROR(__xludf.DUMMYFUNCTION("""COMPUTED_VALUE"""),43900.0)</f>
        <v>43900</v>
      </c>
      <c r="D2111" s="1">
        <f>IFERROR(__xludf.DUMMYFUNCTION("""COMPUTED_VALUE"""),43100.0)</f>
        <v>43100</v>
      </c>
      <c r="E2111" s="1">
        <f>IFERROR(__xludf.DUMMYFUNCTION("""COMPUTED_VALUE"""),43200.0)</f>
        <v>43200</v>
      </c>
      <c r="F2111" s="1">
        <f>IFERROR(__xludf.DUMMYFUNCTION("""COMPUTED_VALUE"""),1.0002533E7)</f>
        <v>10002533</v>
      </c>
    </row>
    <row r="2112">
      <c r="A2112" s="2">
        <f>IFERROR(__xludf.DUMMYFUNCTION("""COMPUTED_VALUE"""),43685.64583333333)</f>
        <v>43685.64583</v>
      </c>
      <c r="B2112" s="1">
        <f>IFERROR(__xludf.DUMMYFUNCTION("""COMPUTED_VALUE"""),43250.0)</f>
        <v>43250</v>
      </c>
      <c r="C2112" s="1">
        <f>IFERROR(__xludf.DUMMYFUNCTION("""COMPUTED_VALUE"""),43500.0)</f>
        <v>43500</v>
      </c>
      <c r="D2112" s="1">
        <f>IFERROR(__xludf.DUMMYFUNCTION("""COMPUTED_VALUE"""),42650.0)</f>
        <v>42650</v>
      </c>
      <c r="E2112" s="1">
        <f>IFERROR(__xludf.DUMMYFUNCTION("""COMPUTED_VALUE"""),42650.0)</f>
        <v>42650</v>
      </c>
      <c r="F2112" s="1">
        <f>IFERROR(__xludf.DUMMYFUNCTION("""COMPUTED_VALUE"""),1.6926881E7)</f>
        <v>16926881</v>
      </c>
    </row>
    <row r="2113">
      <c r="A2113" s="2">
        <f>IFERROR(__xludf.DUMMYFUNCTION("""COMPUTED_VALUE"""),43686.64583333333)</f>
        <v>43686.64583</v>
      </c>
      <c r="B2113" s="1">
        <f>IFERROR(__xludf.DUMMYFUNCTION("""COMPUTED_VALUE"""),43250.0)</f>
        <v>43250</v>
      </c>
      <c r="C2113" s="1">
        <f>IFERROR(__xludf.DUMMYFUNCTION("""COMPUTED_VALUE"""),43350.0)</f>
        <v>43350</v>
      </c>
      <c r="D2113" s="1">
        <f>IFERROR(__xludf.DUMMYFUNCTION("""COMPUTED_VALUE"""),43050.0)</f>
        <v>43050</v>
      </c>
      <c r="E2113" s="1">
        <f>IFERROR(__xludf.DUMMYFUNCTION("""COMPUTED_VALUE"""),43150.0)</f>
        <v>43150</v>
      </c>
      <c r="F2113" s="1">
        <f>IFERROR(__xludf.DUMMYFUNCTION("""COMPUTED_VALUE"""),9685147.0)</f>
        <v>9685147</v>
      </c>
    </row>
    <row r="2114">
      <c r="A2114" s="2">
        <f>IFERROR(__xludf.DUMMYFUNCTION("""COMPUTED_VALUE"""),43689.64583333333)</f>
        <v>43689.64583</v>
      </c>
      <c r="B2114" s="1">
        <f>IFERROR(__xludf.DUMMYFUNCTION("""COMPUTED_VALUE"""),44000.0)</f>
        <v>44000</v>
      </c>
      <c r="C2114" s="1">
        <f>IFERROR(__xludf.DUMMYFUNCTION("""COMPUTED_VALUE"""),44000.0)</f>
        <v>44000</v>
      </c>
      <c r="D2114" s="1">
        <f>IFERROR(__xludf.DUMMYFUNCTION("""COMPUTED_VALUE"""),43550.0)</f>
        <v>43550</v>
      </c>
      <c r="E2114" s="1">
        <f>IFERROR(__xludf.DUMMYFUNCTION("""COMPUTED_VALUE"""),43700.0)</f>
        <v>43700</v>
      </c>
      <c r="F2114" s="1">
        <f>IFERROR(__xludf.DUMMYFUNCTION("""COMPUTED_VALUE"""),8466169.0)</f>
        <v>8466169</v>
      </c>
    </row>
    <row r="2115">
      <c r="A2115" s="2">
        <f>IFERROR(__xludf.DUMMYFUNCTION("""COMPUTED_VALUE"""),43690.64583333333)</f>
        <v>43690.64583</v>
      </c>
      <c r="B2115" s="1">
        <f>IFERROR(__xludf.DUMMYFUNCTION("""COMPUTED_VALUE"""),43500.0)</f>
        <v>43500</v>
      </c>
      <c r="C2115" s="1">
        <f>IFERROR(__xludf.DUMMYFUNCTION("""COMPUTED_VALUE"""),43500.0)</f>
        <v>43500</v>
      </c>
      <c r="D2115" s="1">
        <f>IFERROR(__xludf.DUMMYFUNCTION("""COMPUTED_VALUE"""),42950.0)</f>
        <v>42950</v>
      </c>
      <c r="E2115" s="1">
        <f>IFERROR(__xludf.DUMMYFUNCTION("""COMPUTED_VALUE"""),43000.0)</f>
        <v>43000</v>
      </c>
      <c r="F2115" s="1">
        <f>IFERROR(__xludf.DUMMYFUNCTION("""COMPUTED_VALUE"""),7276979.0)</f>
        <v>7276979</v>
      </c>
    </row>
    <row r="2116">
      <c r="A2116" s="2">
        <f>IFERROR(__xludf.DUMMYFUNCTION("""COMPUTED_VALUE"""),43691.64583333333)</f>
        <v>43691.64583</v>
      </c>
      <c r="B2116" s="1">
        <f>IFERROR(__xludf.DUMMYFUNCTION("""COMPUTED_VALUE"""),43900.0)</f>
        <v>43900</v>
      </c>
      <c r="C2116" s="1">
        <f>IFERROR(__xludf.DUMMYFUNCTION("""COMPUTED_VALUE"""),44250.0)</f>
        <v>44250</v>
      </c>
      <c r="D2116" s="1">
        <f>IFERROR(__xludf.DUMMYFUNCTION("""COMPUTED_VALUE"""),43500.0)</f>
        <v>43500</v>
      </c>
      <c r="E2116" s="1">
        <f>IFERROR(__xludf.DUMMYFUNCTION("""COMPUTED_VALUE"""),43700.0)</f>
        <v>43700</v>
      </c>
      <c r="F2116" s="1">
        <f>IFERROR(__xludf.DUMMYFUNCTION("""COMPUTED_VALUE"""),8750135.0)</f>
        <v>8750135</v>
      </c>
    </row>
    <row r="2117">
      <c r="A2117" s="2">
        <f>IFERROR(__xludf.DUMMYFUNCTION("""COMPUTED_VALUE"""),43693.64583333333)</f>
        <v>43693.64583</v>
      </c>
      <c r="B2117" s="1">
        <f>IFERROR(__xludf.DUMMYFUNCTION("""COMPUTED_VALUE"""),43800.0)</f>
        <v>43800</v>
      </c>
      <c r="C2117" s="1">
        <f>IFERROR(__xludf.DUMMYFUNCTION("""COMPUTED_VALUE"""),43900.0)</f>
        <v>43900</v>
      </c>
      <c r="D2117" s="1">
        <f>IFERROR(__xludf.DUMMYFUNCTION("""COMPUTED_VALUE"""),43300.0)</f>
        <v>43300</v>
      </c>
      <c r="E2117" s="1">
        <f>IFERROR(__xludf.DUMMYFUNCTION("""COMPUTED_VALUE"""),43900.0)</f>
        <v>43900</v>
      </c>
      <c r="F2117" s="1">
        <f>IFERROR(__xludf.DUMMYFUNCTION("""COMPUTED_VALUE"""),9528115.0)</f>
        <v>9528115</v>
      </c>
    </row>
    <row r="2118">
      <c r="A2118" s="2">
        <f>IFERROR(__xludf.DUMMYFUNCTION("""COMPUTED_VALUE"""),43696.64583333333)</f>
        <v>43696.64583</v>
      </c>
      <c r="B2118" s="1">
        <f>IFERROR(__xludf.DUMMYFUNCTION("""COMPUTED_VALUE"""),44350.0)</f>
        <v>44350</v>
      </c>
      <c r="C2118" s="1">
        <f>IFERROR(__xludf.DUMMYFUNCTION("""COMPUTED_VALUE"""),44350.0)</f>
        <v>44350</v>
      </c>
      <c r="D2118" s="1">
        <f>IFERROR(__xludf.DUMMYFUNCTION("""COMPUTED_VALUE"""),43500.0)</f>
        <v>43500</v>
      </c>
      <c r="E2118" s="1">
        <f>IFERROR(__xludf.DUMMYFUNCTION("""COMPUTED_VALUE"""),43600.0)</f>
        <v>43600</v>
      </c>
      <c r="F2118" s="1">
        <f>IFERROR(__xludf.DUMMYFUNCTION("""COMPUTED_VALUE"""),6014218.0)</f>
        <v>6014218</v>
      </c>
    </row>
    <row r="2119">
      <c r="A2119" s="2">
        <f>IFERROR(__xludf.DUMMYFUNCTION("""COMPUTED_VALUE"""),43697.64583333333)</f>
        <v>43697.64583</v>
      </c>
      <c r="B2119" s="1">
        <f>IFERROR(__xludf.DUMMYFUNCTION("""COMPUTED_VALUE"""),43950.0)</f>
        <v>43950</v>
      </c>
      <c r="C2119" s="1">
        <f>IFERROR(__xludf.DUMMYFUNCTION("""COMPUTED_VALUE"""),44600.0)</f>
        <v>44600</v>
      </c>
      <c r="D2119" s="1">
        <f>IFERROR(__xludf.DUMMYFUNCTION("""COMPUTED_VALUE"""),43550.0)</f>
        <v>43550</v>
      </c>
      <c r="E2119" s="1">
        <f>IFERROR(__xludf.DUMMYFUNCTION("""COMPUTED_VALUE"""),44450.0)</f>
        <v>44450</v>
      </c>
      <c r="F2119" s="1">
        <f>IFERROR(__xludf.DUMMYFUNCTION("""COMPUTED_VALUE"""),8434205.0)</f>
        <v>8434205</v>
      </c>
    </row>
    <row r="2120">
      <c r="A2120" s="2">
        <f>IFERROR(__xludf.DUMMYFUNCTION("""COMPUTED_VALUE"""),43698.64583333333)</f>
        <v>43698.64583</v>
      </c>
      <c r="B2120" s="1">
        <f>IFERROR(__xludf.DUMMYFUNCTION("""COMPUTED_VALUE"""),44350.0)</f>
        <v>44350</v>
      </c>
      <c r="C2120" s="1">
        <f>IFERROR(__xludf.DUMMYFUNCTION("""COMPUTED_VALUE"""),44800.0)</f>
        <v>44800</v>
      </c>
      <c r="D2120" s="1">
        <f>IFERROR(__xludf.DUMMYFUNCTION("""COMPUTED_VALUE"""),44150.0)</f>
        <v>44150</v>
      </c>
      <c r="E2120" s="1">
        <f>IFERROR(__xludf.DUMMYFUNCTION("""COMPUTED_VALUE"""),44500.0)</f>
        <v>44500</v>
      </c>
      <c r="F2120" s="1">
        <f>IFERROR(__xludf.DUMMYFUNCTION("""COMPUTED_VALUE"""),6571717.0)</f>
        <v>6571717</v>
      </c>
    </row>
    <row r="2121">
      <c r="A2121" s="2">
        <f>IFERROR(__xludf.DUMMYFUNCTION("""COMPUTED_VALUE"""),43699.64583333333)</f>
        <v>43699.64583</v>
      </c>
      <c r="B2121" s="1">
        <f>IFERROR(__xludf.DUMMYFUNCTION("""COMPUTED_VALUE"""),44500.0)</f>
        <v>44500</v>
      </c>
      <c r="C2121" s="1">
        <f>IFERROR(__xludf.DUMMYFUNCTION("""COMPUTED_VALUE"""),44700.0)</f>
        <v>44700</v>
      </c>
      <c r="D2121" s="1">
        <f>IFERROR(__xludf.DUMMYFUNCTION("""COMPUTED_VALUE"""),43850.0)</f>
        <v>43850</v>
      </c>
      <c r="E2121" s="1">
        <f>IFERROR(__xludf.DUMMYFUNCTION("""COMPUTED_VALUE"""),44050.0)</f>
        <v>44050</v>
      </c>
      <c r="F2121" s="1">
        <f>IFERROR(__xludf.DUMMYFUNCTION("""COMPUTED_VALUE"""),8061177.0)</f>
        <v>8061177</v>
      </c>
    </row>
    <row r="2122">
      <c r="A2122" s="2">
        <f>IFERROR(__xludf.DUMMYFUNCTION("""COMPUTED_VALUE"""),43700.64583333333)</f>
        <v>43700.64583</v>
      </c>
      <c r="B2122" s="1">
        <f>IFERROR(__xludf.DUMMYFUNCTION("""COMPUTED_VALUE"""),43800.0)</f>
        <v>43800</v>
      </c>
      <c r="C2122" s="1">
        <f>IFERROR(__xludf.DUMMYFUNCTION("""COMPUTED_VALUE"""),44200.0)</f>
        <v>44200</v>
      </c>
      <c r="D2122" s="1">
        <f>IFERROR(__xludf.DUMMYFUNCTION("""COMPUTED_VALUE"""),43650.0)</f>
        <v>43650</v>
      </c>
      <c r="E2122" s="1">
        <f>IFERROR(__xludf.DUMMYFUNCTION("""COMPUTED_VALUE"""),43950.0)</f>
        <v>43950</v>
      </c>
      <c r="F2122" s="1">
        <f>IFERROR(__xludf.DUMMYFUNCTION("""COMPUTED_VALUE"""),5017381.0)</f>
        <v>5017381</v>
      </c>
    </row>
    <row r="2123">
      <c r="A2123" s="2">
        <f>IFERROR(__xludf.DUMMYFUNCTION("""COMPUTED_VALUE"""),43703.64583333333)</f>
        <v>43703.64583</v>
      </c>
      <c r="B2123" s="1">
        <f>IFERROR(__xludf.DUMMYFUNCTION("""COMPUTED_VALUE"""),43050.0)</f>
        <v>43050</v>
      </c>
      <c r="C2123" s="1">
        <f>IFERROR(__xludf.DUMMYFUNCTION("""COMPUTED_VALUE"""),43800.0)</f>
        <v>43800</v>
      </c>
      <c r="D2123" s="1">
        <f>IFERROR(__xludf.DUMMYFUNCTION("""COMPUTED_VALUE"""),42950.0)</f>
        <v>42950</v>
      </c>
      <c r="E2123" s="1">
        <f>IFERROR(__xludf.DUMMYFUNCTION("""COMPUTED_VALUE"""),43600.0)</f>
        <v>43600</v>
      </c>
      <c r="F2123" s="1">
        <f>IFERROR(__xludf.DUMMYFUNCTION("""COMPUTED_VALUE"""),7954949.0)</f>
        <v>7954949</v>
      </c>
    </row>
    <row r="2124">
      <c r="A2124" s="2">
        <f>IFERROR(__xludf.DUMMYFUNCTION("""COMPUTED_VALUE"""),43704.64583333333)</f>
        <v>43704.64583</v>
      </c>
      <c r="B2124" s="1">
        <f>IFERROR(__xludf.DUMMYFUNCTION("""COMPUTED_VALUE"""),43650.0)</f>
        <v>43650</v>
      </c>
      <c r="C2124" s="1">
        <f>IFERROR(__xludf.DUMMYFUNCTION("""COMPUTED_VALUE"""),44200.0)</f>
        <v>44200</v>
      </c>
      <c r="D2124" s="1">
        <f>IFERROR(__xludf.DUMMYFUNCTION("""COMPUTED_VALUE"""),43600.0)</f>
        <v>43600</v>
      </c>
      <c r="E2124" s="1">
        <f>IFERROR(__xludf.DUMMYFUNCTION("""COMPUTED_VALUE"""),44050.0)</f>
        <v>44050</v>
      </c>
      <c r="F2124" s="1">
        <f>IFERROR(__xludf.DUMMYFUNCTION("""COMPUTED_VALUE"""),1.6883932E7)</f>
        <v>16883932</v>
      </c>
    </row>
    <row r="2125">
      <c r="A2125" s="2">
        <f>IFERROR(__xludf.DUMMYFUNCTION("""COMPUTED_VALUE"""),43705.64583333333)</f>
        <v>43705.64583</v>
      </c>
      <c r="B2125" s="1">
        <f>IFERROR(__xludf.DUMMYFUNCTION("""COMPUTED_VALUE"""),44100.0)</f>
        <v>44100</v>
      </c>
      <c r="C2125" s="1">
        <f>IFERROR(__xludf.DUMMYFUNCTION("""COMPUTED_VALUE"""),44400.0)</f>
        <v>44400</v>
      </c>
      <c r="D2125" s="1">
        <f>IFERROR(__xludf.DUMMYFUNCTION("""COMPUTED_VALUE"""),43750.0)</f>
        <v>43750</v>
      </c>
      <c r="E2125" s="1">
        <f>IFERROR(__xludf.DUMMYFUNCTION("""COMPUTED_VALUE"""),44150.0)</f>
        <v>44150</v>
      </c>
      <c r="F2125" s="1">
        <f>IFERROR(__xludf.DUMMYFUNCTION("""COMPUTED_VALUE"""),5758333.0)</f>
        <v>5758333</v>
      </c>
    </row>
    <row r="2126">
      <c r="A2126" s="2">
        <f>IFERROR(__xludf.DUMMYFUNCTION("""COMPUTED_VALUE"""),43706.64583333333)</f>
        <v>43706.64583</v>
      </c>
      <c r="B2126" s="1">
        <f>IFERROR(__xludf.DUMMYFUNCTION("""COMPUTED_VALUE"""),44200.0)</f>
        <v>44200</v>
      </c>
      <c r="C2126" s="1">
        <f>IFERROR(__xludf.DUMMYFUNCTION("""COMPUTED_VALUE"""),44200.0)</f>
        <v>44200</v>
      </c>
      <c r="D2126" s="1">
        <f>IFERROR(__xludf.DUMMYFUNCTION("""COMPUTED_VALUE"""),43050.0)</f>
        <v>43050</v>
      </c>
      <c r="E2126" s="1">
        <f>IFERROR(__xludf.DUMMYFUNCTION("""COMPUTED_VALUE"""),43400.0)</f>
        <v>43400</v>
      </c>
      <c r="F2126" s="1">
        <f>IFERROR(__xludf.DUMMYFUNCTION("""COMPUTED_VALUE"""),1.0768862E7)</f>
        <v>10768862</v>
      </c>
    </row>
    <row r="2127">
      <c r="A2127" s="2">
        <f>IFERROR(__xludf.DUMMYFUNCTION("""COMPUTED_VALUE"""),43707.64583333333)</f>
        <v>43707.64583</v>
      </c>
      <c r="B2127" s="1">
        <f>IFERROR(__xludf.DUMMYFUNCTION("""COMPUTED_VALUE"""),43750.0)</f>
        <v>43750</v>
      </c>
      <c r="C2127" s="1">
        <f>IFERROR(__xludf.DUMMYFUNCTION("""COMPUTED_VALUE"""),44300.0)</f>
        <v>44300</v>
      </c>
      <c r="D2127" s="1">
        <f>IFERROR(__xludf.DUMMYFUNCTION("""COMPUTED_VALUE"""),43750.0)</f>
        <v>43750</v>
      </c>
      <c r="E2127" s="1">
        <f>IFERROR(__xludf.DUMMYFUNCTION("""COMPUTED_VALUE"""),44000.0)</f>
        <v>44000</v>
      </c>
      <c r="F2127" s="1">
        <f>IFERROR(__xludf.DUMMYFUNCTION("""COMPUTED_VALUE"""),9899073.0)</f>
        <v>9899073</v>
      </c>
    </row>
    <row r="2128">
      <c r="A2128" s="2">
        <f>IFERROR(__xludf.DUMMYFUNCTION("""COMPUTED_VALUE"""),43710.64583333333)</f>
        <v>43710.64583</v>
      </c>
      <c r="B2128" s="1">
        <f>IFERROR(__xludf.DUMMYFUNCTION("""COMPUTED_VALUE"""),44850.0)</f>
        <v>44850</v>
      </c>
      <c r="C2128" s="1">
        <f>IFERROR(__xludf.DUMMYFUNCTION("""COMPUTED_VALUE"""),44850.0)</f>
        <v>44850</v>
      </c>
      <c r="D2128" s="1">
        <f>IFERROR(__xludf.DUMMYFUNCTION("""COMPUTED_VALUE"""),43650.0)</f>
        <v>43650</v>
      </c>
      <c r="E2128" s="1">
        <f>IFERROR(__xludf.DUMMYFUNCTION("""COMPUTED_VALUE"""),43800.0)</f>
        <v>43800</v>
      </c>
      <c r="F2128" s="1">
        <f>IFERROR(__xludf.DUMMYFUNCTION("""COMPUTED_VALUE"""),7185537.0)</f>
        <v>7185537</v>
      </c>
    </row>
    <row r="2129">
      <c r="A2129" s="2">
        <f>IFERROR(__xludf.DUMMYFUNCTION("""COMPUTED_VALUE"""),43711.64583333333)</f>
        <v>43711.64583</v>
      </c>
      <c r="B2129" s="1">
        <f>IFERROR(__xludf.DUMMYFUNCTION("""COMPUTED_VALUE"""),43550.0)</f>
        <v>43550</v>
      </c>
      <c r="C2129" s="1">
        <f>IFERROR(__xludf.DUMMYFUNCTION("""COMPUTED_VALUE"""),43650.0)</f>
        <v>43650</v>
      </c>
      <c r="D2129" s="1">
        <f>IFERROR(__xludf.DUMMYFUNCTION("""COMPUTED_VALUE"""),43100.0)</f>
        <v>43100</v>
      </c>
      <c r="E2129" s="1">
        <f>IFERROR(__xludf.DUMMYFUNCTION("""COMPUTED_VALUE"""),43250.0)</f>
        <v>43250</v>
      </c>
      <c r="F2129" s="1">
        <f>IFERROR(__xludf.DUMMYFUNCTION("""COMPUTED_VALUE"""),9774941.0)</f>
        <v>9774941</v>
      </c>
    </row>
    <row r="2130">
      <c r="A2130" s="2">
        <f>IFERROR(__xludf.DUMMYFUNCTION("""COMPUTED_VALUE"""),43712.64583333333)</f>
        <v>43712.64583</v>
      </c>
      <c r="B2130" s="1">
        <f>IFERROR(__xludf.DUMMYFUNCTION("""COMPUTED_VALUE"""),43250.0)</f>
        <v>43250</v>
      </c>
      <c r="C2130" s="1">
        <f>IFERROR(__xludf.DUMMYFUNCTION("""COMPUTED_VALUE"""),44100.0)</f>
        <v>44100</v>
      </c>
      <c r="D2130" s="1">
        <f>IFERROR(__xludf.DUMMYFUNCTION("""COMPUTED_VALUE"""),43150.0)</f>
        <v>43150</v>
      </c>
      <c r="E2130" s="1">
        <f>IFERROR(__xludf.DUMMYFUNCTION("""COMPUTED_VALUE"""),44100.0)</f>
        <v>44100</v>
      </c>
      <c r="F2130" s="1">
        <f>IFERROR(__xludf.DUMMYFUNCTION("""COMPUTED_VALUE"""),1.2441837E7)</f>
        <v>12441837</v>
      </c>
    </row>
    <row r="2131">
      <c r="A2131" s="2">
        <f>IFERROR(__xludf.DUMMYFUNCTION("""COMPUTED_VALUE"""),43713.64583333333)</f>
        <v>43713.64583</v>
      </c>
      <c r="B2131" s="1">
        <f>IFERROR(__xludf.DUMMYFUNCTION("""COMPUTED_VALUE"""),44800.0)</f>
        <v>44800</v>
      </c>
      <c r="C2131" s="1">
        <f>IFERROR(__xludf.DUMMYFUNCTION("""COMPUTED_VALUE"""),46100.0)</f>
        <v>46100</v>
      </c>
      <c r="D2131" s="1">
        <f>IFERROR(__xludf.DUMMYFUNCTION("""COMPUTED_VALUE"""),44450.0)</f>
        <v>44450</v>
      </c>
      <c r="E2131" s="1">
        <f>IFERROR(__xludf.DUMMYFUNCTION("""COMPUTED_VALUE"""),45700.0)</f>
        <v>45700</v>
      </c>
      <c r="F2131" s="1">
        <f>IFERROR(__xludf.DUMMYFUNCTION("""COMPUTED_VALUE"""),1.829743E7)</f>
        <v>18297430</v>
      </c>
    </row>
    <row r="2132">
      <c r="A2132" s="2">
        <f>IFERROR(__xludf.DUMMYFUNCTION("""COMPUTED_VALUE"""),43714.64583333333)</f>
        <v>43714.64583</v>
      </c>
      <c r="B2132" s="1">
        <f>IFERROR(__xludf.DUMMYFUNCTION("""COMPUTED_VALUE"""),46500.0)</f>
        <v>46500</v>
      </c>
      <c r="C2132" s="1">
        <f>IFERROR(__xludf.DUMMYFUNCTION("""COMPUTED_VALUE"""),46500.0)</f>
        <v>46500</v>
      </c>
      <c r="D2132" s="1">
        <f>IFERROR(__xludf.DUMMYFUNCTION("""COMPUTED_VALUE"""),45850.0)</f>
        <v>45850</v>
      </c>
      <c r="E2132" s="1">
        <f>IFERROR(__xludf.DUMMYFUNCTION("""COMPUTED_VALUE"""),46300.0)</f>
        <v>46300</v>
      </c>
      <c r="F2132" s="1">
        <f>IFERROR(__xludf.DUMMYFUNCTION("""COMPUTED_VALUE"""),9896562.0)</f>
        <v>9896562</v>
      </c>
    </row>
    <row r="2133">
      <c r="A2133" s="2">
        <f>IFERROR(__xludf.DUMMYFUNCTION("""COMPUTED_VALUE"""),43717.64583333333)</f>
        <v>43717.64583</v>
      </c>
      <c r="B2133" s="1">
        <f>IFERROR(__xludf.DUMMYFUNCTION("""COMPUTED_VALUE"""),46450.0)</f>
        <v>46450</v>
      </c>
      <c r="C2133" s="1">
        <f>IFERROR(__xludf.DUMMYFUNCTION("""COMPUTED_VALUE"""),47000.0)</f>
        <v>47000</v>
      </c>
      <c r="D2133" s="1">
        <f>IFERROR(__xludf.DUMMYFUNCTION("""COMPUTED_VALUE"""),46300.0)</f>
        <v>46300</v>
      </c>
      <c r="E2133" s="1">
        <f>IFERROR(__xludf.DUMMYFUNCTION("""COMPUTED_VALUE"""),46900.0)</f>
        <v>46900</v>
      </c>
      <c r="F2133" s="1">
        <f>IFERROR(__xludf.DUMMYFUNCTION("""COMPUTED_VALUE"""),9434157.0)</f>
        <v>9434157</v>
      </c>
    </row>
    <row r="2134">
      <c r="A2134" s="2">
        <f>IFERROR(__xludf.DUMMYFUNCTION("""COMPUTED_VALUE"""),43718.64583333333)</f>
        <v>43718.64583</v>
      </c>
      <c r="B2134" s="1">
        <f>IFERROR(__xludf.DUMMYFUNCTION("""COMPUTED_VALUE"""),47100.0)</f>
        <v>47100</v>
      </c>
      <c r="C2134" s="1">
        <f>IFERROR(__xludf.DUMMYFUNCTION("""COMPUTED_VALUE"""),47200.0)</f>
        <v>47200</v>
      </c>
      <c r="D2134" s="1">
        <f>IFERROR(__xludf.DUMMYFUNCTION("""COMPUTED_VALUE"""),46550.0)</f>
        <v>46550</v>
      </c>
      <c r="E2134" s="1">
        <f>IFERROR(__xludf.DUMMYFUNCTION("""COMPUTED_VALUE"""),47000.0)</f>
        <v>47000</v>
      </c>
      <c r="F2134" s="1">
        <f>IFERROR(__xludf.DUMMYFUNCTION("""COMPUTED_VALUE"""),9231792.0)</f>
        <v>9231792</v>
      </c>
    </row>
    <row r="2135">
      <c r="A2135" s="2">
        <f>IFERROR(__xludf.DUMMYFUNCTION("""COMPUTED_VALUE"""),43719.64583333333)</f>
        <v>43719.64583</v>
      </c>
      <c r="B2135" s="1">
        <f>IFERROR(__xludf.DUMMYFUNCTION("""COMPUTED_VALUE"""),47300.0)</f>
        <v>47300</v>
      </c>
      <c r="C2135" s="1">
        <f>IFERROR(__xludf.DUMMYFUNCTION("""COMPUTED_VALUE"""),47400.0)</f>
        <v>47400</v>
      </c>
      <c r="D2135" s="1">
        <f>IFERROR(__xludf.DUMMYFUNCTION("""COMPUTED_VALUE"""),46800.0)</f>
        <v>46800</v>
      </c>
      <c r="E2135" s="1">
        <f>IFERROR(__xludf.DUMMYFUNCTION("""COMPUTED_VALUE"""),47150.0)</f>
        <v>47150</v>
      </c>
      <c r="F2135" s="1">
        <f>IFERROR(__xludf.DUMMYFUNCTION("""COMPUTED_VALUE"""),1.6141619E7)</f>
        <v>16141619</v>
      </c>
    </row>
    <row r="2136">
      <c r="A2136" s="2">
        <f>IFERROR(__xludf.DUMMYFUNCTION("""COMPUTED_VALUE"""),43724.64583333333)</f>
        <v>43724.64583</v>
      </c>
      <c r="B2136" s="1">
        <f>IFERROR(__xludf.DUMMYFUNCTION("""COMPUTED_VALUE"""),47000.0)</f>
        <v>47000</v>
      </c>
      <c r="C2136" s="1">
        <f>IFERROR(__xludf.DUMMYFUNCTION("""COMPUTED_VALUE"""),47100.0)</f>
        <v>47100</v>
      </c>
      <c r="D2136" s="1">
        <f>IFERROR(__xludf.DUMMYFUNCTION("""COMPUTED_VALUE"""),46400.0)</f>
        <v>46400</v>
      </c>
      <c r="E2136" s="1">
        <f>IFERROR(__xludf.DUMMYFUNCTION("""COMPUTED_VALUE"""),47100.0)</f>
        <v>47100</v>
      </c>
      <c r="F2136" s="1">
        <f>IFERROR(__xludf.DUMMYFUNCTION("""COMPUTED_VALUE"""),1.5550926E7)</f>
        <v>15550926</v>
      </c>
    </row>
    <row r="2137">
      <c r="A2137" s="2">
        <f>IFERROR(__xludf.DUMMYFUNCTION("""COMPUTED_VALUE"""),43725.64583333333)</f>
        <v>43725.64583</v>
      </c>
      <c r="B2137" s="1">
        <f>IFERROR(__xludf.DUMMYFUNCTION("""COMPUTED_VALUE"""),47000.0)</f>
        <v>47000</v>
      </c>
      <c r="C2137" s="1">
        <f>IFERROR(__xludf.DUMMYFUNCTION("""COMPUTED_VALUE"""),47100.0)</f>
        <v>47100</v>
      </c>
      <c r="D2137" s="1">
        <f>IFERROR(__xludf.DUMMYFUNCTION("""COMPUTED_VALUE"""),46800.0)</f>
        <v>46800</v>
      </c>
      <c r="E2137" s="1">
        <f>IFERROR(__xludf.DUMMYFUNCTION("""COMPUTED_VALUE"""),46900.0)</f>
        <v>46900</v>
      </c>
      <c r="F2137" s="1">
        <f>IFERROR(__xludf.DUMMYFUNCTION("""COMPUTED_VALUE"""),7006280.0)</f>
        <v>7006280</v>
      </c>
    </row>
    <row r="2138">
      <c r="A2138" s="2">
        <f>IFERROR(__xludf.DUMMYFUNCTION("""COMPUTED_VALUE"""),43726.64583333333)</f>
        <v>43726.64583</v>
      </c>
      <c r="B2138" s="1">
        <f>IFERROR(__xludf.DUMMYFUNCTION("""COMPUTED_VALUE"""),46900.0)</f>
        <v>46900</v>
      </c>
      <c r="C2138" s="1">
        <f>IFERROR(__xludf.DUMMYFUNCTION("""COMPUTED_VALUE"""),47700.0)</f>
        <v>47700</v>
      </c>
      <c r="D2138" s="1">
        <f>IFERROR(__xludf.DUMMYFUNCTION("""COMPUTED_VALUE"""),46800.0)</f>
        <v>46800</v>
      </c>
      <c r="E2138" s="1">
        <f>IFERROR(__xludf.DUMMYFUNCTION("""COMPUTED_VALUE"""),47700.0)</f>
        <v>47700</v>
      </c>
      <c r="F2138" s="1">
        <f>IFERROR(__xludf.DUMMYFUNCTION("""COMPUTED_VALUE"""),1.0413027E7)</f>
        <v>10413027</v>
      </c>
    </row>
    <row r="2139">
      <c r="A2139" s="2">
        <f>IFERROR(__xludf.DUMMYFUNCTION("""COMPUTED_VALUE"""),43727.64583333333)</f>
        <v>43727.64583</v>
      </c>
      <c r="B2139" s="1">
        <f>IFERROR(__xludf.DUMMYFUNCTION("""COMPUTED_VALUE"""),48050.0)</f>
        <v>48050</v>
      </c>
      <c r="C2139" s="1">
        <f>IFERROR(__xludf.DUMMYFUNCTION("""COMPUTED_VALUE"""),49200.0)</f>
        <v>49200</v>
      </c>
      <c r="D2139" s="1">
        <f>IFERROR(__xludf.DUMMYFUNCTION("""COMPUTED_VALUE"""),47850.0)</f>
        <v>47850</v>
      </c>
      <c r="E2139" s="1">
        <f>IFERROR(__xludf.DUMMYFUNCTION("""COMPUTED_VALUE"""),49150.0)</f>
        <v>49150</v>
      </c>
      <c r="F2139" s="1">
        <f>IFERROR(__xludf.DUMMYFUNCTION("""COMPUTED_VALUE"""),1.6461413E7)</f>
        <v>16461413</v>
      </c>
    </row>
    <row r="2140">
      <c r="A2140" s="2">
        <f>IFERROR(__xludf.DUMMYFUNCTION("""COMPUTED_VALUE"""),43728.64583333333)</f>
        <v>43728.64583</v>
      </c>
      <c r="B2140" s="1">
        <f>IFERROR(__xludf.DUMMYFUNCTION("""COMPUTED_VALUE"""),49400.0)</f>
        <v>49400</v>
      </c>
      <c r="C2140" s="1">
        <f>IFERROR(__xludf.DUMMYFUNCTION("""COMPUTED_VALUE"""),49600.0)</f>
        <v>49600</v>
      </c>
      <c r="D2140" s="1">
        <f>IFERROR(__xludf.DUMMYFUNCTION("""COMPUTED_VALUE"""),49100.0)</f>
        <v>49100</v>
      </c>
      <c r="E2140" s="1">
        <f>IFERROR(__xludf.DUMMYFUNCTION("""COMPUTED_VALUE"""),49200.0)</f>
        <v>49200</v>
      </c>
      <c r="F2140" s="1">
        <f>IFERROR(__xludf.DUMMYFUNCTION("""COMPUTED_VALUE"""),1.546021E7)</f>
        <v>15460210</v>
      </c>
    </row>
    <row r="2141">
      <c r="A2141" s="2">
        <f>IFERROR(__xludf.DUMMYFUNCTION("""COMPUTED_VALUE"""),43731.64583333333)</f>
        <v>43731.64583</v>
      </c>
      <c r="B2141" s="1">
        <f>IFERROR(__xludf.DUMMYFUNCTION("""COMPUTED_VALUE"""),49250.0)</f>
        <v>49250</v>
      </c>
      <c r="C2141" s="1">
        <f>IFERROR(__xludf.DUMMYFUNCTION("""COMPUTED_VALUE"""),49300.0)</f>
        <v>49300</v>
      </c>
      <c r="D2141" s="1">
        <f>IFERROR(__xludf.DUMMYFUNCTION("""COMPUTED_VALUE"""),49000.0)</f>
        <v>49000</v>
      </c>
      <c r="E2141" s="1">
        <f>IFERROR(__xludf.DUMMYFUNCTION("""COMPUTED_VALUE"""),49300.0)</f>
        <v>49300</v>
      </c>
      <c r="F2141" s="1">
        <f>IFERROR(__xludf.DUMMYFUNCTION("""COMPUTED_VALUE"""),7568553.0)</f>
        <v>7568553</v>
      </c>
    </row>
    <row r="2142">
      <c r="A2142" s="2">
        <f>IFERROR(__xludf.DUMMYFUNCTION("""COMPUTED_VALUE"""),43732.64583333333)</f>
        <v>43732.64583</v>
      </c>
      <c r="B2142" s="1">
        <f>IFERROR(__xludf.DUMMYFUNCTION("""COMPUTED_VALUE"""),49050.0)</f>
        <v>49050</v>
      </c>
      <c r="C2142" s="1">
        <f>IFERROR(__xludf.DUMMYFUNCTION("""COMPUTED_VALUE"""),49650.0)</f>
        <v>49650</v>
      </c>
      <c r="D2142" s="1">
        <f>IFERROR(__xludf.DUMMYFUNCTION("""COMPUTED_VALUE"""),48850.0)</f>
        <v>48850</v>
      </c>
      <c r="E2142" s="1">
        <f>IFERROR(__xludf.DUMMYFUNCTION("""COMPUTED_VALUE"""),49500.0)</f>
        <v>49500</v>
      </c>
      <c r="F2142" s="1">
        <f>IFERROR(__xludf.DUMMYFUNCTION("""COMPUTED_VALUE"""),7871955.0)</f>
        <v>7871955</v>
      </c>
    </row>
    <row r="2143">
      <c r="A2143" s="2">
        <f>IFERROR(__xludf.DUMMYFUNCTION("""COMPUTED_VALUE"""),43733.64583333333)</f>
        <v>43733.64583</v>
      </c>
      <c r="B2143" s="1">
        <f>IFERROR(__xludf.DUMMYFUNCTION("""COMPUTED_VALUE"""),49200.0)</f>
        <v>49200</v>
      </c>
      <c r="C2143" s="1">
        <f>IFERROR(__xludf.DUMMYFUNCTION("""COMPUTED_VALUE"""),49350.0)</f>
        <v>49350</v>
      </c>
      <c r="D2143" s="1">
        <f>IFERROR(__xludf.DUMMYFUNCTION("""COMPUTED_VALUE"""),48800.0)</f>
        <v>48800</v>
      </c>
      <c r="E2143" s="1">
        <f>IFERROR(__xludf.DUMMYFUNCTION("""COMPUTED_VALUE"""),48900.0)</f>
        <v>48900</v>
      </c>
      <c r="F2143" s="1">
        <f>IFERROR(__xludf.DUMMYFUNCTION("""COMPUTED_VALUE"""),9187141.0)</f>
        <v>9187141</v>
      </c>
    </row>
    <row r="2144">
      <c r="A2144" s="2">
        <f>IFERROR(__xludf.DUMMYFUNCTION("""COMPUTED_VALUE"""),43734.64583333333)</f>
        <v>43734.64583</v>
      </c>
      <c r="B2144" s="1">
        <f>IFERROR(__xludf.DUMMYFUNCTION("""COMPUTED_VALUE"""),49000.0)</f>
        <v>49000</v>
      </c>
      <c r="C2144" s="1">
        <f>IFERROR(__xludf.DUMMYFUNCTION("""COMPUTED_VALUE"""),49250.0)</f>
        <v>49250</v>
      </c>
      <c r="D2144" s="1">
        <f>IFERROR(__xludf.DUMMYFUNCTION("""COMPUTED_VALUE"""),48900.0)</f>
        <v>48900</v>
      </c>
      <c r="E2144" s="1">
        <f>IFERROR(__xludf.DUMMYFUNCTION("""COMPUTED_VALUE"""),49200.0)</f>
        <v>49200</v>
      </c>
      <c r="F2144" s="1">
        <f>IFERROR(__xludf.DUMMYFUNCTION("""COMPUTED_VALUE"""),8494756.0)</f>
        <v>8494756</v>
      </c>
    </row>
    <row r="2145">
      <c r="A2145" s="2">
        <f>IFERROR(__xludf.DUMMYFUNCTION("""COMPUTED_VALUE"""),43735.64583333333)</f>
        <v>43735.64583</v>
      </c>
      <c r="B2145" s="1">
        <f>IFERROR(__xludf.DUMMYFUNCTION("""COMPUTED_VALUE"""),48000.0)</f>
        <v>48000</v>
      </c>
      <c r="C2145" s="1">
        <f>IFERROR(__xludf.DUMMYFUNCTION("""COMPUTED_VALUE"""),48700.0)</f>
        <v>48700</v>
      </c>
      <c r="D2145" s="1">
        <f>IFERROR(__xludf.DUMMYFUNCTION("""COMPUTED_VALUE"""),48000.0)</f>
        <v>48000</v>
      </c>
      <c r="E2145" s="1">
        <f>IFERROR(__xludf.DUMMYFUNCTION("""COMPUTED_VALUE"""),48400.0)</f>
        <v>48400</v>
      </c>
      <c r="F2145" s="1">
        <f>IFERROR(__xludf.DUMMYFUNCTION("""COMPUTED_VALUE"""),8048041.0)</f>
        <v>8048041</v>
      </c>
    </row>
    <row r="2146">
      <c r="A2146" s="2">
        <f>IFERROR(__xludf.DUMMYFUNCTION("""COMPUTED_VALUE"""),43738.64583333333)</f>
        <v>43738.64583</v>
      </c>
      <c r="B2146" s="1">
        <f>IFERROR(__xludf.DUMMYFUNCTION("""COMPUTED_VALUE"""),48050.0)</f>
        <v>48050</v>
      </c>
      <c r="C2146" s="1">
        <f>IFERROR(__xludf.DUMMYFUNCTION("""COMPUTED_VALUE"""),49250.0)</f>
        <v>49250</v>
      </c>
      <c r="D2146" s="1">
        <f>IFERROR(__xludf.DUMMYFUNCTION("""COMPUTED_VALUE"""),47900.0)</f>
        <v>47900</v>
      </c>
      <c r="E2146" s="1">
        <f>IFERROR(__xludf.DUMMYFUNCTION("""COMPUTED_VALUE"""),49050.0)</f>
        <v>49050</v>
      </c>
      <c r="F2146" s="1">
        <f>IFERROR(__xludf.DUMMYFUNCTION("""COMPUTED_VALUE"""),9497119.0)</f>
        <v>9497119</v>
      </c>
    </row>
    <row r="2147">
      <c r="A2147" s="2">
        <f>IFERROR(__xludf.DUMMYFUNCTION("""COMPUTED_VALUE"""),43739.64583333333)</f>
        <v>43739.64583</v>
      </c>
      <c r="B2147" s="1">
        <f>IFERROR(__xludf.DUMMYFUNCTION("""COMPUTED_VALUE"""),48900.0)</f>
        <v>48900</v>
      </c>
      <c r="C2147" s="1">
        <f>IFERROR(__xludf.DUMMYFUNCTION("""COMPUTED_VALUE"""),49100.0)</f>
        <v>49100</v>
      </c>
      <c r="D2147" s="1">
        <f>IFERROR(__xludf.DUMMYFUNCTION("""COMPUTED_VALUE"""),48650.0)</f>
        <v>48650</v>
      </c>
      <c r="E2147" s="1">
        <f>IFERROR(__xludf.DUMMYFUNCTION("""COMPUTED_VALUE"""),48850.0)</f>
        <v>48850</v>
      </c>
      <c r="F2147" s="1">
        <f>IFERROR(__xludf.DUMMYFUNCTION("""COMPUTED_VALUE"""),6206035.0)</f>
        <v>6206035</v>
      </c>
    </row>
    <row r="2148">
      <c r="A2148" s="2">
        <f>IFERROR(__xludf.DUMMYFUNCTION("""COMPUTED_VALUE"""),43740.64583333333)</f>
        <v>43740.64583</v>
      </c>
      <c r="B2148" s="1">
        <f>IFERROR(__xludf.DUMMYFUNCTION("""COMPUTED_VALUE"""),48350.0)</f>
        <v>48350</v>
      </c>
      <c r="C2148" s="1">
        <f>IFERROR(__xludf.DUMMYFUNCTION("""COMPUTED_VALUE"""),48400.0)</f>
        <v>48400</v>
      </c>
      <c r="D2148" s="1">
        <f>IFERROR(__xludf.DUMMYFUNCTION("""COMPUTED_VALUE"""),47600.0)</f>
        <v>47600</v>
      </c>
      <c r="E2148" s="1">
        <f>IFERROR(__xludf.DUMMYFUNCTION("""COMPUTED_VALUE"""),47600.0)</f>
        <v>47600</v>
      </c>
      <c r="F2148" s="1">
        <f>IFERROR(__xludf.DUMMYFUNCTION("""COMPUTED_VALUE"""),8382463.0)</f>
        <v>8382463</v>
      </c>
    </row>
    <row r="2149">
      <c r="A2149" s="2">
        <f>IFERROR(__xludf.DUMMYFUNCTION("""COMPUTED_VALUE"""),43742.64583333333)</f>
        <v>43742.64583</v>
      </c>
      <c r="B2149" s="1">
        <f>IFERROR(__xludf.DUMMYFUNCTION("""COMPUTED_VALUE"""),47400.0)</f>
        <v>47400</v>
      </c>
      <c r="C2149" s="1">
        <f>IFERROR(__xludf.DUMMYFUNCTION("""COMPUTED_VALUE"""),48650.0)</f>
        <v>48650</v>
      </c>
      <c r="D2149" s="1">
        <f>IFERROR(__xludf.DUMMYFUNCTION("""COMPUTED_VALUE"""),47350.0)</f>
        <v>47350</v>
      </c>
      <c r="E2149" s="1">
        <f>IFERROR(__xludf.DUMMYFUNCTION("""COMPUTED_VALUE"""),48000.0)</f>
        <v>48000</v>
      </c>
      <c r="F2149" s="1">
        <f>IFERROR(__xludf.DUMMYFUNCTION("""COMPUTED_VALUE"""),9331695.0)</f>
        <v>9331695</v>
      </c>
    </row>
    <row r="2150">
      <c r="A2150" s="2">
        <f>IFERROR(__xludf.DUMMYFUNCTION("""COMPUTED_VALUE"""),43745.64583333333)</f>
        <v>43745.64583</v>
      </c>
      <c r="B2150" s="1">
        <f>IFERROR(__xludf.DUMMYFUNCTION("""COMPUTED_VALUE"""),48350.0)</f>
        <v>48350</v>
      </c>
      <c r="C2150" s="1">
        <f>IFERROR(__xludf.DUMMYFUNCTION("""COMPUTED_VALUE"""),48700.0)</f>
        <v>48700</v>
      </c>
      <c r="D2150" s="1">
        <f>IFERROR(__xludf.DUMMYFUNCTION("""COMPUTED_VALUE"""),47650.0)</f>
        <v>47650</v>
      </c>
      <c r="E2150" s="1">
        <f>IFERROR(__xludf.DUMMYFUNCTION("""COMPUTED_VALUE"""),47750.0)</f>
        <v>47750</v>
      </c>
      <c r="F2150" s="1">
        <f>IFERROR(__xludf.DUMMYFUNCTION("""COMPUTED_VALUE"""),7047273.0)</f>
        <v>7047273</v>
      </c>
    </row>
    <row r="2151">
      <c r="A2151" s="2">
        <f>IFERROR(__xludf.DUMMYFUNCTION("""COMPUTED_VALUE"""),43746.64583333333)</f>
        <v>43746.64583</v>
      </c>
      <c r="B2151" s="1">
        <f>IFERROR(__xludf.DUMMYFUNCTION("""COMPUTED_VALUE"""),47900.0)</f>
        <v>47900</v>
      </c>
      <c r="C2151" s="1">
        <f>IFERROR(__xludf.DUMMYFUNCTION("""COMPUTED_VALUE"""),49000.0)</f>
        <v>49000</v>
      </c>
      <c r="D2151" s="1">
        <f>IFERROR(__xludf.DUMMYFUNCTION("""COMPUTED_VALUE"""),47600.0)</f>
        <v>47600</v>
      </c>
      <c r="E2151" s="1">
        <f>IFERROR(__xludf.DUMMYFUNCTION("""COMPUTED_VALUE"""),48900.0)</f>
        <v>48900</v>
      </c>
      <c r="F2151" s="1">
        <f>IFERROR(__xludf.DUMMYFUNCTION("""COMPUTED_VALUE"""),1.4239367E7)</f>
        <v>14239367</v>
      </c>
    </row>
    <row r="2152">
      <c r="A2152" s="2">
        <f>IFERROR(__xludf.DUMMYFUNCTION("""COMPUTED_VALUE"""),43748.64583333333)</f>
        <v>43748.64583</v>
      </c>
      <c r="B2152" s="1">
        <f>IFERROR(__xludf.DUMMYFUNCTION("""COMPUTED_VALUE"""),48200.0)</f>
        <v>48200</v>
      </c>
      <c r="C2152" s="1">
        <f>IFERROR(__xludf.DUMMYFUNCTION("""COMPUTED_VALUE"""),49200.0)</f>
        <v>49200</v>
      </c>
      <c r="D2152" s="1">
        <f>IFERROR(__xludf.DUMMYFUNCTION("""COMPUTED_VALUE"""),48000.0)</f>
        <v>48000</v>
      </c>
      <c r="E2152" s="1">
        <f>IFERROR(__xludf.DUMMYFUNCTION("""COMPUTED_VALUE"""),48550.0)</f>
        <v>48550</v>
      </c>
      <c r="F2152" s="1">
        <f>IFERROR(__xludf.DUMMYFUNCTION("""COMPUTED_VALUE"""),1.8639855E7)</f>
        <v>18639855</v>
      </c>
    </row>
    <row r="2153">
      <c r="A2153" s="2">
        <f>IFERROR(__xludf.DUMMYFUNCTION("""COMPUTED_VALUE"""),43749.64583333333)</f>
        <v>43749.64583</v>
      </c>
      <c r="B2153" s="1">
        <f>IFERROR(__xludf.DUMMYFUNCTION("""COMPUTED_VALUE"""),49000.0)</f>
        <v>49000</v>
      </c>
      <c r="C2153" s="1">
        <f>IFERROR(__xludf.DUMMYFUNCTION("""COMPUTED_VALUE"""),49450.0)</f>
        <v>49450</v>
      </c>
      <c r="D2153" s="1">
        <f>IFERROR(__xludf.DUMMYFUNCTION("""COMPUTED_VALUE"""),48800.0)</f>
        <v>48800</v>
      </c>
      <c r="E2153" s="1">
        <f>IFERROR(__xludf.DUMMYFUNCTION("""COMPUTED_VALUE"""),49150.0)</f>
        <v>49150</v>
      </c>
      <c r="F2153" s="1">
        <f>IFERROR(__xludf.DUMMYFUNCTION("""COMPUTED_VALUE"""),7783275.0)</f>
        <v>7783275</v>
      </c>
    </row>
    <row r="2154">
      <c r="A2154" s="2">
        <f>IFERROR(__xludf.DUMMYFUNCTION("""COMPUTED_VALUE"""),43752.64583333333)</f>
        <v>43752.64583</v>
      </c>
      <c r="B2154" s="1">
        <f>IFERROR(__xludf.DUMMYFUNCTION("""COMPUTED_VALUE"""),50000.0)</f>
        <v>50000</v>
      </c>
      <c r="C2154" s="1">
        <f>IFERROR(__xludf.DUMMYFUNCTION("""COMPUTED_VALUE"""),50300.0)</f>
        <v>50300</v>
      </c>
      <c r="D2154" s="1">
        <f>IFERROR(__xludf.DUMMYFUNCTION("""COMPUTED_VALUE"""),49850.0)</f>
        <v>49850</v>
      </c>
      <c r="E2154" s="1">
        <f>IFERROR(__xludf.DUMMYFUNCTION("""COMPUTED_VALUE"""),50000.0)</f>
        <v>50000</v>
      </c>
      <c r="F2154" s="1">
        <f>IFERROR(__xludf.DUMMYFUNCTION("""COMPUTED_VALUE"""),1.1130635E7)</f>
        <v>11130635</v>
      </c>
    </row>
    <row r="2155">
      <c r="A2155" s="2">
        <f>IFERROR(__xludf.DUMMYFUNCTION("""COMPUTED_VALUE"""),43753.64583333333)</f>
        <v>43753.64583</v>
      </c>
      <c r="B2155" s="1">
        <f>IFERROR(__xludf.DUMMYFUNCTION("""COMPUTED_VALUE"""),49900.0)</f>
        <v>49900</v>
      </c>
      <c r="C2155" s="1">
        <f>IFERROR(__xludf.DUMMYFUNCTION("""COMPUTED_VALUE"""),50200.0)</f>
        <v>50200</v>
      </c>
      <c r="D2155" s="1">
        <f>IFERROR(__xludf.DUMMYFUNCTION("""COMPUTED_VALUE"""),49900.0)</f>
        <v>49900</v>
      </c>
      <c r="E2155" s="1">
        <f>IFERROR(__xludf.DUMMYFUNCTION("""COMPUTED_VALUE"""),50100.0)</f>
        <v>50100</v>
      </c>
      <c r="F2155" s="1">
        <f>IFERROR(__xludf.DUMMYFUNCTION("""COMPUTED_VALUE"""),6058105.0)</f>
        <v>6058105</v>
      </c>
    </row>
    <row r="2156">
      <c r="A2156" s="2">
        <f>IFERROR(__xludf.DUMMYFUNCTION("""COMPUTED_VALUE"""),43754.64583333333)</f>
        <v>43754.64583</v>
      </c>
      <c r="B2156" s="1">
        <f>IFERROR(__xludf.DUMMYFUNCTION("""COMPUTED_VALUE"""),50700.0)</f>
        <v>50700</v>
      </c>
      <c r="C2156" s="1">
        <f>IFERROR(__xludf.DUMMYFUNCTION("""COMPUTED_VALUE"""),50900.0)</f>
        <v>50900</v>
      </c>
      <c r="D2156" s="1">
        <f>IFERROR(__xludf.DUMMYFUNCTION("""COMPUTED_VALUE"""),50400.0)</f>
        <v>50400</v>
      </c>
      <c r="E2156" s="1">
        <f>IFERROR(__xludf.DUMMYFUNCTION("""COMPUTED_VALUE"""),50700.0)</f>
        <v>50700</v>
      </c>
      <c r="F2156" s="1">
        <f>IFERROR(__xludf.DUMMYFUNCTION("""COMPUTED_VALUE"""),9136282.0)</f>
        <v>9136282</v>
      </c>
    </row>
    <row r="2157">
      <c r="A2157" s="2">
        <f>IFERROR(__xludf.DUMMYFUNCTION("""COMPUTED_VALUE"""),43755.64583333333)</f>
        <v>43755.64583</v>
      </c>
      <c r="B2157" s="1">
        <f>IFERROR(__xludf.DUMMYFUNCTION("""COMPUTED_VALUE"""),50500.0)</f>
        <v>50500</v>
      </c>
      <c r="C2157" s="1">
        <f>IFERROR(__xludf.DUMMYFUNCTION("""COMPUTED_VALUE"""),50600.0)</f>
        <v>50600</v>
      </c>
      <c r="D2157" s="1">
        <f>IFERROR(__xludf.DUMMYFUNCTION("""COMPUTED_VALUE"""),50100.0)</f>
        <v>50100</v>
      </c>
      <c r="E2157" s="1">
        <f>IFERROR(__xludf.DUMMYFUNCTION("""COMPUTED_VALUE"""),50500.0)</f>
        <v>50500</v>
      </c>
      <c r="F2157" s="1">
        <f>IFERROR(__xludf.DUMMYFUNCTION("""COMPUTED_VALUE"""),6701380.0)</f>
        <v>6701380</v>
      </c>
    </row>
    <row r="2158">
      <c r="A2158" s="2">
        <f>IFERROR(__xludf.DUMMYFUNCTION("""COMPUTED_VALUE"""),43756.64583333333)</f>
        <v>43756.64583</v>
      </c>
      <c r="B2158" s="1">
        <f>IFERROR(__xludf.DUMMYFUNCTION("""COMPUTED_VALUE"""),50300.0)</f>
        <v>50300</v>
      </c>
      <c r="C2158" s="1">
        <f>IFERROR(__xludf.DUMMYFUNCTION("""COMPUTED_VALUE"""),50900.0)</f>
        <v>50900</v>
      </c>
      <c r="D2158" s="1">
        <f>IFERROR(__xludf.DUMMYFUNCTION("""COMPUTED_VALUE"""),49650.0)</f>
        <v>49650</v>
      </c>
      <c r="E2158" s="1">
        <f>IFERROR(__xludf.DUMMYFUNCTION("""COMPUTED_VALUE"""),49900.0)</f>
        <v>49900</v>
      </c>
      <c r="F2158" s="1">
        <f>IFERROR(__xludf.DUMMYFUNCTION("""COMPUTED_VALUE"""),8483106.0)</f>
        <v>8483106</v>
      </c>
    </row>
    <row r="2159">
      <c r="A2159" s="2">
        <f>IFERROR(__xludf.DUMMYFUNCTION("""COMPUTED_VALUE"""),43759.64583333333)</f>
        <v>43759.64583</v>
      </c>
      <c r="B2159" s="1">
        <f>IFERROR(__xludf.DUMMYFUNCTION("""COMPUTED_VALUE"""),49900.0)</f>
        <v>49900</v>
      </c>
      <c r="C2159" s="1">
        <f>IFERROR(__xludf.DUMMYFUNCTION("""COMPUTED_VALUE"""),50400.0)</f>
        <v>50400</v>
      </c>
      <c r="D2159" s="1">
        <f>IFERROR(__xludf.DUMMYFUNCTION("""COMPUTED_VALUE"""),49800.0)</f>
        <v>49800</v>
      </c>
      <c r="E2159" s="1">
        <f>IFERROR(__xludf.DUMMYFUNCTION("""COMPUTED_VALUE"""),50300.0)</f>
        <v>50300</v>
      </c>
      <c r="F2159" s="1">
        <f>IFERROR(__xludf.DUMMYFUNCTION("""COMPUTED_VALUE"""),4406531.0)</f>
        <v>4406531</v>
      </c>
    </row>
    <row r="2160">
      <c r="A2160" s="2">
        <f>IFERROR(__xludf.DUMMYFUNCTION("""COMPUTED_VALUE"""),43760.64583333333)</f>
        <v>43760.64583</v>
      </c>
      <c r="B2160" s="1">
        <f>IFERROR(__xludf.DUMMYFUNCTION("""COMPUTED_VALUE"""),50800.0)</f>
        <v>50800</v>
      </c>
      <c r="C2160" s="1">
        <f>IFERROR(__xludf.DUMMYFUNCTION("""COMPUTED_VALUE"""),51500.0)</f>
        <v>51500</v>
      </c>
      <c r="D2160" s="1">
        <f>IFERROR(__xludf.DUMMYFUNCTION("""COMPUTED_VALUE"""),50700.0)</f>
        <v>50700</v>
      </c>
      <c r="E2160" s="1">
        <f>IFERROR(__xludf.DUMMYFUNCTION("""COMPUTED_VALUE"""),51200.0)</f>
        <v>51200</v>
      </c>
      <c r="F2160" s="1">
        <f>IFERROR(__xludf.DUMMYFUNCTION("""COMPUTED_VALUE"""),1.0898729E7)</f>
        <v>10898729</v>
      </c>
    </row>
    <row r="2161">
      <c r="A2161" s="2">
        <f>IFERROR(__xludf.DUMMYFUNCTION("""COMPUTED_VALUE"""),43761.64583333333)</f>
        <v>43761.64583</v>
      </c>
      <c r="B2161" s="1">
        <f>IFERROR(__xludf.DUMMYFUNCTION("""COMPUTED_VALUE"""),51300.0)</f>
        <v>51300</v>
      </c>
      <c r="C2161" s="1">
        <f>IFERROR(__xludf.DUMMYFUNCTION("""COMPUTED_VALUE"""),51500.0)</f>
        <v>51500</v>
      </c>
      <c r="D2161" s="1">
        <f>IFERROR(__xludf.DUMMYFUNCTION("""COMPUTED_VALUE"""),50800.0)</f>
        <v>50800</v>
      </c>
      <c r="E2161" s="1">
        <f>IFERROR(__xludf.DUMMYFUNCTION("""COMPUTED_VALUE"""),51200.0)</f>
        <v>51200</v>
      </c>
      <c r="F2161" s="1">
        <f>IFERROR(__xludf.DUMMYFUNCTION("""COMPUTED_VALUE"""),8663880.0)</f>
        <v>8663880</v>
      </c>
    </row>
    <row r="2162">
      <c r="A2162" s="2">
        <f>IFERROR(__xludf.DUMMYFUNCTION("""COMPUTED_VALUE"""),43762.64583333333)</f>
        <v>43762.64583</v>
      </c>
      <c r="B2162" s="1">
        <f>IFERROR(__xludf.DUMMYFUNCTION("""COMPUTED_VALUE"""),52500.0)</f>
        <v>52500</v>
      </c>
      <c r="C2162" s="1">
        <f>IFERROR(__xludf.DUMMYFUNCTION("""COMPUTED_VALUE"""),52500.0)</f>
        <v>52500</v>
      </c>
      <c r="D2162" s="1">
        <f>IFERROR(__xludf.DUMMYFUNCTION("""COMPUTED_VALUE"""),50500.0)</f>
        <v>50500</v>
      </c>
      <c r="E2162" s="1">
        <f>IFERROR(__xludf.DUMMYFUNCTION("""COMPUTED_VALUE"""),50700.0)</f>
        <v>50700</v>
      </c>
      <c r="F2162" s="1">
        <f>IFERROR(__xludf.DUMMYFUNCTION("""COMPUTED_VALUE"""),2.1185785E7)</f>
        <v>21185785</v>
      </c>
    </row>
    <row r="2163">
      <c r="A2163" s="2">
        <f>IFERROR(__xludf.DUMMYFUNCTION("""COMPUTED_VALUE"""),43763.64583333333)</f>
        <v>43763.64583</v>
      </c>
      <c r="B2163" s="1">
        <f>IFERROR(__xludf.DUMMYFUNCTION("""COMPUTED_VALUE"""),50800.0)</f>
        <v>50800</v>
      </c>
      <c r="C2163" s="1">
        <f>IFERROR(__xludf.DUMMYFUNCTION("""COMPUTED_VALUE"""),51200.0)</f>
        <v>51200</v>
      </c>
      <c r="D2163" s="1">
        <f>IFERROR(__xludf.DUMMYFUNCTION("""COMPUTED_VALUE"""),50500.0)</f>
        <v>50500</v>
      </c>
      <c r="E2163" s="1">
        <f>IFERROR(__xludf.DUMMYFUNCTION("""COMPUTED_VALUE"""),50900.0)</f>
        <v>50900</v>
      </c>
      <c r="F2163" s="1">
        <f>IFERROR(__xludf.DUMMYFUNCTION("""COMPUTED_VALUE"""),7879897.0)</f>
        <v>7879897</v>
      </c>
    </row>
    <row r="2164">
      <c r="A2164" s="2">
        <f>IFERROR(__xludf.DUMMYFUNCTION("""COMPUTED_VALUE"""),43766.64583333333)</f>
        <v>43766.64583</v>
      </c>
      <c r="B2164" s="1">
        <f>IFERROR(__xludf.DUMMYFUNCTION("""COMPUTED_VALUE"""),50700.0)</f>
        <v>50700</v>
      </c>
      <c r="C2164" s="1">
        <f>IFERROR(__xludf.DUMMYFUNCTION("""COMPUTED_VALUE"""),51500.0)</f>
        <v>51500</v>
      </c>
      <c r="D2164" s="1">
        <f>IFERROR(__xludf.DUMMYFUNCTION("""COMPUTED_VALUE"""),50700.0)</f>
        <v>50700</v>
      </c>
      <c r="E2164" s="1">
        <f>IFERROR(__xludf.DUMMYFUNCTION("""COMPUTED_VALUE"""),51300.0)</f>
        <v>51300</v>
      </c>
      <c r="F2164" s="1">
        <f>IFERROR(__xludf.DUMMYFUNCTION("""COMPUTED_VALUE"""),6431522.0)</f>
        <v>6431522</v>
      </c>
    </row>
    <row r="2165">
      <c r="A2165" s="2">
        <f>IFERROR(__xludf.DUMMYFUNCTION("""COMPUTED_VALUE"""),43767.64583333333)</f>
        <v>43767.64583</v>
      </c>
      <c r="B2165" s="1">
        <f>IFERROR(__xludf.DUMMYFUNCTION("""COMPUTED_VALUE"""),51400.0)</f>
        <v>51400</v>
      </c>
      <c r="C2165" s="1">
        <f>IFERROR(__xludf.DUMMYFUNCTION("""COMPUTED_VALUE"""),51700.0)</f>
        <v>51700</v>
      </c>
      <c r="D2165" s="1">
        <f>IFERROR(__xludf.DUMMYFUNCTION("""COMPUTED_VALUE"""),50800.0)</f>
        <v>50800</v>
      </c>
      <c r="E2165" s="1">
        <f>IFERROR(__xludf.DUMMYFUNCTION("""COMPUTED_VALUE"""),51100.0)</f>
        <v>51100</v>
      </c>
      <c r="F2165" s="1">
        <f>IFERROR(__xludf.DUMMYFUNCTION("""COMPUTED_VALUE"""),7581629.0)</f>
        <v>7581629</v>
      </c>
    </row>
    <row r="2166">
      <c r="A2166" s="2">
        <f>IFERROR(__xludf.DUMMYFUNCTION("""COMPUTED_VALUE"""),43768.64583333333)</f>
        <v>43768.64583</v>
      </c>
      <c r="B2166" s="1">
        <f>IFERROR(__xludf.DUMMYFUNCTION("""COMPUTED_VALUE"""),50700.0)</f>
        <v>50700</v>
      </c>
      <c r="C2166" s="1">
        <f>IFERROR(__xludf.DUMMYFUNCTION("""COMPUTED_VALUE"""),50800.0)</f>
        <v>50800</v>
      </c>
      <c r="D2166" s="1">
        <f>IFERROR(__xludf.DUMMYFUNCTION("""COMPUTED_VALUE"""),50200.0)</f>
        <v>50200</v>
      </c>
      <c r="E2166" s="1">
        <f>IFERROR(__xludf.DUMMYFUNCTION("""COMPUTED_VALUE"""),50400.0)</f>
        <v>50400</v>
      </c>
      <c r="F2166" s="1">
        <f>IFERROR(__xludf.DUMMYFUNCTION("""COMPUTED_VALUE"""),8959435.0)</f>
        <v>8959435</v>
      </c>
    </row>
    <row r="2167">
      <c r="A2167" s="2">
        <f>IFERROR(__xludf.DUMMYFUNCTION("""COMPUTED_VALUE"""),43769.64583333333)</f>
        <v>43769.64583</v>
      </c>
      <c r="B2167" s="1">
        <f>IFERROR(__xludf.DUMMYFUNCTION("""COMPUTED_VALUE"""),51000.0)</f>
        <v>51000</v>
      </c>
      <c r="C2167" s="1">
        <f>IFERROR(__xludf.DUMMYFUNCTION("""COMPUTED_VALUE"""),51400.0)</f>
        <v>51400</v>
      </c>
      <c r="D2167" s="1">
        <f>IFERROR(__xludf.DUMMYFUNCTION("""COMPUTED_VALUE"""),50300.0)</f>
        <v>50300</v>
      </c>
      <c r="E2167" s="1">
        <f>IFERROR(__xludf.DUMMYFUNCTION("""COMPUTED_VALUE"""),50400.0)</f>
        <v>50400</v>
      </c>
      <c r="F2167" s="1">
        <f>IFERROR(__xludf.DUMMYFUNCTION("""COMPUTED_VALUE"""),1.0304777E7)</f>
        <v>10304777</v>
      </c>
    </row>
    <row r="2168">
      <c r="A2168" s="2">
        <f>IFERROR(__xludf.DUMMYFUNCTION("""COMPUTED_VALUE"""),43770.64583333333)</f>
        <v>43770.64583</v>
      </c>
      <c r="B2168" s="1">
        <f>IFERROR(__xludf.DUMMYFUNCTION("""COMPUTED_VALUE"""),50600.0)</f>
        <v>50600</v>
      </c>
      <c r="C2168" s="1">
        <f>IFERROR(__xludf.DUMMYFUNCTION("""COMPUTED_VALUE"""),51200.0)</f>
        <v>51200</v>
      </c>
      <c r="D2168" s="1">
        <f>IFERROR(__xludf.DUMMYFUNCTION("""COMPUTED_VALUE"""),50400.0)</f>
        <v>50400</v>
      </c>
      <c r="E2168" s="1">
        <f>IFERROR(__xludf.DUMMYFUNCTION("""COMPUTED_VALUE"""),51200.0)</f>
        <v>51200</v>
      </c>
      <c r="F2168" s="1">
        <f>IFERROR(__xludf.DUMMYFUNCTION("""COMPUTED_VALUE"""),8467846.0)</f>
        <v>8467846</v>
      </c>
    </row>
    <row r="2169">
      <c r="A2169" s="2">
        <f>IFERROR(__xludf.DUMMYFUNCTION("""COMPUTED_VALUE"""),43773.64583333333)</f>
        <v>43773.64583</v>
      </c>
      <c r="B2169" s="1">
        <f>IFERROR(__xludf.DUMMYFUNCTION("""COMPUTED_VALUE"""),51700.0)</f>
        <v>51700</v>
      </c>
      <c r="C2169" s="1">
        <f>IFERROR(__xludf.DUMMYFUNCTION("""COMPUTED_VALUE"""),52300.0)</f>
        <v>52300</v>
      </c>
      <c r="D2169" s="1">
        <f>IFERROR(__xludf.DUMMYFUNCTION("""COMPUTED_VALUE"""),51400.0)</f>
        <v>51400</v>
      </c>
      <c r="E2169" s="1">
        <f>IFERROR(__xludf.DUMMYFUNCTION("""COMPUTED_VALUE"""),52300.0)</f>
        <v>52300</v>
      </c>
      <c r="F2169" s="1">
        <f>IFERROR(__xludf.DUMMYFUNCTION("""COMPUTED_VALUE"""),1.3012411E7)</f>
        <v>13012411</v>
      </c>
    </row>
    <row r="2170">
      <c r="A2170" s="2">
        <f>IFERROR(__xludf.DUMMYFUNCTION("""COMPUTED_VALUE"""),43774.64583333333)</f>
        <v>43774.64583</v>
      </c>
      <c r="B2170" s="1">
        <f>IFERROR(__xludf.DUMMYFUNCTION("""COMPUTED_VALUE"""),52400.0)</f>
        <v>52400</v>
      </c>
      <c r="C2170" s="1">
        <f>IFERROR(__xludf.DUMMYFUNCTION("""COMPUTED_VALUE"""),52700.0)</f>
        <v>52700</v>
      </c>
      <c r="D2170" s="1">
        <f>IFERROR(__xludf.DUMMYFUNCTION("""COMPUTED_VALUE"""),52100.0)</f>
        <v>52100</v>
      </c>
      <c r="E2170" s="1">
        <f>IFERROR(__xludf.DUMMYFUNCTION("""COMPUTED_VALUE"""),52700.0)</f>
        <v>52700</v>
      </c>
      <c r="F2170" s="1">
        <f>IFERROR(__xludf.DUMMYFUNCTION("""COMPUTED_VALUE"""),1.0581034E7)</f>
        <v>10581034</v>
      </c>
    </row>
    <row r="2171">
      <c r="A2171" s="2">
        <f>IFERROR(__xludf.DUMMYFUNCTION("""COMPUTED_VALUE"""),43775.64583333333)</f>
        <v>43775.64583</v>
      </c>
      <c r="B2171" s="1">
        <f>IFERROR(__xludf.DUMMYFUNCTION("""COMPUTED_VALUE"""),52900.0)</f>
        <v>52900</v>
      </c>
      <c r="C2171" s="1">
        <f>IFERROR(__xludf.DUMMYFUNCTION("""COMPUTED_VALUE"""),53500.0)</f>
        <v>53500</v>
      </c>
      <c r="D2171" s="1">
        <f>IFERROR(__xludf.DUMMYFUNCTION("""COMPUTED_VALUE"""),52700.0)</f>
        <v>52700</v>
      </c>
      <c r="E2171" s="1">
        <f>IFERROR(__xludf.DUMMYFUNCTION("""COMPUTED_VALUE"""),53300.0)</f>
        <v>53300</v>
      </c>
      <c r="F2171" s="1">
        <f>IFERROR(__xludf.DUMMYFUNCTION("""COMPUTED_VALUE"""),1.4361133E7)</f>
        <v>14361133</v>
      </c>
    </row>
    <row r="2172">
      <c r="A2172" s="2">
        <f>IFERROR(__xludf.DUMMYFUNCTION("""COMPUTED_VALUE"""),43776.64583333333)</f>
        <v>43776.64583</v>
      </c>
      <c r="B2172" s="1">
        <f>IFERROR(__xludf.DUMMYFUNCTION("""COMPUTED_VALUE"""),53400.0)</f>
        <v>53400</v>
      </c>
      <c r="C2172" s="1">
        <f>IFERROR(__xludf.DUMMYFUNCTION("""COMPUTED_VALUE"""),53400.0)</f>
        <v>53400</v>
      </c>
      <c r="D2172" s="1">
        <f>IFERROR(__xludf.DUMMYFUNCTION("""COMPUTED_VALUE"""),52400.0)</f>
        <v>52400</v>
      </c>
      <c r="E2172" s="1">
        <f>IFERROR(__xludf.DUMMYFUNCTION("""COMPUTED_VALUE"""),52900.0)</f>
        <v>52900</v>
      </c>
      <c r="F2172" s="1">
        <f>IFERROR(__xludf.DUMMYFUNCTION("""COMPUTED_VALUE"""),9257116.0)</f>
        <v>9257116</v>
      </c>
    </row>
    <row r="2173">
      <c r="A2173" s="2">
        <f>IFERROR(__xludf.DUMMYFUNCTION("""COMPUTED_VALUE"""),43777.64583333333)</f>
        <v>43777.64583</v>
      </c>
      <c r="B2173" s="1">
        <f>IFERROR(__xludf.DUMMYFUNCTION("""COMPUTED_VALUE"""),53200.0)</f>
        <v>53200</v>
      </c>
      <c r="C2173" s="1">
        <f>IFERROR(__xludf.DUMMYFUNCTION("""COMPUTED_VALUE"""),53300.0)</f>
        <v>53300</v>
      </c>
      <c r="D2173" s="1">
        <f>IFERROR(__xludf.DUMMYFUNCTION("""COMPUTED_VALUE"""),52000.0)</f>
        <v>52000</v>
      </c>
      <c r="E2173" s="1">
        <f>IFERROR(__xludf.DUMMYFUNCTION("""COMPUTED_VALUE"""),52100.0)</f>
        <v>52100</v>
      </c>
      <c r="F2173" s="1">
        <f>IFERROR(__xludf.DUMMYFUNCTION("""COMPUTED_VALUE"""),1.160329E7)</f>
        <v>11603290</v>
      </c>
    </row>
    <row r="2174">
      <c r="A2174" s="2">
        <f>IFERROR(__xludf.DUMMYFUNCTION("""COMPUTED_VALUE"""),43780.64583333333)</f>
        <v>43780.64583</v>
      </c>
      <c r="B2174" s="1">
        <f>IFERROR(__xludf.DUMMYFUNCTION("""COMPUTED_VALUE"""),52200.0)</f>
        <v>52200</v>
      </c>
      <c r="C2174" s="1">
        <f>IFERROR(__xludf.DUMMYFUNCTION("""COMPUTED_VALUE"""),52200.0)</f>
        <v>52200</v>
      </c>
      <c r="D2174" s="1">
        <f>IFERROR(__xludf.DUMMYFUNCTION("""COMPUTED_VALUE"""),51400.0)</f>
        <v>51400</v>
      </c>
      <c r="E2174" s="1">
        <f>IFERROR(__xludf.DUMMYFUNCTION("""COMPUTED_VALUE"""),51600.0)</f>
        <v>51600</v>
      </c>
      <c r="F2174" s="1">
        <f>IFERROR(__xludf.DUMMYFUNCTION("""COMPUTED_VALUE"""),8185952.0)</f>
        <v>8185952</v>
      </c>
    </row>
    <row r="2175">
      <c r="A2175" s="2">
        <f>IFERROR(__xludf.DUMMYFUNCTION("""COMPUTED_VALUE"""),43781.64583333333)</f>
        <v>43781.64583</v>
      </c>
      <c r="B2175" s="1">
        <f>IFERROR(__xludf.DUMMYFUNCTION("""COMPUTED_VALUE"""),51800.0)</f>
        <v>51800</v>
      </c>
      <c r="C2175" s="1">
        <f>IFERROR(__xludf.DUMMYFUNCTION("""COMPUTED_VALUE"""),52600.0)</f>
        <v>52600</v>
      </c>
      <c r="D2175" s="1">
        <f>IFERROR(__xludf.DUMMYFUNCTION("""COMPUTED_VALUE"""),51600.0)</f>
        <v>51600</v>
      </c>
      <c r="E2175" s="1">
        <f>IFERROR(__xludf.DUMMYFUNCTION("""COMPUTED_VALUE"""),52600.0)</f>
        <v>52600</v>
      </c>
      <c r="F2175" s="1">
        <f>IFERROR(__xludf.DUMMYFUNCTION("""COMPUTED_VALUE"""),6576148.0)</f>
        <v>6576148</v>
      </c>
    </row>
    <row r="2176">
      <c r="A2176" s="2">
        <f>IFERROR(__xludf.DUMMYFUNCTION("""COMPUTED_VALUE"""),43782.64583333333)</f>
        <v>43782.64583</v>
      </c>
      <c r="B2176" s="1">
        <f>IFERROR(__xludf.DUMMYFUNCTION("""COMPUTED_VALUE"""),52500.0)</f>
        <v>52500</v>
      </c>
      <c r="C2176" s="1">
        <f>IFERROR(__xludf.DUMMYFUNCTION("""COMPUTED_VALUE"""),52500.0)</f>
        <v>52500</v>
      </c>
      <c r="D2176" s="1">
        <f>IFERROR(__xludf.DUMMYFUNCTION("""COMPUTED_VALUE"""),52000.0)</f>
        <v>52000</v>
      </c>
      <c r="E2176" s="1">
        <f>IFERROR(__xludf.DUMMYFUNCTION("""COMPUTED_VALUE"""),52500.0)</f>
        <v>52500</v>
      </c>
      <c r="F2176" s="1">
        <f>IFERROR(__xludf.DUMMYFUNCTION("""COMPUTED_VALUE"""),6225196.0)</f>
        <v>6225196</v>
      </c>
    </row>
    <row r="2177">
      <c r="A2177" s="2">
        <f>IFERROR(__xludf.DUMMYFUNCTION("""COMPUTED_VALUE"""),43783.6875)</f>
        <v>43783.6875</v>
      </c>
      <c r="B2177" s="1">
        <f>IFERROR(__xludf.DUMMYFUNCTION("""COMPUTED_VALUE"""),51900.0)</f>
        <v>51900</v>
      </c>
      <c r="C2177" s="1">
        <f>IFERROR(__xludf.DUMMYFUNCTION("""COMPUTED_VALUE"""),52800.0)</f>
        <v>52800</v>
      </c>
      <c r="D2177" s="1">
        <f>IFERROR(__xludf.DUMMYFUNCTION("""COMPUTED_VALUE"""),51900.0)</f>
        <v>51900</v>
      </c>
      <c r="E2177" s="1">
        <f>IFERROR(__xludf.DUMMYFUNCTION("""COMPUTED_VALUE"""),52800.0)</f>
        <v>52800</v>
      </c>
      <c r="F2177" s="1">
        <f>IFERROR(__xludf.DUMMYFUNCTION("""COMPUTED_VALUE"""),1.2010018E7)</f>
        <v>12010018</v>
      </c>
    </row>
    <row r="2178">
      <c r="A2178" s="2">
        <f>IFERROR(__xludf.DUMMYFUNCTION("""COMPUTED_VALUE"""),43784.64583333333)</f>
        <v>43784.64583</v>
      </c>
      <c r="B2178" s="1">
        <f>IFERROR(__xludf.DUMMYFUNCTION("""COMPUTED_VALUE"""),52900.0)</f>
        <v>52900</v>
      </c>
      <c r="C2178" s="1">
        <f>IFERROR(__xludf.DUMMYFUNCTION("""COMPUTED_VALUE"""),53700.0)</f>
        <v>53700</v>
      </c>
      <c r="D2178" s="1">
        <f>IFERROR(__xludf.DUMMYFUNCTION("""COMPUTED_VALUE"""),52600.0)</f>
        <v>52600</v>
      </c>
      <c r="E2178" s="1">
        <f>IFERROR(__xludf.DUMMYFUNCTION("""COMPUTED_VALUE"""),53700.0)</f>
        <v>53700</v>
      </c>
      <c r="F2178" s="1">
        <f>IFERROR(__xludf.DUMMYFUNCTION("""COMPUTED_VALUE"""),9703360.0)</f>
        <v>9703360</v>
      </c>
    </row>
    <row r="2179">
      <c r="A2179" s="2">
        <f>IFERROR(__xludf.DUMMYFUNCTION("""COMPUTED_VALUE"""),43787.64583333333)</f>
        <v>43787.64583</v>
      </c>
      <c r="B2179" s="1">
        <f>IFERROR(__xludf.DUMMYFUNCTION("""COMPUTED_VALUE"""),53600.0)</f>
        <v>53600</v>
      </c>
      <c r="C2179" s="1">
        <f>IFERROR(__xludf.DUMMYFUNCTION("""COMPUTED_VALUE"""),53800.0)</f>
        <v>53800</v>
      </c>
      <c r="D2179" s="1">
        <f>IFERROR(__xludf.DUMMYFUNCTION("""COMPUTED_VALUE"""),53200.0)</f>
        <v>53200</v>
      </c>
      <c r="E2179" s="1">
        <f>IFERROR(__xludf.DUMMYFUNCTION("""COMPUTED_VALUE"""),53500.0)</f>
        <v>53500</v>
      </c>
      <c r="F2179" s="1">
        <f>IFERROR(__xludf.DUMMYFUNCTION("""COMPUTED_VALUE"""),7746554.0)</f>
        <v>7746554</v>
      </c>
    </row>
    <row r="2180">
      <c r="A2180" s="2">
        <f>IFERROR(__xludf.DUMMYFUNCTION("""COMPUTED_VALUE"""),43788.64583333333)</f>
        <v>43788.64583</v>
      </c>
      <c r="B2180" s="1">
        <f>IFERROR(__xludf.DUMMYFUNCTION("""COMPUTED_VALUE"""),53200.0)</f>
        <v>53200</v>
      </c>
      <c r="C2180" s="1">
        <f>IFERROR(__xludf.DUMMYFUNCTION("""COMPUTED_VALUE"""),53500.0)</f>
        <v>53500</v>
      </c>
      <c r="D2180" s="1">
        <f>IFERROR(__xludf.DUMMYFUNCTION("""COMPUTED_VALUE"""),52700.0)</f>
        <v>52700</v>
      </c>
      <c r="E2180" s="1">
        <f>IFERROR(__xludf.DUMMYFUNCTION("""COMPUTED_VALUE"""),53500.0)</f>
        <v>53500</v>
      </c>
      <c r="F2180" s="1">
        <f>IFERROR(__xludf.DUMMYFUNCTION("""COMPUTED_VALUE"""),8907177.0)</f>
        <v>8907177</v>
      </c>
    </row>
    <row r="2181">
      <c r="A2181" s="2">
        <f>IFERROR(__xludf.DUMMYFUNCTION("""COMPUTED_VALUE"""),43789.64583333333)</f>
        <v>43789.64583</v>
      </c>
      <c r="B2181" s="1">
        <f>IFERROR(__xludf.DUMMYFUNCTION("""COMPUTED_VALUE"""),53400.0)</f>
        <v>53400</v>
      </c>
      <c r="C2181" s="1">
        <f>IFERROR(__xludf.DUMMYFUNCTION("""COMPUTED_VALUE"""),53400.0)</f>
        <v>53400</v>
      </c>
      <c r="D2181" s="1">
        <f>IFERROR(__xludf.DUMMYFUNCTION("""COMPUTED_VALUE"""),52000.0)</f>
        <v>52000</v>
      </c>
      <c r="E2181" s="1">
        <f>IFERROR(__xludf.DUMMYFUNCTION("""COMPUTED_VALUE"""),52000.0)</f>
        <v>52000</v>
      </c>
      <c r="F2181" s="1">
        <f>IFERROR(__xludf.DUMMYFUNCTION("""COMPUTED_VALUE"""),1.256007E7)</f>
        <v>12560070</v>
      </c>
    </row>
    <row r="2182">
      <c r="A2182" s="2">
        <f>IFERROR(__xludf.DUMMYFUNCTION("""COMPUTED_VALUE"""),43790.64583333333)</f>
        <v>43790.64583</v>
      </c>
      <c r="B2182" s="1">
        <f>IFERROR(__xludf.DUMMYFUNCTION("""COMPUTED_VALUE"""),51600.0)</f>
        <v>51600</v>
      </c>
      <c r="C2182" s="1">
        <f>IFERROR(__xludf.DUMMYFUNCTION("""COMPUTED_VALUE"""),52100.0)</f>
        <v>52100</v>
      </c>
      <c r="D2182" s="1">
        <f>IFERROR(__xludf.DUMMYFUNCTION("""COMPUTED_VALUE"""),50600.0)</f>
        <v>50600</v>
      </c>
      <c r="E2182" s="1">
        <f>IFERROR(__xludf.DUMMYFUNCTION("""COMPUTED_VALUE"""),51000.0)</f>
        <v>51000</v>
      </c>
      <c r="F2182" s="1">
        <f>IFERROR(__xludf.DUMMYFUNCTION("""COMPUTED_VALUE"""),1.4298646E7)</f>
        <v>14298646</v>
      </c>
    </row>
    <row r="2183">
      <c r="A2183" s="2">
        <f>IFERROR(__xludf.DUMMYFUNCTION("""COMPUTED_VALUE"""),43791.64583333333)</f>
        <v>43791.64583</v>
      </c>
      <c r="B2183" s="1">
        <f>IFERROR(__xludf.DUMMYFUNCTION("""COMPUTED_VALUE"""),51000.0)</f>
        <v>51000</v>
      </c>
      <c r="C2183" s="1">
        <f>IFERROR(__xludf.DUMMYFUNCTION("""COMPUTED_VALUE"""),51600.0)</f>
        <v>51600</v>
      </c>
      <c r="D2183" s="1">
        <f>IFERROR(__xludf.DUMMYFUNCTION("""COMPUTED_VALUE"""),50900.0)</f>
        <v>50900</v>
      </c>
      <c r="E2183" s="1">
        <f>IFERROR(__xludf.DUMMYFUNCTION("""COMPUTED_VALUE"""),51600.0)</f>
        <v>51600</v>
      </c>
      <c r="F2183" s="1">
        <f>IFERROR(__xludf.DUMMYFUNCTION("""COMPUTED_VALUE"""),8478310.0)</f>
        <v>8478310</v>
      </c>
    </row>
    <row r="2184">
      <c r="A2184" s="2">
        <f>IFERROR(__xludf.DUMMYFUNCTION("""COMPUTED_VALUE"""),43794.64583333333)</f>
        <v>43794.64583</v>
      </c>
      <c r="B2184" s="1">
        <f>IFERROR(__xludf.DUMMYFUNCTION("""COMPUTED_VALUE"""),52200.0)</f>
        <v>52200</v>
      </c>
      <c r="C2184" s="1">
        <f>IFERROR(__xludf.DUMMYFUNCTION("""COMPUTED_VALUE"""),52600.0)</f>
        <v>52600</v>
      </c>
      <c r="D2184" s="1">
        <f>IFERROR(__xludf.DUMMYFUNCTION("""COMPUTED_VALUE"""),51700.0)</f>
        <v>51700</v>
      </c>
      <c r="E2184" s="1">
        <f>IFERROR(__xludf.DUMMYFUNCTION("""COMPUTED_VALUE"""),51800.0)</f>
        <v>51800</v>
      </c>
      <c r="F2184" s="1">
        <f>IFERROR(__xludf.DUMMYFUNCTION("""COMPUTED_VALUE"""),9050625.0)</f>
        <v>9050625</v>
      </c>
    </row>
    <row r="2185">
      <c r="A2185" s="2">
        <f>IFERROR(__xludf.DUMMYFUNCTION("""COMPUTED_VALUE"""),43795.64583333333)</f>
        <v>43795.64583</v>
      </c>
      <c r="B2185" s="1">
        <f>IFERROR(__xludf.DUMMYFUNCTION("""COMPUTED_VALUE"""),51900.0)</f>
        <v>51900</v>
      </c>
      <c r="C2185" s="1">
        <f>IFERROR(__xludf.DUMMYFUNCTION("""COMPUTED_VALUE"""),52900.0)</f>
        <v>52900</v>
      </c>
      <c r="D2185" s="1">
        <f>IFERROR(__xludf.DUMMYFUNCTION("""COMPUTED_VALUE"""),51800.0)</f>
        <v>51800</v>
      </c>
      <c r="E2185" s="1">
        <f>IFERROR(__xludf.DUMMYFUNCTION("""COMPUTED_VALUE"""),51800.0)</f>
        <v>51800</v>
      </c>
      <c r="F2185" s="1">
        <f>IFERROR(__xludf.DUMMYFUNCTION("""COMPUTED_VALUE"""),2.7372226E7)</f>
        <v>27372226</v>
      </c>
    </row>
    <row r="2186">
      <c r="A2186" s="2">
        <f>IFERROR(__xludf.DUMMYFUNCTION("""COMPUTED_VALUE"""),43796.64583333333)</f>
        <v>43796.64583</v>
      </c>
      <c r="B2186" s="1">
        <f>IFERROR(__xludf.DUMMYFUNCTION("""COMPUTED_VALUE"""),51800.0)</f>
        <v>51800</v>
      </c>
      <c r="C2186" s="1">
        <f>IFERROR(__xludf.DUMMYFUNCTION("""COMPUTED_VALUE"""),52300.0)</f>
        <v>52300</v>
      </c>
      <c r="D2186" s="1">
        <f>IFERROR(__xludf.DUMMYFUNCTION("""COMPUTED_VALUE"""),51600.0)</f>
        <v>51600</v>
      </c>
      <c r="E2186" s="1">
        <f>IFERROR(__xludf.DUMMYFUNCTION("""COMPUTED_VALUE"""),52200.0)</f>
        <v>52200</v>
      </c>
      <c r="F2186" s="1">
        <f>IFERROR(__xludf.DUMMYFUNCTION("""COMPUTED_VALUE"""),7546261.0)</f>
        <v>7546261</v>
      </c>
    </row>
    <row r="2187">
      <c r="A2187" s="2">
        <f>IFERROR(__xludf.DUMMYFUNCTION("""COMPUTED_VALUE"""),43797.64583333333)</f>
        <v>43797.64583</v>
      </c>
      <c r="B2187" s="1">
        <f>IFERROR(__xludf.DUMMYFUNCTION("""COMPUTED_VALUE"""),51900.0)</f>
        <v>51900</v>
      </c>
      <c r="C2187" s="1">
        <f>IFERROR(__xludf.DUMMYFUNCTION("""COMPUTED_VALUE"""),52100.0)</f>
        <v>52100</v>
      </c>
      <c r="D2187" s="1">
        <f>IFERROR(__xludf.DUMMYFUNCTION("""COMPUTED_VALUE"""),51300.0)</f>
        <v>51300</v>
      </c>
      <c r="E2187" s="1">
        <f>IFERROR(__xludf.DUMMYFUNCTION("""COMPUTED_VALUE"""),51300.0)</f>
        <v>51300</v>
      </c>
      <c r="F2187" s="1">
        <f>IFERROR(__xludf.DUMMYFUNCTION("""COMPUTED_VALUE"""),6833885.0)</f>
        <v>6833885</v>
      </c>
    </row>
    <row r="2188">
      <c r="A2188" s="2">
        <f>IFERROR(__xludf.DUMMYFUNCTION("""COMPUTED_VALUE"""),43798.64583333333)</f>
        <v>43798.64583</v>
      </c>
      <c r="B2188" s="1">
        <f>IFERROR(__xludf.DUMMYFUNCTION("""COMPUTED_VALUE"""),51200.0)</f>
        <v>51200</v>
      </c>
      <c r="C2188" s="1">
        <f>IFERROR(__xludf.DUMMYFUNCTION("""COMPUTED_VALUE"""),51400.0)</f>
        <v>51400</v>
      </c>
      <c r="D2188" s="1">
        <f>IFERROR(__xludf.DUMMYFUNCTION("""COMPUTED_VALUE"""),50200.0)</f>
        <v>50200</v>
      </c>
      <c r="E2188" s="1">
        <f>IFERROR(__xludf.DUMMYFUNCTION("""COMPUTED_VALUE"""),50300.0)</f>
        <v>50300</v>
      </c>
      <c r="F2188" s="1">
        <f>IFERROR(__xludf.DUMMYFUNCTION("""COMPUTED_VALUE"""),1.1179334E7)</f>
        <v>11179334</v>
      </c>
    </row>
    <row r="2189">
      <c r="A2189" s="2">
        <f>IFERROR(__xludf.DUMMYFUNCTION("""COMPUTED_VALUE"""),43801.64583333333)</f>
        <v>43801.64583</v>
      </c>
      <c r="B2189" s="1">
        <f>IFERROR(__xludf.DUMMYFUNCTION("""COMPUTED_VALUE"""),50900.0)</f>
        <v>50900</v>
      </c>
      <c r="C2189" s="1">
        <f>IFERROR(__xludf.DUMMYFUNCTION("""COMPUTED_VALUE"""),51300.0)</f>
        <v>51300</v>
      </c>
      <c r="D2189" s="1">
        <f>IFERROR(__xludf.DUMMYFUNCTION("""COMPUTED_VALUE"""),50400.0)</f>
        <v>50400</v>
      </c>
      <c r="E2189" s="1">
        <f>IFERROR(__xludf.DUMMYFUNCTION("""COMPUTED_VALUE"""),50400.0)</f>
        <v>50400</v>
      </c>
      <c r="F2189" s="1">
        <f>IFERROR(__xludf.DUMMYFUNCTION("""COMPUTED_VALUE"""),1.8877252E7)</f>
        <v>18877252</v>
      </c>
    </row>
    <row r="2190">
      <c r="A2190" s="2">
        <f>IFERROR(__xludf.DUMMYFUNCTION("""COMPUTED_VALUE"""),43802.64583333333)</f>
        <v>43802.64583</v>
      </c>
      <c r="B2190" s="1">
        <f>IFERROR(__xludf.DUMMYFUNCTION("""COMPUTED_VALUE"""),49800.0)</f>
        <v>49800</v>
      </c>
      <c r="C2190" s="1">
        <f>IFERROR(__xludf.DUMMYFUNCTION("""COMPUTED_VALUE"""),50300.0)</f>
        <v>50300</v>
      </c>
      <c r="D2190" s="1">
        <f>IFERROR(__xludf.DUMMYFUNCTION("""COMPUTED_VALUE"""),49500.0)</f>
        <v>49500</v>
      </c>
      <c r="E2190" s="1">
        <f>IFERROR(__xludf.DUMMYFUNCTION("""COMPUTED_VALUE"""),49900.0)</f>
        <v>49900</v>
      </c>
      <c r="F2190" s="1">
        <f>IFERROR(__xludf.DUMMYFUNCTION("""COMPUTED_VALUE"""),1.2059812E7)</f>
        <v>12059812</v>
      </c>
    </row>
    <row r="2191">
      <c r="A2191" s="2">
        <f>IFERROR(__xludf.DUMMYFUNCTION("""COMPUTED_VALUE"""),43803.64583333333)</f>
        <v>43803.64583</v>
      </c>
      <c r="B2191" s="1">
        <f>IFERROR(__xludf.DUMMYFUNCTION("""COMPUTED_VALUE"""),49600.0)</f>
        <v>49600</v>
      </c>
      <c r="C2191" s="1">
        <f>IFERROR(__xludf.DUMMYFUNCTION("""COMPUTED_VALUE"""),49850.0)</f>
        <v>49850</v>
      </c>
      <c r="D2191" s="1">
        <f>IFERROR(__xludf.DUMMYFUNCTION("""COMPUTED_VALUE"""),49000.0)</f>
        <v>49000</v>
      </c>
      <c r="E2191" s="1">
        <f>IFERROR(__xludf.DUMMYFUNCTION("""COMPUTED_VALUE"""),49450.0)</f>
        <v>49450</v>
      </c>
      <c r="F2191" s="1">
        <f>IFERROR(__xludf.DUMMYFUNCTION("""COMPUTED_VALUE"""),1.3246549E7)</f>
        <v>13246549</v>
      </c>
    </row>
    <row r="2192">
      <c r="A2192" s="2">
        <f>IFERROR(__xludf.DUMMYFUNCTION("""COMPUTED_VALUE"""),43804.64583333333)</f>
        <v>43804.64583</v>
      </c>
      <c r="B2192" s="1">
        <f>IFERROR(__xludf.DUMMYFUNCTION("""COMPUTED_VALUE"""),50200.0)</f>
        <v>50200</v>
      </c>
      <c r="C2192" s="1">
        <f>IFERROR(__xludf.DUMMYFUNCTION("""COMPUTED_VALUE"""),50400.0)</f>
        <v>50400</v>
      </c>
      <c r="D2192" s="1">
        <f>IFERROR(__xludf.DUMMYFUNCTION("""COMPUTED_VALUE"""),49500.0)</f>
        <v>49500</v>
      </c>
      <c r="E2192" s="1">
        <f>IFERROR(__xludf.DUMMYFUNCTION("""COMPUTED_VALUE"""),49500.0)</f>
        <v>49500</v>
      </c>
      <c r="F2192" s="1">
        <f>IFERROR(__xludf.DUMMYFUNCTION("""COMPUTED_VALUE"""),1.0449715E7)</f>
        <v>10449715</v>
      </c>
    </row>
    <row r="2193">
      <c r="A2193" s="2">
        <f>IFERROR(__xludf.DUMMYFUNCTION("""COMPUTED_VALUE"""),43805.64583333333)</f>
        <v>43805.64583</v>
      </c>
      <c r="B2193" s="1">
        <f>IFERROR(__xludf.DUMMYFUNCTION("""COMPUTED_VALUE"""),50100.0)</f>
        <v>50100</v>
      </c>
      <c r="C2193" s="1">
        <f>IFERROR(__xludf.DUMMYFUNCTION("""COMPUTED_VALUE"""),50900.0)</f>
        <v>50900</v>
      </c>
      <c r="D2193" s="1">
        <f>IFERROR(__xludf.DUMMYFUNCTION("""COMPUTED_VALUE"""),49950.0)</f>
        <v>49950</v>
      </c>
      <c r="E2193" s="1">
        <f>IFERROR(__xludf.DUMMYFUNCTION("""COMPUTED_VALUE"""),50400.0)</f>
        <v>50400</v>
      </c>
      <c r="F2193" s="1">
        <f>IFERROR(__xludf.DUMMYFUNCTION("""COMPUTED_VALUE"""),1.1414563E7)</f>
        <v>11414563</v>
      </c>
    </row>
    <row r="2194">
      <c r="A2194" s="2">
        <f>IFERROR(__xludf.DUMMYFUNCTION("""COMPUTED_VALUE"""),43808.64583333333)</f>
        <v>43808.64583</v>
      </c>
      <c r="B2194" s="1">
        <f>IFERROR(__xludf.DUMMYFUNCTION("""COMPUTED_VALUE"""),50900.0)</f>
        <v>50900</v>
      </c>
      <c r="C2194" s="1">
        <f>IFERROR(__xludf.DUMMYFUNCTION("""COMPUTED_VALUE"""),51400.0)</f>
        <v>51400</v>
      </c>
      <c r="D2194" s="1">
        <f>IFERROR(__xludf.DUMMYFUNCTION("""COMPUTED_VALUE"""),50700.0)</f>
        <v>50700</v>
      </c>
      <c r="E2194" s="1">
        <f>IFERROR(__xludf.DUMMYFUNCTION("""COMPUTED_VALUE"""),51200.0)</f>
        <v>51200</v>
      </c>
      <c r="F2194" s="1">
        <f>IFERROR(__xludf.DUMMYFUNCTION("""COMPUTED_VALUE"""),8470627.0)</f>
        <v>8470627</v>
      </c>
    </row>
    <row r="2195">
      <c r="A2195" s="2">
        <f>IFERROR(__xludf.DUMMYFUNCTION("""COMPUTED_VALUE"""),43809.64583333333)</f>
        <v>43809.64583</v>
      </c>
      <c r="B2195" s="1">
        <f>IFERROR(__xludf.DUMMYFUNCTION("""COMPUTED_VALUE"""),51000.0)</f>
        <v>51000</v>
      </c>
      <c r="C2195" s="1">
        <f>IFERROR(__xludf.DUMMYFUNCTION("""COMPUTED_VALUE"""),51600.0)</f>
        <v>51600</v>
      </c>
      <c r="D2195" s="1">
        <f>IFERROR(__xludf.DUMMYFUNCTION("""COMPUTED_VALUE"""),50700.0)</f>
        <v>50700</v>
      </c>
      <c r="E2195" s="1">
        <f>IFERROR(__xludf.DUMMYFUNCTION("""COMPUTED_VALUE"""),51500.0)</f>
        <v>51500</v>
      </c>
      <c r="F2195" s="1">
        <f>IFERROR(__xludf.DUMMYFUNCTION("""COMPUTED_VALUE"""),6882771.0)</f>
        <v>6882771</v>
      </c>
    </row>
    <row r="2196">
      <c r="A2196" s="2">
        <f>IFERROR(__xludf.DUMMYFUNCTION("""COMPUTED_VALUE"""),43810.64583333333)</f>
        <v>43810.64583</v>
      </c>
      <c r="B2196" s="1">
        <f>IFERROR(__xludf.DUMMYFUNCTION("""COMPUTED_VALUE"""),51500.0)</f>
        <v>51500</v>
      </c>
      <c r="C2196" s="1">
        <f>IFERROR(__xludf.DUMMYFUNCTION("""COMPUTED_VALUE"""),52200.0)</f>
        <v>52200</v>
      </c>
      <c r="D2196" s="1">
        <f>IFERROR(__xludf.DUMMYFUNCTION("""COMPUTED_VALUE"""),51400.0)</f>
        <v>51400</v>
      </c>
      <c r="E2196" s="1">
        <f>IFERROR(__xludf.DUMMYFUNCTION("""COMPUTED_VALUE"""),51900.0)</f>
        <v>51900</v>
      </c>
      <c r="F2196" s="1">
        <f>IFERROR(__xludf.DUMMYFUNCTION("""COMPUTED_VALUE"""),1.1379521E7)</f>
        <v>11379521</v>
      </c>
    </row>
    <row r="2197">
      <c r="A2197" s="2">
        <f>IFERROR(__xludf.DUMMYFUNCTION("""COMPUTED_VALUE"""),43811.64583333333)</f>
        <v>43811.64583</v>
      </c>
      <c r="B2197" s="1">
        <f>IFERROR(__xludf.DUMMYFUNCTION("""COMPUTED_VALUE"""),53000.0)</f>
        <v>53000</v>
      </c>
      <c r="C2197" s="1">
        <f>IFERROR(__xludf.DUMMYFUNCTION("""COMPUTED_VALUE"""),53300.0)</f>
        <v>53300</v>
      </c>
      <c r="D2197" s="1">
        <f>IFERROR(__xludf.DUMMYFUNCTION("""COMPUTED_VALUE"""),52700.0)</f>
        <v>52700</v>
      </c>
      <c r="E2197" s="1">
        <f>IFERROR(__xludf.DUMMYFUNCTION("""COMPUTED_VALUE"""),53300.0)</f>
        <v>53300</v>
      </c>
      <c r="F2197" s="1">
        <f>IFERROR(__xludf.DUMMYFUNCTION("""COMPUTED_VALUE"""),2.9178697E7)</f>
        <v>29178697</v>
      </c>
    </row>
    <row r="2198">
      <c r="A2198" s="2">
        <f>IFERROR(__xludf.DUMMYFUNCTION("""COMPUTED_VALUE"""),43812.64583333333)</f>
        <v>43812.64583</v>
      </c>
      <c r="B2198" s="1">
        <f>IFERROR(__xludf.DUMMYFUNCTION("""COMPUTED_VALUE"""),54500.0)</f>
        <v>54500</v>
      </c>
      <c r="C2198" s="1">
        <f>IFERROR(__xludf.DUMMYFUNCTION("""COMPUTED_VALUE"""),54800.0)</f>
        <v>54800</v>
      </c>
      <c r="D2198" s="1">
        <f>IFERROR(__xludf.DUMMYFUNCTION("""COMPUTED_VALUE"""),53900.0)</f>
        <v>53900</v>
      </c>
      <c r="E2198" s="1">
        <f>IFERROR(__xludf.DUMMYFUNCTION("""COMPUTED_VALUE"""),54700.0)</f>
        <v>54700</v>
      </c>
      <c r="F2198" s="1">
        <f>IFERROR(__xludf.DUMMYFUNCTION("""COMPUTED_VALUE"""),1.8120261E7)</f>
        <v>18120261</v>
      </c>
    </row>
    <row r="2199">
      <c r="A2199" s="2">
        <f>IFERROR(__xludf.DUMMYFUNCTION("""COMPUTED_VALUE"""),43815.64583333333)</f>
        <v>43815.64583</v>
      </c>
      <c r="B2199" s="1">
        <f>IFERROR(__xludf.DUMMYFUNCTION("""COMPUTED_VALUE"""),54500.0)</f>
        <v>54500</v>
      </c>
      <c r="C2199" s="1">
        <f>IFERROR(__xludf.DUMMYFUNCTION("""COMPUTED_VALUE"""),54900.0)</f>
        <v>54900</v>
      </c>
      <c r="D2199" s="1">
        <f>IFERROR(__xludf.DUMMYFUNCTION("""COMPUTED_VALUE"""),54300.0)</f>
        <v>54300</v>
      </c>
      <c r="E2199" s="1">
        <f>IFERROR(__xludf.DUMMYFUNCTION("""COMPUTED_VALUE"""),54700.0)</f>
        <v>54700</v>
      </c>
      <c r="F2199" s="1">
        <f>IFERROR(__xludf.DUMMYFUNCTION("""COMPUTED_VALUE"""),1.1512405E7)</f>
        <v>11512405</v>
      </c>
    </row>
    <row r="2200">
      <c r="A2200" s="2">
        <f>IFERROR(__xludf.DUMMYFUNCTION("""COMPUTED_VALUE"""),43816.64583333333)</f>
        <v>43816.64583</v>
      </c>
      <c r="B2200" s="1">
        <f>IFERROR(__xludf.DUMMYFUNCTION("""COMPUTED_VALUE"""),55800.0)</f>
        <v>55800</v>
      </c>
      <c r="C2200" s="1">
        <f>IFERROR(__xludf.DUMMYFUNCTION("""COMPUTED_VALUE"""),56700.0)</f>
        <v>56700</v>
      </c>
      <c r="D2200" s="1">
        <f>IFERROR(__xludf.DUMMYFUNCTION("""COMPUTED_VALUE"""),55400.0)</f>
        <v>55400</v>
      </c>
      <c r="E2200" s="1">
        <f>IFERROR(__xludf.DUMMYFUNCTION("""COMPUTED_VALUE"""),56700.0)</f>
        <v>56700</v>
      </c>
      <c r="F2200" s="1">
        <f>IFERROR(__xludf.DUMMYFUNCTION("""COMPUTED_VALUE"""),1.9358433E7)</f>
        <v>19358433</v>
      </c>
    </row>
    <row r="2201">
      <c r="A2201" s="2">
        <f>IFERROR(__xludf.DUMMYFUNCTION("""COMPUTED_VALUE"""),43817.64583333333)</f>
        <v>43817.64583</v>
      </c>
      <c r="B2201" s="1">
        <f>IFERROR(__xludf.DUMMYFUNCTION("""COMPUTED_VALUE"""),56700.0)</f>
        <v>56700</v>
      </c>
      <c r="C2201" s="1">
        <f>IFERROR(__xludf.DUMMYFUNCTION("""COMPUTED_VALUE"""),57200.0)</f>
        <v>57200</v>
      </c>
      <c r="D2201" s="1">
        <f>IFERROR(__xludf.DUMMYFUNCTION("""COMPUTED_VALUE"""),56000.0)</f>
        <v>56000</v>
      </c>
      <c r="E2201" s="1">
        <f>IFERROR(__xludf.DUMMYFUNCTION("""COMPUTED_VALUE"""),56300.0)</f>
        <v>56300</v>
      </c>
      <c r="F2201" s="1">
        <f>IFERROR(__xludf.DUMMYFUNCTION("""COMPUTED_VALUE"""),1.5558208E7)</f>
        <v>15558208</v>
      </c>
    </row>
    <row r="2202">
      <c r="A2202" s="2">
        <f>IFERROR(__xludf.DUMMYFUNCTION("""COMPUTED_VALUE"""),43818.64583333333)</f>
        <v>43818.64583</v>
      </c>
      <c r="B2202" s="1">
        <f>IFERROR(__xludf.DUMMYFUNCTION("""COMPUTED_VALUE"""),57000.0)</f>
        <v>57000</v>
      </c>
      <c r="C2202" s="1">
        <f>IFERROR(__xludf.DUMMYFUNCTION("""COMPUTED_VALUE"""),57300.0)</f>
        <v>57300</v>
      </c>
      <c r="D2202" s="1">
        <f>IFERROR(__xludf.DUMMYFUNCTION("""COMPUTED_VALUE"""),55500.0)</f>
        <v>55500</v>
      </c>
      <c r="E2202" s="1">
        <f>IFERROR(__xludf.DUMMYFUNCTION("""COMPUTED_VALUE"""),56000.0)</f>
        <v>56000</v>
      </c>
      <c r="F2202" s="1">
        <f>IFERROR(__xludf.DUMMYFUNCTION("""COMPUTED_VALUE"""),1.418052E7)</f>
        <v>14180520</v>
      </c>
    </row>
    <row r="2203">
      <c r="A2203" s="2">
        <f>IFERROR(__xludf.DUMMYFUNCTION("""COMPUTED_VALUE"""),43819.64583333333)</f>
        <v>43819.64583</v>
      </c>
      <c r="B2203" s="1">
        <f>IFERROR(__xludf.DUMMYFUNCTION("""COMPUTED_VALUE"""),56100.0)</f>
        <v>56100</v>
      </c>
      <c r="C2203" s="1">
        <f>IFERROR(__xludf.DUMMYFUNCTION("""COMPUTED_VALUE"""),56500.0)</f>
        <v>56500</v>
      </c>
      <c r="D2203" s="1">
        <f>IFERROR(__xludf.DUMMYFUNCTION("""COMPUTED_VALUE"""),55600.0)</f>
        <v>55600</v>
      </c>
      <c r="E2203" s="1">
        <f>IFERROR(__xludf.DUMMYFUNCTION("""COMPUTED_VALUE"""),56000.0)</f>
        <v>56000</v>
      </c>
      <c r="F2203" s="1">
        <f>IFERROR(__xludf.DUMMYFUNCTION("""COMPUTED_VALUE"""),1.2095519E7)</f>
        <v>12095519</v>
      </c>
    </row>
    <row r="2204">
      <c r="A2204" s="2">
        <f>IFERROR(__xludf.DUMMYFUNCTION("""COMPUTED_VALUE"""),43822.64583333333)</f>
        <v>43822.64583</v>
      </c>
      <c r="B2204" s="1">
        <f>IFERROR(__xludf.DUMMYFUNCTION("""COMPUTED_VALUE"""),56100.0)</f>
        <v>56100</v>
      </c>
      <c r="C2204" s="1">
        <f>IFERROR(__xludf.DUMMYFUNCTION("""COMPUTED_VALUE"""),56400.0)</f>
        <v>56400</v>
      </c>
      <c r="D2204" s="1">
        <f>IFERROR(__xludf.DUMMYFUNCTION("""COMPUTED_VALUE"""),55100.0)</f>
        <v>55100</v>
      </c>
      <c r="E2204" s="1">
        <f>IFERROR(__xludf.DUMMYFUNCTION("""COMPUTED_VALUE"""),55500.0)</f>
        <v>55500</v>
      </c>
      <c r="F2204" s="1">
        <f>IFERROR(__xludf.DUMMYFUNCTION("""COMPUTED_VALUE"""),9839252.0)</f>
        <v>9839252</v>
      </c>
    </row>
    <row r="2205">
      <c r="A2205" s="2">
        <f>IFERROR(__xludf.DUMMYFUNCTION("""COMPUTED_VALUE"""),43823.64583333333)</f>
        <v>43823.64583</v>
      </c>
      <c r="B2205" s="1">
        <f>IFERROR(__xludf.DUMMYFUNCTION("""COMPUTED_VALUE"""),55600.0)</f>
        <v>55600</v>
      </c>
      <c r="C2205" s="1">
        <f>IFERROR(__xludf.DUMMYFUNCTION("""COMPUTED_VALUE"""),55700.0)</f>
        <v>55700</v>
      </c>
      <c r="D2205" s="1">
        <f>IFERROR(__xludf.DUMMYFUNCTION("""COMPUTED_VALUE"""),54800.0)</f>
        <v>54800</v>
      </c>
      <c r="E2205" s="1">
        <f>IFERROR(__xludf.DUMMYFUNCTION("""COMPUTED_VALUE"""),55000.0)</f>
        <v>55000</v>
      </c>
      <c r="F2205" s="1">
        <f>IFERROR(__xludf.DUMMYFUNCTION("""COMPUTED_VALUE"""),1.1868463E7)</f>
        <v>11868463</v>
      </c>
    </row>
    <row r="2206">
      <c r="A2206" s="2">
        <f>IFERROR(__xludf.DUMMYFUNCTION("""COMPUTED_VALUE"""),43825.64583333333)</f>
        <v>43825.64583</v>
      </c>
      <c r="B2206" s="1">
        <f>IFERROR(__xludf.DUMMYFUNCTION("""COMPUTED_VALUE"""),54700.0)</f>
        <v>54700</v>
      </c>
      <c r="C2206" s="1">
        <f>IFERROR(__xludf.DUMMYFUNCTION("""COMPUTED_VALUE"""),55400.0)</f>
        <v>55400</v>
      </c>
      <c r="D2206" s="1">
        <f>IFERROR(__xludf.DUMMYFUNCTION("""COMPUTED_VALUE"""),54400.0)</f>
        <v>54400</v>
      </c>
      <c r="E2206" s="1">
        <f>IFERROR(__xludf.DUMMYFUNCTION("""COMPUTED_VALUE"""),55400.0)</f>
        <v>55400</v>
      </c>
      <c r="F2206" s="1">
        <f>IFERROR(__xludf.DUMMYFUNCTION("""COMPUTED_VALUE"""),9645034.0)</f>
        <v>9645034</v>
      </c>
    </row>
    <row r="2207">
      <c r="A2207" s="2">
        <f>IFERROR(__xludf.DUMMYFUNCTION("""COMPUTED_VALUE"""),43826.64583333333)</f>
        <v>43826.64583</v>
      </c>
      <c r="B2207" s="1">
        <f>IFERROR(__xludf.DUMMYFUNCTION("""COMPUTED_VALUE"""),55700.0)</f>
        <v>55700</v>
      </c>
      <c r="C2207" s="1">
        <f>IFERROR(__xludf.DUMMYFUNCTION("""COMPUTED_VALUE"""),56900.0)</f>
        <v>56900</v>
      </c>
      <c r="D2207" s="1">
        <f>IFERROR(__xludf.DUMMYFUNCTION("""COMPUTED_VALUE"""),55500.0)</f>
        <v>55500</v>
      </c>
      <c r="E2207" s="1">
        <f>IFERROR(__xludf.DUMMYFUNCTION("""COMPUTED_VALUE"""),56500.0)</f>
        <v>56500</v>
      </c>
      <c r="F2207" s="1">
        <f>IFERROR(__xludf.DUMMYFUNCTION("""COMPUTED_VALUE"""),1.2313056E7)</f>
        <v>12313056</v>
      </c>
    </row>
    <row r="2208">
      <c r="A2208" s="2">
        <f>IFERROR(__xludf.DUMMYFUNCTION("""COMPUTED_VALUE"""),43829.64583333333)</f>
        <v>43829.64583</v>
      </c>
      <c r="B2208" s="1">
        <f>IFERROR(__xludf.DUMMYFUNCTION("""COMPUTED_VALUE"""),56200.0)</f>
        <v>56200</v>
      </c>
      <c r="C2208" s="1">
        <f>IFERROR(__xludf.DUMMYFUNCTION("""COMPUTED_VALUE"""),56600.0)</f>
        <v>56600</v>
      </c>
      <c r="D2208" s="1">
        <f>IFERROR(__xludf.DUMMYFUNCTION("""COMPUTED_VALUE"""),55700.0)</f>
        <v>55700</v>
      </c>
      <c r="E2208" s="1">
        <f>IFERROR(__xludf.DUMMYFUNCTION("""COMPUTED_VALUE"""),55800.0)</f>
        <v>55800</v>
      </c>
      <c r="F2208" s="1">
        <f>IFERROR(__xludf.DUMMYFUNCTION("""COMPUTED_VALUE"""),8356767.0)</f>
        <v>8356767</v>
      </c>
    </row>
    <row r="2209">
      <c r="A2209" s="2">
        <f>IFERROR(__xludf.DUMMYFUNCTION("""COMPUTED_VALUE"""),43832.64583333333)</f>
        <v>43832.64583</v>
      </c>
      <c r="B2209" s="1">
        <f>IFERROR(__xludf.DUMMYFUNCTION("""COMPUTED_VALUE"""),55500.0)</f>
        <v>55500</v>
      </c>
      <c r="C2209" s="1">
        <f>IFERROR(__xludf.DUMMYFUNCTION("""COMPUTED_VALUE"""),56000.0)</f>
        <v>56000</v>
      </c>
      <c r="D2209" s="1">
        <f>IFERROR(__xludf.DUMMYFUNCTION("""COMPUTED_VALUE"""),55000.0)</f>
        <v>55000</v>
      </c>
      <c r="E2209" s="1">
        <f>IFERROR(__xludf.DUMMYFUNCTION("""COMPUTED_VALUE"""),55200.0)</f>
        <v>55200</v>
      </c>
      <c r="F2209" s="1">
        <f>IFERROR(__xludf.DUMMYFUNCTION("""COMPUTED_VALUE"""),1.2993228E7)</f>
        <v>12993228</v>
      </c>
    </row>
    <row r="2210">
      <c r="A2210" s="2">
        <f>IFERROR(__xludf.DUMMYFUNCTION("""COMPUTED_VALUE"""),43833.64583333333)</f>
        <v>43833.64583</v>
      </c>
      <c r="B2210" s="1">
        <f>IFERROR(__xludf.DUMMYFUNCTION("""COMPUTED_VALUE"""),56000.0)</f>
        <v>56000</v>
      </c>
      <c r="C2210" s="1">
        <f>IFERROR(__xludf.DUMMYFUNCTION("""COMPUTED_VALUE"""),56600.0)</f>
        <v>56600</v>
      </c>
      <c r="D2210" s="1">
        <f>IFERROR(__xludf.DUMMYFUNCTION("""COMPUTED_VALUE"""),54900.0)</f>
        <v>54900</v>
      </c>
      <c r="E2210" s="1">
        <f>IFERROR(__xludf.DUMMYFUNCTION("""COMPUTED_VALUE"""),55500.0)</f>
        <v>55500</v>
      </c>
      <c r="F2210" s="1">
        <f>IFERROR(__xludf.DUMMYFUNCTION("""COMPUTED_VALUE"""),1.5422255E7)</f>
        <v>15422255</v>
      </c>
    </row>
    <row r="2211">
      <c r="A2211" s="2">
        <f>IFERROR(__xludf.DUMMYFUNCTION("""COMPUTED_VALUE"""),43836.64583333333)</f>
        <v>43836.64583</v>
      </c>
      <c r="B2211" s="1">
        <f>IFERROR(__xludf.DUMMYFUNCTION("""COMPUTED_VALUE"""),54900.0)</f>
        <v>54900</v>
      </c>
      <c r="C2211" s="1">
        <f>IFERROR(__xludf.DUMMYFUNCTION("""COMPUTED_VALUE"""),55600.0)</f>
        <v>55600</v>
      </c>
      <c r="D2211" s="1">
        <f>IFERROR(__xludf.DUMMYFUNCTION("""COMPUTED_VALUE"""),54600.0)</f>
        <v>54600</v>
      </c>
      <c r="E2211" s="1">
        <f>IFERROR(__xludf.DUMMYFUNCTION("""COMPUTED_VALUE"""),55500.0)</f>
        <v>55500</v>
      </c>
      <c r="F2211" s="1">
        <f>IFERROR(__xludf.DUMMYFUNCTION("""COMPUTED_VALUE"""),1.0278951E7)</f>
        <v>10278951</v>
      </c>
    </row>
    <row r="2212">
      <c r="A2212" s="2">
        <f>IFERROR(__xludf.DUMMYFUNCTION("""COMPUTED_VALUE"""),43837.64583333333)</f>
        <v>43837.64583</v>
      </c>
      <c r="B2212" s="1">
        <f>IFERROR(__xludf.DUMMYFUNCTION("""COMPUTED_VALUE"""),55700.0)</f>
        <v>55700</v>
      </c>
      <c r="C2212" s="1">
        <f>IFERROR(__xludf.DUMMYFUNCTION("""COMPUTED_VALUE"""),56400.0)</f>
        <v>56400</v>
      </c>
      <c r="D2212" s="1">
        <f>IFERROR(__xludf.DUMMYFUNCTION("""COMPUTED_VALUE"""),55600.0)</f>
        <v>55600</v>
      </c>
      <c r="E2212" s="1">
        <f>IFERROR(__xludf.DUMMYFUNCTION("""COMPUTED_VALUE"""),55800.0)</f>
        <v>55800</v>
      </c>
      <c r="F2212" s="1">
        <f>IFERROR(__xludf.DUMMYFUNCTION("""COMPUTED_VALUE"""),1.0009778E7)</f>
        <v>10009778</v>
      </c>
    </row>
    <row r="2213">
      <c r="A2213" s="2">
        <f>IFERROR(__xludf.DUMMYFUNCTION("""COMPUTED_VALUE"""),43838.64583333333)</f>
        <v>43838.64583</v>
      </c>
      <c r="B2213" s="1">
        <f>IFERROR(__xludf.DUMMYFUNCTION("""COMPUTED_VALUE"""),56200.0)</f>
        <v>56200</v>
      </c>
      <c r="C2213" s="1">
        <f>IFERROR(__xludf.DUMMYFUNCTION("""COMPUTED_VALUE"""),57400.0)</f>
        <v>57400</v>
      </c>
      <c r="D2213" s="1">
        <f>IFERROR(__xludf.DUMMYFUNCTION("""COMPUTED_VALUE"""),55900.0)</f>
        <v>55900</v>
      </c>
      <c r="E2213" s="1">
        <f>IFERROR(__xludf.DUMMYFUNCTION("""COMPUTED_VALUE"""),56800.0)</f>
        <v>56800</v>
      </c>
      <c r="F2213" s="1">
        <f>IFERROR(__xludf.DUMMYFUNCTION("""COMPUTED_VALUE"""),2.3501171E7)</f>
        <v>23501171</v>
      </c>
    </row>
    <row r="2214">
      <c r="A2214" s="2">
        <f>IFERROR(__xludf.DUMMYFUNCTION("""COMPUTED_VALUE"""),43839.64583333333)</f>
        <v>43839.64583</v>
      </c>
      <c r="B2214" s="1">
        <f>IFERROR(__xludf.DUMMYFUNCTION("""COMPUTED_VALUE"""),58400.0)</f>
        <v>58400</v>
      </c>
      <c r="C2214" s="1">
        <f>IFERROR(__xludf.DUMMYFUNCTION("""COMPUTED_VALUE"""),58600.0)</f>
        <v>58600</v>
      </c>
      <c r="D2214" s="1">
        <f>IFERROR(__xludf.DUMMYFUNCTION("""COMPUTED_VALUE"""),57400.0)</f>
        <v>57400</v>
      </c>
      <c r="E2214" s="1">
        <f>IFERROR(__xludf.DUMMYFUNCTION("""COMPUTED_VALUE"""),58600.0)</f>
        <v>58600</v>
      </c>
      <c r="F2214" s="1">
        <f>IFERROR(__xludf.DUMMYFUNCTION("""COMPUTED_VALUE"""),2.4102579E7)</f>
        <v>24102579</v>
      </c>
    </row>
    <row r="2215">
      <c r="A2215" s="2">
        <f>IFERROR(__xludf.DUMMYFUNCTION("""COMPUTED_VALUE"""),43840.64583333333)</f>
        <v>43840.64583</v>
      </c>
      <c r="B2215" s="1">
        <f>IFERROR(__xludf.DUMMYFUNCTION("""COMPUTED_VALUE"""),58800.0)</f>
        <v>58800</v>
      </c>
      <c r="C2215" s="1">
        <f>IFERROR(__xludf.DUMMYFUNCTION("""COMPUTED_VALUE"""),59700.0)</f>
        <v>59700</v>
      </c>
      <c r="D2215" s="1">
        <f>IFERROR(__xludf.DUMMYFUNCTION("""COMPUTED_VALUE"""),58300.0)</f>
        <v>58300</v>
      </c>
      <c r="E2215" s="1">
        <f>IFERROR(__xludf.DUMMYFUNCTION("""COMPUTED_VALUE"""),59500.0)</f>
        <v>59500</v>
      </c>
      <c r="F2215" s="1">
        <f>IFERROR(__xludf.DUMMYFUNCTION("""COMPUTED_VALUE"""),1.600017E7)</f>
        <v>16000170</v>
      </c>
    </row>
    <row r="2216">
      <c r="A2216" s="2">
        <f>IFERROR(__xludf.DUMMYFUNCTION("""COMPUTED_VALUE"""),43843.64583333333)</f>
        <v>43843.64583</v>
      </c>
      <c r="B2216" s="1">
        <f>IFERROR(__xludf.DUMMYFUNCTION("""COMPUTED_VALUE"""),59600.0)</f>
        <v>59600</v>
      </c>
      <c r="C2216" s="1">
        <f>IFERROR(__xludf.DUMMYFUNCTION("""COMPUTED_VALUE"""),60000.0)</f>
        <v>60000</v>
      </c>
      <c r="D2216" s="1">
        <f>IFERROR(__xludf.DUMMYFUNCTION("""COMPUTED_VALUE"""),59100.0)</f>
        <v>59100</v>
      </c>
      <c r="E2216" s="1">
        <f>IFERROR(__xludf.DUMMYFUNCTION("""COMPUTED_VALUE"""),60000.0)</f>
        <v>60000</v>
      </c>
      <c r="F2216" s="1">
        <f>IFERROR(__xludf.DUMMYFUNCTION("""COMPUTED_VALUE"""),1.1359139E7)</f>
        <v>11359139</v>
      </c>
    </row>
    <row r="2217">
      <c r="A2217" s="2">
        <f>IFERROR(__xludf.DUMMYFUNCTION("""COMPUTED_VALUE"""),43844.64583333333)</f>
        <v>43844.64583</v>
      </c>
      <c r="B2217" s="1">
        <f>IFERROR(__xludf.DUMMYFUNCTION("""COMPUTED_VALUE"""),60400.0)</f>
        <v>60400</v>
      </c>
      <c r="C2217" s="1">
        <f>IFERROR(__xludf.DUMMYFUNCTION("""COMPUTED_VALUE"""),61000.0)</f>
        <v>61000</v>
      </c>
      <c r="D2217" s="1">
        <f>IFERROR(__xludf.DUMMYFUNCTION("""COMPUTED_VALUE"""),59900.0)</f>
        <v>59900</v>
      </c>
      <c r="E2217" s="1">
        <f>IFERROR(__xludf.DUMMYFUNCTION("""COMPUTED_VALUE"""),60000.0)</f>
        <v>60000</v>
      </c>
      <c r="F2217" s="1">
        <f>IFERROR(__xludf.DUMMYFUNCTION("""COMPUTED_VALUE"""),1.6906295E7)</f>
        <v>16906295</v>
      </c>
    </row>
    <row r="2218">
      <c r="A2218" s="2">
        <f>IFERROR(__xludf.DUMMYFUNCTION("""COMPUTED_VALUE"""),43845.64583333333)</f>
        <v>43845.64583</v>
      </c>
      <c r="B2218" s="1">
        <f>IFERROR(__xludf.DUMMYFUNCTION("""COMPUTED_VALUE"""),59500.0)</f>
        <v>59500</v>
      </c>
      <c r="C2218" s="1">
        <f>IFERROR(__xludf.DUMMYFUNCTION("""COMPUTED_VALUE"""),59600.0)</f>
        <v>59600</v>
      </c>
      <c r="D2218" s="1">
        <f>IFERROR(__xludf.DUMMYFUNCTION("""COMPUTED_VALUE"""),58900.0)</f>
        <v>58900</v>
      </c>
      <c r="E2218" s="1">
        <f>IFERROR(__xludf.DUMMYFUNCTION("""COMPUTED_VALUE"""),59000.0)</f>
        <v>59000</v>
      </c>
      <c r="F2218" s="1">
        <f>IFERROR(__xludf.DUMMYFUNCTION("""COMPUTED_VALUE"""),1.4300928E7)</f>
        <v>14300928</v>
      </c>
    </row>
    <row r="2219">
      <c r="A2219" s="2">
        <f>IFERROR(__xludf.DUMMYFUNCTION("""COMPUTED_VALUE"""),43846.64583333333)</f>
        <v>43846.64583</v>
      </c>
      <c r="B2219" s="1">
        <f>IFERROR(__xludf.DUMMYFUNCTION("""COMPUTED_VALUE"""),59100.0)</f>
        <v>59100</v>
      </c>
      <c r="C2219" s="1">
        <f>IFERROR(__xludf.DUMMYFUNCTION("""COMPUTED_VALUE"""),60700.0)</f>
        <v>60700</v>
      </c>
      <c r="D2219" s="1">
        <f>IFERROR(__xludf.DUMMYFUNCTION("""COMPUTED_VALUE"""),59000.0)</f>
        <v>59000</v>
      </c>
      <c r="E2219" s="1">
        <f>IFERROR(__xludf.DUMMYFUNCTION("""COMPUTED_VALUE"""),60700.0)</f>
        <v>60700</v>
      </c>
      <c r="F2219" s="1">
        <f>IFERROR(__xludf.DUMMYFUNCTION("""COMPUTED_VALUE"""),1.4381774E7)</f>
        <v>14381774</v>
      </c>
    </row>
    <row r="2220">
      <c r="A2220" s="2">
        <f>IFERROR(__xludf.DUMMYFUNCTION("""COMPUTED_VALUE"""),43847.64583333333)</f>
        <v>43847.64583</v>
      </c>
      <c r="B2220" s="1">
        <f>IFERROR(__xludf.DUMMYFUNCTION("""COMPUTED_VALUE"""),61900.0)</f>
        <v>61900</v>
      </c>
      <c r="C2220" s="1">
        <f>IFERROR(__xludf.DUMMYFUNCTION("""COMPUTED_VALUE"""),62000.0)</f>
        <v>62000</v>
      </c>
      <c r="D2220" s="1">
        <f>IFERROR(__xludf.DUMMYFUNCTION("""COMPUTED_VALUE"""),61000.0)</f>
        <v>61000</v>
      </c>
      <c r="E2220" s="1">
        <f>IFERROR(__xludf.DUMMYFUNCTION("""COMPUTED_VALUE"""),61300.0)</f>
        <v>61300</v>
      </c>
      <c r="F2220" s="1">
        <f>IFERROR(__xludf.DUMMYFUNCTION("""COMPUTED_VALUE"""),1.6025661E7)</f>
        <v>16025661</v>
      </c>
    </row>
    <row r="2221">
      <c r="A2221" s="2">
        <f>IFERROR(__xludf.DUMMYFUNCTION("""COMPUTED_VALUE"""),43850.64583333333)</f>
        <v>43850.64583</v>
      </c>
      <c r="B2221" s="1">
        <f>IFERROR(__xludf.DUMMYFUNCTION("""COMPUTED_VALUE"""),62000.0)</f>
        <v>62000</v>
      </c>
      <c r="C2221" s="1">
        <f>IFERROR(__xludf.DUMMYFUNCTION("""COMPUTED_VALUE"""),62800.0)</f>
        <v>62800</v>
      </c>
      <c r="D2221" s="1">
        <f>IFERROR(__xludf.DUMMYFUNCTION("""COMPUTED_VALUE"""),61700.0)</f>
        <v>61700</v>
      </c>
      <c r="E2221" s="1">
        <f>IFERROR(__xludf.DUMMYFUNCTION("""COMPUTED_VALUE"""),62400.0)</f>
        <v>62400</v>
      </c>
      <c r="F2221" s="1">
        <f>IFERROR(__xludf.DUMMYFUNCTION("""COMPUTED_VALUE"""),1.2528855E7)</f>
        <v>12528855</v>
      </c>
    </row>
    <row r="2222">
      <c r="A2222" s="2">
        <f>IFERROR(__xludf.DUMMYFUNCTION("""COMPUTED_VALUE"""),43851.64583333333)</f>
        <v>43851.64583</v>
      </c>
      <c r="B2222" s="1">
        <f>IFERROR(__xludf.DUMMYFUNCTION("""COMPUTED_VALUE"""),62000.0)</f>
        <v>62000</v>
      </c>
      <c r="C2222" s="1">
        <f>IFERROR(__xludf.DUMMYFUNCTION("""COMPUTED_VALUE"""),62400.0)</f>
        <v>62400</v>
      </c>
      <c r="D2222" s="1">
        <f>IFERROR(__xludf.DUMMYFUNCTION("""COMPUTED_VALUE"""),61200.0)</f>
        <v>61200</v>
      </c>
      <c r="E2222" s="1">
        <f>IFERROR(__xludf.DUMMYFUNCTION("""COMPUTED_VALUE"""),61400.0)</f>
        <v>61400</v>
      </c>
      <c r="F2222" s="1">
        <f>IFERROR(__xludf.DUMMYFUNCTION("""COMPUTED_VALUE"""),1.1142693E7)</f>
        <v>11142693</v>
      </c>
    </row>
    <row r="2223">
      <c r="A2223" s="2">
        <f>IFERROR(__xludf.DUMMYFUNCTION("""COMPUTED_VALUE"""),43852.64583333333)</f>
        <v>43852.64583</v>
      </c>
      <c r="B2223" s="1">
        <f>IFERROR(__xludf.DUMMYFUNCTION("""COMPUTED_VALUE"""),60500.0)</f>
        <v>60500</v>
      </c>
      <c r="C2223" s="1">
        <f>IFERROR(__xludf.DUMMYFUNCTION("""COMPUTED_VALUE"""),62600.0)</f>
        <v>62600</v>
      </c>
      <c r="D2223" s="1">
        <f>IFERROR(__xludf.DUMMYFUNCTION("""COMPUTED_VALUE"""),60400.0)</f>
        <v>60400</v>
      </c>
      <c r="E2223" s="1">
        <f>IFERROR(__xludf.DUMMYFUNCTION("""COMPUTED_VALUE"""),62300.0)</f>
        <v>62300</v>
      </c>
      <c r="F2223" s="1">
        <f>IFERROR(__xludf.DUMMYFUNCTION("""COMPUTED_VALUE"""),1.5339565E7)</f>
        <v>15339565</v>
      </c>
    </row>
    <row r="2224">
      <c r="A2224" s="2">
        <f>IFERROR(__xludf.DUMMYFUNCTION("""COMPUTED_VALUE"""),43853.64583333333)</f>
        <v>43853.64583</v>
      </c>
      <c r="B2224" s="1">
        <f>IFERROR(__xludf.DUMMYFUNCTION("""COMPUTED_VALUE"""),61800.0)</f>
        <v>61800</v>
      </c>
      <c r="C2224" s="1">
        <f>IFERROR(__xludf.DUMMYFUNCTION("""COMPUTED_VALUE"""),61800.0)</f>
        <v>61800</v>
      </c>
      <c r="D2224" s="1">
        <f>IFERROR(__xludf.DUMMYFUNCTION("""COMPUTED_VALUE"""),60700.0)</f>
        <v>60700</v>
      </c>
      <c r="E2224" s="1">
        <f>IFERROR(__xludf.DUMMYFUNCTION("""COMPUTED_VALUE"""),60800.0)</f>
        <v>60800</v>
      </c>
      <c r="F2224" s="1">
        <f>IFERROR(__xludf.DUMMYFUNCTION("""COMPUTED_VALUE"""),1.4916555E7)</f>
        <v>14916555</v>
      </c>
    </row>
    <row r="2225">
      <c r="A2225" s="2">
        <f>IFERROR(__xludf.DUMMYFUNCTION("""COMPUTED_VALUE"""),43858.64583333333)</f>
        <v>43858.64583</v>
      </c>
      <c r="B2225" s="1">
        <f>IFERROR(__xludf.DUMMYFUNCTION("""COMPUTED_VALUE"""),59400.0)</f>
        <v>59400</v>
      </c>
      <c r="C2225" s="1">
        <f>IFERROR(__xludf.DUMMYFUNCTION("""COMPUTED_VALUE"""),59400.0)</f>
        <v>59400</v>
      </c>
      <c r="D2225" s="1">
        <f>IFERROR(__xludf.DUMMYFUNCTION("""COMPUTED_VALUE"""),58300.0)</f>
        <v>58300</v>
      </c>
      <c r="E2225" s="1">
        <f>IFERROR(__xludf.DUMMYFUNCTION("""COMPUTED_VALUE"""),58800.0)</f>
        <v>58800</v>
      </c>
      <c r="F2225" s="1">
        <f>IFERROR(__xludf.DUMMYFUNCTION("""COMPUTED_VALUE"""),2.3664541E7)</f>
        <v>23664541</v>
      </c>
    </row>
    <row r="2226">
      <c r="A2226" s="2">
        <f>IFERROR(__xludf.DUMMYFUNCTION("""COMPUTED_VALUE"""),43859.64583333333)</f>
        <v>43859.64583</v>
      </c>
      <c r="B2226" s="1">
        <f>IFERROR(__xludf.DUMMYFUNCTION("""COMPUTED_VALUE"""),59100.0)</f>
        <v>59100</v>
      </c>
      <c r="C2226" s="1">
        <f>IFERROR(__xludf.DUMMYFUNCTION("""COMPUTED_VALUE"""),59700.0)</f>
        <v>59700</v>
      </c>
      <c r="D2226" s="1">
        <f>IFERROR(__xludf.DUMMYFUNCTION("""COMPUTED_VALUE"""),58800.0)</f>
        <v>58800</v>
      </c>
      <c r="E2226" s="1">
        <f>IFERROR(__xludf.DUMMYFUNCTION("""COMPUTED_VALUE"""),59100.0)</f>
        <v>59100</v>
      </c>
      <c r="F2226" s="1">
        <f>IFERROR(__xludf.DUMMYFUNCTION("""COMPUTED_VALUE"""),1.6446102E7)</f>
        <v>16446102</v>
      </c>
    </row>
    <row r="2227">
      <c r="A2227" s="2">
        <f>IFERROR(__xludf.DUMMYFUNCTION("""COMPUTED_VALUE"""),43860.64583333333)</f>
        <v>43860.64583</v>
      </c>
      <c r="B2227" s="1">
        <f>IFERROR(__xludf.DUMMYFUNCTION("""COMPUTED_VALUE"""),58800.0)</f>
        <v>58800</v>
      </c>
      <c r="C2227" s="1">
        <f>IFERROR(__xludf.DUMMYFUNCTION("""COMPUTED_VALUE"""),58800.0)</f>
        <v>58800</v>
      </c>
      <c r="D2227" s="1">
        <f>IFERROR(__xludf.DUMMYFUNCTION("""COMPUTED_VALUE"""),56800.0)</f>
        <v>56800</v>
      </c>
      <c r="E2227" s="1">
        <f>IFERROR(__xludf.DUMMYFUNCTION("""COMPUTED_VALUE"""),57200.0)</f>
        <v>57200</v>
      </c>
      <c r="F2227" s="1">
        <f>IFERROR(__xludf.DUMMYFUNCTION("""COMPUTED_VALUE"""),2.0821939E7)</f>
        <v>20821939</v>
      </c>
    </row>
    <row r="2228">
      <c r="A2228" s="2">
        <f>IFERROR(__xludf.DUMMYFUNCTION("""COMPUTED_VALUE"""),43861.64583333333)</f>
        <v>43861.64583</v>
      </c>
      <c r="B2228" s="1">
        <f>IFERROR(__xludf.DUMMYFUNCTION("""COMPUTED_VALUE"""),57800.0)</f>
        <v>57800</v>
      </c>
      <c r="C2228" s="1">
        <f>IFERROR(__xludf.DUMMYFUNCTION("""COMPUTED_VALUE"""),58400.0)</f>
        <v>58400</v>
      </c>
      <c r="D2228" s="1">
        <f>IFERROR(__xludf.DUMMYFUNCTION("""COMPUTED_VALUE"""),56400.0)</f>
        <v>56400</v>
      </c>
      <c r="E2228" s="1">
        <f>IFERROR(__xludf.DUMMYFUNCTION("""COMPUTED_VALUE"""),56400.0)</f>
        <v>56400</v>
      </c>
      <c r="F2228" s="1">
        <f>IFERROR(__xludf.DUMMYFUNCTION("""COMPUTED_VALUE"""),1.9749457E7)</f>
        <v>19749457</v>
      </c>
    </row>
    <row r="2229">
      <c r="A2229" s="2">
        <f>IFERROR(__xludf.DUMMYFUNCTION("""COMPUTED_VALUE"""),43864.64583333333)</f>
        <v>43864.64583</v>
      </c>
      <c r="B2229" s="1">
        <f>IFERROR(__xludf.DUMMYFUNCTION("""COMPUTED_VALUE"""),55500.0)</f>
        <v>55500</v>
      </c>
      <c r="C2229" s="1">
        <f>IFERROR(__xludf.DUMMYFUNCTION("""COMPUTED_VALUE"""),57400.0)</f>
        <v>57400</v>
      </c>
      <c r="D2229" s="1">
        <f>IFERROR(__xludf.DUMMYFUNCTION("""COMPUTED_VALUE"""),55200.0)</f>
        <v>55200</v>
      </c>
      <c r="E2229" s="1">
        <f>IFERROR(__xludf.DUMMYFUNCTION("""COMPUTED_VALUE"""),57200.0)</f>
        <v>57200</v>
      </c>
      <c r="F2229" s="1">
        <f>IFERROR(__xludf.DUMMYFUNCTION("""COMPUTED_VALUE"""),2.399526E7)</f>
        <v>23995260</v>
      </c>
    </row>
    <row r="2230">
      <c r="A2230" s="2">
        <f>IFERROR(__xludf.DUMMYFUNCTION("""COMPUTED_VALUE"""),43865.64583333333)</f>
        <v>43865.64583</v>
      </c>
      <c r="B2230" s="1">
        <f>IFERROR(__xludf.DUMMYFUNCTION("""COMPUTED_VALUE"""),57100.0)</f>
        <v>57100</v>
      </c>
      <c r="C2230" s="1">
        <f>IFERROR(__xludf.DUMMYFUNCTION("""COMPUTED_VALUE"""),59000.0)</f>
        <v>59000</v>
      </c>
      <c r="D2230" s="1">
        <f>IFERROR(__xludf.DUMMYFUNCTION("""COMPUTED_VALUE"""),56800.0)</f>
        <v>56800</v>
      </c>
      <c r="E2230" s="1">
        <f>IFERROR(__xludf.DUMMYFUNCTION("""COMPUTED_VALUE"""),58900.0)</f>
        <v>58900</v>
      </c>
      <c r="F2230" s="1">
        <f>IFERROR(__xludf.DUMMYFUNCTION("""COMPUTED_VALUE"""),2.1800192E7)</f>
        <v>21800192</v>
      </c>
    </row>
    <row r="2231">
      <c r="A2231" s="2">
        <f>IFERROR(__xludf.DUMMYFUNCTION("""COMPUTED_VALUE"""),43866.64583333333)</f>
        <v>43866.64583</v>
      </c>
      <c r="B2231" s="1">
        <f>IFERROR(__xludf.DUMMYFUNCTION("""COMPUTED_VALUE"""),60000.0)</f>
        <v>60000</v>
      </c>
      <c r="C2231" s="1">
        <f>IFERROR(__xludf.DUMMYFUNCTION("""COMPUTED_VALUE"""),60200.0)</f>
        <v>60200</v>
      </c>
      <c r="D2231" s="1">
        <f>IFERROR(__xludf.DUMMYFUNCTION("""COMPUTED_VALUE"""),58900.0)</f>
        <v>58900</v>
      </c>
      <c r="E2231" s="1">
        <f>IFERROR(__xludf.DUMMYFUNCTION("""COMPUTED_VALUE"""),59500.0)</f>
        <v>59500</v>
      </c>
      <c r="F2231" s="1">
        <f>IFERROR(__xludf.DUMMYFUNCTION("""COMPUTED_VALUE"""),1.9278165E7)</f>
        <v>19278165</v>
      </c>
    </row>
    <row r="2232">
      <c r="A2232" s="2">
        <f>IFERROR(__xludf.DUMMYFUNCTION("""COMPUTED_VALUE"""),43867.64583333333)</f>
        <v>43867.64583</v>
      </c>
      <c r="B2232" s="1">
        <f>IFERROR(__xludf.DUMMYFUNCTION("""COMPUTED_VALUE"""),60100.0)</f>
        <v>60100</v>
      </c>
      <c r="C2232" s="1">
        <f>IFERROR(__xludf.DUMMYFUNCTION("""COMPUTED_VALUE"""),61100.0)</f>
        <v>61100</v>
      </c>
      <c r="D2232" s="1">
        <f>IFERROR(__xludf.DUMMYFUNCTION("""COMPUTED_VALUE"""),59700.0)</f>
        <v>59700</v>
      </c>
      <c r="E2232" s="1">
        <f>IFERROR(__xludf.DUMMYFUNCTION("""COMPUTED_VALUE"""),61100.0)</f>
        <v>61100</v>
      </c>
      <c r="F2232" s="1">
        <f>IFERROR(__xludf.DUMMYFUNCTION("""COMPUTED_VALUE"""),1.4727159E7)</f>
        <v>14727159</v>
      </c>
    </row>
    <row r="2233">
      <c r="A2233" s="2">
        <f>IFERROR(__xludf.DUMMYFUNCTION("""COMPUTED_VALUE"""),43868.64583333333)</f>
        <v>43868.64583</v>
      </c>
      <c r="B2233" s="1">
        <f>IFERROR(__xludf.DUMMYFUNCTION("""COMPUTED_VALUE"""),61100.0)</f>
        <v>61100</v>
      </c>
      <c r="C2233" s="1">
        <f>IFERROR(__xludf.DUMMYFUNCTION("""COMPUTED_VALUE"""),61200.0)</f>
        <v>61200</v>
      </c>
      <c r="D2233" s="1">
        <f>IFERROR(__xludf.DUMMYFUNCTION("""COMPUTED_VALUE"""),59700.0)</f>
        <v>59700</v>
      </c>
      <c r="E2233" s="1">
        <f>IFERROR(__xludf.DUMMYFUNCTION("""COMPUTED_VALUE"""),60400.0)</f>
        <v>60400</v>
      </c>
      <c r="F2233" s="1">
        <f>IFERROR(__xludf.DUMMYFUNCTION("""COMPUTED_VALUE"""),1.6402493E7)</f>
        <v>16402493</v>
      </c>
    </row>
    <row r="2234">
      <c r="A2234" s="2">
        <f>IFERROR(__xludf.DUMMYFUNCTION("""COMPUTED_VALUE"""),43871.64583333333)</f>
        <v>43871.64583</v>
      </c>
      <c r="B2234" s="1">
        <f>IFERROR(__xludf.DUMMYFUNCTION("""COMPUTED_VALUE"""),59200.0)</f>
        <v>59200</v>
      </c>
      <c r="C2234" s="1">
        <f>IFERROR(__xludf.DUMMYFUNCTION("""COMPUTED_VALUE"""),59800.0)</f>
        <v>59800</v>
      </c>
      <c r="D2234" s="1">
        <f>IFERROR(__xludf.DUMMYFUNCTION("""COMPUTED_VALUE"""),59100.0)</f>
        <v>59100</v>
      </c>
      <c r="E2234" s="1">
        <f>IFERROR(__xludf.DUMMYFUNCTION("""COMPUTED_VALUE"""),59700.0)</f>
        <v>59700</v>
      </c>
      <c r="F2234" s="1">
        <f>IFERROR(__xludf.DUMMYFUNCTION("""COMPUTED_VALUE"""),1.3107121E7)</f>
        <v>13107121</v>
      </c>
    </row>
    <row r="2235">
      <c r="A2235" s="2">
        <f>IFERROR(__xludf.DUMMYFUNCTION("""COMPUTED_VALUE"""),43872.64583333333)</f>
        <v>43872.64583</v>
      </c>
      <c r="B2235" s="1">
        <f>IFERROR(__xludf.DUMMYFUNCTION("""COMPUTED_VALUE"""),59800.0)</f>
        <v>59800</v>
      </c>
      <c r="C2235" s="1">
        <f>IFERROR(__xludf.DUMMYFUNCTION("""COMPUTED_VALUE"""),60700.0)</f>
        <v>60700</v>
      </c>
      <c r="D2235" s="1">
        <f>IFERROR(__xludf.DUMMYFUNCTION("""COMPUTED_VALUE"""),59700.0)</f>
        <v>59700</v>
      </c>
      <c r="E2235" s="1">
        <f>IFERROR(__xludf.DUMMYFUNCTION("""COMPUTED_VALUE"""),59900.0)</f>
        <v>59900</v>
      </c>
      <c r="F2235" s="1">
        <f>IFERROR(__xludf.DUMMYFUNCTION("""COMPUTED_VALUE"""),1.1071231E7)</f>
        <v>11071231</v>
      </c>
    </row>
    <row r="2236">
      <c r="A2236" s="2">
        <f>IFERROR(__xludf.DUMMYFUNCTION("""COMPUTED_VALUE"""),43873.64583333333)</f>
        <v>43873.64583</v>
      </c>
      <c r="B2236" s="1">
        <f>IFERROR(__xludf.DUMMYFUNCTION("""COMPUTED_VALUE"""),60300.0)</f>
        <v>60300</v>
      </c>
      <c r="C2236" s="1">
        <f>IFERROR(__xludf.DUMMYFUNCTION("""COMPUTED_VALUE"""),60700.0)</f>
        <v>60700</v>
      </c>
      <c r="D2236" s="1">
        <f>IFERROR(__xludf.DUMMYFUNCTION("""COMPUTED_VALUE"""),59700.0)</f>
        <v>59700</v>
      </c>
      <c r="E2236" s="1">
        <f>IFERROR(__xludf.DUMMYFUNCTION("""COMPUTED_VALUE"""),60500.0)</f>
        <v>60500</v>
      </c>
      <c r="F2236" s="1">
        <f>IFERROR(__xludf.DUMMYFUNCTION("""COMPUTED_VALUE"""),1.2904207E7)</f>
        <v>12904207</v>
      </c>
    </row>
    <row r="2237">
      <c r="A2237" s="2">
        <f>IFERROR(__xludf.DUMMYFUNCTION("""COMPUTED_VALUE"""),43874.64583333333)</f>
        <v>43874.64583</v>
      </c>
      <c r="B2237" s="1">
        <f>IFERROR(__xludf.DUMMYFUNCTION("""COMPUTED_VALUE"""),61200.0)</f>
        <v>61200</v>
      </c>
      <c r="C2237" s="1">
        <f>IFERROR(__xludf.DUMMYFUNCTION("""COMPUTED_VALUE"""),61600.0)</f>
        <v>61600</v>
      </c>
      <c r="D2237" s="1">
        <f>IFERROR(__xludf.DUMMYFUNCTION("""COMPUTED_VALUE"""),60500.0)</f>
        <v>60500</v>
      </c>
      <c r="E2237" s="1">
        <f>IFERROR(__xludf.DUMMYFUNCTION("""COMPUTED_VALUE"""),60700.0)</f>
        <v>60700</v>
      </c>
      <c r="F2237" s="1">
        <f>IFERROR(__xludf.DUMMYFUNCTION("""COMPUTED_VALUE"""),1.8449775E7)</f>
        <v>18449775</v>
      </c>
    </row>
    <row r="2238">
      <c r="A2238" s="2">
        <f>IFERROR(__xludf.DUMMYFUNCTION("""COMPUTED_VALUE"""),43875.64583333333)</f>
        <v>43875.64583</v>
      </c>
      <c r="B2238" s="1">
        <f>IFERROR(__xludf.DUMMYFUNCTION("""COMPUTED_VALUE"""),60900.0)</f>
        <v>60900</v>
      </c>
      <c r="C2238" s="1">
        <f>IFERROR(__xludf.DUMMYFUNCTION("""COMPUTED_VALUE"""),61900.0)</f>
        <v>61900</v>
      </c>
      <c r="D2238" s="1">
        <f>IFERROR(__xludf.DUMMYFUNCTION("""COMPUTED_VALUE"""),60200.0)</f>
        <v>60200</v>
      </c>
      <c r="E2238" s="1">
        <f>IFERROR(__xludf.DUMMYFUNCTION("""COMPUTED_VALUE"""),61800.0)</f>
        <v>61800</v>
      </c>
      <c r="F2238" s="1">
        <f>IFERROR(__xludf.DUMMYFUNCTION("""COMPUTED_VALUE"""),1.3276067E7)</f>
        <v>13276067</v>
      </c>
    </row>
    <row r="2239">
      <c r="A2239" s="2">
        <f>IFERROR(__xludf.DUMMYFUNCTION("""COMPUTED_VALUE"""),43878.64583333333)</f>
        <v>43878.64583</v>
      </c>
      <c r="B2239" s="1">
        <f>IFERROR(__xludf.DUMMYFUNCTION("""COMPUTED_VALUE"""),61600.0)</f>
        <v>61600</v>
      </c>
      <c r="C2239" s="1">
        <f>IFERROR(__xludf.DUMMYFUNCTION("""COMPUTED_VALUE"""),62000.0)</f>
        <v>62000</v>
      </c>
      <c r="D2239" s="1">
        <f>IFERROR(__xludf.DUMMYFUNCTION("""COMPUTED_VALUE"""),61200.0)</f>
        <v>61200</v>
      </c>
      <c r="E2239" s="1">
        <f>IFERROR(__xludf.DUMMYFUNCTION("""COMPUTED_VALUE"""),61500.0)</f>
        <v>61500</v>
      </c>
      <c r="F2239" s="1">
        <f>IFERROR(__xludf.DUMMYFUNCTION("""COMPUTED_VALUE"""),8740596.0)</f>
        <v>8740596</v>
      </c>
    </row>
    <row r="2240">
      <c r="A2240" s="2">
        <f>IFERROR(__xludf.DUMMYFUNCTION("""COMPUTED_VALUE"""),43879.64583333333)</f>
        <v>43879.64583</v>
      </c>
      <c r="B2240" s="1">
        <f>IFERROR(__xludf.DUMMYFUNCTION("""COMPUTED_VALUE"""),60800.0)</f>
        <v>60800</v>
      </c>
      <c r="C2240" s="1">
        <f>IFERROR(__xludf.DUMMYFUNCTION("""COMPUTED_VALUE"""),60900.0)</f>
        <v>60900</v>
      </c>
      <c r="D2240" s="1">
        <f>IFERROR(__xludf.DUMMYFUNCTION("""COMPUTED_VALUE"""),59700.0)</f>
        <v>59700</v>
      </c>
      <c r="E2240" s="1">
        <f>IFERROR(__xludf.DUMMYFUNCTION("""COMPUTED_VALUE"""),59800.0)</f>
        <v>59800</v>
      </c>
      <c r="F2240" s="1">
        <f>IFERROR(__xludf.DUMMYFUNCTION("""COMPUTED_VALUE"""),1.6674266E7)</f>
        <v>16674266</v>
      </c>
    </row>
    <row r="2241">
      <c r="A2241" s="2">
        <f>IFERROR(__xludf.DUMMYFUNCTION("""COMPUTED_VALUE"""),43880.64583333333)</f>
        <v>43880.64583</v>
      </c>
      <c r="B2241" s="1">
        <f>IFERROR(__xludf.DUMMYFUNCTION("""COMPUTED_VALUE"""),59800.0)</f>
        <v>59800</v>
      </c>
      <c r="C2241" s="1">
        <f>IFERROR(__xludf.DUMMYFUNCTION("""COMPUTED_VALUE"""),60400.0)</f>
        <v>60400</v>
      </c>
      <c r="D2241" s="1">
        <f>IFERROR(__xludf.DUMMYFUNCTION("""COMPUTED_VALUE"""),59400.0)</f>
        <v>59400</v>
      </c>
      <c r="E2241" s="1">
        <f>IFERROR(__xludf.DUMMYFUNCTION("""COMPUTED_VALUE"""),60200.0)</f>
        <v>60200</v>
      </c>
      <c r="F2241" s="1">
        <f>IFERROR(__xludf.DUMMYFUNCTION("""COMPUTED_VALUE"""),1.2951496E7)</f>
        <v>12951496</v>
      </c>
    </row>
    <row r="2242">
      <c r="A2242" s="2">
        <f>IFERROR(__xludf.DUMMYFUNCTION("""COMPUTED_VALUE"""),43881.64583333333)</f>
        <v>43881.64583</v>
      </c>
      <c r="B2242" s="1">
        <f>IFERROR(__xludf.DUMMYFUNCTION("""COMPUTED_VALUE"""),60700.0)</f>
        <v>60700</v>
      </c>
      <c r="C2242" s="1">
        <f>IFERROR(__xludf.DUMMYFUNCTION("""COMPUTED_VALUE"""),61300.0)</f>
        <v>61300</v>
      </c>
      <c r="D2242" s="1">
        <f>IFERROR(__xludf.DUMMYFUNCTION("""COMPUTED_VALUE"""),59600.0)</f>
        <v>59600</v>
      </c>
      <c r="E2242" s="1">
        <f>IFERROR(__xludf.DUMMYFUNCTION("""COMPUTED_VALUE"""),60000.0)</f>
        <v>60000</v>
      </c>
      <c r="F2242" s="1">
        <f>IFERROR(__xludf.DUMMYFUNCTION("""COMPUTED_VALUE"""),1.4591924E7)</f>
        <v>14591924</v>
      </c>
    </row>
    <row r="2243">
      <c r="A2243" s="2">
        <f>IFERROR(__xludf.DUMMYFUNCTION("""COMPUTED_VALUE"""),43882.64583333333)</f>
        <v>43882.64583</v>
      </c>
      <c r="B2243" s="1">
        <f>IFERROR(__xludf.DUMMYFUNCTION("""COMPUTED_VALUE"""),58800.0)</f>
        <v>58800</v>
      </c>
      <c r="C2243" s="1">
        <f>IFERROR(__xludf.DUMMYFUNCTION("""COMPUTED_VALUE"""),59800.0)</f>
        <v>59800</v>
      </c>
      <c r="D2243" s="1">
        <f>IFERROR(__xludf.DUMMYFUNCTION("""COMPUTED_VALUE"""),58500.0)</f>
        <v>58500</v>
      </c>
      <c r="E2243" s="1">
        <f>IFERROR(__xludf.DUMMYFUNCTION("""COMPUTED_VALUE"""),59200.0)</f>
        <v>59200</v>
      </c>
      <c r="F2243" s="1">
        <f>IFERROR(__xludf.DUMMYFUNCTION("""COMPUTED_VALUE"""),1.3777393E7)</f>
        <v>13777393</v>
      </c>
    </row>
    <row r="2244">
      <c r="A2244" s="2">
        <f>IFERROR(__xludf.DUMMYFUNCTION("""COMPUTED_VALUE"""),43885.64583333333)</f>
        <v>43885.64583</v>
      </c>
      <c r="B2244" s="1">
        <f>IFERROR(__xludf.DUMMYFUNCTION("""COMPUTED_VALUE"""),57400.0)</f>
        <v>57400</v>
      </c>
      <c r="C2244" s="1">
        <f>IFERROR(__xludf.DUMMYFUNCTION("""COMPUTED_VALUE"""),58100.0)</f>
        <v>58100</v>
      </c>
      <c r="D2244" s="1">
        <f>IFERROR(__xludf.DUMMYFUNCTION("""COMPUTED_VALUE"""),56800.0)</f>
        <v>56800</v>
      </c>
      <c r="E2244" s="1">
        <f>IFERROR(__xludf.DUMMYFUNCTION("""COMPUTED_VALUE"""),56800.0)</f>
        <v>56800</v>
      </c>
      <c r="F2244" s="1">
        <f>IFERROR(__xludf.DUMMYFUNCTION("""COMPUTED_VALUE"""),2.5627537E7)</f>
        <v>25627537</v>
      </c>
    </row>
    <row r="2245">
      <c r="A2245" s="2">
        <f>IFERROR(__xludf.DUMMYFUNCTION("""COMPUTED_VALUE"""),43886.64583333333)</f>
        <v>43886.64583</v>
      </c>
      <c r="B2245" s="1">
        <f>IFERROR(__xludf.DUMMYFUNCTION("""COMPUTED_VALUE"""),56200.0)</f>
        <v>56200</v>
      </c>
      <c r="C2245" s="1">
        <f>IFERROR(__xludf.DUMMYFUNCTION("""COMPUTED_VALUE"""),58000.0)</f>
        <v>58000</v>
      </c>
      <c r="D2245" s="1">
        <f>IFERROR(__xludf.DUMMYFUNCTION("""COMPUTED_VALUE"""),56200.0)</f>
        <v>56200</v>
      </c>
      <c r="E2245" s="1">
        <f>IFERROR(__xludf.DUMMYFUNCTION("""COMPUTED_VALUE"""),57900.0)</f>
        <v>57900</v>
      </c>
      <c r="F2245" s="1">
        <f>IFERROR(__xludf.DUMMYFUNCTION("""COMPUTED_VALUE"""),2.3885408E7)</f>
        <v>23885408</v>
      </c>
    </row>
    <row r="2246">
      <c r="A2246" s="2">
        <f>IFERROR(__xludf.DUMMYFUNCTION("""COMPUTED_VALUE"""),43887.64583333333)</f>
        <v>43887.64583</v>
      </c>
      <c r="B2246" s="1">
        <f>IFERROR(__xludf.DUMMYFUNCTION("""COMPUTED_VALUE"""),56000.0)</f>
        <v>56000</v>
      </c>
      <c r="C2246" s="1">
        <f>IFERROR(__xludf.DUMMYFUNCTION("""COMPUTED_VALUE"""),57000.0)</f>
        <v>57000</v>
      </c>
      <c r="D2246" s="1">
        <f>IFERROR(__xludf.DUMMYFUNCTION("""COMPUTED_VALUE"""),56000.0)</f>
        <v>56000</v>
      </c>
      <c r="E2246" s="1">
        <f>IFERROR(__xludf.DUMMYFUNCTION("""COMPUTED_VALUE"""),56500.0)</f>
        <v>56500</v>
      </c>
      <c r="F2246" s="1">
        <f>IFERROR(__xludf.DUMMYFUNCTION("""COMPUTED_VALUE"""),2.5483102E7)</f>
        <v>25483102</v>
      </c>
    </row>
    <row r="2247">
      <c r="A2247" s="2">
        <f>IFERROR(__xludf.DUMMYFUNCTION("""COMPUTED_VALUE"""),43888.64583333333)</f>
        <v>43888.64583</v>
      </c>
      <c r="B2247" s="1">
        <f>IFERROR(__xludf.DUMMYFUNCTION("""COMPUTED_VALUE"""),56300.0)</f>
        <v>56300</v>
      </c>
      <c r="C2247" s="1">
        <f>IFERROR(__xludf.DUMMYFUNCTION("""COMPUTED_VALUE"""),56900.0)</f>
        <v>56900</v>
      </c>
      <c r="D2247" s="1">
        <f>IFERROR(__xludf.DUMMYFUNCTION("""COMPUTED_VALUE"""),55500.0)</f>
        <v>55500</v>
      </c>
      <c r="E2247" s="1">
        <f>IFERROR(__xludf.DUMMYFUNCTION("""COMPUTED_VALUE"""),55900.0)</f>
        <v>55900</v>
      </c>
      <c r="F2247" s="1">
        <f>IFERROR(__xludf.DUMMYFUNCTION("""COMPUTED_VALUE"""),2.3209541E7)</f>
        <v>23209541</v>
      </c>
    </row>
    <row r="2248">
      <c r="A2248" s="2">
        <f>IFERROR(__xludf.DUMMYFUNCTION("""COMPUTED_VALUE"""),43889.64583333333)</f>
        <v>43889.64583</v>
      </c>
      <c r="B2248" s="1">
        <f>IFERROR(__xludf.DUMMYFUNCTION("""COMPUTED_VALUE"""),55000.0)</f>
        <v>55000</v>
      </c>
      <c r="C2248" s="1">
        <f>IFERROR(__xludf.DUMMYFUNCTION("""COMPUTED_VALUE"""),55500.0)</f>
        <v>55500</v>
      </c>
      <c r="D2248" s="1">
        <f>IFERROR(__xludf.DUMMYFUNCTION("""COMPUTED_VALUE"""),54200.0)</f>
        <v>54200</v>
      </c>
      <c r="E2248" s="1">
        <f>IFERROR(__xludf.DUMMYFUNCTION("""COMPUTED_VALUE"""),54200.0)</f>
        <v>54200</v>
      </c>
      <c r="F2248" s="1">
        <f>IFERROR(__xludf.DUMMYFUNCTION("""COMPUTED_VALUE"""),3.0054227E7)</f>
        <v>30054227</v>
      </c>
    </row>
    <row r="2249">
      <c r="A2249" s="2">
        <f>IFERROR(__xludf.DUMMYFUNCTION("""COMPUTED_VALUE"""),43892.64583333333)</f>
        <v>43892.64583</v>
      </c>
      <c r="B2249" s="1">
        <f>IFERROR(__xludf.DUMMYFUNCTION("""COMPUTED_VALUE"""),54300.0)</f>
        <v>54300</v>
      </c>
      <c r="C2249" s="1">
        <f>IFERROR(__xludf.DUMMYFUNCTION("""COMPUTED_VALUE"""),55500.0)</f>
        <v>55500</v>
      </c>
      <c r="D2249" s="1">
        <f>IFERROR(__xludf.DUMMYFUNCTION("""COMPUTED_VALUE"""),53600.0)</f>
        <v>53600</v>
      </c>
      <c r="E2249" s="1">
        <f>IFERROR(__xludf.DUMMYFUNCTION("""COMPUTED_VALUE"""),55000.0)</f>
        <v>55000</v>
      </c>
      <c r="F2249" s="1">
        <f>IFERROR(__xludf.DUMMYFUNCTION("""COMPUTED_VALUE"""),3.0403412E7)</f>
        <v>30403412</v>
      </c>
    </row>
    <row r="2250">
      <c r="A2250" s="2">
        <f>IFERROR(__xludf.DUMMYFUNCTION("""COMPUTED_VALUE"""),43893.64583333333)</f>
        <v>43893.64583</v>
      </c>
      <c r="B2250" s="1">
        <f>IFERROR(__xludf.DUMMYFUNCTION("""COMPUTED_VALUE"""),56700.0)</f>
        <v>56700</v>
      </c>
      <c r="C2250" s="1">
        <f>IFERROR(__xludf.DUMMYFUNCTION("""COMPUTED_VALUE"""),56900.0)</f>
        <v>56900</v>
      </c>
      <c r="D2250" s="1">
        <f>IFERROR(__xludf.DUMMYFUNCTION("""COMPUTED_VALUE"""),55100.0)</f>
        <v>55100</v>
      </c>
      <c r="E2250" s="1">
        <f>IFERROR(__xludf.DUMMYFUNCTION("""COMPUTED_VALUE"""),55400.0)</f>
        <v>55400</v>
      </c>
      <c r="F2250" s="1">
        <f>IFERROR(__xludf.DUMMYFUNCTION("""COMPUTED_VALUE"""),3.0330295E7)</f>
        <v>30330295</v>
      </c>
    </row>
    <row r="2251">
      <c r="A2251" s="2">
        <f>IFERROR(__xludf.DUMMYFUNCTION("""COMPUTED_VALUE"""),43894.64583333333)</f>
        <v>43894.64583</v>
      </c>
      <c r="B2251" s="1">
        <f>IFERROR(__xludf.DUMMYFUNCTION("""COMPUTED_VALUE"""),54800.0)</f>
        <v>54800</v>
      </c>
      <c r="C2251" s="1">
        <f>IFERROR(__xludf.DUMMYFUNCTION("""COMPUTED_VALUE"""),57600.0)</f>
        <v>57600</v>
      </c>
      <c r="D2251" s="1">
        <f>IFERROR(__xludf.DUMMYFUNCTION("""COMPUTED_VALUE"""),54600.0)</f>
        <v>54600</v>
      </c>
      <c r="E2251" s="1">
        <f>IFERROR(__xludf.DUMMYFUNCTION("""COMPUTED_VALUE"""),57400.0)</f>
        <v>57400</v>
      </c>
      <c r="F2251" s="1">
        <f>IFERROR(__xludf.DUMMYFUNCTION("""COMPUTED_VALUE"""),2.4765728E7)</f>
        <v>24765728</v>
      </c>
    </row>
    <row r="2252">
      <c r="A2252" s="2">
        <f>IFERROR(__xludf.DUMMYFUNCTION("""COMPUTED_VALUE"""),43895.64583333333)</f>
        <v>43895.64583</v>
      </c>
      <c r="B2252" s="1">
        <f>IFERROR(__xludf.DUMMYFUNCTION("""COMPUTED_VALUE"""),57600.0)</f>
        <v>57600</v>
      </c>
      <c r="C2252" s="1">
        <f>IFERROR(__xludf.DUMMYFUNCTION("""COMPUTED_VALUE"""),58000.0)</f>
        <v>58000</v>
      </c>
      <c r="D2252" s="1">
        <f>IFERROR(__xludf.DUMMYFUNCTION("""COMPUTED_VALUE"""),56700.0)</f>
        <v>56700</v>
      </c>
      <c r="E2252" s="1">
        <f>IFERROR(__xludf.DUMMYFUNCTION("""COMPUTED_VALUE"""),57800.0)</f>
        <v>57800</v>
      </c>
      <c r="F2252" s="1">
        <f>IFERROR(__xludf.DUMMYFUNCTION("""COMPUTED_VALUE"""),2.169899E7)</f>
        <v>21698990</v>
      </c>
    </row>
    <row r="2253">
      <c r="A2253" s="2">
        <f>IFERROR(__xludf.DUMMYFUNCTION("""COMPUTED_VALUE"""),43896.64583333333)</f>
        <v>43896.64583</v>
      </c>
      <c r="B2253" s="1">
        <f>IFERROR(__xludf.DUMMYFUNCTION("""COMPUTED_VALUE"""),56500.0)</f>
        <v>56500</v>
      </c>
      <c r="C2253" s="1">
        <f>IFERROR(__xludf.DUMMYFUNCTION("""COMPUTED_VALUE"""),57200.0)</f>
        <v>57200</v>
      </c>
      <c r="D2253" s="1">
        <f>IFERROR(__xludf.DUMMYFUNCTION("""COMPUTED_VALUE"""),56200.0)</f>
        <v>56200</v>
      </c>
      <c r="E2253" s="1">
        <f>IFERROR(__xludf.DUMMYFUNCTION("""COMPUTED_VALUE"""),56500.0)</f>
        <v>56500</v>
      </c>
      <c r="F2253" s="1">
        <f>IFERROR(__xludf.DUMMYFUNCTION("""COMPUTED_VALUE"""),1.8716656E7)</f>
        <v>18716656</v>
      </c>
    </row>
    <row r="2254">
      <c r="A2254" s="2">
        <f>IFERROR(__xludf.DUMMYFUNCTION("""COMPUTED_VALUE"""),43899.64583333333)</f>
        <v>43899.64583</v>
      </c>
      <c r="B2254" s="1">
        <f>IFERROR(__xludf.DUMMYFUNCTION("""COMPUTED_VALUE"""),54700.0)</f>
        <v>54700</v>
      </c>
      <c r="C2254" s="1">
        <f>IFERROR(__xludf.DUMMYFUNCTION("""COMPUTED_VALUE"""),55000.0)</f>
        <v>55000</v>
      </c>
      <c r="D2254" s="1">
        <f>IFERROR(__xludf.DUMMYFUNCTION("""COMPUTED_VALUE"""),53600.0)</f>
        <v>53600</v>
      </c>
      <c r="E2254" s="1">
        <f>IFERROR(__xludf.DUMMYFUNCTION("""COMPUTED_VALUE"""),54200.0)</f>
        <v>54200</v>
      </c>
      <c r="F2254" s="1">
        <f>IFERROR(__xludf.DUMMYFUNCTION("""COMPUTED_VALUE"""),3.0261485E7)</f>
        <v>30261485</v>
      </c>
    </row>
    <row r="2255">
      <c r="A2255" s="2">
        <f>IFERROR(__xludf.DUMMYFUNCTION("""COMPUTED_VALUE"""),43900.64583333333)</f>
        <v>43900.64583</v>
      </c>
      <c r="B2255" s="1">
        <f>IFERROR(__xludf.DUMMYFUNCTION("""COMPUTED_VALUE"""),53800.0)</f>
        <v>53800</v>
      </c>
      <c r="C2255" s="1">
        <f>IFERROR(__xludf.DUMMYFUNCTION("""COMPUTED_VALUE"""),54900.0)</f>
        <v>54900</v>
      </c>
      <c r="D2255" s="1">
        <f>IFERROR(__xludf.DUMMYFUNCTION("""COMPUTED_VALUE"""),53700.0)</f>
        <v>53700</v>
      </c>
      <c r="E2255" s="1">
        <f>IFERROR(__xludf.DUMMYFUNCTION("""COMPUTED_VALUE"""),54600.0)</f>
        <v>54600</v>
      </c>
      <c r="F2255" s="1">
        <f>IFERROR(__xludf.DUMMYFUNCTION("""COMPUTED_VALUE"""),3.2106554E7)</f>
        <v>32106554</v>
      </c>
    </row>
    <row r="2256">
      <c r="A2256" s="2">
        <f>IFERROR(__xludf.DUMMYFUNCTION("""COMPUTED_VALUE"""),43901.64583333333)</f>
        <v>43901.64583</v>
      </c>
      <c r="B2256" s="1">
        <f>IFERROR(__xludf.DUMMYFUNCTION("""COMPUTED_VALUE"""),54300.0)</f>
        <v>54300</v>
      </c>
      <c r="C2256" s="1">
        <f>IFERROR(__xludf.DUMMYFUNCTION("""COMPUTED_VALUE"""),54400.0)</f>
        <v>54400</v>
      </c>
      <c r="D2256" s="1">
        <f>IFERROR(__xludf.DUMMYFUNCTION("""COMPUTED_VALUE"""),52000.0)</f>
        <v>52000</v>
      </c>
      <c r="E2256" s="1">
        <f>IFERROR(__xludf.DUMMYFUNCTION("""COMPUTED_VALUE"""),52100.0)</f>
        <v>52100</v>
      </c>
      <c r="F2256" s="1">
        <f>IFERROR(__xludf.DUMMYFUNCTION("""COMPUTED_VALUE"""),4.5707281E7)</f>
        <v>45707281</v>
      </c>
    </row>
    <row r="2257">
      <c r="A2257" s="2">
        <f>IFERROR(__xludf.DUMMYFUNCTION("""COMPUTED_VALUE"""),43902.64583333333)</f>
        <v>43902.64583</v>
      </c>
      <c r="B2257" s="1">
        <f>IFERROR(__xludf.DUMMYFUNCTION("""COMPUTED_VALUE"""),51000.0)</f>
        <v>51000</v>
      </c>
      <c r="C2257" s="1">
        <f>IFERROR(__xludf.DUMMYFUNCTION("""COMPUTED_VALUE"""),51900.0)</f>
        <v>51900</v>
      </c>
      <c r="D2257" s="1">
        <f>IFERROR(__xludf.DUMMYFUNCTION("""COMPUTED_VALUE"""),49300.0)</f>
        <v>49300</v>
      </c>
      <c r="E2257" s="1">
        <f>IFERROR(__xludf.DUMMYFUNCTION("""COMPUTED_VALUE"""),50800.0)</f>
        <v>50800</v>
      </c>
      <c r="F2257" s="1">
        <f>IFERROR(__xludf.DUMMYFUNCTION("""COMPUTED_VALUE"""),4.8149999E7)</f>
        <v>48149999</v>
      </c>
    </row>
    <row r="2258">
      <c r="A2258" s="2">
        <f>IFERROR(__xludf.DUMMYFUNCTION("""COMPUTED_VALUE"""),43903.64583333333)</f>
        <v>43903.64583</v>
      </c>
      <c r="B2258" s="1">
        <f>IFERROR(__xludf.DUMMYFUNCTION("""COMPUTED_VALUE"""),47450.0)</f>
        <v>47450</v>
      </c>
      <c r="C2258" s="1">
        <f>IFERROR(__xludf.DUMMYFUNCTION("""COMPUTED_VALUE"""),51600.0)</f>
        <v>51600</v>
      </c>
      <c r="D2258" s="1">
        <f>IFERROR(__xludf.DUMMYFUNCTION("""COMPUTED_VALUE"""),46850.0)</f>
        <v>46850</v>
      </c>
      <c r="E2258" s="1">
        <f>IFERROR(__xludf.DUMMYFUNCTION("""COMPUTED_VALUE"""),49950.0)</f>
        <v>49950</v>
      </c>
      <c r="F2258" s="1">
        <f>IFERROR(__xludf.DUMMYFUNCTION("""COMPUTED_VALUE"""),5.9462933E7)</f>
        <v>59462933</v>
      </c>
    </row>
    <row r="2259">
      <c r="A2259" s="2">
        <f>IFERROR(__xludf.DUMMYFUNCTION("""COMPUTED_VALUE"""),43906.64583333333)</f>
        <v>43906.64583</v>
      </c>
      <c r="B2259" s="1">
        <f>IFERROR(__xludf.DUMMYFUNCTION("""COMPUTED_VALUE"""),50100.0)</f>
        <v>50100</v>
      </c>
      <c r="C2259" s="1">
        <f>IFERROR(__xludf.DUMMYFUNCTION("""COMPUTED_VALUE"""),50900.0)</f>
        <v>50900</v>
      </c>
      <c r="D2259" s="1">
        <f>IFERROR(__xludf.DUMMYFUNCTION("""COMPUTED_VALUE"""),48800.0)</f>
        <v>48800</v>
      </c>
      <c r="E2259" s="1">
        <f>IFERROR(__xludf.DUMMYFUNCTION("""COMPUTED_VALUE"""),48900.0)</f>
        <v>48900</v>
      </c>
      <c r="F2259" s="1">
        <f>IFERROR(__xludf.DUMMYFUNCTION("""COMPUTED_VALUE"""),3.3339821E7)</f>
        <v>33339821</v>
      </c>
    </row>
    <row r="2260">
      <c r="A2260" s="2">
        <f>IFERROR(__xludf.DUMMYFUNCTION("""COMPUTED_VALUE"""),43907.64583333333)</f>
        <v>43907.64583</v>
      </c>
      <c r="B2260" s="1">
        <f>IFERROR(__xludf.DUMMYFUNCTION("""COMPUTED_VALUE"""),46900.0)</f>
        <v>46900</v>
      </c>
      <c r="C2260" s="1">
        <f>IFERROR(__xludf.DUMMYFUNCTION("""COMPUTED_VALUE"""),49650.0)</f>
        <v>49650</v>
      </c>
      <c r="D2260" s="1">
        <f>IFERROR(__xludf.DUMMYFUNCTION("""COMPUTED_VALUE"""),46700.0)</f>
        <v>46700</v>
      </c>
      <c r="E2260" s="1">
        <f>IFERROR(__xludf.DUMMYFUNCTION("""COMPUTED_VALUE"""),47300.0)</f>
        <v>47300</v>
      </c>
      <c r="F2260" s="1">
        <f>IFERROR(__xludf.DUMMYFUNCTION("""COMPUTED_VALUE"""),5.1218151E7)</f>
        <v>51218151</v>
      </c>
    </row>
    <row r="2261">
      <c r="A2261" s="2">
        <f>IFERROR(__xludf.DUMMYFUNCTION("""COMPUTED_VALUE"""),43908.64583333333)</f>
        <v>43908.64583</v>
      </c>
      <c r="B2261" s="1">
        <f>IFERROR(__xludf.DUMMYFUNCTION("""COMPUTED_VALUE"""),47750.0)</f>
        <v>47750</v>
      </c>
      <c r="C2261" s="1">
        <f>IFERROR(__xludf.DUMMYFUNCTION("""COMPUTED_VALUE"""),48350.0)</f>
        <v>48350</v>
      </c>
      <c r="D2261" s="1">
        <f>IFERROR(__xludf.DUMMYFUNCTION("""COMPUTED_VALUE"""),45600.0)</f>
        <v>45600</v>
      </c>
      <c r="E2261" s="1">
        <f>IFERROR(__xludf.DUMMYFUNCTION("""COMPUTED_VALUE"""),45600.0)</f>
        <v>45600</v>
      </c>
      <c r="F2261" s="1">
        <f>IFERROR(__xludf.DUMMYFUNCTION("""COMPUTED_VALUE"""),4.0152623E7)</f>
        <v>40152623</v>
      </c>
    </row>
    <row r="2262">
      <c r="A2262" s="2">
        <f>IFERROR(__xludf.DUMMYFUNCTION("""COMPUTED_VALUE"""),43909.64583333333)</f>
        <v>43909.64583</v>
      </c>
      <c r="B2262" s="1">
        <f>IFERROR(__xludf.DUMMYFUNCTION("""COMPUTED_VALUE"""),46400.0)</f>
        <v>46400</v>
      </c>
      <c r="C2262" s="1">
        <f>IFERROR(__xludf.DUMMYFUNCTION("""COMPUTED_VALUE"""),46650.0)</f>
        <v>46650</v>
      </c>
      <c r="D2262" s="1">
        <f>IFERROR(__xludf.DUMMYFUNCTION("""COMPUTED_VALUE"""),42300.0)</f>
        <v>42300</v>
      </c>
      <c r="E2262" s="1">
        <f>IFERROR(__xludf.DUMMYFUNCTION("""COMPUTED_VALUE"""),42950.0)</f>
        <v>42950</v>
      </c>
      <c r="F2262" s="1">
        <f>IFERROR(__xludf.DUMMYFUNCTION("""COMPUTED_VALUE"""),5.6925513E7)</f>
        <v>56925513</v>
      </c>
    </row>
    <row r="2263">
      <c r="A2263" s="2">
        <f>IFERROR(__xludf.DUMMYFUNCTION("""COMPUTED_VALUE"""),43910.64583333333)</f>
        <v>43910.64583</v>
      </c>
      <c r="B2263" s="1">
        <f>IFERROR(__xludf.DUMMYFUNCTION("""COMPUTED_VALUE"""),44150.0)</f>
        <v>44150</v>
      </c>
      <c r="C2263" s="1">
        <f>IFERROR(__xludf.DUMMYFUNCTION("""COMPUTED_VALUE"""),45500.0)</f>
        <v>45500</v>
      </c>
      <c r="D2263" s="1">
        <f>IFERROR(__xludf.DUMMYFUNCTION("""COMPUTED_VALUE"""),43550.0)</f>
        <v>43550</v>
      </c>
      <c r="E2263" s="1">
        <f>IFERROR(__xludf.DUMMYFUNCTION("""COMPUTED_VALUE"""),45400.0)</f>
        <v>45400</v>
      </c>
      <c r="F2263" s="1">
        <f>IFERROR(__xludf.DUMMYFUNCTION("""COMPUTED_VALUE"""),4.9730008E7)</f>
        <v>49730008</v>
      </c>
    </row>
    <row r="2264">
      <c r="A2264" s="2">
        <f>IFERROR(__xludf.DUMMYFUNCTION("""COMPUTED_VALUE"""),43913.64583333333)</f>
        <v>43913.64583</v>
      </c>
      <c r="B2264" s="1">
        <f>IFERROR(__xludf.DUMMYFUNCTION("""COMPUTED_VALUE"""),42600.0)</f>
        <v>42600</v>
      </c>
      <c r="C2264" s="1">
        <f>IFERROR(__xludf.DUMMYFUNCTION("""COMPUTED_VALUE"""),43550.0)</f>
        <v>43550</v>
      </c>
      <c r="D2264" s="1">
        <f>IFERROR(__xludf.DUMMYFUNCTION("""COMPUTED_VALUE"""),42400.0)</f>
        <v>42400</v>
      </c>
      <c r="E2264" s="1">
        <f>IFERROR(__xludf.DUMMYFUNCTION("""COMPUTED_VALUE"""),42500.0)</f>
        <v>42500</v>
      </c>
      <c r="F2264" s="1">
        <f>IFERROR(__xludf.DUMMYFUNCTION("""COMPUTED_VALUE"""),4.1701626E7)</f>
        <v>41701626</v>
      </c>
    </row>
    <row r="2265">
      <c r="A2265" s="2">
        <f>IFERROR(__xludf.DUMMYFUNCTION("""COMPUTED_VALUE"""),43914.64583333333)</f>
        <v>43914.64583</v>
      </c>
      <c r="B2265" s="1">
        <f>IFERROR(__xludf.DUMMYFUNCTION("""COMPUTED_VALUE"""),43850.0)</f>
        <v>43850</v>
      </c>
      <c r="C2265" s="1">
        <f>IFERROR(__xludf.DUMMYFUNCTION("""COMPUTED_VALUE"""),46950.0)</f>
        <v>46950</v>
      </c>
      <c r="D2265" s="1">
        <f>IFERROR(__xludf.DUMMYFUNCTION("""COMPUTED_VALUE"""),43050.0)</f>
        <v>43050</v>
      </c>
      <c r="E2265" s="1">
        <f>IFERROR(__xludf.DUMMYFUNCTION("""COMPUTED_VALUE"""),46950.0)</f>
        <v>46950</v>
      </c>
      <c r="F2265" s="1">
        <f>IFERROR(__xludf.DUMMYFUNCTION("""COMPUTED_VALUE"""),4.9801908E7)</f>
        <v>49801908</v>
      </c>
    </row>
    <row r="2266">
      <c r="A2266" s="2">
        <f>IFERROR(__xludf.DUMMYFUNCTION("""COMPUTED_VALUE"""),43915.64583333333)</f>
        <v>43915.64583</v>
      </c>
      <c r="B2266" s="1">
        <f>IFERROR(__xludf.DUMMYFUNCTION("""COMPUTED_VALUE"""),48950.0)</f>
        <v>48950</v>
      </c>
      <c r="C2266" s="1">
        <f>IFERROR(__xludf.DUMMYFUNCTION("""COMPUTED_VALUE"""),49600.0)</f>
        <v>49600</v>
      </c>
      <c r="D2266" s="1">
        <f>IFERROR(__xludf.DUMMYFUNCTION("""COMPUTED_VALUE"""),47150.0)</f>
        <v>47150</v>
      </c>
      <c r="E2266" s="1">
        <f>IFERROR(__xludf.DUMMYFUNCTION("""COMPUTED_VALUE"""),48650.0)</f>
        <v>48650</v>
      </c>
      <c r="F2266" s="1">
        <f>IFERROR(__xludf.DUMMYFUNCTION("""COMPUTED_VALUE"""),5.2735922E7)</f>
        <v>52735922</v>
      </c>
    </row>
    <row r="2267">
      <c r="A2267" s="2">
        <f>IFERROR(__xludf.DUMMYFUNCTION("""COMPUTED_VALUE"""),43916.64583333333)</f>
        <v>43916.64583</v>
      </c>
      <c r="B2267" s="1">
        <f>IFERROR(__xludf.DUMMYFUNCTION("""COMPUTED_VALUE"""),49000.0)</f>
        <v>49000</v>
      </c>
      <c r="C2267" s="1">
        <f>IFERROR(__xludf.DUMMYFUNCTION("""COMPUTED_VALUE"""),49300.0)</f>
        <v>49300</v>
      </c>
      <c r="D2267" s="1">
        <f>IFERROR(__xludf.DUMMYFUNCTION("""COMPUTED_VALUE"""),47700.0)</f>
        <v>47700</v>
      </c>
      <c r="E2267" s="1">
        <f>IFERROR(__xludf.DUMMYFUNCTION("""COMPUTED_VALUE"""),47800.0)</f>
        <v>47800</v>
      </c>
      <c r="F2267" s="1">
        <f>IFERROR(__xludf.DUMMYFUNCTION("""COMPUTED_VALUE"""),4.2185129E7)</f>
        <v>42185129</v>
      </c>
    </row>
    <row r="2268">
      <c r="A2268" s="2">
        <f>IFERROR(__xludf.DUMMYFUNCTION("""COMPUTED_VALUE"""),43917.64583333333)</f>
        <v>43917.64583</v>
      </c>
      <c r="B2268" s="1">
        <f>IFERROR(__xludf.DUMMYFUNCTION("""COMPUTED_VALUE"""),49600.0)</f>
        <v>49600</v>
      </c>
      <c r="C2268" s="1">
        <f>IFERROR(__xludf.DUMMYFUNCTION("""COMPUTED_VALUE"""),49700.0)</f>
        <v>49700</v>
      </c>
      <c r="D2268" s="1">
        <f>IFERROR(__xludf.DUMMYFUNCTION("""COMPUTED_VALUE"""),46850.0)</f>
        <v>46850</v>
      </c>
      <c r="E2268" s="1">
        <f>IFERROR(__xludf.DUMMYFUNCTION("""COMPUTED_VALUE"""),48300.0)</f>
        <v>48300</v>
      </c>
      <c r="F2268" s="1">
        <f>IFERROR(__xludf.DUMMYFUNCTION("""COMPUTED_VALUE"""),3.9896178E7)</f>
        <v>39896178</v>
      </c>
    </row>
    <row r="2269">
      <c r="A2269" s="2">
        <f>IFERROR(__xludf.DUMMYFUNCTION("""COMPUTED_VALUE"""),43920.64583333333)</f>
        <v>43920.64583</v>
      </c>
      <c r="B2269" s="1">
        <f>IFERROR(__xludf.DUMMYFUNCTION("""COMPUTED_VALUE"""),47050.0)</f>
        <v>47050</v>
      </c>
      <c r="C2269" s="1">
        <f>IFERROR(__xludf.DUMMYFUNCTION("""COMPUTED_VALUE"""),48350.0)</f>
        <v>48350</v>
      </c>
      <c r="D2269" s="1">
        <f>IFERROR(__xludf.DUMMYFUNCTION("""COMPUTED_VALUE"""),46550.0)</f>
        <v>46550</v>
      </c>
      <c r="E2269" s="1">
        <f>IFERROR(__xludf.DUMMYFUNCTION("""COMPUTED_VALUE"""),47850.0)</f>
        <v>47850</v>
      </c>
      <c r="F2269" s="1">
        <f>IFERROR(__xludf.DUMMYFUNCTION("""COMPUTED_VALUE"""),2.6797395E7)</f>
        <v>26797395</v>
      </c>
    </row>
    <row r="2270">
      <c r="A2270" s="2">
        <f>IFERROR(__xludf.DUMMYFUNCTION("""COMPUTED_VALUE"""),43921.64583333333)</f>
        <v>43921.64583</v>
      </c>
      <c r="B2270" s="1">
        <f>IFERROR(__xludf.DUMMYFUNCTION("""COMPUTED_VALUE"""),48000.0)</f>
        <v>48000</v>
      </c>
      <c r="C2270" s="1">
        <f>IFERROR(__xludf.DUMMYFUNCTION("""COMPUTED_VALUE"""),48500.0)</f>
        <v>48500</v>
      </c>
      <c r="D2270" s="1">
        <f>IFERROR(__xludf.DUMMYFUNCTION("""COMPUTED_VALUE"""),47150.0)</f>
        <v>47150</v>
      </c>
      <c r="E2270" s="1">
        <f>IFERROR(__xludf.DUMMYFUNCTION("""COMPUTED_VALUE"""),47750.0)</f>
        <v>47750</v>
      </c>
      <c r="F2270" s="1">
        <f>IFERROR(__xludf.DUMMYFUNCTION("""COMPUTED_VALUE"""),3.0654261E7)</f>
        <v>30654261</v>
      </c>
    </row>
    <row r="2271">
      <c r="A2271" s="2">
        <f>IFERROR(__xludf.DUMMYFUNCTION("""COMPUTED_VALUE"""),43922.64583333333)</f>
        <v>43922.64583</v>
      </c>
      <c r="B2271" s="1">
        <f>IFERROR(__xludf.DUMMYFUNCTION("""COMPUTED_VALUE"""),47450.0)</f>
        <v>47450</v>
      </c>
      <c r="C2271" s="1">
        <f>IFERROR(__xludf.DUMMYFUNCTION("""COMPUTED_VALUE"""),47900.0)</f>
        <v>47900</v>
      </c>
      <c r="D2271" s="1">
        <f>IFERROR(__xludf.DUMMYFUNCTION("""COMPUTED_VALUE"""),45800.0)</f>
        <v>45800</v>
      </c>
      <c r="E2271" s="1">
        <f>IFERROR(__xludf.DUMMYFUNCTION("""COMPUTED_VALUE"""),45800.0)</f>
        <v>45800</v>
      </c>
      <c r="F2271" s="1">
        <f>IFERROR(__xludf.DUMMYFUNCTION("""COMPUTED_VALUE"""),2.7259532E7)</f>
        <v>27259532</v>
      </c>
    </row>
    <row r="2272">
      <c r="A2272" s="2">
        <f>IFERROR(__xludf.DUMMYFUNCTION("""COMPUTED_VALUE"""),43923.64583333333)</f>
        <v>43923.64583</v>
      </c>
      <c r="B2272" s="1">
        <f>IFERROR(__xludf.DUMMYFUNCTION("""COMPUTED_VALUE"""),46200.0)</f>
        <v>46200</v>
      </c>
      <c r="C2272" s="1">
        <f>IFERROR(__xludf.DUMMYFUNCTION("""COMPUTED_VALUE"""),46850.0)</f>
        <v>46850</v>
      </c>
      <c r="D2272" s="1">
        <f>IFERROR(__xludf.DUMMYFUNCTION("""COMPUTED_VALUE"""),45350.0)</f>
        <v>45350</v>
      </c>
      <c r="E2272" s="1">
        <f>IFERROR(__xludf.DUMMYFUNCTION("""COMPUTED_VALUE"""),46800.0)</f>
        <v>46800</v>
      </c>
      <c r="F2272" s="1">
        <f>IFERROR(__xludf.DUMMYFUNCTION("""COMPUTED_VALUE"""),2.1621076E7)</f>
        <v>21621076</v>
      </c>
    </row>
    <row r="2273">
      <c r="A2273" s="2">
        <f>IFERROR(__xludf.DUMMYFUNCTION("""COMPUTED_VALUE"""),43924.64583333333)</f>
        <v>43924.64583</v>
      </c>
      <c r="B2273" s="1">
        <f>IFERROR(__xludf.DUMMYFUNCTION("""COMPUTED_VALUE"""),47400.0)</f>
        <v>47400</v>
      </c>
      <c r="C2273" s="1">
        <f>IFERROR(__xludf.DUMMYFUNCTION("""COMPUTED_VALUE"""),47600.0)</f>
        <v>47600</v>
      </c>
      <c r="D2273" s="1">
        <f>IFERROR(__xludf.DUMMYFUNCTION("""COMPUTED_VALUE"""),46550.0)</f>
        <v>46550</v>
      </c>
      <c r="E2273" s="1">
        <f>IFERROR(__xludf.DUMMYFUNCTION("""COMPUTED_VALUE"""),47000.0)</f>
        <v>47000</v>
      </c>
      <c r="F2273" s="1">
        <f>IFERROR(__xludf.DUMMYFUNCTION("""COMPUTED_VALUE"""),2.2784682E7)</f>
        <v>22784682</v>
      </c>
    </row>
    <row r="2274">
      <c r="A2274" s="2">
        <f>IFERROR(__xludf.DUMMYFUNCTION("""COMPUTED_VALUE"""),43927.64583333333)</f>
        <v>43927.64583</v>
      </c>
      <c r="B2274" s="1">
        <f>IFERROR(__xludf.DUMMYFUNCTION("""COMPUTED_VALUE"""),47500.0)</f>
        <v>47500</v>
      </c>
      <c r="C2274" s="1">
        <f>IFERROR(__xludf.DUMMYFUNCTION("""COMPUTED_VALUE"""),48800.0)</f>
        <v>48800</v>
      </c>
      <c r="D2274" s="1">
        <f>IFERROR(__xludf.DUMMYFUNCTION("""COMPUTED_VALUE"""),47250.0)</f>
        <v>47250</v>
      </c>
      <c r="E2274" s="1">
        <f>IFERROR(__xludf.DUMMYFUNCTION("""COMPUTED_VALUE"""),48700.0)</f>
        <v>48700</v>
      </c>
      <c r="F2274" s="1">
        <f>IFERROR(__xludf.DUMMYFUNCTION("""COMPUTED_VALUE"""),2.3395726E7)</f>
        <v>23395726</v>
      </c>
    </row>
    <row r="2275">
      <c r="A2275" s="2">
        <f>IFERROR(__xludf.DUMMYFUNCTION("""COMPUTED_VALUE"""),43928.64583333333)</f>
        <v>43928.64583</v>
      </c>
      <c r="B2275" s="1">
        <f>IFERROR(__xludf.DUMMYFUNCTION("""COMPUTED_VALUE"""),49650.0)</f>
        <v>49650</v>
      </c>
      <c r="C2275" s="1">
        <f>IFERROR(__xludf.DUMMYFUNCTION("""COMPUTED_VALUE"""),50200.0)</f>
        <v>50200</v>
      </c>
      <c r="D2275" s="1">
        <f>IFERROR(__xludf.DUMMYFUNCTION("""COMPUTED_VALUE"""),49000.0)</f>
        <v>49000</v>
      </c>
      <c r="E2275" s="1">
        <f>IFERROR(__xludf.DUMMYFUNCTION("""COMPUTED_VALUE"""),49600.0)</f>
        <v>49600</v>
      </c>
      <c r="F2275" s="1">
        <f>IFERROR(__xludf.DUMMYFUNCTION("""COMPUTED_VALUE"""),3.1524034E7)</f>
        <v>31524034</v>
      </c>
    </row>
    <row r="2276">
      <c r="A2276" s="2">
        <f>IFERROR(__xludf.DUMMYFUNCTION("""COMPUTED_VALUE"""),43929.64583333333)</f>
        <v>43929.64583</v>
      </c>
      <c r="B2276" s="1">
        <f>IFERROR(__xludf.DUMMYFUNCTION("""COMPUTED_VALUE"""),49600.0)</f>
        <v>49600</v>
      </c>
      <c r="C2276" s="1">
        <f>IFERROR(__xludf.DUMMYFUNCTION("""COMPUTED_VALUE"""),49750.0)</f>
        <v>49750</v>
      </c>
      <c r="D2276" s="1">
        <f>IFERROR(__xludf.DUMMYFUNCTION("""COMPUTED_VALUE"""),48600.0)</f>
        <v>48600</v>
      </c>
      <c r="E2276" s="1">
        <f>IFERROR(__xludf.DUMMYFUNCTION("""COMPUTED_VALUE"""),48600.0)</f>
        <v>48600</v>
      </c>
      <c r="F2276" s="1">
        <f>IFERROR(__xludf.DUMMYFUNCTION("""COMPUTED_VALUE"""),2.5010314E7)</f>
        <v>25010314</v>
      </c>
    </row>
    <row r="2277">
      <c r="A2277" s="2">
        <f>IFERROR(__xludf.DUMMYFUNCTION("""COMPUTED_VALUE"""),43930.64583333333)</f>
        <v>43930.64583</v>
      </c>
      <c r="B2277" s="1">
        <f>IFERROR(__xludf.DUMMYFUNCTION("""COMPUTED_VALUE"""),49750.0)</f>
        <v>49750</v>
      </c>
      <c r="C2277" s="1">
        <f>IFERROR(__xludf.DUMMYFUNCTION("""COMPUTED_VALUE"""),49800.0)</f>
        <v>49800</v>
      </c>
      <c r="D2277" s="1">
        <f>IFERROR(__xludf.DUMMYFUNCTION("""COMPUTED_VALUE"""),48700.0)</f>
        <v>48700</v>
      </c>
      <c r="E2277" s="1">
        <f>IFERROR(__xludf.DUMMYFUNCTION("""COMPUTED_VALUE"""),49100.0)</f>
        <v>49100</v>
      </c>
      <c r="F2277" s="1">
        <f>IFERROR(__xludf.DUMMYFUNCTION("""COMPUTED_VALUE"""),2.2628058E7)</f>
        <v>22628058</v>
      </c>
    </row>
    <row r="2278">
      <c r="A2278" s="2">
        <f>IFERROR(__xludf.DUMMYFUNCTION("""COMPUTED_VALUE"""),43931.64583333333)</f>
        <v>43931.64583</v>
      </c>
      <c r="B2278" s="1">
        <f>IFERROR(__xludf.DUMMYFUNCTION("""COMPUTED_VALUE"""),48950.0)</f>
        <v>48950</v>
      </c>
      <c r="C2278" s="1">
        <f>IFERROR(__xludf.DUMMYFUNCTION("""COMPUTED_VALUE"""),49250.0)</f>
        <v>49250</v>
      </c>
      <c r="D2278" s="1">
        <f>IFERROR(__xludf.DUMMYFUNCTION("""COMPUTED_VALUE"""),48650.0)</f>
        <v>48650</v>
      </c>
      <c r="E2278" s="1">
        <f>IFERROR(__xludf.DUMMYFUNCTION("""COMPUTED_VALUE"""),49250.0)</f>
        <v>49250</v>
      </c>
      <c r="F2278" s="1">
        <f>IFERROR(__xludf.DUMMYFUNCTION("""COMPUTED_VALUE"""),1.7839111E7)</f>
        <v>17839111</v>
      </c>
    </row>
    <row r="2279">
      <c r="A2279" s="2">
        <f>IFERROR(__xludf.DUMMYFUNCTION("""COMPUTED_VALUE"""),43934.64583333333)</f>
        <v>43934.64583</v>
      </c>
      <c r="B2279" s="1">
        <f>IFERROR(__xludf.DUMMYFUNCTION("""COMPUTED_VALUE"""),48650.0)</f>
        <v>48650</v>
      </c>
      <c r="C2279" s="1">
        <f>IFERROR(__xludf.DUMMYFUNCTION("""COMPUTED_VALUE"""),48900.0)</f>
        <v>48900</v>
      </c>
      <c r="D2279" s="1">
        <f>IFERROR(__xludf.DUMMYFUNCTION("""COMPUTED_VALUE"""),48300.0)</f>
        <v>48300</v>
      </c>
      <c r="E2279" s="1">
        <f>IFERROR(__xludf.DUMMYFUNCTION("""COMPUTED_VALUE"""),48300.0)</f>
        <v>48300</v>
      </c>
      <c r="F2279" s="1">
        <f>IFERROR(__xludf.DUMMYFUNCTION("""COMPUTED_VALUE"""),1.44318E7)</f>
        <v>14431800</v>
      </c>
    </row>
    <row r="2280">
      <c r="A2280" s="2">
        <f>IFERROR(__xludf.DUMMYFUNCTION("""COMPUTED_VALUE"""),43935.64583333333)</f>
        <v>43935.64583</v>
      </c>
      <c r="B2280" s="1">
        <f>IFERROR(__xludf.DUMMYFUNCTION("""COMPUTED_VALUE"""),48800.0)</f>
        <v>48800</v>
      </c>
      <c r="C2280" s="1">
        <f>IFERROR(__xludf.DUMMYFUNCTION("""COMPUTED_VALUE"""),49200.0)</f>
        <v>49200</v>
      </c>
      <c r="D2280" s="1">
        <f>IFERROR(__xludf.DUMMYFUNCTION("""COMPUTED_VALUE"""),48300.0)</f>
        <v>48300</v>
      </c>
      <c r="E2280" s="1">
        <f>IFERROR(__xludf.DUMMYFUNCTION("""COMPUTED_VALUE"""),49000.0)</f>
        <v>49000</v>
      </c>
      <c r="F2280" s="1">
        <f>IFERROR(__xludf.DUMMYFUNCTION("""COMPUTED_VALUE"""),1.4206216E7)</f>
        <v>14206216</v>
      </c>
    </row>
    <row r="2281">
      <c r="A2281" s="2">
        <f>IFERROR(__xludf.DUMMYFUNCTION("""COMPUTED_VALUE"""),43937.64583333333)</f>
        <v>43937.64583</v>
      </c>
      <c r="B2281" s="1">
        <f>IFERROR(__xludf.DUMMYFUNCTION("""COMPUTED_VALUE"""),49350.0)</f>
        <v>49350</v>
      </c>
      <c r="C2281" s="1">
        <f>IFERROR(__xludf.DUMMYFUNCTION("""COMPUTED_VALUE"""),49350.0)</f>
        <v>49350</v>
      </c>
      <c r="D2281" s="1">
        <f>IFERROR(__xludf.DUMMYFUNCTION("""COMPUTED_VALUE"""),48550.0)</f>
        <v>48550</v>
      </c>
      <c r="E2281" s="1">
        <f>IFERROR(__xludf.DUMMYFUNCTION("""COMPUTED_VALUE"""),49000.0)</f>
        <v>49000</v>
      </c>
      <c r="F2281" s="1">
        <f>IFERROR(__xludf.DUMMYFUNCTION("""COMPUTED_VALUE"""),2.334976E7)</f>
        <v>23349760</v>
      </c>
    </row>
    <row r="2282">
      <c r="A2282" s="2">
        <f>IFERROR(__xludf.DUMMYFUNCTION("""COMPUTED_VALUE"""),43938.64583333333)</f>
        <v>43938.64583</v>
      </c>
      <c r="B2282" s="1">
        <f>IFERROR(__xludf.DUMMYFUNCTION("""COMPUTED_VALUE"""),50800.0)</f>
        <v>50800</v>
      </c>
      <c r="C2282" s="1">
        <f>IFERROR(__xludf.DUMMYFUNCTION("""COMPUTED_VALUE"""),52000.0)</f>
        <v>52000</v>
      </c>
      <c r="D2282" s="1">
        <f>IFERROR(__xludf.DUMMYFUNCTION("""COMPUTED_VALUE"""),50300.0)</f>
        <v>50300</v>
      </c>
      <c r="E2282" s="1">
        <f>IFERROR(__xludf.DUMMYFUNCTION("""COMPUTED_VALUE"""),51400.0)</f>
        <v>51400</v>
      </c>
      <c r="F2282" s="1">
        <f>IFERROR(__xludf.DUMMYFUNCTION("""COMPUTED_VALUE"""),3.2041675E7)</f>
        <v>32041675</v>
      </c>
    </row>
    <row r="2283">
      <c r="A2283" s="2">
        <f>IFERROR(__xludf.DUMMYFUNCTION("""COMPUTED_VALUE"""),43941.64583333333)</f>
        <v>43941.64583</v>
      </c>
      <c r="B2283" s="1">
        <f>IFERROR(__xludf.DUMMYFUNCTION("""COMPUTED_VALUE"""),51400.0)</f>
        <v>51400</v>
      </c>
      <c r="C2283" s="1">
        <f>IFERROR(__xludf.DUMMYFUNCTION("""COMPUTED_VALUE"""),51400.0)</f>
        <v>51400</v>
      </c>
      <c r="D2283" s="1">
        <f>IFERROR(__xludf.DUMMYFUNCTION("""COMPUTED_VALUE"""),50000.0)</f>
        <v>50000</v>
      </c>
      <c r="E2283" s="1">
        <f>IFERROR(__xludf.DUMMYFUNCTION("""COMPUTED_VALUE"""),50100.0)</f>
        <v>50100</v>
      </c>
      <c r="F2283" s="1">
        <f>IFERROR(__xludf.DUMMYFUNCTION("""COMPUTED_VALUE"""),2.1866354E7)</f>
        <v>21866354</v>
      </c>
    </row>
    <row r="2284">
      <c r="A2284" s="2">
        <f>IFERROR(__xludf.DUMMYFUNCTION("""COMPUTED_VALUE"""),43942.64583333333)</f>
        <v>43942.64583</v>
      </c>
      <c r="B2284" s="1">
        <f>IFERROR(__xludf.DUMMYFUNCTION("""COMPUTED_VALUE"""),49400.0)</f>
        <v>49400</v>
      </c>
      <c r="C2284" s="1">
        <f>IFERROR(__xludf.DUMMYFUNCTION("""COMPUTED_VALUE"""),49700.0)</f>
        <v>49700</v>
      </c>
      <c r="D2284" s="1">
        <f>IFERROR(__xludf.DUMMYFUNCTION("""COMPUTED_VALUE"""),48700.0)</f>
        <v>48700</v>
      </c>
      <c r="E2284" s="1">
        <f>IFERROR(__xludf.DUMMYFUNCTION("""COMPUTED_VALUE"""),49250.0)</f>
        <v>49250</v>
      </c>
      <c r="F2284" s="1">
        <f>IFERROR(__xludf.DUMMYFUNCTION("""COMPUTED_VALUE"""),2.7407543E7)</f>
        <v>27407543</v>
      </c>
    </row>
    <row r="2285">
      <c r="A2285" s="2">
        <f>IFERROR(__xludf.DUMMYFUNCTION("""COMPUTED_VALUE"""),43943.64583333333)</f>
        <v>43943.64583</v>
      </c>
      <c r="B2285" s="1">
        <f>IFERROR(__xludf.DUMMYFUNCTION("""COMPUTED_VALUE"""),48700.0)</f>
        <v>48700</v>
      </c>
      <c r="C2285" s="1">
        <f>IFERROR(__xludf.DUMMYFUNCTION("""COMPUTED_VALUE"""),50000.0)</f>
        <v>50000</v>
      </c>
      <c r="D2285" s="1">
        <f>IFERROR(__xludf.DUMMYFUNCTION("""COMPUTED_VALUE"""),48350.0)</f>
        <v>48350</v>
      </c>
      <c r="E2285" s="1">
        <f>IFERROR(__xludf.DUMMYFUNCTION("""COMPUTED_VALUE"""),49850.0)</f>
        <v>49850</v>
      </c>
      <c r="F2285" s="1">
        <f>IFERROR(__xludf.DUMMYFUNCTION("""COMPUTED_VALUE"""),1.8613864E7)</f>
        <v>18613864</v>
      </c>
    </row>
    <row r="2286">
      <c r="A2286" s="2">
        <f>IFERROR(__xludf.DUMMYFUNCTION("""COMPUTED_VALUE"""),43944.64583333333)</f>
        <v>43944.64583</v>
      </c>
      <c r="B2286" s="1">
        <f>IFERROR(__xludf.DUMMYFUNCTION("""COMPUTED_VALUE"""),50200.0)</f>
        <v>50200</v>
      </c>
      <c r="C2286" s="1">
        <f>IFERROR(__xludf.DUMMYFUNCTION("""COMPUTED_VALUE"""),50300.0)</f>
        <v>50300</v>
      </c>
      <c r="D2286" s="1">
        <f>IFERROR(__xludf.DUMMYFUNCTION("""COMPUTED_VALUE"""),49500.0)</f>
        <v>49500</v>
      </c>
      <c r="E2286" s="1">
        <f>IFERROR(__xludf.DUMMYFUNCTION("""COMPUTED_VALUE"""),49850.0)</f>
        <v>49850</v>
      </c>
      <c r="F2286" s="1">
        <f>IFERROR(__xludf.DUMMYFUNCTION("""COMPUTED_VALUE"""),1.8754442E7)</f>
        <v>18754442</v>
      </c>
    </row>
    <row r="2287">
      <c r="A2287" s="2">
        <f>IFERROR(__xludf.DUMMYFUNCTION("""COMPUTED_VALUE"""),43945.64583333333)</f>
        <v>43945.64583</v>
      </c>
      <c r="B2287" s="1">
        <f>IFERROR(__xludf.DUMMYFUNCTION("""COMPUTED_VALUE"""),49650.0)</f>
        <v>49650</v>
      </c>
      <c r="C2287" s="1">
        <f>IFERROR(__xludf.DUMMYFUNCTION("""COMPUTED_VALUE"""),49750.0)</f>
        <v>49750</v>
      </c>
      <c r="D2287" s="1">
        <f>IFERROR(__xludf.DUMMYFUNCTION("""COMPUTED_VALUE"""),49000.0)</f>
        <v>49000</v>
      </c>
      <c r="E2287" s="1">
        <f>IFERROR(__xludf.DUMMYFUNCTION("""COMPUTED_VALUE"""),49350.0)</f>
        <v>49350</v>
      </c>
      <c r="F2287" s="1">
        <f>IFERROR(__xludf.DUMMYFUNCTION("""COMPUTED_VALUE"""),1.5618347E7)</f>
        <v>15618347</v>
      </c>
    </row>
    <row r="2288">
      <c r="A2288" s="2">
        <f>IFERROR(__xludf.DUMMYFUNCTION("""COMPUTED_VALUE"""),43948.64583333333)</f>
        <v>43948.64583</v>
      </c>
      <c r="B2288" s="1">
        <f>IFERROR(__xludf.DUMMYFUNCTION("""COMPUTED_VALUE"""),49350.0)</f>
        <v>49350</v>
      </c>
      <c r="C2288" s="1">
        <f>IFERROR(__xludf.DUMMYFUNCTION("""COMPUTED_VALUE"""),50000.0)</f>
        <v>50000</v>
      </c>
      <c r="D2288" s="1">
        <f>IFERROR(__xludf.DUMMYFUNCTION("""COMPUTED_VALUE"""),49100.0)</f>
        <v>49100</v>
      </c>
      <c r="E2288" s="1">
        <f>IFERROR(__xludf.DUMMYFUNCTION("""COMPUTED_VALUE"""),49850.0)</f>
        <v>49850</v>
      </c>
      <c r="F2288" s="1">
        <f>IFERROR(__xludf.DUMMYFUNCTION("""COMPUTED_VALUE"""),1.4049471E7)</f>
        <v>14049471</v>
      </c>
    </row>
    <row r="2289">
      <c r="A2289" s="2">
        <f>IFERROR(__xludf.DUMMYFUNCTION("""COMPUTED_VALUE"""),43949.64583333333)</f>
        <v>43949.64583</v>
      </c>
      <c r="B2289" s="1">
        <f>IFERROR(__xludf.DUMMYFUNCTION("""COMPUTED_VALUE"""),49850.0)</f>
        <v>49850</v>
      </c>
      <c r="C2289" s="1">
        <f>IFERROR(__xludf.DUMMYFUNCTION("""COMPUTED_VALUE"""),50100.0)</f>
        <v>50100</v>
      </c>
      <c r="D2289" s="1">
        <f>IFERROR(__xludf.DUMMYFUNCTION("""COMPUTED_VALUE"""),49300.0)</f>
        <v>49300</v>
      </c>
      <c r="E2289" s="1">
        <f>IFERROR(__xludf.DUMMYFUNCTION("""COMPUTED_VALUE"""),50100.0)</f>
        <v>50100</v>
      </c>
      <c r="F2289" s="1">
        <f>IFERROR(__xludf.DUMMYFUNCTION("""COMPUTED_VALUE"""),1.6095399E7)</f>
        <v>16095399</v>
      </c>
    </row>
    <row r="2290">
      <c r="A2290" s="2">
        <f>IFERROR(__xludf.DUMMYFUNCTION("""COMPUTED_VALUE"""),43950.64583333333)</f>
        <v>43950.64583</v>
      </c>
      <c r="B2290" s="1">
        <f>IFERROR(__xludf.DUMMYFUNCTION("""COMPUTED_VALUE"""),49900.0)</f>
        <v>49900</v>
      </c>
      <c r="C2290" s="1">
        <f>IFERROR(__xludf.DUMMYFUNCTION("""COMPUTED_VALUE"""),50500.0)</f>
        <v>50500</v>
      </c>
      <c r="D2290" s="1">
        <f>IFERROR(__xludf.DUMMYFUNCTION("""COMPUTED_VALUE"""),49600.0)</f>
        <v>49600</v>
      </c>
      <c r="E2290" s="1">
        <f>IFERROR(__xludf.DUMMYFUNCTION("""COMPUTED_VALUE"""),50000.0)</f>
        <v>50000</v>
      </c>
      <c r="F2290" s="1">
        <f>IFERROR(__xludf.DUMMYFUNCTION("""COMPUTED_VALUE"""),1.5604533E7)</f>
        <v>15604533</v>
      </c>
    </row>
    <row r="2291">
      <c r="A2291" s="2">
        <f>IFERROR(__xludf.DUMMYFUNCTION("""COMPUTED_VALUE"""),43955.64583333333)</f>
        <v>43955.64583</v>
      </c>
      <c r="B2291" s="1">
        <f>IFERROR(__xludf.DUMMYFUNCTION("""COMPUTED_VALUE"""),48900.0)</f>
        <v>48900</v>
      </c>
      <c r="C2291" s="1">
        <f>IFERROR(__xludf.DUMMYFUNCTION("""COMPUTED_VALUE"""),49100.0)</f>
        <v>49100</v>
      </c>
      <c r="D2291" s="1">
        <f>IFERROR(__xludf.DUMMYFUNCTION("""COMPUTED_VALUE"""),48500.0)</f>
        <v>48500</v>
      </c>
      <c r="E2291" s="1">
        <f>IFERROR(__xludf.DUMMYFUNCTION("""COMPUTED_VALUE"""),48500.0)</f>
        <v>48500</v>
      </c>
      <c r="F2291" s="1">
        <f>IFERROR(__xludf.DUMMYFUNCTION("""COMPUTED_VALUE"""),2.6083749E7)</f>
        <v>26083749</v>
      </c>
    </row>
    <row r="2292">
      <c r="A2292" s="2">
        <f>IFERROR(__xludf.DUMMYFUNCTION("""COMPUTED_VALUE"""),43957.64583333333)</f>
        <v>43957.64583</v>
      </c>
      <c r="B2292" s="1">
        <f>IFERROR(__xludf.DUMMYFUNCTION("""COMPUTED_VALUE"""),49000.0)</f>
        <v>49000</v>
      </c>
      <c r="C2292" s="1">
        <f>IFERROR(__xludf.DUMMYFUNCTION("""COMPUTED_VALUE"""),49200.0)</f>
        <v>49200</v>
      </c>
      <c r="D2292" s="1">
        <f>IFERROR(__xludf.DUMMYFUNCTION("""COMPUTED_VALUE"""),48500.0)</f>
        <v>48500</v>
      </c>
      <c r="E2292" s="1">
        <f>IFERROR(__xludf.DUMMYFUNCTION("""COMPUTED_VALUE"""),49200.0)</f>
        <v>49200</v>
      </c>
      <c r="F2292" s="1">
        <f>IFERROR(__xludf.DUMMYFUNCTION("""COMPUTED_VALUE"""),1.8070225E7)</f>
        <v>18070225</v>
      </c>
    </row>
    <row r="2293">
      <c r="A2293" s="2">
        <f>IFERROR(__xludf.DUMMYFUNCTION("""COMPUTED_VALUE"""),43958.64583333333)</f>
        <v>43958.64583</v>
      </c>
      <c r="B2293" s="1">
        <f>IFERROR(__xludf.DUMMYFUNCTION("""COMPUTED_VALUE"""),49200.0)</f>
        <v>49200</v>
      </c>
      <c r="C2293" s="1">
        <f>IFERROR(__xludf.DUMMYFUNCTION("""COMPUTED_VALUE"""),49300.0)</f>
        <v>49300</v>
      </c>
      <c r="D2293" s="1">
        <f>IFERROR(__xludf.DUMMYFUNCTION("""COMPUTED_VALUE"""),48700.0)</f>
        <v>48700</v>
      </c>
      <c r="E2293" s="1">
        <f>IFERROR(__xludf.DUMMYFUNCTION("""COMPUTED_VALUE"""),48800.0)</f>
        <v>48800</v>
      </c>
      <c r="F2293" s="1">
        <f>IFERROR(__xludf.DUMMYFUNCTION("""COMPUTED_VALUE"""),1.3884411E7)</f>
        <v>13884411</v>
      </c>
    </row>
    <row r="2294">
      <c r="A2294" s="2">
        <f>IFERROR(__xludf.DUMMYFUNCTION("""COMPUTED_VALUE"""),43959.64583333333)</f>
        <v>43959.64583</v>
      </c>
      <c r="B2294" s="1">
        <f>IFERROR(__xludf.DUMMYFUNCTION("""COMPUTED_VALUE"""),49100.0)</f>
        <v>49100</v>
      </c>
      <c r="C2294" s="1">
        <f>IFERROR(__xludf.DUMMYFUNCTION("""COMPUTED_VALUE"""),49350.0)</f>
        <v>49350</v>
      </c>
      <c r="D2294" s="1">
        <f>IFERROR(__xludf.DUMMYFUNCTION("""COMPUTED_VALUE"""),48800.0)</f>
        <v>48800</v>
      </c>
      <c r="E2294" s="1">
        <f>IFERROR(__xludf.DUMMYFUNCTION("""COMPUTED_VALUE"""),48800.0)</f>
        <v>48800</v>
      </c>
      <c r="F2294" s="1">
        <f>IFERROR(__xludf.DUMMYFUNCTION("""COMPUTED_VALUE"""),1.53197E7)</f>
        <v>15319700</v>
      </c>
    </row>
    <row r="2295">
      <c r="A2295" s="2">
        <f>IFERROR(__xludf.DUMMYFUNCTION("""COMPUTED_VALUE"""),43962.64583333333)</f>
        <v>43962.64583</v>
      </c>
      <c r="B2295" s="1">
        <f>IFERROR(__xludf.DUMMYFUNCTION("""COMPUTED_VALUE"""),48900.0)</f>
        <v>48900</v>
      </c>
      <c r="C2295" s="1">
        <f>IFERROR(__xludf.DUMMYFUNCTION("""COMPUTED_VALUE"""),49250.0)</f>
        <v>49250</v>
      </c>
      <c r="D2295" s="1">
        <f>IFERROR(__xludf.DUMMYFUNCTION("""COMPUTED_VALUE"""),48300.0)</f>
        <v>48300</v>
      </c>
      <c r="E2295" s="1">
        <f>IFERROR(__xludf.DUMMYFUNCTION("""COMPUTED_VALUE"""),48400.0)</f>
        <v>48400</v>
      </c>
      <c r="F2295" s="1">
        <f>IFERROR(__xludf.DUMMYFUNCTION("""COMPUTED_VALUE"""),1.6357743E7)</f>
        <v>16357743</v>
      </c>
    </row>
    <row r="2296">
      <c r="A2296" s="2">
        <f>IFERROR(__xludf.DUMMYFUNCTION("""COMPUTED_VALUE"""),43963.64583333333)</f>
        <v>43963.64583</v>
      </c>
      <c r="B2296" s="1">
        <f>IFERROR(__xludf.DUMMYFUNCTION("""COMPUTED_VALUE"""),48400.0)</f>
        <v>48400</v>
      </c>
      <c r="C2296" s="1">
        <f>IFERROR(__xludf.DUMMYFUNCTION("""COMPUTED_VALUE"""),48500.0)</f>
        <v>48500</v>
      </c>
      <c r="D2296" s="1">
        <f>IFERROR(__xludf.DUMMYFUNCTION("""COMPUTED_VALUE"""),47550.0)</f>
        <v>47550</v>
      </c>
      <c r="E2296" s="1">
        <f>IFERROR(__xludf.DUMMYFUNCTION("""COMPUTED_VALUE"""),47900.0)</f>
        <v>47900</v>
      </c>
      <c r="F2296" s="1">
        <f>IFERROR(__xludf.DUMMYFUNCTION("""COMPUTED_VALUE"""),2.343359E7)</f>
        <v>23433590</v>
      </c>
    </row>
    <row r="2297">
      <c r="A2297" s="2">
        <f>IFERROR(__xludf.DUMMYFUNCTION("""COMPUTED_VALUE"""),43964.64583333333)</f>
        <v>43964.64583</v>
      </c>
      <c r="B2297" s="1">
        <f>IFERROR(__xludf.DUMMYFUNCTION("""COMPUTED_VALUE"""),47250.0)</f>
        <v>47250</v>
      </c>
      <c r="C2297" s="1">
        <f>IFERROR(__xludf.DUMMYFUNCTION("""COMPUTED_VALUE"""),48550.0)</f>
        <v>48550</v>
      </c>
      <c r="D2297" s="1">
        <f>IFERROR(__xludf.DUMMYFUNCTION("""COMPUTED_VALUE"""),47200.0)</f>
        <v>47200</v>
      </c>
      <c r="E2297" s="1">
        <f>IFERROR(__xludf.DUMMYFUNCTION("""COMPUTED_VALUE"""),48550.0)</f>
        <v>48550</v>
      </c>
      <c r="F2297" s="1">
        <f>IFERROR(__xludf.DUMMYFUNCTION("""COMPUTED_VALUE"""),2.0223277E7)</f>
        <v>20223277</v>
      </c>
    </row>
    <row r="2298">
      <c r="A2298" s="2">
        <f>IFERROR(__xludf.DUMMYFUNCTION("""COMPUTED_VALUE"""),43965.64583333333)</f>
        <v>43965.64583</v>
      </c>
      <c r="B2298" s="1">
        <f>IFERROR(__xludf.DUMMYFUNCTION("""COMPUTED_VALUE"""),47750.0)</f>
        <v>47750</v>
      </c>
      <c r="C2298" s="1">
        <f>IFERROR(__xludf.DUMMYFUNCTION("""COMPUTED_VALUE"""),48100.0)</f>
        <v>48100</v>
      </c>
      <c r="D2298" s="1">
        <f>IFERROR(__xludf.DUMMYFUNCTION("""COMPUTED_VALUE"""),47650.0)</f>
        <v>47650</v>
      </c>
      <c r="E2298" s="1">
        <f>IFERROR(__xludf.DUMMYFUNCTION("""COMPUTED_VALUE"""),48000.0)</f>
        <v>48000</v>
      </c>
      <c r="F2298" s="1">
        <f>IFERROR(__xludf.DUMMYFUNCTION("""COMPUTED_VALUE"""),1.9305974E7)</f>
        <v>19305974</v>
      </c>
    </row>
    <row r="2299">
      <c r="A2299" s="2">
        <f>IFERROR(__xludf.DUMMYFUNCTION("""COMPUTED_VALUE"""),43966.64583333333)</f>
        <v>43966.64583</v>
      </c>
      <c r="B2299" s="1">
        <f>IFERROR(__xludf.DUMMYFUNCTION("""COMPUTED_VALUE"""),48400.0)</f>
        <v>48400</v>
      </c>
      <c r="C2299" s="1">
        <f>IFERROR(__xludf.DUMMYFUNCTION("""COMPUTED_VALUE"""),48450.0)</f>
        <v>48450</v>
      </c>
      <c r="D2299" s="1">
        <f>IFERROR(__xludf.DUMMYFUNCTION("""COMPUTED_VALUE"""),47700.0)</f>
        <v>47700</v>
      </c>
      <c r="E2299" s="1">
        <f>IFERROR(__xludf.DUMMYFUNCTION("""COMPUTED_VALUE"""),47850.0)</f>
        <v>47850</v>
      </c>
      <c r="F2299" s="1">
        <f>IFERROR(__xludf.DUMMYFUNCTION("""COMPUTED_VALUE"""),1.8463118E7)</f>
        <v>18463118</v>
      </c>
    </row>
    <row r="2300">
      <c r="A2300" s="2">
        <f>IFERROR(__xludf.DUMMYFUNCTION("""COMPUTED_VALUE"""),43969.64583333333)</f>
        <v>43969.64583</v>
      </c>
      <c r="B2300" s="1">
        <f>IFERROR(__xludf.DUMMYFUNCTION("""COMPUTED_VALUE"""),47950.0)</f>
        <v>47950</v>
      </c>
      <c r="C2300" s="1">
        <f>IFERROR(__xludf.DUMMYFUNCTION("""COMPUTED_VALUE"""),49100.0)</f>
        <v>49100</v>
      </c>
      <c r="D2300" s="1">
        <f>IFERROR(__xludf.DUMMYFUNCTION("""COMPUTED_VALUE"""),47600.0)</f>
        <v>47600</v>
      </c>
      <c r="E2300" s="1">
        <f>IFERROR(__xludf.DUMMYFUNCTION("""COMPUTED_VALUE"""),48800.0)</f>
        <v>48800</v>
      </c>
      <c r="F2300" s="1">
        <f>IFERROR(__xludf.DUMMYFUNCTION("""COMPUTED_VALUE"""),2.0481981E7)</f>
        <v>20481981</v>
      </c>
    </row>
    <row r="2301">
      <c r="A2301" s="2">
        <f>IFERROR(__xludf.DUMMYFUNCTION("""COMPUTED_VALUE"""),43970.64583333333)</f>
        <v>43970.64583</v>
      </c>
      <c r="B2301" s="1">
        <f>IFERROR(__xludf.DUMMYFUNCTION("""COMPUTED_VALUE"""),50100.0)</f>
        <v>50100</v>
      </c>
      <c r="C2301" s="1">
        <f>IFERROR(__xludf.DUMMYFUNCTION("""COMPUTED_VALUE"""),50500.0)</f>
        <v>50500</v>
      </c>
      <c r="D2301" s="1">
        <f>IFERROR(__xludf.DUMMYFUNCTION("""COMPUTED_VALUE"""),49700.0)</f>
        <v>49700</v>
      </c>
      <c r="E2301" s="1">
        <f>IFERROR(__xludf.DUMMYFUNCTION("""COMPUTED_VALUE"""),50300.0)</f>
        <v>50300</v>
      </c>
      <c r="F2301" s="1">
        <f>IFERROR(__xludf.DUMMYFUNCTION("""COMPUTED_VALUE"""),2.5168295E7)</f>
        <v>25168295</v>
      </c>
    </row>
    <row r="2302">
      <c r="A2302" s="2">
        <f>IFERROR(__xludf.DUMMYFUNCTION("""COMPUTED_VALUE"""),43971.64583333333)</f>
        <v>43971.64583</v>
      </c>
      <c r="B2302" s="1">
        <f>IFERROR(__xludf.DUMMYFUNCTION("""COMPUTED_VALUE"""),50000.0)</f>
        <v>50000</v>
      </c>
      <c r="C2302" s="1">
        <f>IFERROR(__xludf.DUMMYFUNCTION("""COMPUTED_VALUE"""),50200.0)</f>
        <v>50200</v>
      </c>
      <c r="D2302" s="1">
        <f>IFERROR(__xludf.DUMMYFUNCTION("""COMPUTED_VALUE"""),49800.0)</f>
        <v>49800</v>
      </c>
      <c r="E2302" s="1">
        <f>IFERROR(__xludf.DUMMYFUNCTION("""COMPUTED_VALUE"""),50000.0)</f>
        <v>50000</v>
      </c>
      <c r="F2302" s="1">
        <f>IFERROR(__xludf.DUMMYFUNCTION("""COMPUTED_VALUE"""),1.4896899E7)</f>
        <v>14896899</v>
      </c>
    </row>
    <row r="2303">
      <c r="A2303" s="2">
        <f>IFERROR(__xludf.DUMMYFUNCTION("""COMPUTED_VALUE"""),43972.64583333333)</f>
        <v>43972.64583</v>
      </c>
      <c r="B2303" s="1">
        <f>IFERROR(__xludf.DUMMYFUNCTION("""COMPUTED_VALUE"""),50300.0)</f>
        <v>50300</v>
      </c>
      <c r="C2303" s="1">
        <f>IFERROR(__xludf.DUMMYFUNCTION("""COMPUTED_VALUE"""),50400.0)</f>
        <v>50400</v>
      </c>
      <c r="D2303" s="1">
        <f>IFERROR(__xludf.DUMMYFUNCTION("""COMPUTED_VALUE"""),49850.0)</f>
        <v>49850</v>
      </c>
      <c r="E2303" s="1">
        <f>IFERROR(__xludf.DUMMYFUNCTION("""COMPUTED_VALUE"""),49950.0)</f>
        <v>49950</v>
      </c>
      <c r="F2303" s="1">
        <f>IFERROR(__xludf.DUMMYFUNCTION("""COMPUTED_VALUE"""),1.4949266E7)</f>
        <v>14949266</v>
      </c>
    </row>
    <row r="2304">
      <c r="A2304" s="2">
        <f>IFERROR(__xludf.DUMMYFUNCTION("""COMPUTED_VALUE"""),43973.64583333333)</f>
        <v>43973.64583</v>
      </c>
      <c r="B2304" s="1">
        <f>IFERROR(__xludf.DUMMYFUNCTION("""COMPUTED_VALUE"""),49600.0)</f>
        <v>49600</v>
      </c>
      <c r="C2304" s="1">
        <f>IFERROR(__xludf.DUMMYFUNCTION("""COMPUTED_VALUE"""),49800.0)</f>
        <v>49800</v>
      </c>
      <c r="D2304" s="1">
        <f>IFERROR(__xludf.DUMMYFUNCTION("""COMPUTED_VALUE"""),48600.0)</f>
        <v>48600</v>
      </c>
      <c r="E2304" s="1">
        <f>IFERROR(__xludf.DUMMYFUNCTION("""COMPUTED_VALUE"""),48750.0)</f>
        <v>48750</v>
      </c>
      <c r="F2304" s="1">
        <f>IFERROR(__xludf.DUMMYFUNCTION("""COMPUTED_VALUE"""),1.9706284E7)</f>
        <v>19706284</v>
      </c>
    </row>
    <row r="2305">
      <c r="A2305" s="2">
        <f>IFERROR(__xludf.DUMMYFUNCTION("""COMPUTED_VALUE"""),43976.64583333333)</f>
        <v>43976.64583</v>
      </c>
      <c r="B2305" s="1">
        <f>IFERROR(__xludf.DUMMYFUNCTION("""COMPUTED_VALUE"""),48750.0)</f>
        <v>48750</v>
      </c>
      <c r="C2305" s="1">
        <f>IFERROR(__xludf.DUMMYFUNCTION("""COMPUTED_VALUE"""),48900.0)</f>
        <v>48900</v>
      </c>
      <c r="D2305" s="1">
        <f>IFERROR(__xludf.DUMMYFUNCTION("""COMPUTED_VALUE"""),48450.0)</f>
        <v>48450</v>
      </c>
      <c r="E2305" s="1">
        <f>IFERROR(__xludf.DUMMYFUNCTION("""COMPUTED_VALUE"""),48850.0)</f>
        <v>48850</v>
      </c>
      <c r="F2305" s="1">
        <f>IFERROR(__xludf.DUMMYFUNCTION("""COMPUTED_VALUE"""),1.4337913E7)</f>
        <v>14337913</v>
      </c>
    </row>
    <row r="2306">
      <c r="A2306" s="2">
        <f>IFERROR(__xludf.DUMMYFUNCTION("""COMPUTED_VALUE"""),43977.64583333333)</f>
        <v>43977.64583</v>
      </c>
      <c r="B2306" s="1">
        <f>IFERROR(__xludf.DUMMYFUNCTION("""COMPUTED_VALUE"""),48700.0)</f>
        <v>48700</v>
      </c>
      <c r="C2306" s="1">
        <f>IFERROR(__xludf.DUMMYFUNCTION("""COMPUTED_VALUE"""),49450.0)</f>
        <v>49450</v>
      </c>
      <c r="D2306" s="1">
        <f>IFERROR(__xludf.DUMMYFUNCTION("""COMPUTED_VALUE"""),48600.0)</f>
        <v>48600</v>
      </c>
      <c r="E2306" s="1">
        <f>IFERROR(__xludf.DUMMYFUNCTION("""COMPUTED_VALUE"""),49250.0)</f>
        <v>49250</v>
      </c>
      <c r="F2306" s="1">
        <f>IFERROR(__xludf.DUMMYFUNCTION("""COMPUTED_VALUE"""),1.512749E7)</f>
        <v>15127490</v>
      </c>
    </row>
    <row r="2307">
      <c r="A2307" s="2">
        <f>IFERROR(__xludf.DUMMYFUNCTION("""COMPUTED_VALUE"""),43978.64583333333)</f>
        <v>43978.64583</v>
      </c>
      <c r="B2307" s="1">
        <f>IFERROR(__xludf.DUMMYFUNCTION("""COMPUTED_VALUE"""),48950.0)</f>
        <v>48950</v>
      </c>
      <c r="C2307" s="1">
        <f>IFERROR(__xludf.DUMMYFUNCTION("""COMPUTED_VALUE"""),50000.0)</f>
        <v>50000</v>
      </c>
      <c r="D2307" s="1">
        <f>IFERROR(__xludf.DUMMYFUNCTION("""COMPUTED_VALUE"""),48800.0)</f>
        <v>48800</v>
      </c>
      <c r="E2307" s="1">
        <f>IFERROR(__xludf.DUMMYFUNCTION("""COMPUTED_VALUE"""),49900.0)</f>
        <v>49900</v>
      </c>
      <c r="F2307" s="1">
        <f>IFERROR(__xludf.DUMMYFUNCTION("""COMPUTED_VALUE"""),1.9548479E7)</f>
        <v>19548479</v>
      </c>
    </row>
    <row r="2308">
      <c r="A2308" s="2">
        <f>IFERROR(__xludf.DUMMYFUNCTION("""COMPUTED_VALUE"""),43979.64583333333)</f>
        <v>43979.64583</v>
      </c>
      <c r="B2308" s="1">
        <f>IFERROR(__xludf.DUMMYFUNCTION("""COMPUTED_VALUE"""),51100.0)</f>
        <v>51100</v>
      </c>
      <c r="C2308" s="1">
        <f>IFERROR(__xludf.DUMMYFUNCTION("""COMPUTED_VALUE"""),51200.0)</f>
        <v>51200</v>
      </c>
      <c r="D2308" s="1">
        <f>IFERROR(__xludf.DUMMYFUNCTION("""COMPUTED_VALUE"""),49900.0)</f>
        <v>49900</v>
      </c>
      <c r="E2308" s="1">
        <f>IFERROR(__xludf.DUMMYFUNCTION("""COMPUTED_VALUE"""),50400.0)</f>
        <v>50400</v>
      </c>
      <c r="F2308" s="1">
        <f>IFERROR(__xludf.DUMMYFUNCTION("""COMPUTED_VALUE"""),3.1309318E7)</f>
        <v>31309318</v>
      </c>
    </row>
    <row r="2309">
      <c r="A2309" s="2">
        <f>IFERROR(__xludf.DUMMYFUNCTION("""COMPUTED_VALUE"""),43980.64583333333)</f>
        <v>43980.64583</v>
      </c>
      <c r="B2309" s="1">
        <f>IFERROR(__xludf.DUMMYFUNCTION("""COMPUTED_VALUE"""),50000.0)</f>
        <v>50000</v>
      </c>
      <c r="C2309" s="1">
        <f>IFERROR(__xludf.DUMMYFUNCTION("""COMPUTED_VALUE"""),50700.0)</f>
        <v>50700</v>
      </c>
      <c r="D2309" s="1">
        <f>IFERROR(__xludf.DUMMYFUNCTION("""COMPUTED_VALUE"""),49700.0)</f>
        <v>49700</v>
      </c>
      <c r="E2309" s="1">
        <f>IFERROR(__xludf.DUMMYFUNCTION("""COMPUTED_VALUE"""),50700.0)</f>
        <v>50700</v>
      </c>
      <c r="F2309" s="1">
        <f>IFERROR(__xludf.DUMMYFUNCTION("""COMPUTED_VALUE"""),2.7596961E7)</f>
        <v>27596961</v>
      </c>
    </row>
    <row r="2310">
      <c r="A2310" s="2">
        <f>IFERROR(__xludf.DUMMYFUNCTION("""COMPUTED_VALUE"""),43983.64583333333)</f>
        <v>43983.64583</v>
      </c>
      <c r="B2310" s="1">
        <f>IFERROR(__xludf.DUMMYFUNCTION("""COMPUTED_VALUE"""),50800.0)</f>
        <v>50800</v>
      </c>
      <c r="C2310" s="1">
        <f>IFERROR(__xludf.DUMMYFUNCTION("""COMPUTED_VALUE"""),51200.0)</f>
        <v>51200</v>
      </c>
      <c r="D2310" s="1">
        <f>IFERROR(__xludf.DUMMYFUNCTION("""COMPUTED_VALUE"""),50600.0)</f>
        <v>50600</v>
      </c>
      <c r="E2310" s="1">
        <f>IFERROR(__xludf.DUMMYFUNCTION("""COMPUTED_VALUE"""),51200.0)</f>
        <v>51200</v>
      </c>
      <c r="F2310" s="1">
        <f>IFERROR(__xludf.DUMMYFUNCTION("""COMPUTED_VALUE"""),1.6949183E7)</f>
        <v>16949183</v>
      </c>
    </row>
    <row r="2311">
      <c r="A2311" s="2">
        <f>IFERROR(__xludf.DUMMYFUNCTION("""COMPUTED_VALUE"""),43984.64583333333)</f>
        <v>43984.64583</v>
      </c>
      <c r="B2311" s="1">
        <f>IFERROR(__xludf.DUMMYFUNCTION("""COMPUTED_VALUE"""),51000.0)</f>
        <v>51000</v>
      </c>
      <c r="C2311" s="1">
        <f>IFERROR(__xludf.DUMMYFUNCTION("""COMPUTED_VALUE"""),51500.0)</f>
        <v>51500</v>
      </c>
      <c r="D2311" s="1">
        <f>IFERROR(__xludf.DUMMYFUNCTION("""COMPUTED_VALUE"""),50800.0)</f>
        <v>50800</v>
      </c>
      <c r="E2311" s="1">
        <f>IFERROR(__xludf.DUMMYFUNCTION("""COMPUTED_VALUE"""),51400.0)</f>
        <v>51400</v>
      </c>
      <c r="F2311" s="1">
        <f>IFERROR(__xludf.DUMMYFUNCTION("""COMPUTED_VALUE"""),1.4247933E7)</f>
        <v>14247933</v>
      </c>
    </row>
    <row r="2312">
      <c r="A2312" s="2">
        <f>IFERROR(__xludf.DUMMYFUNCTION("""COMPUTED_VALUE"""),43985.64583333333)</f>
        <v>43985.64583</v>
      </c>
      <c r="B2312" s="1">
        <f>IFERROR(__xludf.DUMMYFUNCTION("""COMPUTED_VALUE"""),51800.0)</f>
        <v>51800</v>
      </c>
      <c r="C2312" s="1">
        <f>IFERROR(__xludf.DUMMYFUNCTION("""COMPUTED_VALUE"""),55000.0)</f>
        <v>55000</v>
      </c>
      <c r="D2312" s="1">
        <f>IFERROR(__xludf.DUMMYFUNCTION("""COMPUTED_VALUE"""),51700.0)</f>
        <v>51700</v>
      </c>
      <c r="E2312" s="1">
        <f>IFERROR(__xludf.DUMMYFUNCTION("""COMPUTED_VALUE"""),54500.0)</f>
        <v>54500</v>
      </c>
      <c r="F2312" s="1">
        <f>IFERROR(__xludf.DUMMYFUNCTION("""COMPUTED_VALUE"""),4.9257814E7)</f>
        <v>49257814</v>
      </c>
    </row>
    <row r="2313">
      <c r="A2313" s="2">
        <f>IFERROR(__xludf.DUMMYFUNCTION("""COMPUTED_VALUE"""),43986.64583333333)</f>
        <v>43986.64583</v>
      </c>
      <c r="B2313" s="1">
        <f>IFERROR(__xludf.DUMMYFUNCTION("""COMPUTED_VALUE"""),55800.0)</f>
        <v>55800</v>
      </c>
      <c r="C2313" s="1">
        <f>IFERROR(__xludf.DUMMYFUNCTION("""COMPUTED_VALUE"""),57000.0)</f>
        <v>57000</v>
      </c>
      <c r="D2313" s="1">
        <f>IFERROR(__xludf.DUMMYFUNCTION("""COMPUTED_VALUE"""),54600.0)</f>
        <v>54600</v>
      </c>
      <c r="E2313" s="1">
        <f>IFERROR(__xludf.DUMMYFUNCTION("""COMPUTED_VALUE"""),54600.0)</f>
        <v>54600</v>
      </c>
      <c r="F2313" s="1">
        <f>IFERROR(__xludf.DUMMYFUNCTION("""COMPUTED_VALUE"""),4.0220334E7)</f>
        <v>40220334</v>
      </c>
    </row>
    <row r="2314">
      <c r="A2314" s="2">
        <f>IFERROR(__xludf.DUMMYFUNCTION("""COMPUTED_VALUE"""),43987.64583333333)</f>
        <v>43987.64583</v>
      </c>
      <c r="B2314" s="1">
        <f>IFERROR(__xludf.DUMMYFUNCTION("""COMPUTED_VALUE"""),54400.0)</f>
        <v>54400</v>
      </c>
      <c r="C2314" s="1">
        <f>IFERROR(__xludf.DUMMYFUNCTION("""COMPUTED_VALUE"""),55900.0)</f>
        <v>55900</v>
      </c>
      <c r="D2314" s="1">
        <f>IFERROR(__xludf.DUMMYFUNCTION("""COMPUTED_VALUE"""),54000.0)</f>
        <v>54000</v>
      </c>
      <c r="E2314" s="1">
        <f>IFERROR(__xludf.DUMMYFUNCTION("""COMPUTED_VALUE"""),55500.0)</f>
        <v>55500</v>
      </c>
      <c r="F2314" s="1">
        <f>IFERROR(__xludf.DUMMYFUNCTION("""COMPUTED_VALUE"""),2.2743629E7)</f>
        <v>22743629</v>
      </c>
    </row>
    <row r="2315">
      <c r="A2315" s="2">
        <f>IFERROR(__xludf.DUMMYFUNCTION("""COMPUTED_VALUE"""),43990.64583333333)</f>
        <v>43990.64583</v>
      </c>
      <c r="B2315" s="1">
        <f>IFERROR(__xludf.DUMMYFUNCTION("""COMPUTED_VALUE"""),56400.0)</f>
        <v>56400</v>
      </c>
      <c r="C2315" s="1">
        <f>IFERROR(__xludf.DUMMYFUNCTION("""COMPUTED_VALUE"""),56500.0)</f>
        <v>56500</v>
      </c>
      <c r="D2315" s="1">
        <f>IFERROR(__xludf.DUMMYFUNCTION("""COMPUTED_VALUE"""),54700.0)</f>
        <v>54700</v>
      </c>
      <c r="E2315" s="1">
        <f>IFERROR(__xludf.DUMMYFUNCTION("""COMPUTED_VALUE"""),54900.0)</f>
        <v>54900</v>
      </c>
      <c r="F2315" s="1">
        <f>IFERROR(__xludf.DUMMYFUNCTION("""COMPUTED_VALUE"""),2.5634965E7)</f>
        <v>25634965</v>
      </c>
    </row>
    <row r="2316">
      <c r="A2316" s="2">
        <f>IFERROR(__xludf.DUMMYFUNCTION("""COMPUTED_VALUE"""),43991.64583333333)</f>
        <v>43991.64583</v>
      </c>
      <c r="B2316" s="1">
        <f>IFERROR(__xludf.DUMMYFUNCTION("""COMPUTED_VALUE"""),55800.0)</f>
        <v>55800</v>
      </c>
      <c r="C2316" s="1">
        <f>IFERROR(__xludf.DUMMYFUNCTION("""COMPUTED_VALUE"""),56500.0)</f>
        <v>56500</v>
      </c>
      <c r="D2316" s="1">
        <f>IFERROR(__xludf.DUMMYFUNCTION("""COMPUTED_VALUE"""),54400.0)</f>
        <v>54400</v>
      </c>
      <c r="E2316" s="1">
        <f>IFERROR(__xludf.DUMMYFUNCTION("""COMPUTED_VALUE"""),55500.0)</f>
        <v>55500</v>
      </c>
      <c r="F2316" s="1">
        <f>IFERROR(__xludf.DUMMYFUNCTION("""COMPUTED_VALUE"""),2.3998831E7)</f>
        <v>23998831</v>
      </c>
    </row>
    <row r="2317">
      <c r="A2317" s="2">
        <f>IFERROR(__xludf.DUMMYFUNCTION("""COMPUTED_VALUE"""),43992.64583333333)</f>
        <v>43992.64583</v>
      </c>
      <c r="B2317" s="1">
        <f>IFERROR(__xludf.DUMMYFUNCTION("""COMPUTED_VALUE"""),55100.0)</f>
        <v>55100</v>
      </c>
      <c r="C2317" s="1">
        <f>IFERROR(__xludf.DUMMYFUNCTION("""COMPUTED_VALUE"""),55900.0)</f>
        <v>55900</v>
      </c>
      <c r="D2317" s="1">
        <f>IFERROR(__xludf.DUMMYFUNCTION("""COMPUTED_VALUE"""),54900.0)</f>
        <v>54900</v>
      </c>
      <c r="E2317" s="1">
        <f>IFERROR(__xludf.DUMMYFUNCTION("""COMPUTED_VALUE"""),55400.0)</f>
        <v>55400</v>
      </c>
      <c r="F2317" s="1">
        <f>IFERROR(__xludf.DUMMYFUNCTION("""COMPUTED_VALUE"""),1.6742493E7)</f>
        <v>16742493</v>
      </c>
    </row>
    <row r="2318">
      <c r="A2318" s="2">
        <f>IFERROR(__xludf.DUMMYFUNCTION("""COMPUTED_VALUE"""),43993.64583333333)</f>
        <v>43993.64583</v>
      </c>
      <c r="B2318" s="1">
        <f>IFERROR(__xludf.DUMMYFUNCTION("""COMPUTED_VALUE"""),54500.0)</f>
        <v>54500</v>
      </c>
      <c r="C2318" s="1">
        <f>IFERROR(__xludf.DUMMYFUNCTION("""COMPUTED_VALUE"""),55100.0)</f>
        <v>55100</v>
      </c>
      <c r="D2318" s="1">
        <f>IFERROR(__xludf.DUMMYFUNCTION("""COMPUTED_VALUE"""),53200.0)</f>
        <v>53200</v>
      </c>
      <c r="E2318" s="1">
        <f>IFERROR(__xludf.DUMMYFUNCTION("""COMPUTED_VALUE"""),54300.0)</f>
        <v>54300</v>
      </c>
      <c r="F2318" s="1">
        <f>IFERROR(__xludf.DUMMYFUNCTION("""COMPUTED_VALUE"""),3.3815123E7)</f>
        <v>33815123</v>
      </c>
    </row>
    <row r="2319">
      <c r="A2319" s="2">
        <f>IFERROR(__xludf.DUMMYFUNCTION("""COMPUTED_VALUE"""),43994.64583333333)</f>
        <v>43994.64583</v>
      </c>
      <c r="B2319" s="1">
        <f>IFERROR(__xludf.DUMMYFUNCTION("""COMPUTED_VALUE"""),52100.0)</f>
        <v>52100</v>
      </c>
      <c r="C2319" s="1">
        <f>IFERROR(__xludf.DUMMYFUNCTION("""COMPUTED_VALUE"""),52800.0)</f>
        <v>52800</v>
      </c>
      <c r="D2319" s="1">
        <f>IFERROR(__xludf.DUMMYFUNCTION("""COMPUTED_VALUE"""),51500.0)</f>
        <v>51500</v>
      </c>
      <c r="E2319" s="1">
        <f>IFERROR(__xludf.DUMMYFUNCTION("""COMPUTED_VALUE"""),52300.0)</f>
        <v>52300</v>
      </c>
      <c r="F2319" s="1">
        <f>IFERROR(__xludf.DUMMYFUNCTION("""COMPUTED_VALUE"""),2.6976019E7)</f>
        <v>26976019</v>
      </c>
    </row>
    <row r="2320">
      <c r="A2320" s="2">
        <f>IFERROR(__xludf.DUMMYFUNCTION("""COMPUTED_VALUE"""),43997.64583333333)</f>
        <v>43997.64583</v>
      </c>
      <c r="B2320" s="1">
        <f>IFERROR(__xludf.DUMMYFUNCTION("""COMPUTED_VALUE"""),51400.0)</f>
        <v>51400</v>
      </c>
      <c r="C2320" s="1">
        <f>IFERROR(__xludf.DUMMYFUNCTION("""COMPUTED_VALUE"""),52000.0)</f>
        <v>52000</v>
      </c>
      <c r="D2320" s="1">
        <f>IFERROR(__xludf.DUMMYFUNCTION("""COMPUTED_VALUE"""),49900.0)</f>
        <v>49900</v>
      </c>
      <c r="E2320" s="1">
        <f>IFERROR(__xludf.DUMMYFUNCTION("""COMPUTED_VALUE"""),49900.0)</f>
        <v>49900</v>
      </c>
      <c r="F2320" s="1">
        <f>IFERROR(__xludf.DUMMYFUNCTION("""COMPUTED_VALUE"""),2.8772921E7)</f>
        <v>28772921</v>
      </c>
    </row>
    <row r="2321">
      <c r="A2321" s="2">
        <f>IFERROR(__xludf.DUMMYFUNCTION("""COMPUTED_VALUE"""),43998.64583333333)</f>
        <v>43998.64583</v>
      </c>
      <c r="B2321" s="1">
        <f>IFERROR(__xludf.DUMMYFUNCTION("""COMPUTED_VALUE"""),51200.0)</f>
        <v>51200</v>
      </c>
      <c r="C2321" s="1">
        <f>IFERROR(__xludf.DUMMYFUNCTION("""COMPUTED_VALUE"""),52100.0)</f>
        <v>52100</v>
      </c>
      <c r="D2321" s="1">
        <f>IFERROR(__xludf.DUMMYFUNCTION("""COMPUTED_VALUE"""),50600.0)</f>
        <v>50600</v>
      </c>
      <c r="E2321" s="1">
        <f>IFERROR(__xludf.DUMMYFUNCTION("""COMPUTED_VALUE"""),52100.0)</f>
        <v>52100</v>
      </c>
      <c r="F2321" s="1">
        <f>IFERROR(__xludf.DUMMYFUNCTION("""COMPUTED_VALUE"""),2.1808375E7)</f>
        <v>21808375</v>
      </c>
    </row>
    <row r="2322">
      <c r="A2322" s="2">
        <f>IFERROR(__xludf.DUMMYFUNCTION("""COMPUTED_VALUE"""),43999.64583333333)</f>
        <v>43999.64583</v>
      </c>
      <c r="B2322" s="1">
        <f>IFERROR(__xludf.DUMMYFUNCTION("""COMPUTED_VALUE"""),52100.0)</f>
        <v>52100</v>
      </c>
      <c r="C2322" s="1">
        <f>IFERROR(__xludf.DUMMYFUNCTION("""COMPUTED_VALUE"""),52900.0)</f>
        <v>52900</v>
      </c>
      <c r="D2322" s="1">
        <f>IFERROR(__xludf.DUMMYFUNCTION("""COMPUTED_VALUE"""),51300.0)</f>
        <v>51300</v>
      </c>
      <c r="E2322" s="1">
        <f>IFERROR(__xludf.DUMMYFUNCTION("""COMPUTED_VALUE"""),52200.0)</f>
        <v>52200</v>
      </c>
      <c r="F2322" s="1">
        <f>IFERROR(__xludf.DUMMYFUNCTION("""COMPUTED_VALUE"""),2.6672595E7)</f>
        <v>26672595</v>
      </c>
    </row>
    <row r="2323">
      <c r="A2323" s="2">
        <f>IFERROR(__xludf.DUMMYFUNCTION("""COMPUTED_VALUE"""),44000.64583333333)</f>
        <v>44000.64583</v>
      </c>
      <c r="B2323" s="1">
        <f>IFERROR(__xludf.DUMMYFUNCTION("""COMPUTED_VALUE"""),52200.0)</f>
        <v>52200</v>
      </c>
      <c r="C2323" s="1">
        <f>IFERROR(__xludf.DUMMYFUNCTION("""COMPUTED_VALUE"""),52300.0)</f>
        <v>52300</v>
      </c>
      <c r="D2323" s="1">
        <f>IFERROR(__xludf.DUMMYFUNCTION("""COMPUTED_VALUE"""),51600.0)</f>
        <v>51600</v>
      </c>
      <c r="E2323" s="1">
        <f>IFERROR(__xludf.DUMMYFUNCTION("""COMPUTED_VALUE"""),52300.0)</f>
        <v>52300</v>
      </c>
      <c r="F2323" s="1">
        <f>IFERROR(__xludf.DUMMYFUNCTION("""COMPUTED_VALUE"""),1.5982926E7)</f>
        <v>15982926</v>
      </c>
    </row>
    <row r="2324">
      <c r="A2324" s="2">
        <f>IFERROR(__xludf.DUMMYFUNCTION("""COMPUTED_VALUE"""),44001.64583333333)</f>
        <v>44001.64583</v>
      </c>
      <c r="B2324" s="1">
        <f>IFERROR(__xludf.DUMMYFUNCTION("""COMPUTED_VALUE"""),52600.0)</f>
        <v>52600</v>
      </c>
      <c r="C2324" s="1">
        <f>IFERROR(__xludf.DUMMYFUNCTION("""COMPUTED_VALUE"""),52900.0)</f>
        <v>52900</v>
      </c>
      <c r="D2324" s="1">
        <f>IFERROR(__xludf.DUMMYFUNCTION("""COMPUTED_VALUE"""),51600.0)</f>
        <v>51600</v>
      </c>
      <c r="E2324" s="1">
        <f>IFERROR(__xludf.DUMMYFUNCTION("""COMPUTED_VALUE"""),52900.0)</f>
        <v>52900</v>
      </c>
      <c r="F2324" s="1">
        <f>IFERROR(__xludf.DUMMYFUNCTION("""COMPUTED_VALUE"""),1.8157985E7)</f>
        <v>18157985</v>
      </c>
    </row>
    <row r="2325">
      <c r="A2325" s="2">
        <f>IFERROR(__xludf.DUMMYFUNCTION("""COMPUTED_VALUE"""),44004.64583333333)</f>
        <v>44004.64583</v>
      </c>
      <c r="B2325" s="1">
        <f>IFERROR(__xludf.DUMMYFUNCTION("""COMPUTED_VALUE"""),52000.0)</f>
        <v>52000</v>
      </c>
      <c r="C2325" s="1">
        <f>IFERROR(__xludf.DUMMYFUNCTION("""COMPUTED_VALUE"""),52600.0)</f>
        <v>52600</v>
      </c>
      <c r="D2325" s="1">
        <f>IFERROR(__xludf.DUMMYFUNCTION("""COMPUTED_VALUE"""),51800.0)</f>
        <v>51800</v>
      </c>
      <c r="E2325" s="1">
        <f>IFERROR(__xludf.DUMMYFUNCTION("""COMPUTED_VALUE"""),52000.0)</f>
        <v>52000</v>
      </c>
      <c r="F2325" s="1">
        <f>IFERROR(__xludf.DUMMYFUNCTION("""COMPUTED_VALUE"""),1.380135E7)</f>
        <v>13801350</v>
      </c>
    </row>
    <row r="2326">
      <c r="A2326" s="2">
        <f>IFERROR(__xludf.DUMMYFUNCTION("""COMPUTED_VALUE"""),44005.64583333333)</f>
        <v>44005.64583</v>
      </c>
      <c r="B2326" s="1">
        <f>IFERROR(__xludf.DUMMYFUNCTION("""COMPUTED_VALUE"""),52500.0)</f>
        <v>52500</v>
      </c>
      <c r="C2326" s="1">
        <f>IFERROR(__xludf.DUMMYFUNCTION("""COMPUTED_VALUE"""),52800.0)</f>
        <v>52800</v>
      </c>
      <c r="D2326" s="1">
        <f>IFERROR(__xludf.DUMMYFUNCTION("""COMPUTED_VALUE"""),51100.0)</f>
        <v>51100</v>
      </c>
      <c r="E2326" s="1">
        <f>IFERROR(__xludf.DUMMYFUNCTION("""COMPUTED_VALUE"""),51400.0)</f>
        <v>51400</v>
      </c>
      <c r="F2326" s="1">
        <f>IFERROR(__xludf.DUMMYFUNCTION("""COMPUTED_VALUE"""),1.8086152E7)</f>
        <v>18086152</v>
      </c>
    </row>
    <row r="2327">
      <c r="A2327" s="2">
        <f>IFERROR(__xludf.DUMMYFUNCTION("""COMPUTED_VALUE"""),44006.64583333333)</f>
        <v>44006.64583</v>
      </c>
      <c r="B2327" s="1">
        <f>IFERROR(__xludf.DUMMYFUNCTION("""COMPUTED_VALUE"""),51900.0)</f>
        <v>51900</v>
      </c>
      <c r="C2327" s="1">
        <f>IFERROR(__xludf.DUMMYFUNCTION("""COMPUTED_VALUE"""),53900.0)</f>
        <v>53900</v>
      </c>
      <c r="D2327" s="1">
        <f>IFERROR(__xludf.DUMMYFUNCTION("""COMPUTED_VALUE"""),51600.0)</f>
        <v>51600</v>
      </c>
      <c r="E2327" s="1">
        <f>IFERROR(__xludf.DUMMYFUNCTION("""COMPUTED_VALUE"""),52900.0)</f>
        <v>52900</v>
      </c>
      <c r="F2327" s="1">
        <f>IFERROR(__xludf.DUMMYFUNCTION("""COMPUTED_VALUE"""),2.4519552E7)</f>
        <v>24519552</v>
      </c>
    </row>
    <row r="2328">
      <c r="A2328" s="2">
        <f>IFERROR(__xludf.DUMMYFUNCTION("""COMPUTED_VALUE"""),44007.64583333333)</f>
        <v>44007.64583</v>
      </c>
      <c r="B2328" s="1">
        <f>IFERROR(__xludf.DUMMYFUNCTION("""COMPUTED_VALUE"""),52100.0)</f>
        <v>52100</v>
      </c>
      <c r="C2328" s="1">
        <f>IFERROR(__xludf.DUMMYFUNCTION("""COMPUTED_VALUE"""),53000.0)</f>
        <v>53000</v>
      </c>
      <c r="D2328" s="1">
        <f>IFERROR(__xludf.DUMMYFUNCTION("""COMPUTED_VALUE"""),51900.0)</f>
        <v>51900</v>
      </c>
      <c r="E2328" s="1">
        <f>IFERROR(__xludf.DUMMYFUNCTION("""COMPUTED_VALUE"""),51900.0)</f>
        <v>51900</v>
      </c>
      <c r="F2328" s="1">
        <f>IFERROR(__xludf.DUMMYFUNCTION("""COMPUTED_VALUE"""),1.8541624E7)</f>
        <v>18541624</v>
      </c>
    </row>
    <row r="2329">
      <c r="A2329" s="2">
        <f>IFERROR(__xludf.DUMMYFUNCTION("""COMPUTED_VALUE"""),44008.64583333333)</f>
        <v>44008.64583</v>
      </c>
      <c r="B2329" s="1">
        <f>IFERROR(__xludf.DUMMYFUNCTION("""COMPUTED_VALUE"""),52800.0)</f>
        <v>52800</v>
      </c>
      <c r="C2329" s="1">
        <f>IFERROR(__xludf.DUMMYFUNCTION("""COMPUTED_VALUE"""),53900.0)</f>
        <v>53900</v>
      </c>
      <c r="D2329" s="1">
        <f>IFERROR(__xludf.DUMMYFUNCTION("""COMPUTED_VALUE"""),52200.0)</f>
        <v>52200</v>
      </c>
      <c r="E2329" s="1">
        <f>IFERROR(__xludf.DUMMYFUNCTION("""COMPUTED_VALUE"""),53300.0)</f>
        <v>53300</v>
      </c>
      <c r="F2329" s="1">
        <f>IFERROR(__xludf.DUMMYFUNCTION("""COMPUTED_VALUE"""),2.157536E7)</f>
        <v>21575360</v>
      </c>
    </row>
    <row r="2330">
      <c r="A2330" s="2">
        <f>IFERROR(__xludf.DUMMYFUNCTION("""COMPUTED_VALUE"""),44011.64583333333)</f>
        <v>44011.64583</v>
      </c>
      <c r="B2330" s="1">
        <f>IFERROR(__xludf.DUMMYFUNCTION("""COMPUTED_VALUE"""),52500.0)</f>
        <v>52500</v>
      </c>
      <c r="C2330" s="1">
        <f>IFERROR(__xludf.DUMMYFUNCTION("""COMPUTED_VALUE"""),53200.0)</f>
        <v>53200</v>
      </c>
      <c r="D2330" s="1">
        <f>IFERROR(__xludf.DUMMYFUNCTION("""COMPUTED_VALUE"""),52000.0)</f>
        <v>52000</v>
      </c>
      <c r="E2330" s="1">
        <f>IFERROR(__xludf.DUMMYFUNCTION("""COMPUTED_VALUE"""),52400.0)</f>
        <v>52400</v>
      </c>
      <c r="F2330" s="1">
        <f>IFERROR(__xludf.DUMMYFUNCTION("""COMPUTED_VALUE"""),1.7776925E7)</f>
        <v>17776925</v>
      </c>
    </row>
    <row r="2331">
      <c r="A2331" s="2">
        <f>IFERROR(__xludf.DUMMYFUNCTION("""COMPUTED_VALUE"""),44012.64583333333)</f>
        <v>44012.64583</v>
      </c>
      <c r="B2331" s="1">
        <f>IFERROR(__xludf.DUMMYFUNCTION("""COMPUTED_VALUE"""),53900.0)</f>
        <v>53900</v>
      </c>
      <c r="C2331" s="1">
        <f>IFERROR(__xludf.DUMMYFUNCTION("""COMPUTED_VALUE"""),53900.0)</f>
        <v>53900</v>
      </c>
      <c r="D2331" s="1">
        <f>IFERROR(__xludf.DUMMYFUNCTION("""COMPUTED_VALUE"""),52800.0)</f>
        <v>52800</v>
      </c>
      <c r="E2331" s="1">
        <f>IFERROR(__xludf.DUMMYFUNCTION("""COMPUTED_VALUE"""),52800.0)</f>
        <v>52800</v>
      </c>
      <c r="F2331" s="1">
        <f>IFERROR(__xludf.DUMMYFUNCTION("""COMPUTED_VALUE"""),2.1157172E7)</f>
        <v>21157172</v>
      </c>
    </row>
    <row r="2332">
      <c r="A2332" s="2">
        <f>IFERROR(__xludf.DUMMYFUNCTION("""COMPUTED_VALUE"""),44013.64583333333)</f>
        <v>44013.64583</v>
      </c>
      <c r="B2332" s="1">
        <f>IFERROR(__xludf.DUMMYFUNCTION("""COMPUTED_VALUE"""),53400.0)</f>
        <v>53400</v>
      </c>
      <c r="C2332" s="1">
        <f>IFERROR(__xludf.DUMMYFUNCTION("""COMPUTED_VALUE"""),53600.0)</f>
        <v>53600</v>
      </c>
      <c r="D2332" s="1">
        <f>IFERROR(__xludf.DUMMYFUNCTION("""COMPUTED_VALUE"""),52400.0)</f>
        <v>52400</v>
      </c>
      <c r="E2332" s="1">
        <f>IFERROR(__xludf.DUMMYFUNCTION("""COMPUTED_VALUE"""),52600.0)</f>
        <v>52600</v>
      </c>
      <c r="F2332" s="1">
        <f>IFERROR(__xludf.DUMMYFUNCTION("""COMPUTED_VALUE"""),1.6706143E7)</f>
        <v>16706143</v>
      </c>
    </row>
    <row r="2333">
      <c r="A2333" s="2">
        <f>IFERROR(__xludf.DUMMYFUNCTION("""COMPUTED_VALUE"""),44014.64583333333)</f>
        <v>44014.64583</v>
      </c>
      <c r="B2333" s="1">
        <f>IFERROR(__xludf.DUMMYFUNCTION("""COMPUTED_VALUE"""),52100.0)</f>
        <v>52100</v>
      </c>
      <c r="C2333" s="1">
        <f>IFERROR(__xludf.DUMMYFUNCTION("""COMPUTED_VALUE"""),52900.0)</f>
        <v>52900</v>
      </c>
      <c r="D2333" s="1">
        <f>IFERROR(__xludf.DUMMYFUNCTION("""COMPUTED_VALUE"""),52100.0)</f>
        <v>52100</v>
      </c>
      <c r="E2333" s="1">
        <f>IFERROR(__xludf.DUMMYFUNCTION("""COMPUTED_VALUE"""),52900.0)</f>
        <v>52900</v>
      </c>
      <c r="F2333" s="1">
        <f>IFERROR(__xludf.DUMMYFUNCTION("""COMPUTED_VALUE"""),1.4142583E7)</f>
        <v>14142583</v>
      </c>
    </row>
    <row r="2334">
      <c r="A2334" s="2">
        <f>IFERROR(__xludf.DUMMYFUNCTION("""COMPUTED_VALUE"""),44015.64583333333)</f>
        <v>44015.64583</v>
      </c>
      <c r="B2334" s="1">
        <f>IFERROR(__xludf.DUMMYFUNCTION("""COMPUTED_VALUE"""),53000.0)</f>
        <v>53000</v>
      </c>
      <c r="C2334" s="1">
        <f>IFERROR(__xludf.DUMMYFUNCTION("""COMPUTED_VALUE"""),53600.0)</f>
        <v>53600</v>
      </c>
      <c r="D2334" s="1">
        <f>IFERROR(__xludf.DUMMYFUNCTION("""COMPUTED_VALUE"""),52700.0)</f>
        <v>52700</v>
      </c>
      <c r="E2334" s="1">
        <f>IFERROR(__xludf.DUMMYFUNCTION("""COMPUTED_VALUE"""),53600.0)</f>
        <v>53600</v>
      </c>
      <c r="F2334" s="1">
        <f>IFERROR(__xludf.DUMMYFUNCTION("""COMPUTED_VALUE"""),1.1887868E7)</f>
        <v>11887868</v>
      </c>
    </row>
    <row r="2335">
      <c r="A2335" s="2">
        <f>IFERROR(__xludf.DUMMYFUNCTION("""COMPUTED_VALUE"""),44018.64583333333)</f>
        <v>44018.64583</v>
      </c>
      <c r="B2335" s="1">
        <f>IFERROR(__xludf.DUMMYFUNCTION("""COMPUTED_VALUE"""),54000.0)</f>
        <v>54000</v>
      </c>
      <c r="C2335" s="1">
        <f>IFERROR(__xludf.DUMMYFUNCTION("""COMPUTED_VALUE"""),55000.0)</f>
        <v>55000</v>
      </c>
      <c r="D2335" s="1">
        <f>IFERROR(__xludf.DUMMYFUNCTION("""COMPUTED_VALUE"""),53800.0)</f>
        <v>53800</v>
      </c>
      <c r="E2335" s="1">
        <f>IFERROR(__xludf.DUMMYFUNCTION("""COMPUTED_VALUE"""),55000.0)</f>
        <v>55000</v>
      </c>
      <c r="F2335" s="1">
        <f>IFERROR(__xludf.DUMMYFUNCTION("""COMPUTED_VALUE"""),1.9856623E7)</f>
        <v>19856623</v>
      </c>
    </row>
    <row r="2336">
      <c r="A2336" s="2">
        <f>IFERROR(__xludf.DUMMYFUNCTION("""COMPUTED_VALUE"""),44019.64583333333)</f>
        <v>44019.64583</v>
      </c>
      <c r="B2336" s="1">
        <f>IFERROR(__xludf.DUMMYFUNCTION("""COMPUTED_VALUE"""),55800.0)</f>
        <v>55800</v>
      </c>
      <c r="C2336" s="1">
        <f>IFERROR(__xludf.DUMMYFUNCTION("""COMPUTED_VALUE"""),55900.0)</f>
        <v>55900</v>
      </c>
      <c r="D2336" s="1">
        <f>IFERROR(__xludf.DUMMYFUNCTION("""COMPUTED_VALUE"""),53400.0)</f>
        <v>53400</v>
      </c>
      <c r="E2336" s="1">
        <f>IFERROR(__xludf.DUMMYFUNCTION("""COMPUTED_VALUE"""),53400.0)</f>
        <v>53400</v>
      </c>
      <c r="F2336" s="1">
        <f>IFERROR(__xludf.DUMMYFUNCTION("""COMPUTED_VALUE"""),3.0760032E7)</f>
        <v>30760032</v>
      </c>
    </row>
    <row r="2337">
      <c r="A2337" s="2">
        <f>IFERROR(__xludf.DUMMYFUNCTION("""COMPUTED_VALUE"""),44020.64583333333)</f>
        <v>44020.64583</v>
      </c>
      <c r="B2337" s="1">
        <f>IFERROR(__xludf.DUMMYFUNCTION("""COMPUTED_VALUE"""),53600.0)</f>
        <v>53600</v>
      </c>
      <c r="C2337" s="1">
        <f>IFERROR(__xludf.DUMMYFUNCTION("""COMPUTED_VALUE"""),53900.0)</f>
        <v>53900</v>
      </c>
      <c r="D2337" s="1">
        <f>IFERROR(__xludf.DUMMYFUNCTION("""COMPUTED_VALUE"""),52900.0)</f>
        <v>52900</v>
      </c>
      <c r="E2337" s="1">
        <f>IFERROR(__xludf.DUMMYFUNCTION("""COMPUTED_VALUE"""),53000.0)</f>
        <v>53000</v>
      </c>
      <c r="F2337" s="1">
        <f>IFERROR(__xludf.DUMMYFUNCTION("""COMPUTED_VALUE"""),1.9664652E7)</f>
        <v>19664652</v>
      </c>
    </row>
    <row r="2338">
      <c r="A2338" s="2">
        <f>IFERROR(__xludf.DUMMYFUNCTION("""COMPUTED_VALUE"""),44021.64583333333)</f>
        <v>44021.64583</v>
      </c>
      <c r="B2338" s="1">
        <f>IFERROR(__xludf.DUMMYFUNCTION("""COMPUTED_VALUE"""),53200.0)</f>
        <v>53200</v>
      </c>
      <c r="C2338" s="1">
        <f>IFERROR(__xludf.DUMMYFUNCTION("""COMPUTED_VALUE"""),53600.0)</f>
        <v>53600</v>
      </c>
      <c r="D2338" s="1">
        <f>IFERROR(__xludf.DUMMYFUNCTION("""COMPUTED_VALUE"""),52800.0)</f>
        <v>52800</v>
      </c>
      <c r="E2338" s="1">
        <f>IFERROR(__xludf.DUMMYFUNCTION("""COMPUTED_VALUE"""),52800.0)</f>
        <v>52800</v>
      </c>
      <c r="F2338" s="1">
        <f>IFERROR(__xludf.DUMMYFUNCTION("""COMPUTED_VALUE"""),1.705485E7)</f>
        <v>17054850</v>
      </c>
    </row>
    <row r="2339">
      <c r="A2339" s="2">
        <f>IFERROR(__xludf.DUMMYFUNCTION("""COMPUTED_VALUE"""),44022.64583333333)</f>
        <v>44022.64583</v>
      </c>
      <c r="B2339" s="1">
        <f>IFERROR(__xludf.DUMMYFUNCTION("""COMPUTED_VALUE"""),53100.0)</f>
        <v>53100</v>
      </c>
      <c r="C2339" s="1">
        <f>IFERROR(__xludf.DUMMYFUNCTION("""COMPUTED_VALUE"""),53200.0)</f>
        <v>53200</v>
      </c>
      <c r="D2339" s="1">
        <f>IFERROR(__xludf.DUMMYFUNCTION("""COMPUTED_VALUE"""),52300.0)</f>
        <v>52300</v>
      </c>
      <c r="E2339" s="1">
        <f>IFERROR(__xludf.DUMMYFUNCTION("""COMPUTED_VALUE"""),52700.0)</f>
        <v>52700</v>
      </c>
      <c r="F2339" s="1">
        <f>IFERROR(__xludf.DUMMYFUNCTION("""COMPUTED_VALUE"""),1.3714746E7)</f>
        <v>13714746</v>
      </c>
    </row>
    <row r="2340">
      <c r="A2340" s="2">
        <f>IFERROR(__xludf.DUMMYFUNCTION("""COMPUTED_VALUE"""),44025.64583333333)</f>
        <v>44025.64583</v>
      </c>
      <c r="B2340" s="1">
        <f>IFERROR(__xludf.DUMMYFUNCTION("""COMPUTED_VALUE"""),53300.0)</f>
        <v>53300</v>
      </c>
      <c r="C2340" s="1">
        <f>IFERROR(__xludf.DUMMYFUNCTION("""COMPUTED_VALUE"""),53800.0)</f>
        <v>53800</v>
      </c>
      <c r="D2340" s="1">
        <f>IFERROR(__xludf.DUMMYFUNCTION("""COMPUTED_VALUE"""),53100.0)</f>
        <v>53100</v>
      </c>
      <c r="E2340" s="1">
        <f>IFERROR(__xludf.DUMMYFUNCTION("""COMPUTED_VALUE"""),53400.0)</f>
        <v>53400</v>
      </c>
      <c r="F2340" s="1">
        <f>IFERROR(__xludf.DUMMYFUNCTION("""COMPUTED_VALUE"""),1.2240188E7)</f>
        <v>12240188</v>
      </c>
    </row>
    <row r="2341">
      <c r="A2341" s="2">
        <f>IFERROR(__xludf.DUMMYFUNCTION("""COMPUTED_VALUE"""),44026.64583333333)</f>
        <v>44026.64583</v>
      </c>
      <c r="B2341" s="1">
        <f>IFERROR(__xludf.DUMMYFUNCTION("""COMPUTED_VALUE"""),53700.0)</f>
        <v>53700</v>
      </c>
      <c r="C2341" s="1">
        <f>IFERROR(__xludf.DUMMYFUNCTION("""COMPUTED_VALUE"""),53800.0)</f>
        <v>53800</v>
      </c>
      <c r="D2341" s="1">
        <f>IFERROR(__xludf.DUMMYFUNCTION("""COMPUTED_VALUE"""),53200.0)</f>
        <v>53200</v>
      </c>
      <c r="E2341" s="1">
        <f>IFERROR(__xludf.DUMMYFUNCTION("""COMPUTED_VALUE"""),53800.0)</f>
        <v>53800</v>
      </c>
      <c r="F2341" s="1">
        <f>IFERROR(__xludf.DUMMYFUNCTION("""COMPUTED_VALUE"""),1.4269484E7)</f>
        <v>14269484</v>
      </c>
    </row>
    <row r="2342">
      <c r="A2342" s="2">
        <f>IFERROR(__xludf.DUMMYFUNCTION("""COMPUTED_VALUE"""),44027.64583333333)</f>
        <v>44027.64583</v>
      </c>
      <c r="B2342" s="1">
        <f>IFERROR(__xludf.DUMMYFUNCTION("""COMPUTED_VALUE"""),54400.0)</f>
        <v>54400</v>
      </c>
      <c r="C2342" s="1">
        <f>IFERROR(__xludf.DUMMYFUNCTION("""COMPUTED_VALUE"""),55000.0)</f>
        <v>55000</v>
      </c>
      <c r="D2342" s="1">
        <f>IFERROR(__xludf.DUMMYFUNCTION("""COMPUTED_VALUE"""),54300.0)</f>
        <v>54300</v>
      </c>
      <c r="E2342" s="1">
        <f>IFERROR(__xludf.DUMMYFUNCTION("""COMPUTED_VALUE"""),54700.0)</f>
        <v>54700</v>
      </c>
      <c r="F2342" s="1">
        <f>IFERROR(__xludf.DUMMYFUNCTION("""COMPUTED_VALUE"""),2.405145E7)</f>
        <v>24051450</v>
      </c>
    </row>
    <row r="2343">
      <c r="A2343" s="2">
        <f>IFERROR(__xludf.DUMMYFUNCTION("""COMPUTED_VALUE"""),44028.64583333333)</f>
        <v>44028.64583</v>
      </c>
      <c r="B2343" s="1">
        <f>IFERROR(__xludf.DUMMYFUNCTION("""COMPUTED_VALUE"""),54800.0)</f>
        <v>54800</v>
      </c>
      <c r="C2343" s="1">
        <f>IFERROR(__xludf.DUMMYFUNCTION("""COMPUTED_VALUE"""),54800.0)</f>
        <v>54800</v>
      </c>
      <c r="D2343" s="1">
        <f>IFERROR(__xludf.DUMMYFUNCTION("""COMPUTED_VALUE"""),53800.0)</f>
        <v>53800</v>
      </c>
      <c r="E2343" s="1">
        <f>IFERROR(__xludf.DUMMYFUNCTION("""COMPUTED_VALUE"""),53800.0)</f>
        <v>53800</v>
      </c>
      <c r="F2343" s="1">
        <f>IFERROR(__xludf.DUMMYFUNCTION("""COMPUTED_VALUE"""),1.6779127E7)</f>
        <v>16779127</v>
      </c>
    </row>
    <row r="2344">
      <c r="A2344" s="2">
        <f>IFERROR(__xludf.DUMMYFUNCTION("""COMPUTED_VALUE"""),44029.64583333333)</f>
        <v>44029.64583</v>
      </c>
      <c r="B2344" s="1">
        <f>IFERROR(__xludf.DUMMYFUNCTION("""COMPUTED_VALUE"""),54200.0)</f>
        <v>54200</v>
      </c>
      <c r="C2344" s="1">
        <f>IFERROR(__xludf.DUMMYFUNCTION("""COMPUTED_VALUE"""),54700.0)</f>
        <v>54700</v>
      </c>
      <c r="D2344" s="1">
        <f>IFERROR(__xludf.DUMMYFUNCTION("""COMPUTED_VALUE"""),54100.0)</f>
        <v>54100</v>
      </c>
      <c r="E2344" s="1">
        <f>IFERROR(__xludf.DUMMYFUNCTION("""COMPUTED_VALUE"""),54400.0)</f>
        <v>54400</v>
      </c>
      <c r="F2344" s="1">
        <f>IFERROR(__xludf.DUMMYFUNCTION("""COMPUTED_VALUE"""),1.0096174E7)</f>
        <v>10096174</v>
      </c>
    </row>
    <row r="2345">
      <c r="A2345" s="2">
        <f>IFERROR(__xludf.DUMMYFUNCTION("""COMPUTED_VALUE"""),44032.64583333333)</f>
        <v>44032.64583</v>
      </c>
      <c r="B2345" s="1">
        <f>IFERROR(__xludf.DUMMYFUNCTION("""COMPUTED_VALUE"""),54800.0)</f>
        <v>54800</v>
      </c>
      <c r="C2345" s="1">
        <f>IFERROR(__xludf.DUMMYFUNCTION("""COMPUTED_VALUE"""),54800.0)</f>
        <v>54800</v>
      </c>
      <c r="D2345" s="1">
        <f>IFERROR(__xludf.DUMMYFUNCTION("""COMPUTED_VALUE"""),54000.0)</f>
        <v>54000</v>
      </c>
      <c r="E2345" s="1">
        <f>IFERROR(__xludf.DUMMYFUNCTION("""COMPUTED_VALUE"""),54200.0)</f>
        <v>54200</v>
      </c>
      <c r="F2345" s="1">
        <f>IFERROR(__xludf.DUMMYFUNCTION("""COMPUTED_VALUE"""),1.050753E7)</f>
        <v>10507530</v>
      </c>
    </row>
    <row r="2346">
      <c r="A2346" s="2">
        <f>IFERROR(__xludf.DUMMYFUNCTION("""COMPUTED_VALUE"""),44033.64583333333)</f>
        <v>44033.64583</v>
      </c>
      <c r="B2346" s="1">
        <f>IFERROR(__xludf.DUMMYFUNCTION("""COMPUTED_VALUE"""),55200.0)</f>
        <v>55200</v>
      </c>
      <c r="C2346" s="1">
        <f>IFERROR(__xludf.DUMMYFUNCTION("""COMPUTED_VALUE"""),55400.0)</f>
        <v>55400</v>
      </c>
      <c r="D2346" s="1">
        <f>IFERROR(__xludf.DUMMYFUNCTION("""COMPUTED_VALUE"""),54800.0)</f>
        <v>54800</v>
      </c>
      <c r="E2346" s="1">
        <f>IFERROR(__xludf.DUMMYFUNCTION("""COMPUTED_VALUE"""),55300.0)</f>
        <v>55300</v>
      </c>
      <c r="F2346" s="1">
        <f>IFERROR(__xludf.DUMMYFUNCTION("""COMPUTED_VALUE"""),1.829726E7)</f>
        <v>18297260</v>
      </c>
    </row>
    <row r="2347">
      <c r="A2347" s="2">
        <f>IFERROR(__xludf.DUMMYFUNCTION("""COMPUTED_VALUE"""),44034.64583333333)</f>
        <v>44034.64583</v>
      </c>
      <c r="B2347" s="1">
        <f>IFERROR(__xludf.DUMMYFUNCTION("""COMPUTED_VALUE"""),55300.0)</f>
        <v>55300</v>
      </c>
      <c r="C2347" s="1">
        <f>IFERROR(__xludf.DUMMYFUNCTION("""COMPUTED_VALUE"""),55500.0)</f>
        <v>55500</v>
      </c>
      <c r="D2347" s="1">
        <f>IFERROR(__xludf.DUMMYFUNCTION("""COMPUTED_VALUE"""),54700.0)</f>
        <v>54700</v>
      </c>
      <c r="E2347" s="1">
        <f>IFERROR(__xludf.DUMMYFUNCTION("""COMPUTED_VALUE"""),54700.0)</f>
        <v>54700</v>
      </c>
      <c r="F2347" s="1">
        <f>IFERROR(__xludf.DUMMYFUNCTION("""COMPUTED_VALUE"""),1.2885057E7)</f>
        <v>12885057</v>
      </c>
    </row>
    <row r="2348">
      <c r="A2348" s="2">
        <f>IFERROR(__xludf.DUMMYFUNCTION("""COMPUTED_VALUE"""),44035.64583333333)</f>
        <v>44035.64583</v>
      </c>
      <c r="B2348" s="1">
        <f>IFERROR(__xludf.DUMMYFUNCTION("""COMPUTED_VALUE"""),54700.0)</f>
        <v>54700</v>
      </c>
      <c r="C2348" s="1">
        <f>IFERROR(__xludf.DUMMYFUNCTION("""COMPUTED_VALUE"""),54700.0)</f>
        <v>54700</v>
      </c>
      <c r="D2348" s="1">
        <f>IFERROR(__xludf.DUMMYFUNCTION("""COMPUTED_VALUE"""),53800.0)</f>
        <v>53800</v>
      </c>
      <c r="E2348" s="1">
        <f>IFERROR(__xludf.DUMMYFUNCTION("""COMPUTED_VALUE"""),54100.0)</f>
        <v>54100</v>
      </c>
      <c r="F2348" s="1">
        <f>IFERROR(__xludf.DUMMYFUNCTION("""COMPUTED_VALUE"""),1.6214932E7)</f>
        <v>16214932</v>
      </c>
    </row>
    <row r="2349">
      <c r="A2349" s="2">
        <f>IFERROR(__xludf.DUMMYFUNCTION("""COMPUTED_VALUE"""),44036.64583333333)</f>
        <v>44036.64583</v>
      </c>
      <c r="B2349" s="1">
        <f>IFERROR(__xludf.DUMMYFUNCTION("""COMPUTED_VALUE"""),54000.0)</f>
        <v>54000</v>
      </c>
      <c r="C2349" s="1">
        <f>IFERROR(__xludf.DUMMYFUNCTION("""COMPUTED_VALUE"""),54400.0)</f>
        <v>54400</v>
      </c>
      <c r="D2349" s="1">
        <f>IFERROR(__xludf.DUMMYFUNCTION("""COMPUTED_VALUE"""),53700.0)</f>
        <v>53700</v>
      </c>
      <c r="E2349" s="1">
        <f>IFERROR(__xludf.DUMMYFUNCTION("""COMPUTED_VALUE"""),54200.0)</f>
        <v>54200</v>
      </c>
      <c r="F2349" s="1">
        <f>IFERROR(__xludf.DUMMYFUNCTION("""COMPUTED_VALUE"""),1.0994535E7)</f>
        <v>10994535</v>
      </c>
    </row>
    <row r="2350">
      <c r="A2350" s="2">
        <f>IFERROR(__xludf.DUMMYFUNCTION("""COMPUTED_VALUE"""),44039.64583333333)</f>
        <v>44039.64583</v>
      </c>
      <c r="B2350" s="1">
        <f>IFERROR(__xludf.DUMMYFUNCTION("""COMPUTED_VALUE"""),54300.0)</f>
        <v>54300</v>
      </c>
      <c r="C2350" s="1">
        <f>IFERROR(__xludf.DUMMYFUNCTION("""COMPUTED_VALUE"""),55700.0)</f>
        <v>55700</v>
      </c>
      <c r="D2350" s="1">
        <f>IFERROR(__xludf.DUMMYFUNCTION("""COMPUTED_VALUE"""),54300.0)</f>
        <v>54300</v>
      </c>
      <c r="E2350" s="1">
        <f>IFERROR(__xludf.DUMMYFUNCTION("""COMPUTED_VALUE"""),55600.0)</f>
        <v>55600</v>
      </c>
      <c r="F2350" s="1">
        <f>IFERROR(__xludf.DUMMYFUNCTION("""COMPUTED_VALUE"""),2.1054421E7)</f>
        <v>21054421</v>
      </c>
    </row>
    <row r="2351">
      <c r="A2351" s="2">
        <f>IFERROR(__xludf.DUMMYFUNCTION("""COMPUTED_VALUE"""),44040.64583333333)</f>
        <v>44040.64583</v>
      </c>
      <c r="B2351" s="1">
        <f>IFERROR(__xludf.DUMMYFUNCTION("""COMPUTED_VALUE"""),57000.0)</f>
        <v>57000</v>
      </c>
      <c r="C2351" s="1">
        <f>IFERROR(__xludf.DUMMYFUNCTION("""COMPUTED_VALUE"""),58800.0)</f>
        <v>58800</v>
      </c>
      <c r="D2351" s="1">
        <f>IFERROR(__xludf.DUMMYFUNCTION("""COMPUTED_VALUE"""),56400.0)</f>
        <v>56400</v>
      </c>
      <c r="E2351" s="1">
        <f>IFERROR(__xludf.DUMMYFUNCTION("""COMPUTED_VALUE"""),58600.0)</f>
        <v>58600</v>
      </c>
      <c r="F2351" s="1">
        <f>IFERROR(__xludf.DUMMYFUNCTION("""COMPUTED_VALUE"""),4.8431566E7)</f>
        <v>48431566</v>
      </c>
    </row>
    <row r="2352">
      <c r="A2352" s="2">
        <f>IFERROR(__xludf.DUMMYFUNCTION("""COMPUTED_VALUE"""),44041.64583333333)</f>
        <v>44041.64583</v>
      </c>
      <c r="B2352" s="1">
        <f>IFERROR(__xludf.DUMMYFUNCTION("""COMPUTED_VALUE"""),60300.0)</f>
        <v>60300</v>
      </c>
      <c r="C2352" s="1">
        <f>IFERROR(__xludf.DUMMYFUNCTION("""COMPUTED_VALUE"""),60400.0)</f>
        <v>60400</v>
      </c>
      <c r="D2352" s="1">
        <f>IFERROR(__xludf.DUMMYFUNCTION("""COMPUTED_VALUE"""),58600.0)</f>
        <v>58600</v>
      </c>
      <c r="E2352" s="1">
        <f>IFERROR(__xludf.DUMMYFUNCTION("""COMPUTED_VALUE"""),59000.0)</f>
        <v>59000</v>
      </c>
      <c r="F2352" s="1">
        <f>IFERROR(__xludf.DUMMYFUNCTION("""COMPUTED_VALUE"""),3.6476611E7)</f>
        <v>36476611</v>
      </c>
    </row>
    <row r="2353">
      <c r="A2353" s="2">
        <f>IFERROR(__xludf.DUMMYFUNCTION("""COMPUTED_VALUE"""),44042.64583333333)</f>
        <v>44042.64583</v>
      </c>
      <c r="B2353" s="1">
        <f>IFERROR(__xludf.DUMMYFUNCTION("""COMPUTED_VALUE"""),59700.0)</f>
        <v>59700</v>
      </c>
      <c r="C2353" s="1">
        <f>IFERROR(__xludf.DUMMYFUNCTION("""COMPUTED_VALUE"""),60100.0)</f>
        <v>60100</v>
      </c>
      <c r="D2353" s="1">
        <f>IFERROR(__xludf.DUMMYFUNCTION("""COMPUTED_VALUE"""),59000.0)</f>
        <v>59000</v>
      </c>
      <c r="E2353" s="1">
        <f>IFERROR(__xludf.DUMMYFUNCTION("""COMPUTED_VALUE"""),59000.0)</f>
        <v>59000</v>
      </c>
      <c r="F2353" s="1">
        <f>IFERROR(__xludf.DUMMYFUNCTION("""COMPUTED_VALUE"""),1.9285354E7)</f>
        <v>19285354</v>
      </c>
    </row>
    <row r="2354">
      <c r="A2354" s="2">
        <f>IFERROR(__xludf.DUMMYFUNCTION("""COMPUTED_VALUE"""),44043.64583333333)</f>
        <v>44043.64583</v>
      </c>
      <c r="B2354" s="1">
        <f>IFERROR(__xludf.DUMMYFUNCTION("""COMPUTED_VALUE"""),59500.0)</f>
        <v>59500</v>
      </c>
      <c r="C2354" s="1">
        <f>IFERROR(__xludf.DUMMYFUNCTION("""COMPUTED_VALUE"""),59600.0)</f>
        <v>59600</v>
      </c>
      <c r="D2354" s="1">
        <f>IFERROR(__xludf.DUMMYFUNCTION("""COMPUTED_VALUE"""),57700.0)</f>
        <v>57700</v>
      </c>
      <c r="E2354" s="1">
        <f>IFERROR(__xludf.DUMMYFUNCTION("""COMPUTED_VALUE"""),57900.0)</f>
        <v>57900</v>
      </c>
      <c r="F2354" s="1">
        <f>IFERROR(__xludf.DUMMYFUNCTION("""COMPUTED_VALUE"""),2.1943345E7)</f>
        <v>21943345</v>
      </c>
    </row>
    <row r="2355">
      <c r="A2355" s="2">
        <f>IFERROR(__xludf.DUMMYFUNCTION("""COMPUTED_VALUE"""),44046.64583333333)</f>
        <v>44046.64583</v>
      </c>
      <c r="B2355" s="1">
        <f>IFERROR(__xludf.DUMMYFUNCTION("""COMPUTED_VALUE"""),57800.0)</f>
        <v>57800</v>
      </c>
      <c r="C2355" s="1">
        <f>IFERROR(__xludf.DUMMYFUNCTION("""COMPUTED_VALUE"""),57900.0)</f>
        <v>57900</v>
      </c>
      <c r="D2355" s="1">
        <f>IFERROR(__xludf.DUMMYFUNCTION("""COMPUTED_VALUE"""),56700.0)</f>
        <v>56700</v>
      </c>
      <c r="E2355" s="1">
        <f>IFERROR(__xludf.DUMMYFUNCTION("""COMPUTED_VALUE"""),56800.0)</f>
        <v>56800</v>
      </c>
      <c r="F2355" s="1">
        <f>IFERROR(__xludf.DUMMYFUNCTION("""COMPUTED_VALUE"""),2.115894E7)</f>
        <v>21158940</v>
      </c>
    </row>
    <row r="2356">
      <c r="A2356" s="2">
        <f>IFERROR(__xludf.DUMMYFUNCTION("""COMPUTED_VALUE"""),44047.64583333333)</f>
        <v>44047.64583</v>
      </c>
      <c r="B2356" s="1">
        <f>IFERROR(__xludf.DUMMYFUNCTION("""COMPUTED_VALUE"""),57200.0)</f>
        <v>57200</v>
      </c>
      <c r="C2356" s="1">
        <f>IFERROR(__xludf.DUMMYFUNCTION("""COMPUTED_VALUE"""),58100.0)</f>
        <v>58100</v>
      </c>
      <c r="D2356" s="1">
        <f>IFERROR(__xludf.DUMMYFUNCTION("""COMPUTED_VALUE"""),57000.0)</f>
        <v>57000</v>
      </c>
      <c r="E2356" s="1">
        <f>IFERROR(__xludf.DUMMYFUNCTION("""COMPUTED_VALUE"""),57300.0)</f>
        <v>57300</v>
      </c>
      <c r="F2356" s="1">
        <f>IFERROR(__xludf.DUMMYFUNCTION("""COMPUTED_VALUE"""),1.9419694E7)</f>
        <v>19419694</v>
      </c>
    </row>
    <row r="2357">
      <c r="A2357" s="2">
        <f>IFERROR(__xludf.DUMMYFUNCTION("""COMPUTED_VALUE"""),44048.64583333333)</f>
        <v>44048.64583</v>
      </c>
      <c r="B2357" s="1">
        <f>IFERROR(__xludf.DUMMYFUNCTION("""COMPUTED_VALUE"""),57300.0)</f>
        <v>57300</v>
      </c>
      <c r="C2357" s="1">
        <f>IFERROR(__xludf.DUMMYFUNCTION("""COMPUTED_VALUE"""),57500.0)</f>
        <v>57500</v>
      </c>
      <c r="D2357" s="1">
        <f>IFERROR(__xludf.DUMMYFUNCTION("""COMPUTED_VALUE"""),56300.0)</f>
        <v>56300</v>
      </c>
      <c r="E2357" s="1">
        <f>IFERROR(__xludf.DUMMYFUNCTION("""COMPUTED_VALUE"""),56900.0)</f>
        <v>56900</v>
      </c>
      <c r="F2357" s="1">
        <f>IFERROR(__xludf.DUMMYFUNCTION("""COMPUTED_VALUE"""),1.7739706E7)</f>
        <v>17739706</v>
      </c>
    </row>
    <row r="2358">
      <c r="A2358" s="2">
        <f>IFERROR(__xludf.DUMMYFUNCTION("""COMPUTED_VALUE"""),44049.64583333333)</f>
        <v>44049.64583</v>
      </c>
      <c r="B2358" s="1">
        <f>IFERROR(__xludf.DUMMYFUNCTION("""COMPUTED_VALUE"""),57100.0)</f>
        <v>57100</v>
      </c>
      <c r="C2358" s="1">
        <f>IFERROR(__xludf.DUMMYFUNCTION("""COMPUTED_VALUE"""),58400.0)</f>
        <v>58400</v>
      </c>
      <c r="D2358" s="1">
        <f>IFERROR(__xludf.DUMMYFUNCTION("""COMPUTED_VALUE"""),57100.0)</f>
        <v>57100</v>
      </c>
      <c r="E2358" s="1">
        <f>IFERROR(__xludf.DUMMYFUNCTION("""COMPUTED_VALUE"""),58000.0)</f>
        <v>58000</v>
      </c>
      <c r="F2358" s="1">
        <f>IFERROR(__xludf.DUMMYFUNCTION("""COMPUTED_VALUE"""),2.1625874E7)</f>
        <v>21625874</v>
      </c>
    </row>
    <row r="2359">
      <c r="A2359" s="2">
        <f>IFERROR(__xludf.DUMMYFUNCTION("""COMPUTED_VALUE"""),44050.64583333333)</f>
        <v>44050.64583</v>
      </c>
      <c r="B2359" s="1">
        <f>IFERROR(__xludf.DUMMYFUNCTION("""COMPUTED_VALUE"""),57900.0)</f>
        <v>57900</v>
      </c>
      <c r="C2359" s="1">
        <f>IFERROR(__xludf.DUMMYFUNCTION("""COMPUTED_VALUE"""),58400.0)</f>
        <v>58400</v>
      </c>
      <c r="D2359" s="1">
        <f>IFERROR(__xludf.DUMMYFUNCTION("""COMPUTED_VALUE"""),57100.0)</f>
        <v>57100</v>
      </c>
      <c r="E2359" s="1">
        <f>IFERROR(__xludf.DUMMYFUNCTION("""COMPUTED_VALUE"""),57500.0)</f>
        <v>57500</v>
      </c>
      <c r="F2359" s="1">
        <f>IFERROR(__xludf.DUMMYFUNCTION("""COMPUTED_VALUE"""),1.8751717E7)</f>
        <v>18751717</v>
      </c>
    </row>
    <row r="2360">
      <c r="A2360" s="2">
        <f>IFERROR(__xludf.DUMMYFUNCTION("""COMPUTED_VALUE"""),44053.64583333333)</f>
        <v>44053.64583</v>
      </c>
      <c r="B2360" s="1">
        <f>IFERROR(__xludf.DUMMYFUNCTION("""COMPUTED_VALUE"""),57600.0)</f>
        <v>57600</v>
      </c>
      <c r="C2360" s="1">
        <f>IFERROR(__xludf.DUMMYFUNCTION("""COMPUTED_VALUE"""),58300.0)</f>
        <v>58300</v>
      </c>
      <c r="D2360" s="1">
        <f>IFERROR(__xludf.DUMMYFUNCTION("""COMPUTED_VALUE"""),57500.0)</f>
        <v>57500</v>
      </c>
      <c r="E2360" s="1">
        <f>IFERROR(__xludf.DUMMYFUNCTION("""COMPUTED_VALUE"""),57800.0)</f>
        <v>57800</v>
      </c>
      <c r="F2360" s="1">
        <f>IFERROR(__xludf.DUMMYFUNCTION("""COMPUTED_VALUE"""),1.7774291E7)</f>
        <v>17774291</v>
      </c>
    </row>
    <row r="2361">
      <c r="A2361" s="2">
        <f>IFERROR(__xludf.DUMMYFUNCTION("""COMPUTED_VALUE"""),44054.64583333333)</f>
        <v>44054.64583</v>
      </c>
      <c r="B2361" s="1">
        <f>IFERROR(__xludf.DUMMYFUNCTION("""COMPUTED_VALUE"""),58000.0)</f>
        <v>58000</v>
      </c>
      <c r="C2361" s="1">
        <f>IFERROR(__xludf.DUMMYFUNCTION("""COMPUTED_VALUE"""),59500.0)</f>
        <v>59500</v>
      </c>
      <c r="D2361" s="1">
        <f>IFERROR(__xludf.DUMMYFUNCTION("""COMPUTED_VALUE"""),57800.0)</f>
        <v>57800</v>
      </c>
      <c r="E2361" s="1">
        <f>IFERROR(__xludf.DUMMYFUNCTION("""COMPUTED_VALUE"""),58200.0)</f>
        <v>58200</v>
      </c>
      <c r="F2361" s="1">
        <f>IFERROR(__xludf.DUMMYFUNCTION("""COMPUTED_VALUE"""),2.4907912E7)</f>
        <v>24907912</v>
      </c>
    </row>
    <row r="2362">
      <c r="A2362" s="2">
        <f>IFERROR(__xludf.DUMMYFUNCTION("""COMPUTED_VALUE"""),44055.64583333333)</f>
        <v>44055.64583</v>
      </c>
      <c r="B2362" s="1">
        <f>IFERROR(__xludf.DUMMYFUNCTION("""COMPUTED_VALUE"""),58200.0)</f>
        <v>58200</v>
      </c>
      <c r="C2362" s="1">
        <f>IFERROR(__xludf.DUMMYFUNCTION("""COMPUTED_VALUE"""),59000.0)</f>
        <v>59000</v>
      </c>
      <c r="D2362" s="1">
        <f>IFERROR(__xludf.DUMMYFUNCTION("""COMPUTED_VALUE"""),57700.0)</f>
        <v>57700</v>
      </c>
      <c r="E2362" s="1">
        <f>IFERROR(__xludf.DUMMYFUNCTION("""COMPUTED_VALUE"""),59000.0)</f>
        <v>59000</v>
      </c>
      <c r="F2362" s="1">
        <f>IFERROR(__xludf.DUMMYFUNCTION("""COMPUTED_VALUE"""),1.8573934E7)</f>
        <v>18573934</v>
      </c>
    </row>
    <row r="2363">
      <c r="A2363" s="2">
        <f>IFERROR(__xludf.DUMMYFUNCTION("""COMPUTED_VALUE"""),44056.64583333333)</f>
        <v>44056.64583</v>
      </c>
      <c r="B2363" s="1">
        <f>IFERROR(__xludf.DUMMYFUNCTION("""COMPUTED_VALUE"""),59400.0)</f>
        <v>59400</v>
      </c>
      <c r="C2363" s="1">
        <f>IFERROR(__xludf.DUMMYFUNCTION("""COMPUTED_VALUE"""),59600.0)</f>
        <v>59600</v>
      </c>
      <c r="D2363" s="1">
        <f>IFERROR(__xludf.DUMMYFUNCTION("""COMPUTED_VALUE"""),58000.0)</f>
        <v>58000</v>
      </c>
      <c r="E2363" s="1">
        <f>IFERROR(__xludf.DUMMYFUNCTION("""COMPUTED_VALUE"""),58700.0)</f>
        <v>58700</v>
      </c>
      <c r="F2363" s="1">
        <f>IFERROR(__xludf.DUMMYFUNCTION("""COMPUTED_VALUE"""),2.208946E7)</f>
        <v>22089460</v>
      </c>
    </row>
    <row r="2364">
      <c r="A2364" s="2">
        <f>IFERROR(__xludf.DUMMYFUNCTION("""COMPUTED_VALUE"""),44057.64583333333)</f>
        <v>44057.64583</v>
      </c>
      <c r="B2364" s="1">
        <f>IFERROR(__xludf.DUMMYFUNCTION("""COMPUTED_VALUE"""),58000.0)</f>
        <v>58000</v>
      </c>
      <c r="C2364" s="1">
        <f>IFERROR(__xludf.DUMMYFUNCTION("""COMPUTED_VALUE"""),58400.0)</f>
        <v>58400</v>
      </c>
      <c r="D2364" s="1">
        <f>IFERROR(__xludf.DUMMYFUNCTION("""COMPUTED_VALUE"""),57700.0)</f>
        <v>57700</v>
      </c>
      <c r="E2364" s="1">
        <f>IFERROR(__xludf.DUMMYFUNCTION("""COMPUTED_VALUE"""),58000.0)</f>
        <v>58000</v>
      </c>
      <c r="F2364" s="1">
        <f>IFERROR(__xludf.DUMMYFUNCTION("""COMPUTED_VALUE"""),1.5672548E7)</f>
        <v>15672548</v>
      </c>
    </row>
    <row r="2365">
      <c r="A2365" s="2">
        <f>IFERROR(__xludf.DUMMYFUNCTION("""COMPUTED_VALUE"""),44061.64583333333)</f>
        <v>44061.64583</v>
      </c>
      <c r="B2365" s="1">
        <f>IFERROR(__xludf.DUMMYFUNCTION("""COMPUTED_VALUE"""),58900.0)</f>
        <v>58900</v>
      </c>
      <c r="C2365" s="1">
        <f>IFERROR(__xludf.DUMMYFUNCTION("""COMPUTED_VALUE"""),59900.0)</f>
        <v>59900</v>
      </c>
      <c r="D2365" s="1">
        <f>IFERROR(__xludf.DUMMYFUNCTION("""COMPUTED_VALUE"""),58000.0)</f>
        <v>58000</v>
      </c>
      <c r="E2365" s="1">
        <f>IFERROR(__xludf.DUMMYFUNCTION("""COMPUTED_VALUE"""),58400.0)</f>
        <v>58400</v>
      </c>
      <c r="F2365" s="1">
        <f>IFERROR(__xludf.DUMMYFUNCTION("""COMPUTED_VALUE"""),2.5307825E7)</f>
        <v>25307825</v>
      </c>
    </row>
    <row r="2366">
      <c r="A2366" s="2">
        <f>IFERROR(__xludf.DUMMYFUNCTION("""COMPUTED_VALUE"""),44062.64583333333)</f>
        <v>44062.64583</v>
      </c>
      <c r="B2366" s="1">
        <f>IFERROR(__xludf.DUMMYFUNCTION("""COMPUTED_VALUE"""),59000.0)</f>
        <v>59000</v>
      </c>
      <c r="C2366" s="1">
        <f>IFERROR(__xludf.DUMMYFUNCTION("""COMPUTED_VALUE"""),59200.0)</f>
        <v>59200</v>
      </c>
      <c r="D2366" s="1">
        <f>IFERROR(__xludf.DUMMYFUNCTION("""COMPUTED_VALUE"""),57800.0)</f>
        <v>57800</v>
      </c>
      <c r="E2366" s="1">
        <f>IFERROR(__xludf.DUMMYFUNCTION("""COMPUTED_VALUE"""),57800.0)</f>
        <v>57800</v>
      </c>
      <c r="F2366" s="1">
        <f>IFERROR(__xludf.DUMMYFUNCTION("""COMPUTED_VALUE"""),1.6930719E7)</f>
        <v>16930719</v>
      </c>
    </row>
    <row r="2367">
      <c r="A2367" s="2">
        <f>IFERROR(__xludf.DUMMYFUNCTION("""COMPUTED_VALUE"""),44063.64583333333)</f>
        <v>44063.64583</v>
      </c>
      <c r="B2367" s="1">
        <f>IFERROR(__xludf.DUMMYFUNCTION("""COMPUTED_VALUE"""),57600.0)</f>
        <v>57600</v>
      </c>
      <c r="C2367" s="1">
        <f>IFERROR(__xludf.DUMMYFUNCTION("""COMPUTED_VALUE"""),57600.0)</f>
        <v>57600</v>
      </c>
      <c r="D2367" s="1">
        <f>IFERROR(__xludf.DUMMYFUNCTION("""COMPUTED_VALUE"""),55300.0)</f>
        <v>55300</v>
      </c>
      <c r="E2367" s="1">
        <f>IFERROR(__xludf.DUMMYFUNCTION("""COMPUTED_VALUE"""),55400.0)</f>
        <v>55400</v>
      </c>
      <c r="F2367" s="1">
        <f>IFERROR(__xludf.DUMMYFUNCTION("""COMPUTED_VALUE"""),3.0386029E7)</f>
        <v>30386029</v>
      </c>
    </row>
    <row r="2368">
      <c r="A2368" s="2">
        <f>IFERROR(__xludf.DUMMYFUNCTION("""COMPUTED_VALUE"""),44064.64583333333)</f>
        <v>44064.64583</v>
      </c>
      <c r="B2368" s="1">
        <f>IFERROR(__xludf.DUMMYFUNCTION("""COMPUTED_VALUE"""),56200.0)</f>
        <v>56200</v>
      </c>
      <c r="C2368" s="1">
        <f>IFERROR(__xludf.DUMMYFUNCTION("""COMPUTED_VALUE"""),56900.0)</f>
        <v>56900</v>
      </c>
      <c r="D2368" s="1">
        <f>IFERROR(__xludf.DUMMYFUNCTION("""COMPUTED_VALUE"""),55800.0)</f>
        <v>55800</v>
      </c>
      <c r="E2368" s="1">
        <f>IFERROR(__xludf.DUMMYFUNCTION("""COMPUTED_VALUE"""),55900.0)</f>
        <v>55900</v>
      </c>
      <c r="F2368" s="1">
        <f>IFERROR(__xludf.DUMMYFUNCTION("""COMPUTED_VALUE"""),2.1142288E7)</f>
        <v>21142288</v>
      </c>
    </row>
    <row r="2369">
      <c r="A2369" s="2">
        <f>IFERROR(__xludf.DUMMYFUNCTION("""COMPUTED_VALUE"""),44067.64583333333)</f>
        <v>44067.64583</v>
      </c>
      <c r="B2369" s="1">
        <f>IFERROR(__xludf.DUMMYFUNCTION("""COMPUTED_VALUE"""),55800.0)</f>
        <v>55800</v>
      </c>
      <c r="C2369" s="1">
        <f>IFERROR(__xludf.DUMMYFUNCTION("""COMPUTED_VALUE"""),56600.0)</f>
        <v>56600</v>
      </c>
      <c r="D2369" s="1">
        <f>IFERROR(__xludf.DUMMYFUNCTION("""COMPUTED_VALUE"""),55400.0)</f>
        <v>55400</v>
      </c>
      <c r="E2369" s="1">
        <f>IFERROR(__xludf.DUMMYFUNCTION("""COMPUTED_VALUE"""),56100.0)</f>
        <v>56100</v>
      </c>
      <c r="F2369" s="1">
        <f>IFERROR(__xludf.DUMMYFUNCTION("""COMPUTED_VALUE"""),1.5055896E7)</f>
        <v>15055896</v>
      </c>
    </row>
    <row r="2370">
      <c r="A2370" s="2">
        <f>IFERROR(__xludf.DUMMYFUNCTION("""COMPUTED_VALUE"""),44068.64583333333)</f>
        <v>44068.64583</v>
      </c>
      <c r="B2370" s="1">
        <f>IFERROR(__xludf.DUMMYFUNCTION("""COMPUTED_VALUE"""),56400.0)</f>
        <v>56400</v>
      </c>
      <c r="C2370" s="1">
        <f>IFERROR(__xludf.DUMMYFUNCTION("""COMPUTED_VALUE"""),56800.0)</f>
        <v>56800</v>
      </c>
      <c r="D2370" s="1">
        <f>IFERROR(__xludf.DUMMYFUNCTION("""COMPUTED_VALUE"""),56100.0)</f>
        <v>56100</v>
      </c>
      <c r="E2370" s="1">
        <f>IFERROR(__xludf.DUMMYFUNCTION("""COMPUTED_VALUE"""),56400.0)</f>
        <v>56400</v>
      </c>
      <c r="F2370" s="1">
        <f>IFERROR(__xludf.DUMMYFUNCTION("""COMPUTED_VALUE"""),1.4021705E7)</f>
        <v>14021705</v>
      </c>
    </row>
    <row r="2371">
      <c r="A2371" s="2">
        <f>IFERROR(__xludf.DUMMYFUNCTION("""COMPUTED_VALUE"""),44069.64583333333)</f>
        <v>44069.64583</v>
      </c>
      <c r="B2371" s="1">
        <f>IFERROR(__xludf.DUMMYFUNCTION("""COMPUTED_VALUE"""),56400.0)</f>
        <v>56400</v>
      </c>
      <c r="C2371" s="1">
        <f>IFERROR(__xludf.DUMMYFUNCTION("""COMPUTED_VALUE"""),56500.0)</f>
        <v>56500</v>
      </c>
      <c r="D2371" s="1">
        <f>IFERROR(__xludf.DUMMYFUNCTION("""COMPUTED_VALUE"""),55700.0)</f>
        <v>55700</v>
      </c>
      <c r="E2371" s="1">
        <f>IFERROR(__xludf.DUMMYFUNCTION("""COMPUTED_VALUE"""),56400.0)</f>
        <v>56400</v>
      </c>
      <c r="F2371" s="1">
        <f>IFERROR(__xludf.DUMMYFUNCTION("""COMPUTED_VALUE"""),1.7651593E7)</f>
        <v>17651593</v>
      </c>
    </row>
    <row r="2372">
      <c r="A2372" s="2">
        <f>IFERROR(__xludf.DUMMYFUNCTION("""COMPUTED_VALUE"""),44070.64583333333)</f>
        <v>44070.64583</v>
      </c>
      <c r="B2372" s="1">
        <f>IFERROR(__xludf.DUMMYFUNCTION("""COMPUTED_VALUE"""),56300.0)</f>
        <v>56300</v>
      </c>
      <c r="C2372" s="1">
        <f>IFERROR(__xludf.DUMMYFUNCTION("""COMPUTED_VALUE"""),56300.0)</f>
        <v>56300</v>
      </c>
      <c r="D2372" s="1">
        <f>IFERROR(__xludf.DUMMYFUNCTION("""COMPUTED_VALUE"""),55600.0)</f>
        <v>55600</v>
      </c>
      <c r="E2372" s="1">
        <f>IFERROR(__xludf.DUMMYFUNCTION("""COMPUTED_VALUE"""),55600.0)</f>
        <v>55600</v>
      </c>
      <c r="F2372" s="1">
        <f>IFERROR(__xludf.DUMMYFUNCTION("""COMPUTED_VALUE"""),1.6196568E7)</f>
        <v>16196568</v>
      </c>
    </row>
    <row r="2373">
      <c r="A2373" s="2">
        <f>IFERROR(__xludf.DUMMYFUNCTION("""COMPUTED_VALUE"""),44071.64583333333)</f>
        <v>44071.64583</v>
      </c>
      <c r="B2373" s="1">
        <f>IFERROR(__xludf.DUMMYFUNCTION("""COMPUTED_VALUE"""),56100.0)</f>
        <v>56100</v>
      </c>
      <c r="C2373" s="1">
        <f>IFERROR(__xludf.DUMMYFUNCTION("""COMPUTED_VALUE"""),56300.0)</f>
        <v>56300</v>
      </c>
      <c r="D2373" s="1">
        <f>IFERROR(__xludf.DUMMYFUNCTION("""COMPUTED_VALUE"""),55400.0)</f>
        <v>55400</v>
      </c>
      <c r="E2373" s="1">
        <f>IFERROR(__xludf.DUMMYFUNCTION("""COMPUTED_VALUE"""),55400.0)</f>
        <v>55400</v>
      </c>
      <c r="F2373" s="1">
        <f>IFERROR(__xludf.DUMMYFUNCTION("""COMPUTED_VALUE"""),1.4619888E7)</f>
        <v>14619888</v>
      </c>
    </row>
    <row r="2374">
      <c r="A2374" s="2">
        <f>IFERROR(__xludf.DUMMYFUNCTION("""COMPUTED_VALUE"""),44074.64583333333)</f>
        <v>44074.64583</v>
      </c>
      <c r="B2374" s="1">
        <f>IFERROR(__xludf.DUMMYFUNCTION("""COMPUTED_VALUE"""),56000.0)</f>
        <v>56000</v>
      </c>
      <c r="C2374" s="1">
        <f>IFERROR(__xludf.DUMMYFUNCTION("""COMPUTED_VALUE"""),56100.0)</f>
        <v>56100</v>
      </c>
      <c r="D2374" s="1">
        <f>IFERROR(__xludf.DUMMYFUNCTION("""COMPUTED_VALUE"""),54000.0)</f>
        <v>54000</v>
      </c>
      <c r="E2374" s="1">
        <f>IFERROR(__xludf.DUMMYFUNCTION("""COMPUTED_VALUE"""),54000.0)</f>
        <v>54000</v>
      </c>
      <c r="F2374" s="1">
        <f>IFERROR(__xludf.DUMMYFUNCTION("""COMPUTED_VALUE"""),3.2671367E7)</f>
        <v>32671367</v>
      </c>
    </row>
    <row r="2375">
      <c r="A2375" s="2">
        <f>IFERROR(__xludf.DUMMYFUNCTION("""COMPUTED_VALUE"""),44075.64583333333)</f>
        <v>44075.64583</v>
      </c>
      <c r="B2375" s="1">
        <f>IFERROR(__xludf.DUMMYFUNCTION("""COMPUTED_VALUE"""),54100.0)</f>
        <v>54100</v>
      </c>
      <c r="C2375" s="1">
        <f>IFERROR(__xludf.DUMMYFUNCTION("""COMPUTED_VALUE"""),54800.0)</f>
        <v>54800</v>
      </c>
      <c r="D2375" s="1">
        <f>IFERROR(__xludf.DUMMYFUNCTION("""COMPUTED_VALUE"""),54100.0)</f>
        <v>54100</v>
      </c>
      <c r="E2375" s="1">
        <f>IFERROR(__xludf.DUMMYFUNCTION("""COMPUTED_VALUE"""),54200.0)</f>
        <v>54200</v>
      </c>
      <c r="F2375" s="1">
        <f>IFERROR(__xludf.DUMMYFUNCTION("""COMPUTED_VALUE"""),1.9363117E7)</f>
        <v>19363117</v>
      </c>
    </row>
    <row r="2376">
      <c r="A2376" s="2">
        <f>IFERROR(__xludf.DUMMYFUNCTION("""COMPUTED_VALUE"""),44076.64583333333)</f>
        <v>44076.64583</v>
      </c>
      <c r="B2376" s="1">
        <f>IFERROR(__xludf.DUMMYFUNCTION("""COMPUTED_VALUE"""),54600.0)</f>
        <v>54600</v>
      </c>
      <c r="C2376" s="1">
        <f>IFERROR(__xludf.DUMMYFUNCTION("""COMPUTED_VALUE"""),55100.0)</f>
        <v>55100</v>
      </c>
      <c r="D2376" s="1">
        <f>IFERROR(__xludf.DUMMYFUNCTION("""COMPUTED_VALUE"""),54100.0)</f>
        <v>54100</v>
      </c>
      <c r="E2376" s="1">
        <f>IFERROR(__xludf.DUMMYFUNCTION("""COMPUTED_VALUE"""),54400.0)</f>
        <v>54400</v>
      </c>
      <c r="F2376" s="1">
        <f>IFERROR(__xludf.DUMMYFUNCTION("""COMPUTED_VALUE"""),1.6905723E7)</f>
        <v>16905723</v>
      </c>
    </row>
    <row r="2377">
      <c r="A2377" s="2">
        <f>IFERROR(__xludf.DUMMYFUNCTION("""COMPUTED_VALUE"""),44077.64583333333)</f>
        <v>44077.64583</v>
      </c>
      <c r="B2377" s="1">
        <f>IFERROR(__xludf.DUMMYFUNCTION("""COMPUTED_VALUE"""),55600.0)</f>
        <v>55600</v>
      </c>
      <c r="C2377" s="1">
        <f>IFERROR(__xludf.DUMMYFUNCTION("""COMPUTED_VALUE"""),56700.0)</f>
        <v>56700</v>
      </c>
      <c r="D2377" s="1">
        <f>IFERROR(__xludf.DUMMYFUNCTION("""COMPUTED_VALUE"""),55500.0)</f>
        <v>55500</v>
      </c>
      <c r="E2377" s="1">
        <f>IFERROR(__xludf.DUMMYFUNCTION("""COMPUTED_VALUE"""),56400.0)</f>
        <v>56400</v>
      </c>
      <c r="F2377" s="1">
        <f>IFERROR(__xludf.DUMMYFUNCTION("""COMPUTED_VALUE"""),2.838492E7)</f>
        <v>28384920</v>
      </c>
    </row>
    <row r="2378">
      <c r="A2378" s="2">
        <f>IFERROR(__xludf.DUMMYFUNCTION("""COMPUTED_VALUE"""),44078.64583333333)</f>
        <v>44078.64583</v>
      </c>
      <c r="B2378" s="1">
        <f>IFERROR(__xludf.DUMMYFUNCTION("""COMPUTED_VALUE"""),55200.0)</f>
        <v>55200</v>
      </c>
      <c r="C2378" s="1">
        <f>IFERROR(__xludf.DUMMYFUNCTION("""COMPUTED_VALUE"""),55800.0)</f>
        <v>55800</v>
      </c>
      <c r="D2378" s="1">
        <f>IFERROR(__xludf.DUMMYFUNCTION("""COMPUTED_VALUE"""),55100.0)</f>
        <v>55100</v>
      </c>
      <c r="E2378" s="1">
        <f>IFERROR(__xludf.DUMMYFUNCTION("""COMPUTED_VALUE"""),55600.0)</f>
        <v>55600</v>
      </c>
      <c r="F2378" s="1">
        <f>IFERROR(__xludf.DUMMYFUNCTION("""COMPUTED_VALUE"""),2.2139109E7)</f>
        <v>22139109</v>
      </c>
    </row>
    <row r="2379">
      <c r="A2379" s="2">
        <f>IFERROR(__xludf.DUMMYFUNCTION("""COMPUTED_VALUE"""),44081.64583333333)</f>
        <v>44081.64583</v>
      </c>
      <c r="B2379" s="1">
        <f>IFERROR(__xludf.DUMMYFUNCTION("""COMPUTED_VALUE"""),56100.0)</f>
        <v>56100</v>
      </c>
      <c r="C2379" s="1">
        <f>IFERROR(__xludf.DUMMYFUNCTION("""COMPUTED_VALUE"""),57300.0)</f>
        <v>57300</v>
      </c>
      <c r="D2379" s="1">
        <f>IFERROR(__xludf.DUMMYFUNCTION("""COMPUTED_VALUE"""),55800.0)</f>
        <v>55800</v>
      </c>
      <c r="E2379" s="1">
        <f>IFERROR(__xludf.DUMMYFUNCTION("""COMPUTED_VALUE"""),56500.0)</f>
        <v>56500</v>
      </c>
      <c r="F2379" s="1">
        <f>IFERROR(__xludf.DUMMYFUNCTION("""COMPUTED_VALUE"""),1.868588E7)</f>
        <v>18685880</v>
      </c>
    </row>
    <row r="2380">
      <c r="A2380" s="2">
        <f>IFERROR(__xludf.DUMMYFUNCTION("""COMPUTED_VALUE"""),44082.64583333333)</f>
        <v>44082.64583</v>
      </c>
      <c r="B2380" s="1">
        <f>IFERROR(__xludf.DUMMYFUNCTION("""COMPUTED_VALUE"""),57400.0)</f>
        <v>57400</v>
      </c>
      <c r="C2380" s="1">
        <f>IFERROR(__xludf.DUMMYFUNCTION("""COMPUTED_VALUE"""),58700.0)</f>
        <v>58700</v>
      </c>
      <c r="D2380" s="1">
        <f>IFERROR(__xludf.DUMMYFUNCTION("""COMPUTED_VALUE"""),57200.0)</f>
        <v>57200</v>
      </c>
      <c r="E2380" s="1">
        <f>IFERROR(__xludf.DUMMYFUNCTION("""COMPUTED_VALUE"""),58700.0)</f>
        <v>58700</v>
      </c>
      <c r="F2380" s="1">
        <f>IFERROR(__xludf.DUMMYFUNCTION("""COMPUTED_VALUE"""),3.151752E7)</f>
        <v>31517520</v>
      </c>
    </row>
    <row r="2381">
      <c r="A2381" s="2">
        <f>IFERROR(__xludf.DUMMYFUNCTION("""COMPUTED_VALUE"""),44083.64583333333)</f>
        <v>44083.64583</v>
      </c>
      <c r="B2381" s="1">
        <f>IFERROR(__xludf.DUMMYFUNCTION("""COMPUTED_VALUE"""),58200.0)</f>
        <v>58200</v>
      </c>
      <c r="C2381" s="1">
        <f>IFERROR(__xludf.DUMMYFUNCTION("""COMPUTED_VALUE"""),59300.0)</f>
        <v>59300</v>
      </c>
      <c r="D2381" s="1">
        <f>IFERROR(__xludf.DUMMYFUNCTION("""COMPUTED_VALUE"""),57800.0)</f>
        <v>57800</v>
      </c>
      <c r="E2381" s="1">
        <f>IFERROR(__xludf.DUMMYFUNCTION("""COMPUTED_VALUE"""),58400.0)</f>
        <v>58400</v>
      </c>
      <c r="F2381" s="1">
        <f>IFERROR(__xludf.DUMMYFUNCTION("""COMPUTED_VALUE"""),3.0597399E7)</f>
        <v>30597399</v>
      </c>
    </row>
    <row r="2382">
      <c r="A2382" s="2">
        <f>IFERROR(__xludf.DUMMYFUNCTION("""COMPUTED_VALUE"""),44084.64583333333)</f>
        <v>44084.64583</v>
      </c>
      <c r="B2382" s="1">
        <f>IFERROR(__xludf.DUMMYFUNCTION("""COMPUTED_VALUE"""),59900.0)</f>
        <v>59900</v>
      </c>
      <c r="C2382" s="1">
        <f>IFERROR(__xludf.DUMMYFUNCTION("""COMPUTED_VALUE"""),60000.0)</f>
        <v>60000</v>
      </c>
      <c r="D2382" s="1">
        <f>IFERROR(__xludf.DUMMYFUNCTION("""COMPUTED_VALUE"""),59100.0)</f>
        <v>59100</v>
      </c>
      <c r="E2382" s="1">
        <f>IFERROR(__xludf.DUMMYFUNCTION("""COMPUTED_VALUE"""),59200.0)</f>
        <v>59200</v>
      </c>
      <c r="F2382" s="1">
        <f>IFERROR(__xludf.DUMMYFUNCTION("""COMPUTED_VALUE"""),2.9923293E7)</f>
        <v>29923293</v>
      </c>
    </row>
    <row r="2383">
      <c r="A2383" s="2">
        <f>IFERROR(__xludf.DUMMYFUNCTION("""COMPUTED_VALUE"""),44085.64583333333)</f>
        <v>44085.64583</v>
      </c>
      <c r="B2383" s="1">
        <f>IFERROR(__xludf.DUMMYFUNCTION("""COMPUTED_VALUE"""),59300.0)</f>
        <v>59300</v>
      </c>
      <c r="C2383" s="1">
        <f>IFERROR(__xludf.DUMMYFUNCTION("""COMPUTED_VALUE"""),59400.0)</f>
        <v>59400</v>
      </c>
      <c r="D2383" s="1">
        <f>IFERROR(__xludf.DUMMYFUNCTION("""COMPUTED_VALUE"""),58200.0)</f>
        <v>58200</v>
      </c>
      <c r="E2383" s="1">
        <f>IFERROR(__xludf.DUMMYFUNCTION("""COMPUTED_VALUE"""),59000.0)</f>
        <v>59000</v>
      </c>
      <c r="F2383" s="1">
        <f>IFERROR(__xludf.DUMMYFUNCTION("""COMPUTED_VALUE"""),1.6017098E7)</f>
        <v>16017098</v>
      </c>
    </row>
    <row r="2384">
      <c r="A2384" s="2">
        <f>IFERROR(__xludf.DUMMYFUNCTION("""COMPUTED_VALUE"""),44088.64583333333)</f>
        <v>44088.64583</v>
      </c>
      <c r="B2384" s="1">
        <f>IFERROR(__xludf.DUMMYFUNCTION("""COMPUTED_VALUE"""),60200.0)</f>
        <v>60200</v>
      </c>
      <c r="C2384" s="1">
        <f>IFERROR(__xludf.DUMMYFUNCTION("""COMPUTED_VALUE"""),60800.0)</f>
        <v>60800</v>
      </c>
      <c r="D2384" s="1">
        <f>IFERROR(__xludf.DUMMYFUNCTION("""COMPUTED_VALUE"""),59900.0)</f>
        <v>59900</v>
      </c>
      <c r="E2384" s="1">
        <f>IFERROR(__xludf.DUMMYFUNCTION("""COMPUTED_VALUE"""),60400.0)</f>
        <v>60400</v>
      </c>
      <c r="F2384" s="1">
        <f>IFERROR(__xludf.DUMMYFUNCTION("""COMPUTED_VALUE"""),2.0648281E7)</f>
        <v>20648281</v>
      </c>
    </row>
    <row r="2385">
      <c r="A2385" s="2">
        <f>IFERROR(__xludf.DUMMYFUNCTION("""COMPUTED_VALUE"""),44089.64583333333)</f>
        <v>44089.64583</v>
      </c>
      <c r="B2385" s="1">
        <f>IFERROR(__xludf.DUMMYFUNCTION("""COMPUTED_VALUE"""),60900.0)</f>
        <v>60900</v>
      </c>
      <c r="C2385" s="1">
        <f>IFERROR(__xludf.DUMMYFUNCTION("""COMPUTED_VALUE"""),61000.0)</f>
        <v>61000</v>
      </c>
      <c r="D2385" s="1">
        <f>IFERROR(__xludf.DUMMYFUNCTION("""COMPUTED_VALUE"""),60500.0)</f>
        <v>60500</v>
      </c>
      <c r="E2385" s="1">
        <f>IFERROR(__xludf.DUMMYFUNCTION("""COMPUTED_VALUE"""),61000.0)</f>
        <v>61000</v>
      </c>
      <c r="F2385" s="1">
        <f>IFERROR(__xludf.DUMMYFUNCTION("""COMPUTED_VALUE"""),1.7877075E7)</f>
        <v>17877075</v>
      </c>
    </row>
    <row r="2386">
      <c r="A2386" s="2">
        <f>IFERROR(__xludf.DUMMYFUNCTION("""COMPUTED_VALUE"""),44090.64583333333)</f>
        <v>44090.64583</v>
      </c>
      <c r="B2386" s="1">
        <f>IFERROR(__xludf.DUMMYFUNCTION("""COMPUTED_VALUE"""),61100.0)</f>
        <v>61100</v>
      </c>
      <c r="C2386" s="1">
        <f>IFERROR(__xludf.DUMMYFUNCTION("""COMPUTED_VALUE"""),61300.0)</f>
        <v>61300</v>
      </c>
      <c r="D2386" s="1">
        <f>IFERROR(__xludf.DUMMYFUNCTION("""COMPUTED_VALUE"""),60600.0)</f>
        <v>60600</v>
      </c>
      <c r="E2386" s="1">
        <f>IFERROR(__xludf.DUMMYFUNCTION("""COMPUTED_VALUE"""),61000.0)</f>
        <v>61000</v>
      </c>
      <c r="F2386" s="1">
        <f>IFERROR(__xludf.DUMMYFUNCTION("""COMPUTED_VALUE"""),1.7041444E7)</f>
        <v>17041444</v>
      </c>
    </row>
    <row r="2387">
      <c r="A2387" s="2">
        <f>IFERROR(__xludf.DUMMYFUNCTION("""COMPUTED_VALUE"""),44091.64583333333)</f>
        <v>44091.64583</v>
      </c>
      <c r="B2387" s="1">
        <f>IFERROR(__xludf.DUMMYFUNCTION("""COMPUTED_VALUE"""),60700.0)</f>
        <v>60700</v>
      </c>
      <c r="C2387" s="1">
        <f>IFERROR(__xludf.DUMMYFUNCTION("""COMPUTED_VALUE"""),60800.0)</f>
        <v>60800</v>
      </c>
      <c r="D2387" s="1">
        <f>IFERROR(__xludf.DUMMYFUNCTION("""COMPUTED_VALUE"""),59300.0)</f>
        <v>59300</v>
      </c>
      <c r="E2387" s="1">
        <f>IFERROR(__xludf.DUMMYFUNCTION("""COMPUTED_VALUE"""),59500.0)</f>
        <v>59500</v>
      </c>
      <c r="F2387" s="1">
        <f>IFERROR(__xludf.DUMMYFUNCTION("""COMPUTED_VALUE"""),2.5108356E7)</f>
        <v>25108356</v>
      </c>
    </row>
    <row r="2388">
      <c r="A2388" s="2">
        <f>IFERROR(__xludf.DUMMYFUNCTION("""COMPUTED_VALUE"""),44092.64583333333)</f>
        <v>44092.64583</v>
      </c>
      <c r="B2388" s="1">
        <f>IFERROR(__xludf.DUMMYFUNCTION("""COMPUTED_VALUE"""),59800.0)</f>
        <v>59800</v>
      </c>
      <c r="C2388" s="1">
        <f>IFERROR(__xludf.DUMMYFUNCTION("""COMPUTED_VALUE"""),59900.0)</f>
        <v>59900</v>
      </c>
      <c r="D2388" s="1">
        <f>IFERROR(__xludf.DUMMYFUNCTION("""COMPUTED_VALUE"""),59100.0)</f>
        <v>59100</v>
      </c>
      <c r="E2388" s="1">
        <f>IFERROR(__xludf.DUMMYFUNCTION("""COMPUTED_VALUE"""),59300.0)</f>
        <v>59300</v>
      </c>
      <c r="F2388" s="1">
        <f>IFERROR(__xludf.DUMMYFUNCTION("""COMPUTED_VALUE"""),1.8884571E7)</f>
        <v>18884571</v>
      </c>
    </row>
    <row r="2389">
      <c r="A2389" s="2">
        <f>IFERROR(__xludf.DUMMYFUNCTION("""COMPUTED_VALUE"""),44095.64583333333)</f>
        <v>44095.64583</v>
      </c>
      <c r="B2389" s="1">
        <f>IFERROR(__xludf.DUMMYFUNCTION("""COMPUTED_VALUE"""),59100.0)</f>
        <v>59100</v>
      </c>
      <c r="C2389" s="1">
        <f>IFERROR(__xludf.DUMMYFUNCTION("""COMPUTED_VALUE"""),60000.0)</f>
        <v>60000</v>
      </c>
      <c r="D2389" s="1">
        <f>IFERROR(__xludf.DUMMYFUNCTION("""COMPUTED_VALUE"""),59000.0)</f>
        <v>59000</v>
      </c>
      <c r="E2389" s="1">
        <f>IFERROR(__xludf.DUMMYFUNCTION("""COMPUTED_VALUE"""),59200.0)</f>
        <v>59200</v>
      </c>
      <c r="F2389" s="1">
        <f>IFERROR(__xludf.DUMMYFUNCTION("""COMPUTED_VALUE"""),1.5140387E7)</f>
        <v>15140387</v>
      </c>
    </row>
    <row r="2390">
      <c r="A2390" s="2">
        <f>IFERROR(__xludf.DUMMYFUNCTION("""COMPUTED_VALUE"""),44096.64583333333)</f>
        <v>44096.64583</v>
      </c>
      <c r="B2390" s="1">
        <f>IFERROR(__xludf.DUMMYFUNCTION("""COMPUTED_VALUE"""),59100.0)</f>
        <v>59100</v>
      </c>
      <c r="C2390" s="1">
        <f>IFERROR(__xludf.DUMMYFUNCTION("""COMPUTED_VALUE"""),59700.0)</f>
        <v>59700</v>
      </c>
      <c r="D2390" s="1">
        <f>IFERROR(__xludf.DUMMYFUNCTION("""COMPUTED_VALUE"""),57800.0)</f>
        <v>57800</v>
      </c>
      <c r="E2390" s="1">
        <f>IFERROR(__xludf.DUMMYFUNCTION("""COMPUTED_VALUE"""),58200.0)</f>
        <v>58200</v>
      </c>
      <c r="F2390" s="1">
        <f>IFERROR(__xludf.DUMMYFUNCTION("""COMPUTED_VALUE"""),2.0830381E7)</f>
        <v>20830381</v>
      </c>
    </row>
    <row r="2391">
      <c r="A2391" s="2">
        <f>IFERROR(__xludf.DUMMYFUNCTION("""COMPUTED_VALUE"""),44097.64583333333)</f>
        <v>44097.64583</v>
      </c>
      <c r="B2391" s="1">
        <f>IFERROR(__xludf.DUMMYFUNCTION("""COMPUTED_VALUE"""),58400.0)</f>
        <v>58400</v>
      </c>
      <c r="C2391" s="1">
        <f>IFERROR(__xludf.DUMMYFUNCTION("""COMPUTED_VALUE"""),58800.0)</f>
        <v>58800</v>
      </c>
      <c r="D2391" s="1">
        <f>IFERROR(__xludf.DUMMYFUNCTION("""COMPUTED_VALUE"""),57400.0)</f>
        <v>57400</v>
      </c>
      <c r="E2391" s="1">
        <f>IFERROR(__xludf.DUMMYFUNCTION("""COMPUTED_VALUE"""),58600.0)</f>
        <v>58600</v>
      </c>
      <c r="F2391" s="1">
        <f>IFERROR(__xludf.DUMMYFUNCTION("""COMPUTED_VALUE"""),2.0111398E7)</f>
        <v>20111398</v>
      </c>
    </row>
    <row r="2392">
      <c r="A2392" s="2">
        <f>IFERROR(__xludf.DUMMYFUNCTION("""COMPUTED_VALUE"""),44098.64583333333)</f>
        <v>44098.64583</v>
      </c>
      <c r="B2392" s="1">
        <f>IFERROR(__xludf.DUMMYFUNCTION("""COMPUTED_VALUE"""),57700.0)</f>
        <v>57700</v>
      </c>
      <c r="C2392" s="1">
        <f>IFERROR(__xludf.DUMMYFUNCTION("""COMPUTED_VALUE"""),58600.0)</f>
        <v>58600</v>
      </c>
      <c r="D2392" s="1">
        <f>IFERROR(__xludf.DUMMYFUNCTION("""COMPUTED_VALUE"""),57600.0)</f>
        <v>57600</v>
      </c>
      <c r="E2392" s="1">
        <f>IFERROR(__xludf.DUMMYFUNCTION("""COMPUTED_VALUE"""),57800.0)</f>
        <v>57800</v>
      </c>
      <c r="F2392" s="1">
        <f>IFERROR(__xludf.DUMMYFUNCTION("""COMPUTED_VALUE"""),1.756402E7)</f>
        <v>17564020</v>
      </c>
    </row>
    <row r="2393">
      <c r="A2393" s="2">
        <f>IFERROR(__xludf.DUMMYFUNCTION("""COMPUTED_VALUE"""),44099.64583333333)</f>
        <v>44099.64583</v>
      </c>
      <c r="B2393" s="1">
        <f>IFERROR(__xludf.DUMMYFUNCTION("""COMPUTED_VALUE"""),57700.0)</f>
        <v>57700</v>
      </c>
      <c r="C2393" s="1">
        <f>IFERROR(__xludf.DUMMYFUNCTION("""COMPUTED_VALUE"""),58200.0)</f>
        <v>58200</v>
      </c>
      <c r="D2393" s="1">
        <f>IFERROR(__xludf.DUMMYFUNCTION("""COMPUTED_VALUE"""),57700.0)</f>
        <v>57700</v>
      </c>
      <c r="E2393" s="1">
        <f>IFERROR(__xludf.DUMMYFUNCTION("""COMPUTED_VALUE"""),57900.0)</f>
        <v>57900</v>
      </c>
      <c r="F2393" s="1">
        <f>IFERROR(__xludf.DUMMYFUNCTION("""COMPUTED_VALUE"""),1.1444683E7)</f>
        <v>11444683</v>
      </c>
    </row>
    <row r="2394">
      <c r="A2394" s="2">
        <f>IFERROR(__xludf.DUMMYFUNCTION("""COMPUTED_VALUE"""),44102.64583333333)</f>
        <v>44102.64583</v>
      </c>
      <c r="B2394" s="1">
        <f>IFERROR(__xludf.DUMMYFUNCTION("""COMPUTED_VALUE"""),58300.0)</f>
        <v>58300</v>
      </c>
      <c r="C2394" s="1">
        <f>IFERROR(__xludf.DUMMYFUNCTION("""COMPUTED_VALUE"""),58800.0)</f>
        <v>58800</v>
      </c>
      <c r="D2394" s="1">
        <f>IFERROR(__xludf.DUMMYFUNCTION("""COMPUTED_VALUE"""),57900.0)</f>
        <v>57900</v>
      </c>
      <c r="E2394" s="1">
        <f>IFERROR(__xludf.DUMMYFUNCTION("""COMPUTED_VALUE"""),58200.0)</f>
        <v>58200</v>
      </c>
      <c r="F2394" s="1">
        <f>IFERROR(__xludf.DUMMYFUNCTION("""COMPUTED_VALUE"""),1.261408E7)</f>
        <v>12614080</v>
      </c>
    </row>
    <row r="2395">
      <c r="A2395" s="2">
        <f>IFERROR(__xludf.DUMMYFUNCTION("""COMPUTED_VALUE"""),44103.64583333333)</f>
        <v>44103.64583</v>
      </c>
      <c r="B2395" s="1">
        <f>IFERROR(__xludf.DUMMYFUNCTION("""COMPUTED_VALUE"""),58300.0)</f>
        <v>58300</v>
      </c>
      <c r="C2395" s="1">
        <f>IFERROR(__xludf.DUMMYFUNCTION("""COMPUTED_VALUE"""),59000.0)</f>
        <v>59000</v>
      </c>
      <c r="D2395" s="1">
        <f>IFERROR(__xludf.DUMMYFUNCTION("""COMPUTED_VALUE"""),58200.0)</f>
        <v>58200</v>
      </c>
      <c r="E2395" s="1">
        <f>IFERROR(__xludf.DUMMYFUNCTION("""COMPUTED_VALUE"""),58200.0)</f>
        <v>58200</v>
      </c>
      <c r="F2395" s="1">
        <f>IFERROR(__xludf.DUMMYFUNCTION("""COMPUTED_VALUE"""),1.5503563E7)</f>
        <v>15503563</v>
      </c>
    </row>
    <row r="2396">
      <c r="A2396" s="2">
        <f>IFERROR(__xludf.DUMMYFUNCTION("""COMPUTED_VALUE"""),44109.64583333333)</f>
        <v>44109.64583</v>
      </c>
      <c r="B2396" s="1">
        <f>IFERROR(__xludf.DUMMYFUNCTION("""COMPUTED_VALUE"""),57500.0)</f>
        <v>57500</v>
      </c>
      <c r="C2396" s="1">
        <f>IFERROR(__xludf.DUMMYFUNCTION("""COMPUTED_VALUE"""),59200.0)</f>
        <v>59200</v>
      </c>
      <c r="D2396" s="1">
        <f>IFERROR(__xludf.DUMMYFUNCTION("""COMPUTED_VALUE"""),57500.0)</f>
        <v>57500</v>
      </c>
      <c r="E2396" s="1">
        <f>IFERROR(__xludf.DUMMYFUNCTION("""COMPUTED_VALUE"""),58700.0)</f>
        <v>58700</v>
      </c>
      <c r="F2396" s="1">
        <f>IFERROR(__xludf.DUMMYFUNCTION("""COMPUTED_VALUE"""),2.0228289E7)</f>
        <v>20228289</v>
      </c>
    </row>
    <row r="2397">
      <c r="A2397" s="2">
        <f>IFERROR(__xludf.DUMMYFUNCTION("""COMPUTED_VALUE"""),44110.64583333333)</f>
        <v>44110.64583</v>
      </c>
      <c r="B2397" s="1">
        <f>IFERROR(__xludf.DUMMYFUNCTION("""COMPUTED_VALUE"""),59400.0)</f>
        <v>59400</v>
      </c>
      <c r="C2397" s="1">
        <f>IFERROR(__xludf.DUMMYFUNCTION("""COMPUTED_VALUE"""),59900.0)</f>
        <v>59900</v>
      </c>
      <c r="D2397" s="1">
        <f>IFERROR(__xludf.DUMMYFUNCTION("""COMPUTED_VALUE"""),58700.0)</f>
        <v>58700</v>
      </c>
      <c r="E2397" s="1">
        <f>IFERROR(__xludf.DUMMYFUNCTION("""COMPUTED_VALUE"""),59000.0)</f>
        <v>59000</v>
      </c>
      <c r="F2397" s="1">
        <f>IFERROR(__xludf.DUMMYFUNCTION("""COMPUTED_VALUE"""),1.4463826E7)</f>
        <v>14463826</v>
      </c>
    </row>
    <row r="2398">
      <c r="A2398" s="2">
        <f>IFERROR(__xludf.DUMMYFUNCTION("""COMPUTED_VALUE"""),44111.64583333333)</f>
        <v>44111.64583</v>
      </c>
      <c r="B2398" s="1">
        <f>IFERROR(__xludf.DUMMYFUNCTION("""COMPUTED_VALUE"""),58700.0)</f>
        <v>58700</v>
      </c>
      <c r="C2398" s="1">
        <f>IFERROR(__xludf.DUMMYFUNCTION("""COMPUTED_VALUE"""),59900.0)</f>
        <v>59900</v>
      </c>
      <c r="D2398" s="1">
        <f>IFERROR(__xludf.DUMMYFUNCTION("""COMPUTED_VALUE"""),58500.0)</f>
        <v>58500</v>
      </c>
      <c r="E2398" s="1">
        <f>IFERROR(__xludf.DUMMYFUNCTION("""COMPUTED_VALUE"""),59900.0)</f>
        <v>59900</v>
      </c>
      <c r="F2398" s="1">
        <f>IFERROR(__xludf.DUMMYFUNCTION("""COMPUTED_VALUE"""),1.4861838E7)</f>
        <v>14861838</v>
      </c>
    </row>
    <row r="2399">
      <c r="A2399" s="2">
        <f>IFERROR(__xludf.DUMMYFUNCTION("""COMPUTED_VALUE"""),44112.64583333333)</f>
        <v>44112.64583</v>
      </c>
      <c r="B2399" s="1">
        <f>IFERROR(__xludf.DUMMYFUNCTION("""COMPUTED_VALUE"""),60500.0)</f>
        <v>60500</v>
      </c>
      <c r="C2399" s="1">
        <f>IFERROR(__xludf.DUMMYFUNCTION("""COMPUTED_VALUE"""),60700.0)</f>
        <v>60700</v>
      </c>
      <c r="D2399" s="1">
        <f>IFERROR(__xludf.DUMMYFUNCTION("""COMPUTED_VALUE"""),59500.0)</f>
        <v>59500</v>
      </c>
      <c r="E2399" s="1">
        <f>IFERROR(__xludf.DUMMYFUNCTION("""COMPUTED_VALUE"""),59700.0)</f>
        <v>59700</v>
      </c>
      <c r="F2399" s="1">
        <f>IFERROR(__xludf.DUMMYFUNCTION("""COMPUTED_VALUE"""),2.4589924E7)</f>
        <v>24589924</v>
      </c>
    </row>
    <row r="2400">
      <c r="A2400" s="2">
        <f>IFERROR(__xludf.DUMMYFUNCTION("""COMPUTED_VALUE"""),44116.64583333333)</f>
        <v>44116.64583</v>
      </c>
      <c r="B2400" s="1">
        <f>IFERROR(__xludf.DUMMYFUNCTION("""COMPUTED_VALUE"""),60000.0)</f>
        <v>60000</v>
      </c>
      <c r="C2400" s="1">
        <f>IFERROR(__xludf.DUMMYFUNCTION("""COMPUTED_VALUE"""),60400.0)</f>
        <v>60400</v>
      </c>
      <c r="D2400" s="1">
        <f>IFERROR(__xludf.DUMMYFUNCTION("""COMPUTED_VALUE"""),59900.0)</f>
        <v>59900</v>
      </c>
      <c r="E2400" s="1">
        <f>IFERROR(__xludf.DUMMYFUNCTION("""COMPUTED_VALUE"""),60400.0)</f>
        <v>60400</v>
      </c>
      <c r="F2400" s="1">
        <f>IFERROR(__xludf.DUMMYFUNCTION("""COMPUTED_VALUE"""),1.6145837E7)</f>
        <v>16145837</v>
      </c>
    </row>
    <row r="2401">
      <c r="A2401" s="2">
        <f>IFERROR(__xludf.DUMMYFUNCTION("""COMPUTED_VALUE"""),44117.64583333333)</f>
        <v>44117.64583</v>
      </c>
      <c r="B2401" s="1">
        <f>IFERROR(__xludf.DUMMYFUNCTION("""COMPUTED_VALUE"""),61000.0)</f>
        <v>61000</v>
      </c>
      <c r="C2401" s="1">
        <f>IFERROR(__xludf.DUMMYFUNCTION("""COMPUTED_VALUE"""),61400.0)</f>
        <v>61400</v>
      </c>
      <c r="D2401" s="1">
        <f>IFERROR(__xludf.DUMMYFUNCTION("""COMPUTED_VALUE"""),60400.0)</f>
        <v>60400</v>
      </c>
      <c r="E2401" s="1">
        <f>IFERROR(__xludf.DUMMYFUNCTION("""COMPUTED_VALUE"""),60900.0)</f>
        <v>60900</v>
      </c>
      <c r="F2401" s="1">
        <f>IFERROR(__xludf.DUMMYFUNCTION("""COMPUTED_VALUE"""),1.9247631E7)</f>
        <v>19247631</v>
      </c>
    </row>
    <row r="2402">
      <c r="A2402" s="2">
        <f>IFERROR(__xludf.DUMMYFUNCTION("""COMPUTED_VALUE"""),44118.64583333333)</f>
        <v>44118.64583</v>
      </c>
      <c r="B2402" s="1">
        <f>IFERROR(__xludf.DUMMYFUNCTION("""COMPUTED_VALUE"""),61000.0)</f>
        <v>61000</v>
      </c>
      <c r="C2402" s="1">
        <f>IFERROR(__xludf.DUMMYFUNCTION("""COMPUTED_VALUE"""),61100.0)</f>
        <v>61100</v>
      </c>
      <c r="D2402" s="1">
        <f>IFERROR(__xludf.DUMMYFUNCTION("""COMPUTED_VALUE"""),60500.0)</f>
        <v>60500</v>
      </c>
      <c r="E2402" s="1">
        <f>IFERROR(__xludf.DUMMYFUNCTION("""COMPUTED_VALUE"""),60900.0)</f>
        <v>60900</v>
      </c>
      <c r="F2402" s="1">
        <f>IFERROR(__xludf.DUMMYFUNCTION("""COMPUTED_VALUE"""),1.6086716E7)</f>
        <v>16086716</v>
      </c>
    </row>
    <row r="2403">
      <c r="A2403" s="2">
        <f>IFERROR(__xludf.DUMMYFUNCTION("""COMPUTED_VALUE"""),44119.64583333333)</f>
        <v>44119.64583</v>
      </c>
      <c r="B2403" s="1">
        <f>IFERROR(__xludf.DUMMYFUNCTION("""COMPUTED_VALUE"""),60700.0)</f>
        <v>60700</v>
      </c>
      <c r="C2403" s="1">
        <f>IFERROR(__xludf.DUMMYFUNCTION("""COMPUTED_VALUE"""),60800.0)</f>
        <v>60800</v>
      </c>
      <c r="D2403" s="1">
        <f>IFERROR(__xludf.DUMMYFUNCTION("""COMPUTED_VALUE"""),59700.0)</f>
        <v>59700</v>
      </c>
      <c r="E2403" s="1">
        <f>IFERROR(__xludf.DUMMYFUNCTION("""COMPUTED_VALUE"""),60000.0)</f>
        <v>60000</v>
      </c>
      <c r="F2403" s="1">
        <f>IFERROR(__xludf.DUMMYFUNCTION("""COMPUTED_VALUE"""),1.7756232E7)</f>
        <v>17756232</v>
      </c>
    </row>
    <row r="2404">
      <c r="A2404" s="2">
        <f>IFERROR(__xludf.DUMMYFUNCTION("""COMPUTED_VALUE"""),44120.64583333333)</f>
        <v>44120.64583</v>
      </c>
      <c r="B2404" s="1">
        <f>IFERROR(__xludf.DUMMYFUNCTION("""COMPUTED_VALUE"""),60000.0)</f>
        <v>60000</v>
      </c>
      <c r="C2404" s="1">
        <f>IFERROR(__xludf.DUMMYFUNCTION("""COMPUTED_VALUE"""),60400.0)</f>
        <v>60400</v>
      </c>
      <c r="D2404" s="1">
        <f>IFERROR(__xludf.DUMMYFUNCTION("""COMPUTED_VALUE"""),59000.0)</f>
        <v>59000</v>
      </c>
      <c r="E2404" s="1">
        <f>IFERROR(__xludf.DUMMYFUNCTION("""COMPUTED_VALUE"""),59500.0)</f>
        <v>59500</v>
      </c>
      <c r="F2404" s="1">
        <f>IFERROR(__xludf.DUMMYFUNCTION("""COMPUTED_VALUE"""),1.655419E7)</f>
        <v>16554190</v>
      </c>
    </row>
    <row r="2405">
      <c r="A2405" s="2">
        <f>IFERROR(__xludf.DUMMYFUNCTION("""COMPUTED_VALUE"""),44123.64583333333)</f>
        <v>44123.64583</v>
      </c>
      <c r="B2405" s="1">
        <f>IFERROR(__xludf.DUMMYFUNCTION("""COMPUTED_VALUE"""),59600.0)</f>
        <v>59600</v>
      </c>
      <c r="C2405" s="1">
        <f>IFERROR(__xludf.DUMMYFUNCTION("""COMPUTED_VALUE"""),60200.0)</f>
        <v>60200</v>
      </c>
      <c r="D2405" s="1">
        <f>IFERROR(__xludf.DUMMYFUNCTION("""COMPUTED_VALUE"""),59500.0)</f>
        <v>59500</v>
      </c>
      <c r="E2405" s="1">
        <f>IFERROR(__xludf.DUMMYFUNCTION("""COMPUTED_VALUE"""),60000.0)</f>
        <v>60000</v>
      </c>
      <c r="F2405" s="1">
        <f>IFERROR(__xludf.DUMMYFUNCTION("""COMPUTED_VALUE"""),1.4474985E7)</f>
        <v>14474985</v>
      </c>
    </row>
    <row r="2406">
      <c r="A2406" s="2">
        <f>IFERROR(__xludf.DUMMYFUNCTION("""COMPUTED_VALUE"""),44124.64583333333)</f>
        <v>44124.64583</v>
      </c>
      <c r="B2406" s="1">
        <f>IFERROR(__xludf.DUMMYFUNCTION("""COMPUTED_VALUE"""),60300.0)</f>
        <v>60300</v>
      </c>
      <c r="C2406" s="1">
        <f>IFERROR(__xludf.DUMMYFUNCTION("""COMPUTED_VALUE"""),60900.0)</f>
        <v>60900</v>
      </c>
      <c r="D2406" s="1">
        <f>IFERROR(__xludf.DUMMYFUNCTION("""COMPUTED_VALUE"""),60100.0)</f>
        <v>60100</v>
      </c>
      <c r="E2406" s="1">
        <f>IFERROR(__xludf.DUMMYFUNCTION("""COMPUTED_VALUE"""),60900.0)</f>
        <v>60900</v>
      </c>
      <c r="F2406" s="1">
        <f>IFERROR(__xludf.DUMMYFUNCTION("""COMPUTED_VALUE"""),1.9326115E7)</f>
        <v>19326115</v>
      </c>
    </row>
    <row r="2407">
      <c r="A2407" s="2">
        <f>IFERROR(__xludf.DUMMYFUNCTION("""COMPUTED_VALUE"""),44125.64583333333)</f>
        <v>44125.64583</v>
      </c>
      <c r="B2407" s="1">
        <f>IFERROR(__xludf.DUMMYFUNCTION("""COMPUTED_VALUE"""),61200.0)</f>
        <v>61200</v>
      </c>
      <c r="C2407" s="1">
        <f>IFERROR(__xludf.DUMMYFUNCTION("""COMPUTED_VALUE"""),61500.0)</f>
        <v>61500</v>
      </c>
      <c r="D2407" s="1">
        <f>IFERROR(__xludf.DUMMYFUNCTION("""COMPUTED_VALUE"""),60600.0)</f>
        <v>60600</v>
      </c>
      <c r="E2407" s="1">
        <f>IFERROR(__xludf.DUMMYFUNCTION("""COMPUTED_VALUE"""),60900.0)</f>
        <v>60900</v>
      </c>
      <c r="F2407" s="1">
        <f>IFERROR(__xludf.DUMMYFUNCTION("""COMPUTED_VALUE"""),1.5703443E7)</f>
        <v>15703443</v>
      </c>
    </row>
    <row r="2408">
      <c r="A2408" s="2">
        <f>IFERROR(__xludf.DUMMYFUNCTION("""COMPUTED_VALUE"""),44126.64583333333)</f>
        <v>44126.64583</v>
      </c>
      <c r="B2408" s="1">
        <f>IFERROR(__xludf.DUMMYFUNCTION("""COMPUTED_VALUE"""),60300.0)</f>
        <v>60300</v>
      </c>
      <c r="C2408" s="1">
        <f>IFERROR(__xludf.DUMMYFUNCTION("""COMPUTED_VALUE"""),60500.0)</f>
        <v>60500</v>
      </c>
      <c r="D2408" s="1">
        <f>IFERROR(__xludf.DUMMYFUNCTION("""COMPUTED_VALUE"""),59800.0)</f>
        <v>59800</v>
      </c>
      <c r="E2408" s="1">
        <f>IFERROR(__xludf.DUMMYFUNCTION("""COMPUTED_VALUE"""),60100.0)</f>
        <v>60100</v>
      </c>
      <c r="F2408" s="1">
        <f>IFERROR(__xludf.DUMMYFUNCTION("""COMPUTED_VALUE"""),1.4294095E7)</f>
        <v>14294095</v>
      </c>
    </row>
    <row r="2409">
      <c r="A2409" s="2">
        <f>IFERROR(__xludf.DUMMYFUNCTION("""COMPUTED_VALUE"""),44127.64583333333)</f>
        <v>44127.64583</v>
      </c>
      <c r="B2409" s="1">
        <f>IFERROR(__xludf.DUMMYFUNCTION("""COMPUTED_VALUE"""),60400.0)</f>
        <v>60400</v>
      </c>
      <c r="C2409" s="1">
        <f>IFERROR(__xludf.DUMMYFUNCTION("""COMPUTED_VALUE"""),60400.0)</f>
        <v>60400</v>
      </c>
      <c r="D2409" s="1">
        <f>IFERROR(__xludf.DUMMYFUNCTION("""COMPUTED_VALUE"""),59800.0)</f>
        <v>59800</v>
      </c>
      <c r="E2409" s="1">
        <f>IFERROR(__xludf.DUMMYFUNCTION("""COMPUTED_VALUE"""),60200.0)</f>
        <v>60200</v>
      </c>
      <c r="F2409" s="1">
        <f>IFERROR(__xludf.DUMMYFUNCTION("""COMPUTED_VALUE"""),9322232.0)</f>
        <v>9322232</v>
      </c>
    </row>
    <row r="2410">
      <c r="A2410" s="2">
        <f>IFERROR(__xludf.DUMMYFUNCTION("""COMPUTED_VALUE"""),44130.64583333333)</f>
        <v>44130.64583</v>
      </c>
      <c r="B2410" s="1">
        <f>IFERROR(__xludf.DUMMYFUNCTION("""COMPUTED_VALUE"""),60400.0)</f>
        <v>60400</v>
      </c>
      <c r="C2410" s="1">
        <f>IFERROR(__xludf.DUMMYFUNCTION("""COMPUTED_VALUE"""),61100.0)</f>
        <v>61100</v>
      </c>
      <c r="D2410" s="1">
        <f>IFERROR(__xludf.DUMMYFUNCTION("""COMPUTED_VALUE"""),60100.0)</f>
        <v>60100</v>
      </c>
      <c r="E2410" s="1">
        <f>IFERROR(__xludf.DUMMYFUNCTION("""COMPUTED_VALUE"""),60400.0)</f>
        <v>60400</v>
      </c>
      <c r="F2410" s="1">
        <f>IFERROR(__xludf.DUMMYFUNCTION("""COMPUTED_VALUE"""),1.3268226E7)</f>
        <v>13268226</v>
      </c>
    </row>
    <row r="2411">
      <c r="A2411" s="2">
        <f>IFERROR(__xludf.DUMMYFUNCTION("""COMPUTED_VALUE"""),44131.64583333333)</f>
        <v>44131.64583</v>
      </c>
      <c r="B2411" s="1">
        <f>IFERROR(__xludf.DUMMYFUNCTION("""COMPUTED_VALUE"""),60300.0)</f>
        <v>60300</v>
      </c>
      <c r="C2411" s="1">
        <f>IFERROR(__xludf.DUMMYFUNCTION("""COMPUTED_VALUE"""),60300.0)</f>
        <v>60300</v>
      </c>
      <c r="D2411" s="1">
        <f>IFERROR(__xludf.DUMMYFUNCTION("""COMPUTED_VALUE"""),59500.0)</f>
        <v>59500</v>
      </c>
      <c r="E2411" s="1">
        <f>IFERROR(__xludf.DUMMYFUNCTION("""COMPUTED_VALUE"""),59800.0)</f>
        <v>59800</v>
      </c>
      <c r="F2411" s="1">
        <f>IFERROR(__xludf.DUMMYFUNCTION("""COMPUTED_VALUE"""),1.7260416E7)</f>
        <v>17260416</v>
      </c>
    </row>
    <row r="2412">
      <c r="A2412" s="2">
        <f>IFERROR(__xludf.DUMMYFUNCTION("""COMPUTED_VALUE"""),44132.64583333333)</f>
        <v>44132.64583</v>
      </c>
      <c r="B2412" s="1">
        <f>IFERROR(__xludf.DUMMYFUNCTION("""COMPUTED_VALUE"""),59400.0)</f>
        <v>59400</v>
      </c>
      <c r="C2412" s="1">
        <f>IFERROR(__xludf.DUMMYFUNCTION("""COMPUTED_VALUE"""),59400.0)</f>
        <v>59400</v>
      </c>
      <c r="D2412" s="1">
        <f>IFERROR(__xludf.DUMMYFUNCTION("""COMPUTED_VALUE"""),58800.0)</f>
        <v>58800</v>
      </c>
      <c r="E2412" s="1">
        <f>IFERROR(__xludf.DUMMYFUNCTION("""COMPUTED_VALUE"""),59000.0)</f>
        <v>59000</v>
      </c>
      <c r="F2412" s="1">
        <f>IFERROR(__xludf.DUMMYFUNCTION("""COMPUTED_VALUE"""),1.4428882E7)</f>
        <v>14428882</v>
      </c>
    </row>
    <row r="2413">
      <c r="A2413" s="2">
        <f>IFERROR(__xludf.DUMMYFUNCTION("""COMPUTED_VALUE"""),44133.64583333333)</f>
        <v>44133.64583</v>
      </c>
      <c r="B2413" s="1">
        <f>IFERROR(__xludf.DUMMYFUNCTION("""COMPUTED_VALUE"""),58200.0)</f>
        <v>58200</v>
      </c>
      <c r="C2413" s="1">
        <f>IFERROR(__xludf.DUMMYFUNCTION("""COMPUTED_VALUE"""),58500.0)</f>
        <v>58500</v>
      </c>
      <c r="D2413" s="1">
        <f>IFERROR(__xludf.DUMMYFUNCTION("""COMPUTED_VALUE"""),57500.0)</f>
        <v>57500</v>
      </c>
      <c r="E2413" s="1">
        <f>IFERROR(__xludf.DUMMYFUNCTION("""COMPUTED_VALUE"""),58100.0)</f>
        <v>58100</v>
      </c>
      <c r="F2413" s="1">
        <f>IFERROR(__xludf.DUMMYFUNCTION("""COMPUTED_VALUE"""),2.2636966E7)</f>
        <v>22636966</v>
      </c>
    </row>
    <row r="2414">
      <c r="A2414" s="2">
        <f>IFERROR(__xludf.DUMMYFUNCTION("""COMPUTED_VALUE"""),44134.64583333333)</f>
        <v>44134.64583</v>
      </c>
      <c r="B2414" s="1">
        <f>IFERROR(__xludf.DUMMYFUNCTION("""COMPUTED_VALUE"""),58000.0)</f>
        <v>58000</v>
      </c>
      <c r="C2414" s="1">
        <f>IFERROR(__xludf.DUMMYFUNCTION("""COMPUTED_VALUE"""),58000.0)</f>
        <v>58000</v>
      </c>
      <c r="D2414" s="1">
        <f>IFERROR(__xludf.DUMMYFUNCTION("""COMPUTED_VALUE"""),56600.0)</f>
        <v>56600</v>
      </c>
      <c r="E2414" s="1">
        <f>IFERROR(__xludf.DUMMYFUNCTION("""COMPUTED_VALUE"""),56600.0)</f>
        <v>56600</v>
      </c>
      <c r="F2414" s="1">
        <f>IFERROR(__xludf.DUMMYFUNCTION("""COMPUTED_VALUE"""),2.6907844E7)</f>
        <v>26907844</v>
      </c>
    </row>
    <row r="2415">
      <c r="A2415" s="2">
        <f>IFERROR(__xludf.DUMMYFUNCTION("""COMPUTED_VALUE"""),44137.64583333333)</f>
        <v>44137.64583</v>
      </c>
      <c r="B2415" s="1">
        <f>IFERROR(__xludf.DUMMYFUNCTION("""COMPUTED_VALUE"""),56400.0)</f>
        <v>56400</v>
      </c>
      <c r="C2415" s="1">
        <f>IFERROR(__xludf.DUMMYFUNCTION("""COMPUTED_VALUE"""),57500.0)</f>
        <v>57500</v>
      </c>
      <c r="D2415" s="1">
        <f>IFERROR(__xludf.DUMMYFUNCTION("""COMPUTED_VALUE"""),56000.0)</f>
        <v>56000</v>
      </c>
      <c r="E2415" s="1">
        <f>IFERROR(__xludf.DUMMYFUNCTION("""COMPUTED_VALUE"""),57400.0)</f>
        <v>57400</v>
      </c>
      <c r="F2415" s="1">
        <f>IFERROR(__xludf.DUMMYFUNCTION("""COMPUTED_VALUE"""),2.0489076E7)</f>
        <v>20489076</v>
      </c>
    </row>
    <row r="2416">
      <c r="A2416" s="2">
        <f>IFERROR(__xludf.DUMMYFUNCTION("""COMPUTED_VALUE"""),44138.64583333333)</f>
        <v>44138.64583</v>
      </c>
      <c r="B2416" s="1">
        <f>IFERROR(__xludf.DUMMYFUNCTION("""COMPUTED_VALUE"""),57900.0)</f>
        <v>57900</v>
      </c>
      <c r="C2416" s="1">
        <f>IFERROR(__xludf.DUMMYFUNCTION("""COMPUTED_VALUE"""),58900.0)</f>
        <v>58900</v>
      </c>
      <c r="D2416" s="1">
        <f>IFERROR(__xludf.DUMMYFUNCTION("""COMPUTED_VALUE"""),57600.0)</f>
        <v>57600</v>
      </c>
      <c r="E2416" s="1">
        <f>IFERROR(__xludf.DUMMYFUNCTION("""COMPUTED_VALUE"""),58800.0)</f>
        <v>58800</v>
      </c>
      <c r="F2416" s="1">
        <f>IFERROR(__xludf.DUMMYFUNCTION("""COMPUTED_VALUE"""),1.4950919E7)</f>
        <v>14950919</v>
      </c>
    </row>
    <row r="2417">
      <c r="A2417" s="2">
        <f>IFERROR(__xludf.DUMMYFUNCTION("""COMPUTED_VALUE"""),44139.64583333333)</f>
        <v>44139.64583</v>
      </c>
      <c r="B2417" s="1">
        <f>IFERROR(__xludf.DUMMYFUNCTION("""COMPUTED_VALUE"""),58900.0)</f>
        <v>58900</v>
      </c>
      <c r="C2417" s="1">
        <f>IFERROR(__xludf.DUMMYFUNCTION("""COMPUTED_VALUE"""),59000.0)</f>
        <v>59000</v>
      </c>
      <c r="D2417" s="1">
        <f>IFERROR(__xludf.DUMMYFUNCTION("""COMPUTED_VALUE"""),57800.0)</f>
        <v>57800</v>
      </c>
      <c r="E2417" s="1">
        <f>IFERROR(__xludf.DUMMYFUNCTION("""COMPUTED_VALUE"""),58500.0)</f>
        <v>58500</v>
      </c>
      <c r="F2417" s="1">
        <f>IFERROR(__xludf.DUMMYFUNCTION("""COMPUTED_VALUE"""),2.1718561E7)</f>
        <v>21718561</v>
      </c>
    </row>
    <row r="2418">
      <c r="A2418" s="2">
        <f>IFERROR(__xludf.DUMMYFUNCTION("""COMPUTED_VALUE"""),44140.64583333333)</f>
        <v>44140.64583</v>
      </c>
      <c r="B2418" s="1">
        <f>IFERROR(__xludf.DUMMYFUNCTION("""COMPUTED_VALUE"""),59000.0)</f>
        <v>59000</v>
      </c>
      <c r="C2418" s="1">
        <f>IFERROR(__xludf.DUMMYFUNCTION("""COMPUTED_VALUE"""),60300.0)</f>
        <v>60300</v>
      </c>
      <c r="D2418" s="1">
        <f>IFERROR(__xludf.DUMMYFUNCTION("""COMPUTED_VALUE"""),58800.0)</f>
        <v>58800</v>
      </c>
      <c r="E2418" s="1">
        <f>IFERROR(__xludf.DUMMYFUNCTION("""COMPUTED_VALUE"""),60300.0)</f>
        <v>60300</v>
      </c>
      <c r="F2418" s="1">
        <f>IFERROR(__xludf.DUMMYFUNCTION("""COMPUTED_VALUE"""),2.0639475E7)</f>
        <v>20639475</v>
      </c>
    </row>
    <row r="2419">
      <c r="A2419" s="2">
        <f>IFERROR(__xludf.DUMMYFUNCTION("""COMPUTED_VALUE"""),44141.64583333333)</f>
        <v>44141.64583</v>
      </c>
      <c r="B2419" s="1">
        <f>IFERROR(__xludf.DUMMYFUNCTION("""COMPUTED_VALUE"""),60700.0)</f>
        <v>60700</v>
      </c>
      <c r="C2419" s="1">
        <f>IFERROR(__xludf.DUMMYFUNCTION("""COMPUTED_VALUE"""),60800.0)</f>
        <v>60800</v>
      </c>
      <c r="D2419" s="1">
        <f>IFERROR(__xludf.DUMMYFUNCTION("""COMPUTED_VALUE"""),59600.0)</f>
        <v>59600</v>
      </c>
      <c r="E2419" s="1">
        <f>IFERROR(__xludf.DUMMYFUNCTION("""COMPUTED_VALUE"""),60100.0)</f>
        <v>60100</v>
      </c>
      <c r="F2419" s="1">
        <f>IFERROR(__xludf.DUMMYFUNCTION("""COMPUTED_VALUE"""),1.691023E7)</f>
        <v>16910230</v>
      </c>
    </row>
    <row r="2420">
      <c r="A2420" s="2">
        <f>IFERROR(__xludf.DUMMYFUNCTION("""COMPUTED_VALUE"""),44144.64583333333)</f>
        <v>44144.64583</v>
      </c>
      <c r="B2420" s="1">
        <f>IFERROR(__xludf.DUMMYFUNCTION("""COMPUTED_VALUE"""),60700.0)</f>
        <v>60700</v>
      </c>
      <c r="C2420" s="1">
        <f>IFERROR(__xludf.DUMMYFUNCTION("""COMPUTED_VALUE"""),60900.0)</f>
        <v>60900</v>
      </c>
      <c r="D2420" s="1">
        <f>IFERROR(__xludf.DUMMYFUNCTION("""COMPUTED_VALUE"""),60100.0)</f>
        <v>60100</v>
      </c>
      <c r="E2420" s="1">
        <f>IFERROR(__xludf.DUMMYFUNCTION("""COMPUTED_VALUE"""),60200.0)</f>
        <v>60200</v>
      </c>
      <c r="F2420" s="1">
        <f>IFERROR(__xludf.DUMMYFUNCTION("""COMPUTED_VALUE"""),1.5892961E7)</f>
        <v>15892961</v>
      </c>
    </row>
    <row r="2421">
      <c r="A2421" s="2">
        <f>IFERROR(__xludf.DUMMYFUNCTION("""COMPUTED_VALUE"""),44145.64583333333)</f>
        <v>44145.64583</v>
      </c>
      <c r="B2421" s="1">
        <f>IFERROR(__xludf.DUMMYFUNCTION("""COMPUTED_VALUE"""),60500.0)</f>
        <v>60500</v>
      </c>
      <c r="C2421" s="1">
        <f>IFERROR(__xludf.DUMMYFUNCTION("""COMPUTED_VALUE"""),60500.0)</f>
        <v>60500</v>
      </c>
      <c r="D2421" s="1">
        <f>IFERROR(__xludf.DUMMYFUNCTION("""COMPUTED_VALUE"""),59500.0)</f>
        <v>59500</v>
      </c>
      <c r="E2421" s="1">
        <f>IFERROR(__xludf.DUMMYFUNCTION("""COMPUTED_VALUE"""),60200.0)</f>
        <v>60200</v>
      </c>
      <c r="F2421" s="1">
        <f>IFERROR(__xludf.DUMMYFUNCTION("""COMPUTED_VALUE"""),1.9073552E7)</f>
        <v>19073552</v>
      </c>
    </row>
    <row r="2422">
      <c r="A2422" s="2">
        <f>IFERROR(__xludf.DUMMYFUNCTION("""COMPUTED_VALUE"""),44146.64583333333)</f>
        <v>44146.64583</v>
      </c>
      <c r="B2422" s="1">
        <f>IFERROR(__xludf.DUMMYFUNCTION("""COMPUTED_VALUE"""),60700.0)</f>
        <v>60700</v>
      </c>
      <c r="C2422" s="1">
        <f>IFERROR(__xludf.DUMMYFUNCTION("""COMPUTED_VALUE"""),61400.0)</f>
        <v>61400</v>
      </c>
      <c r="D2422" s="1">
        <f>IFERROR(__xludf.DUMMYFUNCTION("""COMPUTED_VALUE"""),60400.0)</f>
        <v>60400</v>
      </c>
      <c r="E2422" s="1">
        <f>IFERROR(__xludf.DUMMYFUNCTION("""COMPUTED_VALUE"""),61300.0)</f>
        <v>61300</v>
      </c>
      <c r="F2422" s="1">
        <f>IFERROR(__xludf.DUMMYFUNCTION("""COMPUTED_VALUE"""),2.562851E7)</f>
        <v>25628510</v>
      </c>
    </row>
    <row r="2423">
      <c r="A2423" s="2">
        <f>IFERROR(__xludf.DUMMYFUNCTION("""COMPUTED_VALUE"""),44147.64583333333)</f>
        <v>44147.64583</v>
      </c>
      <c r="B2423" s="1">
        <f>IFERROR(__xludf.DUMMYFUNCTION("""COMPUTED_VALUE"""),61000.0)</f>
        <v>61000</v>
      </c>
      <c r="C2423" s="1">
        <f>IFERROR(__xludf.DUMMYFUNCTION("""COMPUTED_VALUE"""),61400.0)</f>
        <v>61400</v>
      </c>
      <c r="D2423" s="1">
        <f>IFERROR(__xludf.DUMMYFUNCTION("""COMPUTED_VALUE"""),60700.0)</f>
        <v>60700</v>
      </c>
      <c r="E2423" s="1">
        <f>IFERROR(__xludf.DUMMYFUNCTION("""COMPUTED_VALUE"""),61000.0)</f>
        <v>61000</v>
      </c>
      <c r="F2423" s="1">
        <f>IFERROR(__xludf.DUMMYFUNCTION("""COMPUTED_VALUE"""),1.9800573E7)</f>
        <v>19800573</v>
      </c>
    </row>
    <row r="2424">
      <c r="A2424" s="2">
        <f>IFERROR(__xludf.DUMMYFUNCTION("""COMPUTED_VALUE"""),44148.64583333333)</f>
        <v>44148.64583</v>
      </c>
      <c r="B2424" s="1">
        <f>IFERROR(__xludf.DUMMYFUNCTION("""COMPUTED_VALUE"""),61300.0)</f>
        <v>61300</v>
      </c>
      <c r="C2424" s="1">
        <f>IFERROR(__xludf.DUMMYFUNCTION("""COMPUTED_VALUE"""),63200.0)</f>
        <v>63200</v>
      </c>
      <c r="D2424" s="1">
        <f>IFERROR(__xludf.DUMMYFUNCTION("""COMPUTED_VALUE"""),61000.0)</f>
        <v>61000</v>
      </c>
      <c r="E2424" s="1">
        <f>IFERROR(__xludf.DUMMYFUNCTION("""COMPUTED_VALUE"""),63200.0)</f>
        <v>63200</v>
      </c>
      <c r="F2424" s="1">
        <f>IFERROR(__xludf.DUMMYFUNCTION("""COMPUTED_VALUE"""),3.1508829E7)</f>
        <v>31508829</v>
      </c>
    </row>
    <row r="2425">
      <c r="A2425" s="2">
        <f>IFERROR(__xludf.DUMMYFUNCTION("""COMPUTED_VALUE"""),44151.64583333333)</f>
        <v>44151.64583</v>
      </c>
      <c r="B2425" s="1">
        <f>IFERROR(__xludf.DUMMYFUNCTION("""COMPUTED_VALUE"""),64000.0)</f>
        <v>64000</v>
      </c>
      <c r="C2425" s="1">
        <f>IFERROR(__xludf.DUMMYFUNCTION("""COMPUTED_VALUE"""),66700.0)</f>
        <v>66700</v>
      </c>
      <c r="D2425" s="1">
        <f>IFERROR(__xludf.DUMMYFUNCTION("""COMPUTED_VALUE"""),63900.0)</f>
        <v>63900</v>
      </c>
      <c r="E2425" s="1">
        <f>IFERROR(__xludf.DUMMYFUNCTION("""COMPUTED_VALUE"""),66300.0)</f>
        <v>66300</v>
      </c>
      <c r="F2425" s="1">
        <f>IFERROR(__xludf.DUMMYFUNCTION("""COMPUTED_VALUE"""),3.6354334E7)</f>
        <v>36354334</v>
      </c>
    </row>
    <row r="2426">
      <c r="A2426" s="2">
        <f>IFERROR(__xludf.DUMMYFUNCTION("""COMPUTED_VALUE"""),44152.64583333333)</f>
        <v>44152.64583</v>
      </c>
      <c r="B2426" s="1">
        <f>IFERROR(__xludf.DUMMYFUNCTION("""COMPUTED_VALUE"""),67000.0)</f>
        <v>67000</v>
      </c>
      <c r="C2426" s="1">
        <f>IFERROR(__xludf.DUMMYFUNCTION("""COMPUTED_VALUE"""),67000.0)</f>
        <v>67000</v>
      </c>
      <c r="D2426" s="1">
        <f>IFERROR(__xludf.DUMMYFUNCTION("""COMPUTED_VALUE"""),65600.0)</f>
        <v>65600</v>
      </c>
      <c r="E2426" s="1">
        <f>IFERROR(__xludf.DUMMYFUNCTION("""COMPUTED_VALUE"""),65700.0)</f>
        <v>65700</v>
      </c>
      <c r="F2426" s="1">
        <f>IFERROR(__xludf.DUMMYFUNCTION("""COMPUTED_VALUE"""),3.0204089E7)</f>
        <v>30204089</v>
      </c>
    </row>
    <row r="2427">
      <c r="A2427" s="2">
        <f>IFERROR(__xludf.DUMMYFUNCTION("""COMPUTED_VALUE"""),44153.64583333333)</f>
        <v>44153.64583</v>
      </c>
      <c r="B2427" s="1">
        <f>IFERROR(__xludf.DUMMYFUNCTION("""COMPUTED_VALUE"""),65700.0)</f>
        <v>65700</v>
      </c>
      <c r="C2427" s="1">
        <f>IFERROR(__xludf.DUMMYFUNCTION("""COMPUTED_VALUE"""),66200.0)</f>
        <v>66200</v>
      </c>
      <c r="D2427" s="1">
        <f>IFERROR(__xludf.DUMMYFUNCTION("""COMPUTED_VALUE"""),64700.0)</f>
        <v>64700</v>
      </c>
      <c r="E2427" s="1">
        <f>IFERROR(__xludf.DUMMYFUNCTION("""COMPUTED_VALUE"""),64800.0)</f>
        <v>64800</v>
      </c>
      <c r="F2427" s="1">
        <f>IFERROR(__xludf.DUMMYFUNCTION("""COMPUTED_VALUE"""),2.296379E7)</f>
        <v>22963790</v>
      </c>
    </row>
    <row r="2428">
      <c r="A2428" s="2">
        <f>IFERROR(__xludf.DUMMYFUNCTION("""COMPUTED_VALUE"""),44154.64583333333)</f>
        <v>44154.64583</v>
      </c>
      <c r="B2428" s="1">
        <f>IFERROR(__xludf.DUMMYFUNCTION("""COMPUTED_VALUE"""),64100.0)</f>
        <v>64100</v>
      </c>
      <c r="C2428" s="1">
        <f>IFERROR(__xludf.DUMMYFUNCTION("""COMPUTED_VALUE"""),64800.0)</f>
        <v>64800</v>
      </c>
      <c r="D2428" s="1">
        <f>IFERROR(__xludf.DUMMYFUNCTION("""COMPUTED_VALUE"""),63900.0)</f>
        <v>63900</v>
      </c>
      <c r="E2428" s="1">
        <f>IFERROR(__xludf.DUMMYFUNCTION("""COMPUTED_VALUE"""),64600.0)</f>
        <v>64600</v>
      </c>
      <c r="F2428" s="1">
        <f>IFERROR(__xludf.DUMMYFUNCTION("""COMPUTED_VALUE"""),1.659029E7)</f>
        <v>16590290</v>
      </c>
    </row>
    <row r="2429">
      <c r="A2429" s="2">
        <f>IFERROR(__xludf.DUMMYFUNCTION("""COMPUTED_VALUE"""),44155.64583333333)</f>
        <v>44155.64583</v>
      </c>
      <c r="B2429" s="1">
        <f>IFERROR(__xludf.DUMMYFUNCTION("""COMPUTED_VALUE"""),63900.0)</f>
        <v>63900</v>
      </c>
      <c r="C2429" s="1">
        <f>IFERROR(__xludf.DUMMYFUNCTION("""COMPUTED_VALUE"""),65200.0)</f>
        <v>65200</v>
      </c>
      <c r="D2429" s="1">
        <f>IFERROR(__xludf.DUMMYFUNCTION("""COMPUTED_VALUE"""),63900.0)</f>
        <v>63900</v>
      </c>
      <c r="E2429" s="1">
        <f>IFERROR(__xludf.DUMMYFUNCTION("""COMPUTED_VALUE"""),64700.0)</f>
        <v>64700</v>
      </c>
      <c r="F2429" s="1">
        <f>IFERROR(__xludf.DUMMYFUNCTION("""COMPUTED_VALUE"""),1.5068682E7)</f>
        <v>15068682</v>
      </c>
    </row>
    <row r="2430">
      <c r="A2430" s="2">
        <f>IFERROR(__xludf.DUMMYFUNCTION("""COMPUTED_VALUE"""),44158.64583333333)</f>
        <v>44158.64583</v>
      </c>
      <c r="B2430" s="1">
        <f>IFERROR(__xludf.DUMMYFUNCTION("""COMPUTED_VALUE"""),64800.0)</f>
        <v>64800</v>
      </c>
      <c r="C2430" s="1">
        <f>IFERROR(__xludf.DUMMYFUNCTION("""COMPUTED_VALUE"""),67800.0)</f>
        <v>67800</v>
      </c>
      <c r="D2430" s="1">
        <f>IFERROR(__xludf.DUMMYFUNCTION("""COMPUTED_VALUE"""),64700.0)</f>
        <v>64700</v>
      </c>
      <c r="E2430" s="1">
        <f>IFERROR(__xludf.DUMMYFUNCTION("""COMPUTED_VALUE"""),67500.0)</f>
        <v>67500</v>
      </c>
      <c r="F2430" s="1">
        <f>IFERROR(__xludf.DUMMYFUNCTION("""COMPUTED_VALUE"""),2.7134398E7)</f>
        <v>27134398</v>
      </c>
    </row>
    <row r="2431">
      <c r="A2431" s="2">
        <f>IFERROR(__xludf.DUMMYFUNCTION("""COMPUTED_VALUE"""),44159.64583333333)</f>
        <v>44159.64583</v>
      </c>
      <c r="B2431" s="1">
        <f>IFERROR(__xludf.DUMMYFUNCTION("""COMPUTED_VALUE"""),67900.0)</f>
        <v>67900</v>
      </c>
      <c r="C2431" s="1">
        <f>IFERROR(__xludf.DUMMYFUNCTION("""COMPUTED_VALUE"""),69500.0)</f>
        <v>69500</v>
      </c>
      <c r="D2431" s="1">
        <f>IFERROR(__xludf.DUMMYFUNCTION("""COMPUTED_VALUE"""),67000.0)</f>
        <v>67000</v>
      </c>
      <c r="E2431" s="1">
        <f>IFERROR(__xludf.DUMMYFUNCTION("""COMPUTED_VALUE"""),67700.0)</f>
        <v>67700</v>
      </c>
      <c r="F2431" s="1">
        <f>IFERROR(__xludf.DUMMYFUNCTION("""COMPUTED_VALUE"""),3.2158235E7)</f>
        <v>32158235</v>
      </c>
    </row>
    <row r="2432">
      <c r="A2432" s="2">
        <f>IFERROR(__xludf.DUMMYFUNCTION("""COMPUTED_VALUE"""),44160.64583333333)</f>
        <v>44160.64583</v>
      </c>
      <c r="B2432" s="1">
        <f>IFERROR(__xludf.DUMMYFUNCTION("""COMPUTED_VALUE"""),67900.0)</f>
        <v>67900</v>
      </c>
      <c r="C2432" s="1">
        <f>IFERROR(__xludf.DUMMYFUNCTION("""COMPUTED_VALUE"""),68300.0)</f>
        <v>68300</v>
      </c>
      <c r="D2432" s="1">
        <f>IFERROR(__xludf.DUMMYFUNCTION("""COMPUTED_VALUE"""),66500.0)</f>
        <v>66500</v>
      </c>
      <c r="E2432" s="1">
        <f>IFERROR(__xludf.DUMMYFUNCTION("""COMPUTED_VALUE"""),66600.0)</f>
        <v>66600</v>
      </c>
      <c r="F2432" s="1">
        <f>IFERROR(__xludf.DUMMYFUNCTION("""COMPUTED_VALUE"""),3.2447065E7)</f>
        <v>32447065</v>
      </c>
    </row>
    <row r="2433">
      <c r="A2433" s="2">
        <f>IFERROR(__xludf.DUMMYFUNCTION("""COMPUTED_VALUE"""),44161.64583333333)</f>
        <v>44161.64583</v>
      </c>
      <c r="B2433" s="1">
        <f>IFERROR(__xludf.DUMMYFUNCTION("""COMPUTED_VALUE"""),66100.0)</f>
        <v>66100</v>
      </c>
      <c r="C2433" s="1">
        <f>IFERROR(__xludf.DUMMYFUNCTION("""COMPUTED_VALUE"""),68000.0)</f>
        <v>68000</v>
      </c>
      <c r="D2433" s="1">
        <f>IFERROR(__xludf.DUMMYFUNCTION("""COMPUTED_VALUE"""),66000.0)</f>
        <v>66000</v>
      </c>
      <c r="E2433" s="1">
        <f>IFERROR(__xludf.DUMMYFUNCTION("""COMPUTED_VALUE"""),68000.0)</f>
        <v>68000</v>
      </c>
      <c r="F2433" s="1">
        <f>IFERROR(__xludf.DUMMYFUNCTION("""COMPUTED_VALUE"""),1.9023323E7)</f>
        <v>19023323</v>
      </c>
    </row>
    <row r="2434">
      <c r="A2434" s="2">
        <f>IFERROR(__xludf.DUMMYFUNCTION("""COMPUTED_VALUE"""),44162.64583333333)</f>
        <v>44162.64583</v>
      </c>
      <c r="B2434" s="1">
        <f>IFERROR(__xludf.DUMMYFUNCTION("""COMPUTED_VALUE"""),68000.0)</f>
        <v>68000</v>
      </c>
      <c r="C2434" s="1">
        <f>IFERROR(__xludf.DUMMYFUNCTION("""COMPUTED_VALUE"""),68400.0)</f>
        <v>68400</v>
      </c>
      <c r="D2434" s="1">
        <f>IFERROR(__xludf.DUMMYFUNCTION("""COMPUTED_VALUE"""),67600.0)</f>
        <v>67600</v>
      </c>
      <c r="E2434" s="1">
        <f>IFERROR(__xludf.DUMMYFUNCTION("""COMPUTED_VALUE"""),68200.0)</f>
        <v>68200</v>
      </c>
      <c r="F2434" s="1">
        <f>IFERROR(__xludf.DUMMYFUNCTION("""COMPUTED_VALUE"""),1.4063434E7)</f>
        <v>14063434</v>
      </c>
    </row>
    <row r="2435">
      <c r="A2435" s="2">
        <f>IFERROR(__xludf.DUMMYFUNCTION("""COMPUTED_VALUE"""),44165.64583333333)</f>
        <v>44165.64583</v>
      </c>
      <c r="B2435" s="1">
        <f>IFERROR(__xludf.DUMMYFUNCTION("""COMPUTED_VALUE"""),68400.0)</f>
        <v>68400</v>
      </c>
      <c r="C2435" s="1">
        <f>IFERROR(__xludf.DUMMYFUNCTION("""COMPUTED_VALUE"""),68600.0)</f>
        <v>68600</v>
      </c>
      <c r="D2435" s="1">
        <f>IFERROR(__xludf.DUMMYFUNCTION("""COMPUTED_VALUE"""),66700.0)</f>
        <v>66700</v>
      </c>
      <c r="E2435" s="1">
        <f>IFERROR(__xludf.DUMMYFUNCTION("""COMPUTED_VALUE"""),66700.0)</f>
        <v>66700</v>
      </c>
      <c r="F2435" s="1">
        <f>IFERROR(__xludf.DUMMYFUNCTION("""COMPUTED_VALUE"""),4.3811016E7)</f>
        <v>43811016</v>
      </c>
    </row>
    <row r="2436">
      <c r="A2436" s="2">
        <f>IFERROR(__xludf.DUMMYFUNCTION("""COMPUTED_VALUE"""),44166.64583333333)</f>
        <v>44166.64583</v>
      </c>
      <c r="B2436" s="1">
        <f>IFERROR(__xludf.DUMMYFUNCTION("""COMPUTED_VALUE"""),67100.0)</f>
        <v>67100</v>
      </c>
      <c r="C2436" s="1">
        <f>IFERROR(__xludf.DUMMYFUNCTION("""COMPUTED_VALUE"""),68300.0)</f>
        <v>68300</v>
      </c>
      <c r="D2436" s="1">
        <f>IFERROR(__xludf.DUMMYFUNCTION("""COMPUTED_VALUE"""),67100.0)</f>
        <v>67100</v>
      </c>
      <c r="E2436" s="1">
        <f>IFERROR(__xludf.DUMMYFUNCTION("""COMPUTED_VALUE"""),67800.0)</f>
        <v>67800</v>
      </c>
      <c r="F2436" s="1">
        <f>IFERROR(__xludf.DUMMYFUNCTION("""COMPUTED_VALUE"""),2.2327173E7)</f>
        <v>22327173</v>
      </c>
    </row>
    <row r="2437">
      <c r="A2437" s="2">
        <f>IFERROR(__xludf.DUMMYFUNCTION("""COMPUTED_VALUE"""),44167.64583333333)</f>
        <v>44167.64583</v>
      </c>
      <c r="B2437" s="1">
        <f>IFERROR(__xludf.DUMMYFUNCTION("""COMPUTED_VALUE"""),68400.0)</f>
        <v>68400</v>
      </c>
      <c r="C2437" s="1">
        <f>IFERROR(__xludf.DUMMYFUNCTION("""COMPUTED_VALUE"""),69900.0)</f>
        <v>69900</v>
      </c>
      <c r="D2437" s="1">
        <f>IFERROR(__xludf.DUMMYFUNCTION("""COMPUTED_VALUE"""),68300.0)</f>
        <v>68300</v>
      </c>
      <c r="E2437" s="1">
        <f>IFERROR(__xludf.DUMMYFUNCTION("""COMPUTED_VALUE"""),69500.0)</f>
        <v>69500</v>
      </c>
      <c r="F2437" s="1">
        <f>IFERROR(__xludf.DUMMYFUNCTION("""COMPUTED_VALUE"""),2.9703942E7)</f>
        <v>29703942</v>
      </c>
    </row>
    <row r="2438">
      <c r="A2438" s="2">
        <f>IFERROR(__xludf.DUMMYFUNCTION("""COMPUTED_VALUE"""),44168.64583333333)</f>
        <v>44168.64583</v>
      </c>
      <c r="B2438" s="1">
        <f>IFERROR(__xludf.DUMMYFUNCTION("""COMPUTED_VALUE"""),70100.0)</f>
        <v>70100</v>
      </c>
      <c r="C2438" s="1">
        <f>IFERROR(__xludf.DUMMYFUNCTION("""COMPUTED_VALUE"""),70500.0)</f>
        <v>70500</v>
      </c>
      <c r="D2438" s="1">
        <f>IFERROR(__xludf.DUMMYFUNCTION("""COMPUTED_VALUE"""),69300.0)</f>
        <v>69300</v>
      </c>
      <c r="E2438" s="1">
        <f>IFERROR(__xludf.DUMMYFUNCTION("""COMPUTED_VALUE"""),69700.0)</f>
        <v>69700</v>
      </c>
      <c r="F2438" s="1">
        <f>IFERROR(__xludf.DUMMYFUNCTION("""COMPUTED_VALUE"""),2.3677989E7)</f>
        <v>23677989</v>
      </c>
    </row>
    <row r="2439">
      <c r="A2439" s="2">
        <f>IFERROR(__xludf.DUMMYFUNCTION("""COMPUTED_VALUE"""),44169.64583333333)</f>
        <v>44169.64583</v>
      </c>
      <c r="B2439" s="1">
        <f>IFERROR(__xludf.DUMMYFUNCTION("""COMPUTED_VALUE"""),70400.0)</f>
        <v>70400</v>
      </c>
      <c r="C2439" s="1">
        <f>IFERROR(__xludf.DUMMYFUNCTION("""COMPUTED_VALUE"""),72100.0)</f>
        <v>72100</v>
      </c>
      <c r="D2439" s="1">
        <f>IFERROR(__xludf.DUMMYFUNCTION("""COMPUTED_VALUE"""),70100.0)</f>
        <v>70100</v>
      </c>
      <c r="E2439" s="1">
        <f>IFERROR(__xludf.DUMMYFUNCTION("""COMPUTED_VALUE"""),71500.0)</f>
        <v>71500</v>
      </c>
      <c r="F2439" s="1">
        <f>IFERROR(__xludf.DUMMYFUNCTION("""COMPUTED_VALUE"""),2.8130533E7)</f>
        <v>28130533</v>
      </c>
    </row>
    <row r="2440">
      <c r="A2440" s="2">
        <f>IFERROR(__xludf.DUMMYFUNCTION("""COMPUTED_VALUE"""),44172.64583333333)</f>
        <v>44172.64583</v>
      </c>
      <c r="B2440" s="1">
        <f>IFERROR(__xludf.DUMMYFUNCTION("""COMPUTED_VALUE"""),72400.0)</f>
        <v>72400</v>
      </c>
      <c r="C2440" s="1">
        <f>IFERROR(__xludf.DUMMYFUNCTION("""COMPUTED_VALUE"""),73500.0)</f>
        <v>73500</v>
      </c>
      <c r="D2440" s="1">
        <f>IFERROR(__xludf.DUMMYFUNCTION("""COMPUTED_VALUE"""),71900.0)</f>
        <v>71900</v>
      </c>
      <c r="E2440" s="1">
        <f>IFERROR(__xludf.DUMMYFUNCTION("""COMPUTED_VALUE"""),72900.0)</f>
        <v>72900</v>
      </c>
      <c r="F2440" s="1">
        <f>IFERROR(__xludf.DUMMYFUNCTION("""COMPUTED_VALUE"""),2.8490496E7)</f>
        <v>28490496</v>
      </c>
    </row>
    <row r="2441">
      <c r="A2441" s="2">
        <f>IFERROR(__xludf.DUMMYFUNCTION("""COMPUTED_VALUE"""),44173.64583333333)</f>
        <v>44173.64583</v>
      </c>
      <c r="B2441" s="1">
        <f>IFERROR(__xludf.DUMMYFUNCTION("""COMPUTED_VALUE"""),72200.0)</f>
        <v>72200</v>
      </c>
      <c r="C2441" s="1">
        <f>IFERROR(__xludf.DUMMYFUNCTION("""COMPUTED_VALUE"""),72900.0)</f>
        <v>72900</v>
      </c>
      <c r="D2441" s="1">
        <f>IFERROR(__xludf.DUMMYFUNCTION("""COMPUTED_VALUE"""),71600.0)</f>
        <v>71600</v>
      </c>
      <c r="E2441" s="1">
        <f>IFERROR(__xludf.DUMMYFUNCTION("""COMPUTED_VALUE"""),71700.0)</f>
        <v>71700</v>
      </c>
      <c r="F2441" s="1">
        <f>IFERROR(__xludf.DUMMYFUNCTION("""COMPUTED_VALUE"""),2.5000338E7)</f>
        <v>25000338</v>
      </c>
    </row>
    <row r="2442">
      <c r="A2442" s="2">
        <f>IFERROR(__xludf.DUMMYFUNCTION("""COMPUTED_VALUE"""),44174.64583333333)</f>
        <v>44174.64583</v>
      </c>
      <c r="B2442" s="1">
        <f>IFERROR(__xludf.DUMMYFUNCTION("""COMPUTED_VALUE"""),72100.0)</f>
        <v>72100</v>
      </c>
      <c r="C2442" s="1">
        <f>IFERROR(__xludf.DUMMYFUNCTION("""COMPUTED_VALUE"""),73900.0)</f>
        <v>73900</v>
      </c>
      <c r="D2442" s="1">
        <f>IFERROR(__xludf.DUMMYFUNCTION("""COMPUTED_VALUE"""),72000.0)</f>
        <v>72000</v>
      </c>
      <c r="E2442" s="1">
        <f>IFERROR(__xludf.DUMMYFUNCTION("""COMPUTED_VALUE"""),73900.0)</f>
        <v>73900</v>
      </c>
      <c r="F2442" s="1">
        <f>IFERROR(__xludf.DUMMYFUNCTION("""COMPUTED_VALUE"""),2.4077996E7)</f>
        <v>24077996</v>
      </c>
    </row>
    <row r="2443">
      <c r="A2443" s="2">
        <f>IFERROR(__xludf.DUMMYFUNCTION("""COMPUTED_VALUE"""),44175.64583333333)</f>
        <v>44175.64583</v>
      </c>
      <c r="B2443" s="1">
        <f>IFERROR(__xludf.DUMMYFUNCTION("""COMPUTED_VALUE"""),72700.0)</f>
        <v>72700</v>
      </c>
      <c r="C2443" s="1">
        <f>IFERROR(__xludf.DUMMYFUNCTION("""COMPUTED_VALUE"""),73800.0)</f>
        <v>73800</v>
      </c>
      <c r="D2443" s="1">
        <f>IFERROR(__xludf.DUMMYFUNCTION("""COMPUTED_VALUE"""),72500.0)</f>
        <v>72500</v>
      </c>
      <c r="E2443" s="1">
        <f>IFERROR(__xludf.DUMMYFUNCTION("""COMPUTED_VALUE"""),72900.0)</f>
        <v>72900</v>
      </c>
      <c r="F2443" s="1">
        <f>IFERROR(__xludf.DUMMYFUNCTION("""COMPUTED_VALUE"""),3.9882928E7)</f>
        <v>39882928</v>
      </c>
    </row>
    <row r="2444">
      <c r="A2444" s="2">
        <f>IFERROR(__xludf.DUMMYFUNCTION("""COMPUTED_VALUE"""),44176.64583333333)</f>
        <v>44176.64583</v>
      </c>
      <c r="B2444" s="1">
        <f>IFERROR(__xludf.DUMMYFUNCTION("""COMPUTED_VALUE"""),73500.0)</f>
        <v>73500</v>
      </c>
      <c r="C2444" s="1">
        <f>IFERROR(__xludf.DUMMYFUNCTION("""COMPUTED_VALUE"""),73800.0)</f>
        <v>73800</v>
      </c>
      <c r="D2444" s="1">
        <f>IFERROR(__xludf.DUMMYFUNCTION("""COMPUTED_VALUE"""),73100.0)</f>
        <v>73100</v>
      </c>
      <c r="E2444" s="1">
        <f>IFERROR(__xludf.DUMMYFUNCTION("""COMPUTED_VALUE"""),73400.0)</f>
        <v>73400</v>
      </c>
      <c r="F2444" s="1">
        <f>IFERROR(__xludf.DUMMYFUNCTION("""COMPUTED_VALUE"""),1.8486672E7)</f>
        <v>18486672</v>
      </c>
    </row>
    <row r="2445">
      <c r="A2445" s="2">
        <f>IFERROR(__xludf.DUMMYFUNCTION("""COMPUTED_VALUE"""),44179.64583333333)</f>
        <v>44179.64583</v>
      </c>
      <c r="B2445" s="1">
        <f>IFERROR(__xludf.DUMMYFUNCTION("""COMPUTED_VALUE"""),73600.0)</f>
        <v>73600</v>
      </c>
      <c r="C2445" s="1">
        <f>IFERROR(__xludf.DUMMYFUNCTION("""COMPUTED_VALUE"""),74500.0)</f>
        <v>74500</v>
      </c>
      <c r="D2445" s="1">
        <f>IFERROR(__xludf.DUMMYFUNCTION("""COMPUTED_VALUE"""),73200.0)</f>
        <v>73200</v>
      </c>
      <c r="E2445" s="1">
        <f>IFERROR(__xludf.DUMMYFUNCTION("""COMPUTED_VALUE"""),73800.0)</f>
        <v>73800</v>
      </c>
      <c r="F2445" s="1">
        <f>IFERROR(__xludf.DUMMYFUNCTION("""COMPUTED_VALUE"""),2.1510415E7)</f>
        <v>21510415</v>
      </c>
    </row>
    <row r="2446">
      <c r="A2446" s="2">
        <f>IFERROR(__xludf.DUMMYFUNCTION("""COMPUTED_VALUE"""),44180.64583333333)</f>
        <v>44180.64583</v>
      </c>
      <c r="B2446" s="1">
        <f>IFERROR(__xludf.DUMMYFUNCTION("""COMPUTED_VALUE"""),73800.0)</f>
        <v>73800</v>
      </c>
      <c r="C2446" s="1">
        <f>IFERROR(__xludf.DUMMYFUNCTION("""COMPUTED_VALUE"""),74100.0)</f>
        <v>74100</v>
      </c>
      <c r="D2446" s="1">
        <f>IFERROR(__xludf.DUMMYFUNCTION("""COMPUTED_VALUE"""),73300.0)</f>
        <v>73300</v>
      </c>
      <c r="E2446" s="1">
        <f>IFERROR(__xludf.DUMMYFUNCTION("""COMPUTED_VALUE"""),73800.0)</f>
        <v>73800</v>
      </c>
      <c r="F2446" s="1">
        <f>IFERROR(__xludf.DUMMYFUNCTION("""COMPUTED_VALUE"""),2.0863671E7)</f>
        <v>20863671</v>
      </c>
    </row>
    <row r="2447">
      <c r="A2447" s="2">
        <f>IFERROR(__xludf.DUMMYFUNCTION("""COMPUTED_VALUE"""),44181.64583333333)</f>
        <v>44181.64583</v>
      </c>
      <c r="B2447" s="1">
        <f>IFERROR(__xludf.DUMMYFUNCTION("""COMPUTED_VALUE"""),74100.0)</f>
        <v>74100</v>
      </c>
      <c r="C2447" s="1">
        <f>IFERROR(__xludf.DUMMYFUNCTION("""COMPUTED_VALUE"""),74500.0)</f>
        <v>74500</v>
      </c>
      <c r="D2447" s="1">
        <f>IFERROR(__xludf.DUMMYFUNCTION("""COMPUTED_VALUE"""),73400.0)</f>
        <v>73400</v>
      </c>
      <c r="E2447" s="1">
        <f>IFERROR(__xludf.DUMMYFUNCTION("""COMPUTED_VALUE"""),73800.0)</f>
        <v>73800</v>
      </c>
      <c r="F2447" s="1">
        <f>IFERROR(__xludf.DUMMYFUNCTION("""COMPUTED_VALUE"""),1.7512081E7)</f>
        <v>17512081</v>
      </c>
    </row>
    <row r="2448">
      <c r="A2448" s="2">
        <f>IFERROR(__xludf.DUMMYFUNCTION("""COMPUTED_VALUE"""),44182.64583333333)</f>
        <v>44182.64583</v>
      </c>
      <c r="B2448" s="1">
        <f>IFERROR(__xludf.DUMMYFUNCTION("""COMPUTED_VALUE"""),73400.0)</f>
        <v>73400</v>
      </c>
      <c r="C2448" s="1">
        <f>IFERROR(__xludf.DUMMYFUNCTION("""COMPUTED_VALUE"""),73700.0)</f>
        <v>73700</v>
      </c>
      <c r="D2448" s="1">
        <f>IFERROR(__xludf.DUMMYFUNCTION("""COMPUTED_VALUE"""),72600.0)</f>
        <v>72600</v>
      </c>
      <c r="E2448" s="1">
        <f>IFERROR(__xludf.DUMMYFUNCTION("""COMPUTED_VALUE"""),73300.0)</f>
        <v>73300</v>
      </c>
      <c r="F2448" s="1">
        <f>IFERROR(__xludf.DUMMYFUNCTION("""COMPUTED_VALUE"""),2.4293214E7)</f>
        <v>24293214</v>
      </c>
    </row>
    <row r="2449">
      <c r="A2449" s="2">
        <f>IFERROR(__xludf.DUMMYFUNCTION("""COMPUTED_VALUE"""),44183.64583333333)</f>
        <v>44183.64583</v>
      </c>
      <c r="B2449" s="1">
        <f>IFERROR(__xludf.DUMMYFUNCTION("""COMPUTED_VALUE"""),73300.0)</f>
        <v>73300</v>
      </c>
      <c r="C2449" s="1">
        <f>IFERROR(__xludf.DUMMYFUNCTION("""COMPUTED_VALUE"""),73700.0)</f>
        <v>73700</v>
      </c>
      <c r="D2449" s="1">
        <f>IFERROR(__xludf.DUMMYFUNCTION("""COMPUTED_VALUE"""),73000.0)</f>
        <v>73000</v>
      </c>
      <c r="E2449" s="1">
        <f>IFERROR(__xludf.DUMMYFUNCTION("""COMPUTED_VALUE"""),73000.0)</f>
        <v>73000</v>
      </c>
      <c r="F2449" s="1">
        <f>IFERROR(__xludf.DUMMYFUNCTION("""COMPUTED_VALUE"""),1.7613029E7)</f>
        <v>17613029</v>
      </c>
    </row>
    <row r="2450">
      <c r="A2450" s="2">
        <f>IFERROR(__xludf.DUMMYFUNCTION("""COMPUTED_VALUE"""),44186.64583333333)</f>
        <v>44186.64583</v>
      </c>
      <c r="B2450" s="1">
        <f>IFERROR(__xludf.DUMMYFUNCTION("""COMPUTED_VALUE"""),73100.0)</f>
        <v>73100</v>
      </c>
      <c r="C2450" s="1">
        <f>IFERROR(__xludf.DUMMYFUNCTION("""COMPUTED_VALUE"""),73400.0)</f>
        <v>73400</v>
      </c>
      <c r="D2450" s="1">
        <f>IFERROR(__xludf.DUMMYFUNCTION("""COMPUTED_VALUE"""),72000.0)</f>
        <v>72000</v>
      </c>
      <c r="E2450" s="1">
        <f>IFERROR(__xludf.DUMMYFUNCTION("""COMPUTED_VALUE"""),73000.0)</f>
        <v>73000</v>
      </c>
      <c r="F2450" s="1">
        <f>IFERROR(__xludf.DUMMYFUNCTION("""COMPUTED_VALUE"""),2.0367355E7)</f>
        <v>20367355</v>
      </c>
    </row>
    <row r="2451">
      <c r="A2451" s="2">
        <f>IFERROR(__xludf.DUMMYFUNCTION("""COMPUTED_VALUE"""),44187.64583333333)</f>
        <v>44187.64583</v>
      </c>
      <c r="B2451" s="1">
        <f>IFERROR(__xludf.DUMMYFUNCTION("""COMPUTED_VALUE"""),72500.0)</f>
        <v>72500</v>
      </c>
      <c r="C2451" s="1">
        <f>IFERROR(__xludf.DUMMYFUNCTION("""COMPUTED_VALUE"""),73200.0)</f>
        <v>73200</v>
      </c>
      <c r="D2451" s="1">
        <f>IFERROR(__xludf.DUMMYFUNCTION("""COMPUTED_VALUE"""),72100.0)</f>
        <v>72100</v>
      </c>
      <c r="E2451" s="1">
        <f>IFERROR(__xludf.DUMMYFUNCTION("""COMPUTED_VALUE"""),72300.0)</f>
        <v>72300</v>
      </c>
      <c r="F2451" s="1">
        <f>IFERROR(__xludf.DUMMYFUNCTION("""COMPUTED_VALUE"""),1.630491E7)</f>
        <v>16304910</v>
      </c>
    </row>
    <row r="2452">
      <c r="A2452" s="2">
        <f>IFERROR(__xludf.DUMMYFUNCTION("""COMPUTED_VALUE"""),44188.64583333333)</f>
        <v>44188.64583</v>
      </c>
      <c r="B2452" s="1">
        <f>IFERROR(__xludf.DUMMYFUNCTION("""COMPUTED_VALUE"""),72400.0)</f>
        <v>72400</v>
      </c>
      <c r="C2452" s="1">
        <f>IFERROR(__xludf.DUMMYFUNCTION("""COMPUTED_VALUE"""),74000.0)</f>
        <v>74000</v>
      </c>
      <c r="D2452" s="1">
        <f>IFERROR(__xludf.DUMMYFUNCTION("""COMPUTED_VALUE"""),72300.0)</f>
        <v>72300</v>
      </c>
      <c r="E2452" s="1">
        <f>IFERROR(__xludf.DUMMYFUNCTION("""COMPUTED_VALUE"""),73900.0)</f>
        <v>73900</v>
      </c>
      <c r="F2452" s="1">
        <f>IFERROR(__xludf.DUMMYFUNCTION("""COMPUTED_VALUE"""),1.9411326E7)</f>
        <v>19411326</v>
      </c>
    </row>
    <row r="2453">
      <c r="A2453" s="2">
        <f>IFERROR(__xludf.DUMMYFUNCTION("""COMPUTED_VALUE"""),44189.64583333333)</f>
        <v>44189.64583</v>
      </c>
      <c r="B2453" s="1">
        <f>IFERROR(__xludf.DUMMYFUNCTION("""COMPUTED_VALUE"""),74100.0)</f>
        <v>74100</v>
      </c>
      <c r="C2453" s="1">
        <f>IFERROR(__xludf.DUMMYFUNCTION("""COMPUTED_VALUE"""),78800.0)</f>
        <v>78800</v>
      </c>
      <c r="D2453" s="1">
        <f>IFERROR(__xludf.DUMMYFUNCTION("""COMPUTED_VALUE"""),74000.0)</f>
        <v>74000</v>
      </c>
      <c r="E2453" s="1">
        <f>IFERROR(__xludf.DUMMYFUNCTION("""COMPUTED_VALUE"""),77800.0)</f>
        <v>77800</v>
      </c>
      <c r="F2453" s="1">
        <f>IFERROR(__xludf.DUMMYFUNCTION("""COMPUTED_VALUE"""),3.250287E7)</f>
        <v>32502870</v>
      </c>
    </row>
    <row r="2454">
      <c r="A2454" s="2">
        <f>IFERROR(__xludf.DUMMYFUNCTION("""COMPUTED_VALUE"""),44193.64583333333)</f>
        <v>44193.64583</v>
      </c>
      <c r="B2454" s="1">
        <f>IFERROR(__xludf.DUMMYFUNCTION("""COMPUTED_VALUE"""),79000.0)</f>
        <v>79000</v>
      </c>
      <c r="C2454" s="1">
        <f>IFERROR(__xludf.DUMMYFUNCTION("""COMPUTED_VALUE"""),80100.0)</f>
        <v>80100</v>
      </c>
      <c r="D2454" s="1">
        <f>IFERROR(__xludf.DUMMYFUNCTION("""COMPUTED_VALUE"""),78200.0)</f>
        <v>78200</v>
      </c>
      <c r="E2454" s="1">
        <f>IFERROR(__xludf.DUMMYFUNCTION("""COMPUTED_VALUE"""),78700.0)</f>
        <v>78700</v>
      </c>
      <c r="F2454" s="1">
        <f>IFERROR(__xludf.DUMMYFUNCTION("""COMPUTED_VALUE"""),4.0085044E7)</f>
        <v>40085044</v>
      </c>
    </row>
    <row r="2455">
      <c r="A2455" s="2">
        <f>IFERROR(__xludf.DUMMYFUNCTION("""COMPUTED_VALUE"""),44194.64583333333)</f>
        <v>44194.64583</v>
      </c>
      <c r="B2455" s="1">
        <f>IFERROR(__xludf.DUMMYFUNCTION("""COMPUTED_VALUE"""),78800.0)</f>
        <v>78800</v>
      </c>
      <c r="C2455" s="1">
        <f>IFERROR(__xludf.DUMMYFUNCTION("""COMPUTED_VALUE"""),78900.0)</f>
        <v>78900</v>
      </c>
      <c r="D2455" s="1">
        <f>IFERROR(__xludf.DUMMYFUNCTION("""COMPUTED_VALUE"""),77300.0)</f>
        <v>77300</v>
      </c>
      <c r="E2455" s="1">
        <f>IFERROR(__xludf.DUMMYFUNCTION("""COMPUTED_VALUE"""),78300.0)</f>
        <v>78300</v>
      </c>
      <c r="F2455" s="1">
        <f>IFERROR(__xludf.DUMMYFUNCTION("""COMPUTED_VALUE"""),3.0339449E7)</f>
        <v>30339449</v>
      </c>
    </row>
    <row r="2456">
      <c r="A2456" s="2">
        <f>IFERROR(__xludf.DUMMYFUNCTION("""COMPUTED_VALUE"""),44195.64583333333)</f>
        <v>44195.64583</v>
      </c>
      <c r="B2456" s="1">
        <f>IFERROR(__xludf.DUMMYFUNCTION("""COMPUTED_VALUE"""),77400.0)</f>
        <v>77400</v>
      </c>
      <c r="C2456" s="1">
        <f>IFERROR(__xludf.DUMMYFUNCTION("""COMPUTED_VALUE"""),81300.0)</f>
        <v>81300</v>
      </c>
      <c r="D2456" s="1">
        <f>IFERROR(__xludf.DUMMYFUNCTION("""COMPUTED_VALUE"""),77300.0)</f>
        <v>77300</v>
      </c>
      <c r="E2456" s="1">
        <f>IFERROR(__xludf.DUMMYFUNCTION("""COMPUTED_VALUE"""),81000.0)</f>
        <v>81000</v>
      </c>
      <c r="F2456" s="1">
        <f>IFERROR(__xludf.DUMMYFUNCTION("""COMPUTED_VALUE"""),2.9417421E7)</f>
        <v>29417421</v>
      </c>
    </row>
    <row r="2457">
      <c r="A2457" s="2">
        <f>IFERROR(__xludf.DUMMYFUNCTION("""COMPUTED_VALUE"""),44200.64583333333)</f>
        <v>44200.64583</v>
      </c>
      <c r="B2457" s="1">
        <f>IFERROR(__xludf.DUMMYFUNCTION("""COMPUTED_VALUE"""),81000.0)</f>
        <v>81000</v>
      </c>
      <c r="C2457" s="1">
        <f>IFERROR(__xludf.DUMMYFUNCTION("""COMPUTED_VALUE"""),84400.0)</f>
        <v>84400</v>
      </c>
      <c r="D2457" s="1">
        <f>IFERROR(__xludf.DUMMYFUNCTION("""COMPUTED_VALUE"""),80200.0)</f>
        <v>80200</v>
      </c>
      <c r="E2457" s="1">
        <f>IFERROR(__xludf.DUMMYFUNCTION("""COMPUTED_VALUE"""),83000.0)</f>
        <v>83000</v>
      </c>
      <c r="F2457" s="1">
        <f>IFERROR(__xludf.DUMMYFUNCTION("""COMPUTED_VALUE"""),3.8655276E7)</f>
        <v>38655276</v>
      </c>
    </row>
    <row r="2458">
      <c r="A2458" s="2">
        <f>IFERROR(__xludf.DUMMYFUNCTION("""COMPUTED_VALUE"""),44201.64583333333)</f>
        <v>44201.64583</v>
      </c>
      <c r="B2458" s="1">
        <f>IFERROR(__xludf.DUMMYFUNCTION("""COMPUTED_VALUE"""),81600.0)</f>
        <v>81600</v>
      </c>
      <c r="C2458" s="1">
        <f>IFERROR(__xludf.DUMMYFUNCTION("""COMPUTED_VALUE"""),83900.0)</f>
        <v>83900</v>
      </c>
      <c r="D2458" s="1">
        <f>IFERROR(__xludf.DUMMYFUNCTION("""COMPUTED_VALUE"""),81600.0)</f>
        <v>81600</v>
      </c>
      <c r="E2458" s="1">
        <f>IFERROR(__xludf.DUMMYFUNCTION("""COMPUTED_VALUE"""),83900.0)</f>
        <v>83900</v>
      </c>
      <c r="F2458" s="1">
        <f>IFERROR(__xludf.DUMMYFUNCTION("""COMPUTED_VALUE"""),3.5335669E7)</f>
        <v>35335669</v>
      </c>
    </row>
    <row r="2459">
      <c r="A2459" s="2">
        <f>IFERROR(__xludf.DUMMYFUNCTION("""COMPUTED_VALUE"""),44202.64583333333)</f>
        <v>44202.64583</v>
      </c>
      <c r="B2459" s="1">
        <f>IFERROR(__xludf.DUMMYFUNCTION("""COMPUTED_VALUE"""),83300.0)</f>
        <v>83300</v>
      </c>
      <c r="C2459" s="1">
        <f>IFERROR(__xludf.DUMMYFUNCTION("""COMPUTED_VALUE"""),84500.0)</f>
        <v>84500</v>
      </c>
      <c r="D2459" s="1">
        <f>IFERROR(__xludf.DUMMYFUNCTION("""COMPUTED_VALUE"""),82100.0)</f>
        <v>82100</v>
      </c>
      <c r="E2459" s="1">
        <f>IFERROR(__xludf.DUMMYFUNCTION("""COMPUTED_VALUE"""),82200.0)</f>
        <v>82200</v>
      </c>
      <c r="F2459" s="1">
        <f>IFERROR(__xludf.DUMMYFUNCTION("""COMPUTED_VALUE"""),4.2089013E7)</f>
        <v>42089013</v>
      </c>
    </row>
    <row r="2460">
      <c r="A2460" s="2">
        <f>IFERROR(__xludf.DUMMYFUNCTION("""COMPUTED_VALUE"""),44203.64583333333)</f>
        <v>44203.64583</v>
      </c>
      <c r="B2460" s="1">
        <f>IFERROR(__xludf.DUMMYFUNCTION("""COMPUTED_VALUE"""),82800.0)</f>
        <v>82800</v>
      </c>
      <c r="C2460" s="1">
        <f>IFERROR(__xludf.DUMMYFUNCTION("""COMPUTED_VALUE"""),84200.0)</f>
        <v>84200</v>
      </c>
      <c r="D2460" s="1">
        <f>IFERROR(__xludf.DUMMYFUNCTION("""COMPUTED_VALUE"""),82700.0)</f>
        <v>82700</v>
      </c>
      <c r="E2460" s="1">
        <f>IFERROR(__xludf.DUMMYFUNCTION("""COMPUTED_VALUE"""),82900.0)</f>
        <v>82900</v>
      </c>
      <c r="F2460" s="1">
        <f>IFERROR(__xludf.DUMMYFUNCTION("""COMPUTED_VALUE"""),3.2644642E7)</f>
        <v>32644642</v>
      </c>
    </row>
    <row r="2461">
      <c r="A2461" s="2">
        <f>IFERROR(__xludf.DUMMYFUNCTION("""COMPUTED_VALUE"""),44204.64583333333)</f>
        <v>44204.64583</v>
      </c>
      <c r="B2461" s="1">
        <f>IFERROR(__xludf.DUMMYFUNCTION("""COMPUTED_VALUE"""),83300.0)</f>
        <v>83300</v>
      </c>
      <c r="C2461" s="1">
        <f>IFERROR(__xludf.DUMMYFUNCTION("""COMPUTED_VALUE"""),90000.0)</f>
        <v>90000</v>
      </c>
      <c r="D2461" s="1">
        <f>IFERROR(__xludf.DUMMYFUNCTION("""COMPUTED_VALUE"""),83000.0)</f>
        <v>83000</v>
      </c>
      <c r="E2461" s="1">
        <f>IFERROR(__xludf.DUMMYFUNCTION("""COMPUTED_VALUE"""),88800.0)</f>
        <v>88800</v>
      </c>
      <c r="F2461" s="1">
        <f>IFERROR(__xludf.DUMMYFUNCTION("""COMPUTED_VALUE"""),5.9013307E7)</f>
        <v>59013307</v>
      </c>
    </row>
    <row r="2462">
      <c r="A2462" s="2">
        <f>IFERROR(__xludf.DUMMYFUNCTION("""COMPUTED_VALUE"""),44207.64583333333)</f>
        <v>44207.64583</v>
      </c>
      <c r="B2462" s="1">
        <f>IFERROR(__xludf.DUMMYFUNCTION("""COMPUTED_VALUE"""),90000.0)</f>
        <v>90000</v>
      </c>
      <c r="C2462" s="1">
        <f>IFERROR(__xludf.DUMMYFUNCTION("""COMPUTED_VALUE"""),96800.0)</f>
        <v>96800</v>
      </c>
      <c r="D2462" s="1">
        <f>IFERROR(__xludf.DUMMYFUNCTION("""COMPUTED_VALUE"""),89500.0)</f>
        <v>89500</v>
      </c>
      <c r="E2462" s="1">
        <f>IFERROR(__xludf.DUMMYFUNCTION("""COMPUTED_VALUE"""),91000.0)</f>
        <v>91000</v>
      </c>
      <c r="F2462" s="1">
        <f>IFERROR(__xludf.DUMMYFUNCTION("""COMPUTED_VALUE"""),9.0306177E7)</f>
        <v>90306177</v>
      </c>
    </row>
    <row r="2463">
      <c r="A2463" s="2">
        <f>IFERROR(__xludf.DUMMYFUNCTION("""COMPUTED_VALUE"""),44208.64583333333)</f>
        <v>44208.64583</v>
      </c>
      <c r="B2463" s="1">
        <f>IFERROR(__xludf.DUMMYFUNCTION("""COMPUTED_VALUE"""),90300.0)</f>
        <v>90300</v>
      </c>
      <c r="C2463" s="1">
        <f>IFERROR(__xludf.DUMMYFUNCTION("""COMPUTED_VALUE"""),91400.0)</f>
        <v>91400</v>
      </c>
      <c r="D2463" s="1">
        <f>IFERROR(__xludf.DUMMYFUNCTION("""COMPUTED_VALUE"""),87800.0)</f>
        <v>87800</v>
      </c>
      <c r="E2463" s="1">
        <f>IFERROR(__xludf.DUMMYFUNCTION("""COMPUTED_VALUE"""),90600.0)</f>
        <v>90600</v>
      </c>
      <c r="F2463" s="1">
        <f>IFERROR(__xludf.DUMMYFUNCTION("""COMPUTED_VALUE"""),4.8682416E7)</f>
        <v>48682416</v>
      </c>
    </row>
    <row r="2464">
      <c r="A2464" s="2">
        <f>IFERROR(__xludf.DUMMYFUNCTION("""COMPUTED_VALUE"""),44209.64583333333)</f>
        <v>44209.64583</v>
      </c>
      <c r="B2464" s="1">
        <f>IFERROR(__xludf.DUMMYFUNCTION("""COMPUTED_VALUE"""),89800.0)</f>
        <v>89800</v>
      </c>
      <c r="C2464" s="1">
        <f>IFERROR(__xludf.DUMMYFUNCTION("""COMPUTED_VALUE"""),91200.0)</f>
        <v>91200</v>
      </c>
      <c r="D2464" s="1">
        <f>IFERROR(__xludf.DUMMYFUNCTION("""COMPUTED_VALUE"""),89100.0)</f>
        <v>89100</v>
      </c>
      <c r="E2464" s="1">
        <f>IFERROR(__xludf.DUMMYFUNCTION("""COMPUTED_VALUE"""),89700.0)</f>
        <v>89700</v>
      </c>
      <c r="F2464" s="1">
        <f>IFERROR(__xludf.DUMMYFUNCTION("""COMPUTED_VALUE"""),3.6068848E7)</f>
        <v>36068848</v>
      </c>
    </row>
    <row r="2465">
      <c r="A2465" s="2">
        <f>IFERROR(__xludf.DUMMYFUNCTION("""COMPUTED_VALUE"""),44210.64583333333)</f>
        <v>44210.64583</v>
      </c>
      <c r="B2465" s="1">
        <f>IFERROR(__xludf.DUMMYFUNCTION("""COMPUTED_VALUE"""),88700.0)</f>
        <v>88700</v>
      </c>
      <c r="C2465" s="1">
        <f>IFERROR(__xludf.DUMMYFUNCTION("""COMPUTED_VALUE"""),90000.0)</f>
        <v>90000</v>
      </c>
      <c r="D2465" s="1">
        <f>IFERROR(__xludf.DUMMYFUNCTION("""COMPUTED_VALUE"""),88700.0)</f>
        <v>88700</v>
      </c>
      <c r="E2465" s="1">
        <f>IFERROR(__xludf.DUMMYFUNCTION("""COMPUTED_VALUE"""),89700.0)</f>
        <v>89700</v>
      </c>
      <c r="F2465" s="1">
        <f>IFERROR(__xludf.DUMMYFUNCTION("""COMPUTED_VALUE"""),2.639397E7)</f>
        <v>26393970</v>
      </c>
    </row>
    <row r="2466">
      <c r="A2466" s="2">
        <f>IFERROR(__xludf.DUMMYFUNCTION("""COMPUTED_VALUE"""),44211.64583333333)</f>
        <v>44211.64583</v>
      </c>
      <c r="B2466" s="1">
        <f>IFERROR(__xludf.DUMMYFUNCTION("""COMPUTED_VALUE"""),89800.0)</f>
        <v>89800</v>
      </c>
      <c r="C2466" s="1">
        <f>IFERROR(__xludf.DUMMYFUNCTION("""COMPUTED_VALUE"""),91800.0)</f>
        <v>91800</v>
      </c>
      <c r="D2466" s="1">
        <f>IFERROR(__xludf.DUMMYFUNCTION("""COMPUTED_VALUE"""),88000.0)</f>
        <v>88000</v>
      </c>
      <c r="E2466" s="1">
        <f>IFERROR(__xludf.DUMMYFUNCTION("""COMPUTED_VALUE"""),88000.0)</f>
        <v>88000</v>
      </c>
      <c r="F2466" s="1">
        <f>IFERROR(__xludf.DUMMYFUNCTION("""COMPUTED_VALUE"""),3.3431809E7)</f>
        <v>33431809</v>
      </c>
    </row>
    <row r="2467">
      <c r="A2467" s="2">
        <f>IFERROR(__xludf.DUMMYFUNCTION("""COMPUTED_VALUE"""),44214.64583333333)</f>
        <v>44214.64583</v>
      </c>
      <c r="B2467" s="1">
        <f>IFERROR(__xludf.DUMMYFUNCTION("""COMPUTED_VALUE"""),86600.0)</f>
        <v>86600</v>
      </c>
      <c r="C2467" s="1">
        <f>IFERROR(__xludf.DUMMYFUNCTION("""COMPUTED_VALUE"""),87300.0)</f>
        <v>87300</v>
      </c>
      <c r="D2467" s="1">
        <f>IFERROR(__xludf.DUMMYFUNCTION("""COMPUTED_VALUE"""),84100.0)</f>
        <v>84100</v>
      </c>
      <c r="E2467" s="1">
        <f>IFERROR(__xludf.DUMMYFUNCTION("""COMPUTED_VALUE"""),85000.0)</f>
        <v>85000</v>
      </c>
      <c r="F2467" s="1">
        <f>IFERROR(__xludf.DUMMYFUNCTION("""COMPUTED_VALUE"""),4.3227951E7)</f>
        <v>43227951</v>
      </c>
    </row>
    <row r="2468">
      <c r="A2468" s="2">
        <f>IFERROR(__xludf.DUMMYFUNCTION("""COMPUTED_VALUE"""),44215.64583333333)</f>
        <v>44215.64583</v>
      </c>
      <c r="B2468" s="1">
        <f>IFERROR(__xludf.DUMMYFUNCTION("""COMPUTED_VALUE"""),84500.0)</f>
        <v>84500</v>
      </c>
      <c r="C2468" s="1">
        <f>IFERROR(__xludf.DUMMYFUNCTION("""COMPUTED_VALUE"""),88000.0)</f>
        <v>88000</v>
      </c>
      <c r="D2468" s="1">
        <f>IFERROR(__xludf.DUMMYFUNCTION("""COMPUTED_VALUE"""),83600.0)</f>
        <v>83600</v>
      </c>
      <c r="E2468" s="1">
        <f>IFERROR(__xludf.DUMMYFUNCTION("""COMPUTED_VALUE"""),87000.0)</f>
        <v>87000</v>
      </c>
      <c r="F2468" s="1">
        <f>IFERROR(__xludf.DUMMYFUNCTION("""COMPUTED_VALUE"""),3.9895044E7)</f>
        <v>39895044</v>
      </c>
    </row>
    <row r="2469">
      <c r="A2469" s="2">
        <f>IFERROR(__xludf.DUMMYFUNCTION("""COMPUTED_VALUE"""),44216.64583333333)</f>
        <v>44216.64583</v>
      </c>
      <c r="B2469" s="1">
        <f>IFERROR(__xludf.DUMMYFUNCTION("""COMPUTED_VALUE"""),89000.0)</f>
        <v>89000</v>
      </c>
      <c r="C2469" s="1">
        <f>IFERROR(__xludf.DUMMYFUNCTION("""COMPUTED_VALUE"""),89000.0)</f>
        <v>89000</v>
      </c>
      <c r="D2469" s="1">
        <f>IFERROR(__xludf.DUMMYFUNCTION("""COMPUTED_VALUE"""),86500.0)</f>
        <v>86500</v>
      </c>
      <c r="E2469" s="1">
        <f>IFERROR(__xludf.DUMMYFUNCTION("""COMPUTED_VALUE"""),87200.0)</f>
        <v>87200</v>
      </c>
      <c r="F2469" s="1">
        <f>IFERROR(__xludf.DUMMYFUNCTION("""COMPUTED_VALUE"""),2.5211127E7)</f>
        <v>25211127</v>
      </c>
    </row>
    <row r="2470">
      <c r="A2470" s="2">
        <f>IFERROR(__xludf.DUMMYFUNCTION("""COMPUTED_VALUE"""),44217.64583333333)</f>
        <v>44217.64583</v>
      </c>
      <c r="B2470" s="1">
        <f>IFERROR(__xludf.DUMMYFUNCTION("""COMPUTED_VALUE"""),87500.0)</f>
        <v>87500</v>
      </c>
      <c r="C2470" s="1">
        <f>IFERROR(__xludf.DUMMYFUNCTION("""COMPUTED_VALUE"""),88600.0)</f>
        <v>88600</v>
      </c>
      <c r="D2470" s="1">
        <f>IFERROR(__xludf.DUMMYFUNCTION("""COMPUTED_VALUE"""),86500.0)</f>
        <v>86500</v>
      </c>
      <c r="E2470" s="1">
        <f>IFERROR(__xludf.DUMMYFUNCTION("""COMPUTED_VALUE"""),88100.0)</f>
        <v>88100</v>
      </c>
      <c r="F2470" s="1">
        <f>IFERROR(__xludf.DUMMYFUNCTION("""COMPUTED_VALUE"""),2.5318011E7)</f>
        <v>25318011</v>
      </c>
    </row>
    <row r="2471">
      <c r="A2471" s="2">
        <f>IFERROR(__xludf.DUMMYFUNCTION("""COMPUTED_VALUE"""),44218.64583333333)</f>
        <v>44218.64583</v>
      </c>
      <c r="B2471" s="1">
        <f>IFERROR(__xludf.DUMMYFUNCTION("""COMPUTED_VALUE"""),89000.0)</f>
        <v>89000</v>
      </c>
      <c r="C2471" s="1">
        <f>IFERROR(__xludf.DUMMYFUNCTION("""COMPUTED_VALUE"""),89700.0)</f>
        <v>89700</v>
      </c>
      <c r="D2471" s="1">
        <f>IFERROR(__xludf.DUMMYFUNCTION("""COMPUTED_VALUE"""),86800.0)</f>
        <v>86800</v>
      </c>
      <c r="E2471" s="1">
        <f>IFERROR(__xludf.DUMMYFUNCTION("""COMPUTED_VALUE"""),86800.0)</f>
        <v>86800</v>
      </c>
      <c r="F2471" s="1">
        <f>IFERROR(__xludf.DUMMYFUNCTION("""COMPUTED_VALUE"""),3.0861661E7)</f>
        <v>30861661</v>
      </c>
    </row>
    <row r="2472">
      <c r="A2472" s="2">
        <f>IFERROR(__xludf.DUMMYFUNCTION("""COMPUTED_VALUE"""),44221.64583333333)</f>
        <v>44221.64583</v>
      </c>
      <c r="B2472" s="1">
        <f>IFERROR(__xludf.DUMMYFUNCTION("""COMPUTED_VALUE"""),87000.0)</f>
        <v>87000</v>
      </c>
      <c r="C2472" s="1">
        <f>IFERROR(__xludf.DUMMYFUNCTION("""COMPUTED_VALUE"""),89900.0)</f>
        <v>89900</v>
      </c>
      <c r="D2472" s="1">
        <f>IFERROR(__xludf.DUMMYFUNCTION("""COMPUTED_VALUE"""),86300.0)</f>
        <v>86300</v>
      </c>
      <c r="E2472" s="1">
        <f>IFERROR(__xludf.DUMMYFUNCTION("""COMPUTED_VALUE"""),89400.0)</f>
        <v>89400</v>
      </c>
      <c r="F2472" s="1">
        <f>IFERROR(__xludf.DUMMYFUNCTION("""COMPUTED_VALUE"""),2.7258534E7)</f>
        <v>27258534</v>
      </c>
    </row>
    <row r="2473">
      <c r="A2473" s="2">
        <f>IFERROR(__xludf.DUMMYFUNCTION("""COMPUTED_VALUE"""),44222.64583333333)</f>
        <v>44222.64583</v>
      </c>
      <c r="B2473" s="1">
        <f>IFERROR(__xludf.DUMMYFUNCTION("""COMPUTED_VALUE"""),88800.0)</f>
        <v>88800</v>
      </c>
      <c r="C2473" s="1">
        <f>IFERROR(__xludf.DUMMYFUNCTION("""COMPUTED_VALUE"""),89200.0)</f>
        <v>89200</v>
      </c>
      <c r="D2473" s="1">
        <f>IFERROR(__xludf.DUMMYFUNCTION("""COMPUTED_VALUE"""),86500.0)</f>
        <v>86500</v>
      </c>
      <c r="E2473" s="1">
        <f>IFERROR(__xludf.DUMMYFUNCTION("""COMPUTED_VALUE"""),86700.0)</f>
        <v>86700</v>
      </c>
      <c r="F2473" s="1">
        <f>IFERROR(__xludf.DUMMYFUNCTION("""COMPUTED_VALUE"""),3.3178936E7)</f>
        <v>33178936</v>
      </c>
    </row>
    <row r="2474">
      <c r="A2474" s="2">
        <f>IFERROR(__xludf.DUMMYFUNCTION("""COMPUTED_VALUE"""),44223.64583333333)</f>
        <v>44223.64583</v>
      </c>
      <c r="B2474" s="1">
        <f>IFERROR(__xludf.DUMMYFUNCTION("""COMPUTED_VALUE"""),86600.0)</f>
        <v>86600</v>
      </c>
      <c r="C2474" s="1">
        <f>IFERROR(__xludf.DUMMYFUNCTION("""COMPUTED_VALUE"""),87700.0)</f>
        <v>87700</v>
      </c>
      <c r="D2474" s="1">
        <f>IFERROR(__xludf.DUMMYFUNCTION("""COMPUTED_VALUE"""),85600.0)</f>
        <v>85600</v>
      </c>
      <c r="E2474" s="1">
        <f>IFERROR(__xludf.DUMMYFUNCTION("""COMPUTED_VALUE"""),85600.0)</f>
        <v>85600</v>
      </c>
      <c r="F2474" s="1">
        <f>IFERROR(__xludf.DUMMYFUNCTION("""COMPUTED_VALUE"""),2.642307E7)</f>
        <v>26423070</v>
      </c>
    </row>
    <row r="2475">
      <c r="A2475" s="2">
        <f>IFERROR(__xludf.DUMMYFUNCTION("""COMPUTED_VALUE"""),44224.64583333333)</f>
        <v>44224.64583</v>
      </c>
      <c r="B2475" s="1">
        <f>IFERROR(__xludf.DUMMYFUNCTION("""COMPUTED_VALUE"""),83200.0)</f>
        <v>83200</v>
      </c>
      <c r="C2475" s="1">
        <f>IFERROR(__xludf.DUMMYFUNCTION("""COMPUTED_VALUE"""),85600.0)</f>
        <v>85600</v>
      </c>
      <c r="D2475" s="1">
        <f>IFERROR(__xludf.DUMMYFUNCTION("""COMPUTED_VALUE"""),83200.0)</f>
        <v>83200</v>
      </c>
      <c r="E2475" s="1">
        <f>IFERROR(__xludf.DUMMYFUNCTION("""COMPUTED_VALUE"""),83700.0)</f>
        <v>83700</v>
      </c>
      <c r="F2475" s="1">
        <f>IFERROR(__xludf.DUMMYFUNCTION("""COMPUTED_VALUE"""),3.1859808E7)</f>
        <v>31859808</v>
      </c>
    </row>
    <row r="2476">
      <c r="A2476" s="2">
        <f>IFERROR(__xludf.DUMMYFUNCTION("""COMPUTED_VALUE"""),44225.64583333333)</f>
        <v>44225.64583</v>
      </c>
      <c r="B2476" s="1">
        <f>IFERROR(__xludf.DUMMYFUNCTION("""COMPUTED_VALUE"""),84500.0)</f>
        <v>84500</v>
      </c>
      <c r="C2476" s="1">
        <f>IFERROR(__xludf.DUMMYFUNCTION("""COMPUTED_VALUE"""),85000.0)</f>
        <v>85000</v>
      </c>
      <c r="D2476" s="1">
        <f>IFERROR(__xludf.DUMMYFUNCTION("""COMPUTED_VALUE"""),82000.0)</f>
        <v>82000</v>
      </c>
      <c r="E2476" s="1">
        <f>IFERROR(__xludf.DUMMYFUNCTION("""COMPUTED_VALUE"""),82000.0)</f>
        <v>82000</v>
      </c>
      <c r="F2476" s="1">
        <f>IFERROR(__xludf.DUMMYFUNCTION("""COMPUTED_VALUE"""),3.9615978E7)</f>
        <v>39615978</v>
      </c>
    </row>
    <row r="2477">
      <c r="A2477" s="2">
        <f>IFERROR(__xludf.DUMMYFUNCTION("""COMPUTED_VALUE"""),44228.64583333333)</f>
        <v>44228.64583</v>
      </c>
      <c r="B2477" s="1">
        <f>IFERROR(__xludf.DUMMYFUNCTION("""COMPUTED_VALUE"""),81700.0)</f>
        <v>81700</v>
      </c>
      <c r="C2477" s="1">
        <f>IFERROR(__xludf.DUMMYFUNCTION("""COMPUTED_VALUE"""),83400.0)</f>
        <v>83400</v>
      </c>
      <c r="D2477" s="1">
        <f>IFERROR(__xludf.DUMMYFUNCTION("""COMPUTED_VALUE"""),81000.0)</f>
        <v>81000</v>
      </c>
      <c r="E2477" s="1">
        <f>IFERROR(__xludf.DUMMYFUNCTION("""COMPUTED_VALUE"""),83000.0)</f>
        <v>83000</v>
      </c>
      <c r="F2477" s="1">
        <f>IFERROR(__xludf.DUMMYFUNCTION("""COMPUTED_VALUE"""),2.8046832E7)</f>
        <v>28046832</v>
      </c>
    </row>
    <row r="2478">
      <c r="A2478" s="2">
        <f>IFERROR(__xludf.DUMMYFUNCTION("""COMPUTED_VALUE"""),44229.64583333333)</f>
        <v>44229.64583</v>
      </c>
      <c r="B2478" s="1">
        <f>IFERROR(__xludf.DUMMYFUNCTION("""COMPUTED_VALUE"""),84100.0)</f>
        <v>84100</v>
      </c>
      <c r="C2478" s="1">
        <f>IFERROR(__xludf.DUMMYFUNCTION("""COMPUTED_VALUE"""),86400.0)</f>
        <v>86400</v>
      </c>
      <c r="D2478" s="1">
        <f>IFERROR(__xludf.DUMMYFUNCTION("""COMPUTED_VALUE"""),83700.0)</f>
        <v>83700</v>
      </c>
      <c r="E2478" s="1">
        <f>IFERROR(__xludf.DUMMYFUNCTION("""COMPUTED_VALUE"""),84400.0)</f>
        <v>84400</v>
      </c>
      <c r="F2478" s="1">
        <f>IFERROR(__xludf.DUMMYFUNCTION("""COMPUTED_VALUE"""),2.6302077E7)</f>
        <v>26302077</v>
      </c>
    </row>
    <row r="2479">
      <c r="A2479" s="2">
        <f>IFERROR(__xludf.DUMMYFUNCTION("""COMPUTED_VALUE"""),44230.64583333333)</f>
        <v>44230.64583</v>
      </c>
      <c r="B2479" s="1">
        <f>IFERROR(__xludf.DUMMYFUNCTION("""COMPUTED_VALUE"""),84800.0)</f>
        <v>84800</v>
      </c>
      <c r="C2479" s="1">
        <f>IFERROR(__xludf.DUMMYFUNCTION("""COMPUTED_VALUE"""),85400.0)</f>
        <v>85400</v>
      </c>
      <c r="D2479" s="1">
        <f>IFERROR(__xludf.DUMMYFUNCTION("""COMPUTED_VALUE"""),83400.0)</f>
        <v>83400</v>
      </c>
      <c r="E2479" s="1">
        <f>IFERROR(__xludf.DUMMYFUNCTION("""COMPUTED_VALUE"""),84600.0)</f>
        <v>84600</v>
      </c>
      <c r="F2479" s="1">
        <f>IFERROR(__xludf.DUMMYFUNCTION("""COMPUTED_VALUE"""),2.2112205E7)</f>
        <v>22112205</v>
      </c>
    </row>
    <row r="2480">
      <c r="A2480" s="2">
        <f>IFERROR(__xludf.DUMMYFUNCTION("""COMPUTED_VALUE"""),44231.64583333333)</f>
        <v>44231.64583</v>
      </c>
      <c r="B2480" s="1">
        <f>IFERROR(__xludf.DUMMYFUNCTION("""COMPUTED_VALUE"""),83500.0)</f>
        <v>83500</v>
      </c>
      <c r="C2480" s="1">
        <f>IFERROR(__xludf.DUMMYFUNCTION("""COMPUTED_VALUE"""),83800.0)</f>
        <v>83800</v>
      </c>
      <c r="D2480" s="1">
        <f>IFERROR(__xludf.DUMMYFUNCTION("""COMPUTED_VALUE"""),82100.0)</f>
        <v>82100</v>
      </c>
      <c r="E2480" s="1">
        <f>IFERROR(__xludf.DUMMYFUNCTION("""COMPUTED_VALUE"""),82500.0)</f>
        <v>82500</v>
      </c>
      <c r="F2480" s="1">
        <f>IFERROR(__xludf.DUMMYFUNCTION("""COMPUTED_VALUE"""),2.4171688E7)</f>
        <v>24171688</v>
      </c>
    </row>
    <row r="2481">
      <c r="A2481" s="2">
        <f>IFERROR(__xludf.DUMMYFUNCTION("""COMPUTED_VALUE"""),44232.64583333333)</f>
        <v>44232.64583</v>
      </c>
      <c r="B2481" s="1">
        <f>IFERROR(__xludf.DUMMYFUNCTION("""COMPUTED_VALUE"""),83100.0)</f>
        <v>83100</v>
      </c>
      <c r="C2481" s="1">
        <f>IFERROR(__xludf.DUMMYFUNCTION("""COMPUTED_VALUE"""),84000.0)</f>
        <v>84000</v>
      </c>
      <c r="D2481" s="1">
        <f>IFERROR(__xludf.DUMMYFUNCTION("""COMPUTED_VALUE"""),82500.0)</f>
        <v>82500</v>
      </c>
      <c r="E2481" s="1">
        <f>IFERROR(__xludf.DUMMYFUNCTION("""COMPUTED_VALUE"""),83500.0)</f>
        <v>83500</v>
      </c>
      <c r="F2481" s="1">
        <f>IFERROR(__xludf.DUMMYFUNCTION("""COMPUTED_VALUE"""),1.8036835E7)</f>
        <v>18036835</v>
      </c>
    </row>
    <row r="2482">
      <c r="A2482" s="2">
        <f>IFERROR(__xludf.DUMMYFUNCTION("""COMPUTED_VALUE"""),44235.64583333333)</f>
        <v>44235.64583</v>
      </c>
      <c r="B2482" s="1">
        <f>IFERROR(__xludf.DUMMYFUNCTION("""COMPUTED_VALUE"""),83800.0)</f>
        <v>83800</v>
      </c>
      <c r="C2482" s="1">
        <f>IFERROR(__xludf.DUMMYFUNCTION("""COMPUTED_VALUE"""),84200.0)</f>
        <v>84200</v>
      </c>
      <c r="D2482" s="1">
        <f>IFERROR(__xludf.DUMMYFUNCTION("""COMPUTED_VALUE"""),83000.0)</f>
        <v>83000</v>
      </c>
      <c r="E2482" s="1">
        <f>IFERROR(__xludf.DUMMYFUNCTION("""COMPUTED_VALUE"""),83000.0)</f>
        <v>83000</v>
      </c>
      <c r="F2482" s="1">
        <f>IFERROR(__xludf.DUMMYFUNCTION("""COMPUTED_VALUE"""),1.5338765E7)</f>
        <v>15338765</v>
      </c>
    </row>
    <row r="2483">
      <c r="A2483" s="2">
        <f>IFERROR(__xludf.DUMMYFUNCTION("""COMPUTED_VALUE"""),44236.64583333333)</f>
        <v>44236.64583</v>
      </c>
      <c r="B2483" s="1">
        <f>IFERROR(__xludf.DUMMYFUNCTION("""COMPUTED_VALUE"""),84000.0)</f>
        <v>84000</v>
      </c>
      <c r="C2483" s="1">
        <f>IFERROR(__xludf.DUMMYFUNCTION("""COMPUTED_VALUE"""),84800.0)</f>
        <v>84800</v>
      </c>
      <c r="D2483" s="1">
        <f>IFERROR(__xludf.DUMMYFUNCTION("""COMPUTED_VALUE"""),82700.0)</f>
        <v>82700</v>
      </c>
      <c r="E2483" s="1">
        <f>IFERROR(__xludf.DUMMYFUNCTION("""COMPUTED_VALUE"""),82700.0)</f>
        <v>82700</v>
      </c>
      <c r="F2483" s="1">
        <f>IFERROR(__xludf.DUMMYFUNCTION("""COMPUTED_VALUE"""),2.0898332E7)</f>
        <v>20898332</v>
      </c>
    </row>
    <row r="2484">
      <c r="A2484" s="2">
        <f>IFERROR(__xludf.DUMMYFUNCTION("""COMPUTED_VALUE"""),44237.64583333333)</f>
        <v>44237.64583</v>
      </c>
      <c r="B2484" s="1">
        <f>IFERROR(__xludf.DUMMYFUNCTION("""COMPUTED_VALUE"""),82600.0)</f>
        <v>82600</v>
      </c>
      <c r="C2484" s="1">
        <f>IFERROR(__xludf.DUMMYFUNCTION("""COMPUTED_VALUE"""),82600.0)</f>
        <v>82600</v>
      </c>
      <c r="D2484" s="1">
        <f>IFERROR(__xludf.DUMMYFUNCTION("""COMPUTED_VALUE"""),81600.0)</f>
        <v>81600</v>
      </c>
      <c r="E2484" s="1">
        <f>IFERROR(__xludf.DUMMYFUNCTION("""COMPUTED_VALUE"""),81600.0)</f>
        <v>81600</v>
      </c>
      <c r="F2484" s="1">
        <f>IFERROR(__xludf.DUMMYFUNCTION("""COMPUTED_VALUE"""),2.3025766E7)</f>
        <v>23025766</v>
      </c>
    </row>
    <row r="2485">
      <c r="A2485" s="2">
        <f>IFERROR(__xludf.DUMMYFUNCTION("""COMPUTED_VALUE"""),44242.64583333333)</f>
        <v>44242.64583</v>
      </c>
      <c r="B2485" s="1">
        <f>IFERROR(__xludf.DUMMYFUNCTION("""COMPUTED_VALUE"""),83800.0)</f>
        <v>83800</v>
      </c>
      <c r="C2485" s="1">
        <f>IFERROR(__xludf.DUMMYFUNCTION("""COMPUTED_VALUE"""),84500.0)</f>
        <v>84500</v>
      </c>
      <c r="D2485" s="1">
        <f>IFERROR(__xludf.DUMMYFUNCTION("""COMPUTED_VALUE"""),83300.0)</f>
        <v>83300</v>
      </c>
      <c r="E2485" s="1">
        <f>IFERROR(__xludf.DUMMYFUNCTION("""COMPUTED_VALUE"""),84200.0)</f>
        <v>84200</v>
      </c>
      <c r="F2485" s="1">
        <f>IFERROR(__xludf.DUMMYFUNCTION("""COMPUTED_VALUE"""),2.3529706E7)</f>
        <v>23529706</v>
      </c>
    </row>
    <row r="2486">
      <c r="A2486" s="2">
        <f>IFERROR(__xludf.DUMMYFUNCTION("""COMPUTED_VALUE"""),44243.64583333333)</f>
        <v>44243.64583</v>
      </c>
      <c r="B2486" s="1">
        <f>IFERROR(__xludf.DUMMYFUNCTION("""COMPUTED_VALUE"""),84500.0)</f>
        <v>84500</v>
      </c>
      <c r="C2486" s="1">
        <f>IFERROR(__xludf.DUMMYFUNCTION("""COMPUTED_VALUE"""),86000.0)</f>
        <v>86000</v>
      </c>
      <c r="D2486" s="1">
        <f>IFERROR(__xludf.DUMMYFUNCTION("""COMPUTED_VALUE"""),84200.0)</f>
        <v>84200</v>
      </c>
      <c r="E2486" s="1">
        <f>IFERROR(__xludf.DUMMYFUNCTION("""COMPUTED_VALUE"""),84900.0)</f>
        <v>84900</v>
      </c>
      <c r="F2486" s="1">
        <f>IFERROR(__xludf.DUMMYFUNCTION("""COMPUTED_VALUE"""),2.04831E7)</f>
        <v>20483100</v>
      </c>
    </row>
    <row r="2487">
      <c r="A2487" s="2">
        <f>IFERROR(__xludf.DUMMYFUNCTION("""COMPUTED_VALUE"""),44244.64583333333)</f>
        <v>44244.64583</v>
      </c>
      <c r="B2487" s="1">
        <f>IFERROR(__xludf.DUMMYFUNCTION("""COMPUTED_VALUE"""),83900.0)</f>
        <v>83900</v>
      </c>
      <c r="C2487" s="1">
        <f>IFERROR(__xludf.DUMMYFUNCTION("""COMPUTED_VALUE"""),84200.0)</f>
        <v>84200</v>
      </c>
      <c r="D2487" s="1">
        <f>IFERROR(__xludf.DUMMYFUNCTION("""COMPUTED_VALUE"""),83000.0)</f>
        <v>83000</v>
      </c>
      <c r="E2487" s="1">
        <f>IFERROR(__xludf.DUMMYFUNCTION("""COMPUTED_VALUE"""),83200.0)</f>
        <v>83200</v>
      </c>
      <c r="F2487" s="1">
        <f>IFERROR(__xludf.DUMMYFUNCTION("""COMPUTED_VALUE"""),1.8307735E7)</f>
        <v>18307735</v>
      </c>
    </row>
    <row r="2488">
      <c r="A2488" s="2">
        <f>IFERROR(__xludf.DUMMYFUNCTION("""COMPUTED_VALUE"""),44245.64583333333)</f>
        <v>44245.64583</v>
      </c>
      <c r="B2488" s="1">
        <f>IFERROR(__xludf.DUMMYFUNCTION("""COMPUTED_VALUE"""),83200.0)</f>
        <v>83200</v>
      </c>
      <c r="C2488" s="1">
        <f>IFERROR(__xludf.DUMMYFUNCTION("""COMPUTED_VALUE"""),83600.0)</f>
        <v>83600</v>
      </c>
      <c r="D2488" s="1">
        <f>IFERROR(__xludf.DUMMYFUNCTION("""COMPUTED_VALUE"""),82100.0)</f>
        <v>82100</v>
      </c>
      <c r="E2488" s="1">
        <f>IFERROR(__xludf.DUMMYFUNCTION("""COMPUTED_VALUE"""),82100.0)</f>
        <v>82100</v>
      </c>
      <c r="F2488" s="1">
        <f>IFERROR(__xludf.DUMMYFUNCTION("""COMPUTED_VALUE"""),2.1327683E7)</f>
        <v>21327683</v>
      </c>
    </row>
    <row r="2489">
      <c r="A2489" s="2">
        <f>IFERROR(__xludf.DUMMYFUNCTION("""COMPUTED_VALUE"""),44246.64583333333)</f>
        <v>44246.64583</v>
      </c>
      <c r="B2489" s="1">
        <f>IFERROR(__xludf.DUMMYFUNCTION("""COMPUTED_VALUE"""),82300.0)</f>
        <v>82300</v>
      </c>
      <c r="C2489" s="1">
        <f>IFERROR(__xludf.DUMMYFUNCTION("""COMPUTED_VALUE"""),82800.0)</f>
        <v>82800</v>
      </c>
      <c r="D2489" s="1">
        <f>IFERROR(__xludf.DUMMYFUNCTION("""COMPUTED_VALUE"""),81000.0)</f>
        <v>81000</v>
      </c>
      <c r="E2489" s="1">
        <f>IFERROR(__xludf.DUMMYFUNCTION("""COMPUTED_VALUE"""),82600.0)</f>
        <v>82600</v>
      </c>
      <c r="F2489" s="1">
        <f>IFERROR(__xludf.DUMMYFUNCTION("""COMPUTED_VALUE"""),2.5880879E7)</f>
        <v>25880879</v>
      </c>
    </row>
    <row r="2490">
      <c r="A2490" s="2">
        <f>IFERROR(__xludf.DUMMYFUNCTION("""COMPUTED_VALUE"""),44249.64583333333)</f>
        <v>44249.64583</v>
      </c>
      <c r="B2490" s="1">
        <f>IFERROR(__xludf.DUMMYFUNCTION("""COMPUTED_VALUE"""),83800.0)</f>
        <v>83800</v>
      </c>
      <c r="C2490" s="1">
        <f>IFERROR(__xludf.DUMMYFUNCTION("""COMPUTED_VALUE"""),84200.0)</f>
        <v>84200</v>
      </c>
      <c r="D2490" s="1">
        <f>IFERROR(__xludf.DUMMYFUNCTION("""COMPUTED_VALUE"""),82200.0)</f>
        <v>82200</v>
      </c>
      <c r="E2490" s="1">
        <f>IFERROR(__xludf.DUMMYFUNCTION("""COMPUTED_VALUE"""),82200.0)</f>
        <v>82200</v>
      </c>
      <c r="F2490" s="1">
        <f>IFERROR(__xludf.DUMMYFUNCTION("""COMPUTED_VALUE"""),2.5419886E7)</f>
        <v>25419886</v>
      </c>
    </row>
    <row r="2491">
      <c r="A2491" s="2">
        <f>IFERROR(__xludf.DUMMYFUNCTION("""COMPUTED_VALUE"""),44250.64583333333)</f>
        <v>44250.64583</v>
      </c>
      <c r="B2491" s="1">
        <f>IFERROR(__xludf.DUMMYFUNCTION("""COMPUTED_VALUE"""),81200.0)</f>
        <v>81200</v>
      </c>
      <c r="C2491" s="1">
        <f>IFERROR(__xludf.DUMMYFUNCTION("""COMPUTED_VALUE"""),82900.0)</f>
        <v>82900</v>
      </c>
      <c r="D2491" s="1">
        <f>IFERROR(__xludf.DUMMYFUNCTION("""COMPUTED_VALUE"""),81100.0)</f>
        <v>81100</v>
      </c>
      <c r="E2491" s="1">
        <f>IFERROR(__xludf.DUMMYFUNCTION("""COMPUTED_VALUE"""),82000.0)</f>
        <v>82000</v>
      </c>
      <c r="F2491" s="1">
        <f>IFERROR(__xludf.DUMMYFUNCTION("""COMPUTED_VALUE"""),2.0587314E7)</f>
        <v>20587314</v>
      </c>
    </row>
    <row r="2492">
      <c r="A2492" s="2">
        <f>IFERROR(__xludf.DUMMYFUNCTION("""COMPUTED_VALUE"""),44251.64583333333)</f>
        <v>44251.64583</v>
      </c>
      <c r="B2492" s="1">
        <f>IFERROR(__xludf.DUMMYFUNCTION("""COMPUTED_VALUE"""),81800.0)</f>
        <v>81800</v>
      </c>
      <c r="C2492" s="1">
        <f>IFERROR(__xludf.DUMMYFUNCTION("""COMPUTED_VALUE"""),83600.0)</f>
        <v>83600</v>
      </c>
      <c r="D2492" s="1">
        <f>IFERROR(__xludf.DUMMYFUNCTION("""COMPUTED_VALUE"""),81300.0)</f>
        <v>81300</v>
      </c>
      <c r="E2492" s="1">
        <f>IFERROR(__xludf.DUMMYFUNCTION("""COMPUTED_VALUE"""),82000.0)</f>
        <v>82000</v>
      </c>
      <c r="F2492" s="1">
        <f>IFERROR(__xludf.DUMMYFUNCTION("""COMPUTED_VALUE"""),2.6807651E7)</f>
        <v>26807651</v>
      </c>
    </row>
    <row r="2493">
      <c r="A2493" s="2">
        <f>IFERROR(__xludf.DUMMYFUNCTION("""COMPUTED_VALUE"""),44252.64583333333)</f>
        <v>44252.64583</v>
      </c>
      <c r="B2493" s="1">
        <f>IFERROR(__xludf.DUMMYFUNCTION("""COMPUTED_VALUE"""),84000.0)</f>
        <v>84000</v>
      </c>
      <c r="C2493" s="1">
        <f>IFERROR(__xludf.DUMMYFUNCTION("""COMPUTED_VALUE"""),85400.0)</f>
        <v>85400</v>
      </c>
      <c r="D2493" s="1">
        <f>IFERROR(__xludf.DUMMYFUNCTION("""COMPUTED_VALUE"""),83000.0)</f>
        <v>83000</v>
      </c>
      <c r="E2493" s="1">
        <f>IFERROR(__xludf.DUMMYFUNCTION("""COMPUTED_VALUE"""),85300.0)</f>
        <v>85300</v>
      </c>
      <c r="F2493" s="1">
        <f>IFERROR(__xludf.DUMMYFUNCTION("""COMPUTED_VALUE"""),3.4155986E7)</f>
        <v>34155986</v>
      </c>
    </row>
    <row r="2494">
      <c r="A2494" s="2">
        <f>IFERROR(__xludf.DUMMYFUNCTION("""COMPUTED_VALUE"""),44253.64583333333)</f>
        <v>44253.64583</v>
      </c>
      <c r="B2494" s="1">
        <f>IFERROR(__xludf.DUMMYFUNCTION("""COMPUTED_VALUE"""),82800.0)</f>
        <v>82800</v>
      </c>
      <c r="C2494" s="1">
        <f>IFERROR(__xludf.DUMMYFUNCTION("""COMPUTED_VALUE"""),83400.0)</f>
        <v>83400</v>
      </c>
      <c r="D2494" s="1">
        <f>IFERROR(__xludf.DUMMYFUNCTION("""COMPUTED_VALUE"""),82000.0)</f>
        <v>82000</v>
      </c>
      <c r="E2494" s="1">
        <f>IFERROR(__xludf.DUMMYFUNCTION("""COMPUTED_VALUE"""),82500.0)</f>
        <v>82500</v>
      </c>
      <c r="F2494" s="1">
        <f>IFERROR(__xludf.DUMMYFUNCTION("""COMPUTED_VALUE"""),3.85208E7)</f>
        <v>38520800</v>
      </c>
    </row>
    <row r="2495">
      <c r="A2495" s="2">
        <f>IFERROR(__xludf.DUMMYFUNCTION("""COMPUTED_VALUE"""),44257.64583333333)</f>
        <v>44257.64583</v>
      </c>
      <c r="B2495" s="1">
        <f>IFERROR(__xludf.DUMMYFUNCTION("""COMPUTED_VALUE"""),85100.0)</f>
        <v>85100</v>
      </c>
      <c r="C2495" s="1">
        <f>IFERROR(__xludf.DUMMYFUNCTION("""COMPUTED_VALUE"""),85300.0)</f>
        <v>85300</v>
      </c>
      <c r="D2495" s="1">
        <f>IFERROR(__xludf.DUMMYFUNCTION("""COMPUTED_VALUE"""),83000.0)</f>
        <v>83000</v>
      </c>
      <c r="E2495" s="1">
        <f>IFERROR(__xludf.DUMMYFUNCTION("""COMPUTED_VALUE"""),83600.0)</f>
        <v>83600</v>
      </c>
      <c r="F2495" s="1">
        <f>IFERROR(__xludf.DUMMYFUNCTION("""COMPUTED_VALUE"""),3.349818E7)</f>
        <v>33498180</v>
      </c>
    </row>
    <row r="2496">
      <c r="A2496" s="2">
        <f>IFERROR(__xludf.DUMMYFUNCTION("""COMPUTED_VALUE"""),44258.64583333333)</f>
        <v>44258.64583</v>
      </c>
      <c r="B2496" s="1">
        <f>IFERROR(__xludf.DUMMYFUNCTION("""COMPUTED_VALUE"""),83500.0)</f>
        <v>83500</v>
      </c>
      <c r="C2496" s="1">
        <f>IFERROR(__xludf.DUMMYFUNCTION("""COMPUTED_VALUE"""),84000.0)</f>
        <v>84000</v>
      </c>
      <c r="D2496" s="1">
        <f>IFERROR(__xludf.DUMMYFUNCTION("""COMPUTED_VALUE"""),82800.0)</f>
        <v>82800</v>
      </c>
      <c r="E2496" s="1">
        <f>IFERROR(__xludf.DUMMYFUNCTION("""COMPUTED_VALUE"""),84000.0)</f>
        <v>84000</v>
      </c>
      <c r="F2496" s="1">
        <f>IFERROR(__xludf.DUMMYFUNCTION("""COMPUTED_VALUE"""),1.9882132E7)</f>
        <v>19882132</v>
      </c>
    </row>
    <row r="2497">
      <c r="A2497" s="2">
        <f>IFERROR(__xludf.DUMMYFUNCTION("""COMPUTED_VALUE"""),44259.64583333333)</f>
        <v>44259.64583</v>
      </c>
      <c r="B2497" s="1">
        <f>IFERROR(__xludf.DUMMYFUNCTION("""COMPUTED_VALUE"""),82600.0)</f>
        <v>82600</v>
      </c>
      <c r="C2497" s="1">
        <f>IFERROR(__xludf.DUMMYFUNCTION("""COMPUTED_VALUE"""),83200.0)</f>
        <v>83200</v>
      </c>
      <c r="D2497" s="1">
        <f>IFERROR(__xludf.DUMMYFUNCTION("""COMPUTED_VALUE"""),82200.0)</f>
        <v>82200</v>
      </c>
      <c r="E2497" s="1">
        <f>IFERROR(__xludf.DUMMYFUNCTION("""COMPUTED_VALUE"""),82400.0)</f>
        <v>82400</v>
      </c>
      <c r="F2497" s="1">
        <f>IFERROR(__xludf.DUMMYFUNCTION("""COMPUTED_VALUE"""),2.4348331E7)</f>
        <v>24348331</v>
      </c>
    </row>
    <row r="2498">
      <c r="A2498" s="2">
        <f>IFERROR(__xludf.DUMMYFUNCTION("""COMPUTED_VALUE"""),44260.64583333333)</f>
        <v>44260.64583</v>
      </c>
      <c r="B2498" s="1">
        <f>IFERROR(__xludf.DUMMYFUNCTION("""COMPUTED_VALUE"""),81100.0)</f>
        <v>81100</v>
      </c>
      <c r="C2498" s="1">
        <f>IFERROR(__xludf.DUMMYFUNCTION("""COMPUTED_VALUE"""),82600.0)</f>
        <v>82600</v>
      </c>
      <c r="D2498" s="1">
        <f>IFERROR(__xludf.DUMMYFUNCTION("""COMPUTED_VALUE"""),81100.0)</f>
        <v>81100</v>
      </c>
      <c r="E2498" s="1">
        <f>IFERROR(__xludf.DUMMYFUNCTION("""COMPUTED_VALUE"""),82100.0)</f>
        <v>82100</v>
      </c>
      <c r="F2498" s="1">
        <f>IFERROR(__xludf.DUMMYFUNCTION("""COMPUTED_VALUE"""),2.0508971E7)</f>
        <v>20508971</v>
      </c>
    </row>
    <row r="2499">
      <c r="A2499" s="2">
        <f>IFERROR(__xludf.DUMMYFUNCTION("""COMPUTED_VALUE"""),44263.64583333333)</f>
        <v>44263.64583</v>
      </c>
      <c r="B2499" s="1">
        <f>IFERROR(__xludf.DUMMYFUNCTION("""COMPUTED_VALUE"""),82900.0)</f>
        <v>82900</v>
      </c>
      <c r="C2499" s="1">
        <f>IFERROR(__xludf.DUMMYFUNCTION("""COMPUTED_VALUE"""),83000.0)</f>
        <v>83000</v>
      </c>
      <c r="D2499" s="1">
        <f>IFERROR(__xludf.DUMMYFUNCTION("""COMPUTED_VALUE"""),81600.0)</f>
        <v>81600</v>
      </c>
      <c r="E2499" s="1">
        <f>IFERROR(__xludf.DUMMYFUNCTION("""COMPUTED_VALUE"""),82000.0)</f>
        <v>82000</v>
      </c>
      <c r="F2499" s="1">
        <f>IFERROR(__xludf.DUMMYFUNCTION("""COMPUTED_VALUE"""),1.7641256E7)</f>
        <v>17641256</v>
      </c>
    </row>
    <row r="2500">
      <c r="A2500" s="2">
        <f>IFERROR(__xludf.DUMMYFUNCTION("""COMPUTED_VALUE"""),44264.64583333333)</f>
        <v>44264.64583</v>
      </c>
      <c r="B2500" s="1">
        <f>IFERROR(__xludf.DUMMYFUNCTION("""COMPUTED_VALUE"""),81400.0)</f>
        <v>81400</v>
      </c>
      <c r="C2500" s="1">
        <f>IFERROR(__xludf.DUMMYFUNCTION("""COMPUTED_VALUE"""),81900.0)</f>
        <v>81900</v>
      </c>
      <c r="D2500" s="1">
        <f>IFERROR(__xludf.DUMMYFUNCTION("""COMPUTED_VALUE"""),80600.0)</f>
        <v>80600</v>
      </c>
      <c r="E2500" s="1">
        <f>IFERROR(__xludf.DUMMYFUNCTION("""COMPUTED_VALUE"""),81400.0)</f>
        <v>81400</v>
      </c>
      <c r="F2500" s="1">
        <f>IFERROR(__xludf.DUMMYFUNCTION("""COMPUTED_VALUE"""),2.5420764E7)</f>
        <v>25420764</v>
      </c>
    </row>
    <row r="2501">
      <c r="A2501" s="2">
        <f>IFERROR(__xludf.DUMMYFUNCTION("""COMPUTED_VALUE"""),44265.64583333333)</f>
        <v>44265.64583</v>
      </c>
      <c r="B2501" s="1">
        <f>IFERROR(__xludf.DUMMYFUNCTION("""COMPUTED_VALUE"""),82400.0)</f>
        <v>82400</v>
      </c>
      <c r="C2501" s="1">
        <f>IFERROR(__xludf.DUMMYFUNCTION("""COMPUTED_VALUE"""),82500.0)</f>
        <v>82500</v>
      </c>
      <c r="D2501" s="1">
        <f>IFERROR(__xludf.DUMMYFUNCTION("""COMPUTED_VALUE"""),80700.0)</f>
        <v>80700</v>
      </c>
      <c r="E2501" s="1">
        <f>IFERROR(__xludf.DUMMYFUNCTION("""COMPUTED_VALUE"""),80900.0)</f>
        <v>80900</v>
      </c>
      <c r="F2501" s="1">
        <f>IFERROR(__xludf.DUMMYFUNCTION("""COMPUTED_VALUE"""),2.0038422E7)</f>
        <v>20038422</v>
      </c>
    </row>
    <row r="2502">
      <c r="A2502" s="2">
        <f>IFERROR(__xludf.DUMMYFUNCTION("""COMPUTED_VALUE"""),44266.64583333333)</f>
        <v>44266.64583</v>
      </c>
      <c r="B2502" s="1">
        <f>IFERROR(__xludf.DUMMYFUNCTION("""COMPUTED_VALUE"""),81000.0)</f>
        <v>81000</v>
      </c>
      <c r="C2502" s="1">
        <f>IFERROR(__xludf.DUMMYFUNCTION("""COMPUTED_VALUE"""),82500.0)</f>
        <v>82500</v>
      </c>
      <c r="D2502" s="1">
        <f>IFERROR(__xludf.DUMMYFUNCTION("""COMPUTED_VALUE"""),81000.0)</f>
        <v>81000</v>
      </c>
      <c r="E2502" s="1">
        <f>IFERROR(__xludf.DUMMYFUNCTION("""COMPUTED_VALUE"""),82000.0)</f>
        <v>82000</v>
      </c>
      <c r="F2502" s="1">
        <f>IFERROR(__xludf.DUMMYFUNCTION("""COMPUTED_VALUE"""),2.3818297E7)</f>
        <v>23818297</v>
      </c>
    </row>
    <row r="2503">
      <c r="A2503" s="2">
        <f>IFERROR(__xludf.DUMMYFUNCTION("""COMPUTED_VALUE"""),44267.64583333333)</f>
        <v>44267.64583</v>
      </c>
      <c r="B2503" s="1">
        <f>IFERROR(__xludf.DUMMYFUNCTION("""COMPUTED_VALUE"""),83100.0)</f>
        <v>83100</v>
      </c>
      <c r="C2503" s="1">
        <f>IFERROR(__xludf.DUMMYFUNCTION("""COMPUTED_VALUE"""),83500.0)</f>
        <v>83500</v>
      </c>
      <c r="D2503" s="1">
        <f>IFERROR(__xludf.DUMMYFUNCTION("""COMPUTED_VALUE"""),82400.0)</f>
        <v>82400</v>
      </c>
      <c r="E2503" s="1">
        <f>IFERROR(__xludf.DUMMYFUNCTION("""COMPUTED_VALUE"""),82800.0)</f>
        <v>82800</v>
      </c>
      <c r="F2503" s="1">
        <f>IFERROR(__xludf.DUMMYFUNCTION("""COMPUTED_VALUE"""),1.3530573E7)</f>
        <v>13530573</v>
      </c>
    </row>
    <row r="2504">
      <c r="A2504" s="2">
        <f>IFERROR(__xludf.DUMMYFUNCTION("""COMPUTED_VALUE"""),44270.64583333333)</f>
        <v>44270.64583</v>
      </c>
      <c r="B2504" s="1">
        <f>IFERROR(__xludf.DUMMYFUNCTION("""COMPUTED_VALUE"""),82800.0)</f>
        <v>82800</v>
      </c>
      <c r="C2504" s="1">
        <f>IFERROR(__xludf.DUMMYFUNCTION("""COMPUTED_VALUE"""),82900.0)</f>
        <v>82900</v>
      </c>
      <c r="D2504" s="1">
        <f>IFERROR(__xludf.DUMMYFUNCTION("""COMPUTED_VALUE"""),81800.0)</f>
        <v>81800</v>
      </c>
      <c r="E2504" s="1">
        <f>IFERROR(__xludf.DUMMYFUNCTION("""COMPUTED_VALUE"""),81800.0)</f>
        <v>81800</v>
      </c>
      <c r="F2504" s="1">
        <f>IFERROR(__xludf.DUMMYFUNCTION("""COMPUTED_VALUE"""),1.3735798E7)</f>
        <v>13735798</v>
      </c>
    </row>
    <row r="2505">
      <c r="A2505" s="2">
        <f>IFERROR(__xludf.DUMMYFUNCTION("""COMPUTED_VALUE"""),44271.64583333333)</f>
        <v>44271.64583</v>
      </c>
      <c r="B2505" s="1">
        <f>IFERROR(__xludf.DUMMYFUNCTION("""COMPUTED_VALUE"""),82200.0)</f>
        <v>82200</v>
      </c>
      <c r="C2505" s="1">
        <f>IFERROR(__xludf.DUMMYFUNCTION("""COMPUTED_VALUE"""),83000.0)</f>
        <v>83000</v>
      </c>
      <c r="D2505" s="1">
        <f>IFERROR(__xludf.DUMMYFUNCTION("""COMPUTED_VALUE"""),82100.0)</f>
        <v>82100</v>
      </c>
      <c r="E2505" s="1">
        <f>IFERROR(__xludf.DUMMYFUNCTION("""COMPUTED_VALUE"""),82800.0)</f>
        <v>82800</v>
      </c>
      <c r="F2505" s="1">
        <f>IFERROR(__xludf.DUMMYFUNCTION("""COMPUTED_VALUE"""),1.2293537E7)</f>
        <v>12293537</v>
      </c>
    </row>
    <row r="2506">
      <c r="A2506" s="2">
        <f>IFERROR(__xludf.DUMMYFUNCTION("""COMPUTED_VALUE"""),44272.64583333333)</f>
        <v>44272.64583</v>
      </c>
      <c r="B2506" s="1">
        <f>IFERROR(__xludf.DUMMYFUNCTION("""COMPUTED_VALUE"""),82800.0)</f>
        <v>82800</v>
      </c>
      <c r="C2506" s="1">
        <f>IFERROR(__xludf.DUMMYFUNCTION("""COMPUTED_VALUE"""),82900.0)</f>
        <v>82900</v>
      </c>
      <c r="D2506" s="1">
        <f>IFERROR(__xludf.DUMMYFUNCTION("""COMPUTED_VALUE"""),82000.0)</f>
        <v>82000</v>
      </c>
      <c r="E2506" s="1">
        <f>IFERROR(__xludf.DUMMYFUNCTION("""COMPUTED_VALUE"""),82300.0)</f>
        <v>82300</v>
      </c>
      <c r="F2506" s="1">
        <f>IFERROR(__xludf.DUMMYFUNCTION("""COMPUTED_VALUE"""),1.1625146E7)</f>
        <v>11625146</v>
      </c>
    </row>
    <row r="2507">
      <c r="A2507" s="2">
        <f>IFERROR(__xludf.DUMMYFUNCTION("""COMPUTED_VALUE"""),44273.64583333333)</f>
        <v>44273.64583</v>
      </c>
      <c r="B2507" s="1">
        <f>IFERROR(__xludf.DUMMYFUNCTION("""COMPUTED_VALUE"""),82800.0)</f>
        <v>82800</v>
      </c>
      <c r="C2507" s="1">
        <f>IFERROR(__xludf.DUMMYFUNCTION("""COMPUTED_VALUE"""),83800.0)</f>
        <v>83800</v>
      </c>
      <c r="D2507" s="1">
        <f>IFERROR(__xludf.DUMMYFUNCTION("""COMPUTED_VALUE"""),82600.0)</f>
        <v>82600</v>
      </c>
      <c r="E2507" s="1">
        <f>IFERROR(__xludf.DUMMYFUNCTION("""COMPUTED_VALUE"""),82900.0)</f>
        <v>82900</v>
      </c>
      <c r="F2507" s="1">
        <f>IFERROR(__xludf.DUMMYFUNCTION("""COMPUTED_VALUE"""),1.8585244E7)</f>
        <v>18585244</v>
      </c>
    </row>
    <row r="2508">
      <c r="A2508" s="2">
        <f>IFERROR(__xludf.DUMMYFUNCTION("""COMPUTED_VALUE"""),44274.64583333333)</f>
        <v>44274.64583</v>
      </c>
      <c r="B2508" s="1">
        <f>IFERROR(__xludf.DUMMYFUNCTION("""COMPUTED_VALUE"""),82100.0)</f>
        <v>82100</v>
      </c>
      <c r="C2508" s="1">
        <f>IFERROR(__xludf.DUMMYFUNCTION("""COMPUTED_VALUE"""),82500.0)</f>
        <v>82500</v>
      </c>
      <c r="D2508" s="1">
        <f>IFERROR(__xludf.DUMMYFUNCTION("""COMPUTED_VALUE"""),81800.0)</f>
        <v>81800</v>
      </c>
      <c r="E2508" s="1">
        <f>IFERROR(__xludf.DUMMYFUNCTION("""COMPUTED_VALUE"""),81900.0)</f>
        <v>81900</v>
      </c>
      <c r="F2508" s="1">
        <f>IFERROR(__xludf.DUMMYFUNCTION("""COMPUTED_VALUE"""),1.58697E7)</f>
        <v>15869700</v>
      </c>
    </row>
    <row r="2509">
      <c r="A2509" s="2">
        <f>IFERROR(__xludf.DUMMYFUNCTION("""COMPUTED_VALUE"""),44277.64583333333)</f>
        <v>44277.64583</v>
      </c>
      <c r="B2509" s="1">
        <f>IFERROR(__xludf.DUMMYFUNCTION("""COMPUTED_VALUE"""),82000.0)</f>
        <v>82000</v>
      </c>
      <c r="C2509" s="1">
        <f>IFERROR(__xludf.DUMMYFUNCTION("""COMPUTED_VALUE"""),82300.0)</f>
        <v>82300</v>
      </c>
      <c r="D2509" s="1">
        <f>IFERROR(__xludf.DUMMYFUNCTION("""COMPUTED_VALUE"""),81700.0)</f>
        <v>81700</v>
      </c>
      <c r="E2509" s="1">
        <f>IFERROR(__xludf.DUMMYFUNCTION("""COMPUTED_VALUE"""),82000.0)</f>
        <v>82000</v>
      </c>
      <c r="F2509" s="1">
        <f>IFERROR(__xludf.DUMMYFUNCTION("""COMPUTED_VALUE"""),1.2670506E7)</f>
        <v>12670506</v>
      </c>
    </row>
    <row r="2510">
      <c r="A2510" s="2">
        <f>IFERROR(__xludf.DUMMYFUNCTION("""COMPUTED_VALUE"""),44278.64583333333)</f>
        <v>44278.64583</v>
      </c>
      <c r="B2510" s="1">
        <f>IFERROR(__xludf.DUMMYFUNCTION("""COMPUTED_VALUE"""),82600.0)</f>
        <v>82600</v>
      </c>
      <c r="C2510" s="1">
        <f>IFERROR(__xludf.DUMMYFUNCTION("""COMPUTED_VALUE"""),82900.0)</f>
        <v>82900</v>
      </c>
      <c r="D2510" s="1">
        <f>IFERROR(__xludf.DUMMYFUNCTION("""COMPUTED_VALUE"""),81800.0)</f>
        <v>81800</v>
      </c>
      <c r="E2510" s="1">
        <f>IFERROR(__xludf.DUMMYFUNCTION("""COMPUTED_VALUE"""),81800.0)</f>
        <v>81800</v>
      </c>
      <c r="F2510" s="1">
        <f>IFERROR(__xludf.DUMMYFUNCTION("""COMPUTED_VALUE"""),1.3299907E7)</f>
        <v>13299907</v>
      </c>
    </row>
    <row r="2511">
      <c r="A2511" s="2">
        <f>IFERROR(__xludf.DUMMYFUNCTION("""COMPUTED_VALUE"""),44279.64583333333)</f>
        <v>44279.64583</v>
      </c>
      <c r="B2511" s="1">
        <f>IFERROR(__xludf.DUMMYFUNCTION("""COMPUTED_VALUE"""),81000.0)</f>
        <v>81000</v>
      </c>
      <c r="C2511" s="1">
        <f>IFERROR(__xludf.DUMMYFUNCTION("""COMPUTED_VALUE"""),81600.0)</f>
        <v>81600</v>
      </c>
      <c r="D2511" s="1">
        <f>IFERROR(__xludf.DUMMYFUNCTION("""COMPUTED_VALUE"""),80700.0)</f>
        <v>80700</v>
      </c>
      <c r="E2511" s="1">
        <f>IFERROR(__xludf.DUMMYFUNCTION("""COMPUTED_VALUE"""),81000.0)</f>
        <v>81000</v>
      </c>
      <c r="F2511" s="1">
        <f>IFERROR(__xludf.DUMMYFUNCTION("""COMPUTED_VALUE"""),1.7926638E7)</f>
        <v>17926638</v>
      </c>
    </row>
    <row r="2512">
      <c r="A2512" s="2">
        <f>IFERROR(__xludf.DUMMYFUNCTION("""COMPUTED_VALUE"""),44280.64583333333)</f>
        <v>44280.64583</v>
      </c>
      <c r="B2512" s="1">
        <f>IFERROR(__xludf.DUMMYFUNCTION("""COMPUTED_VALUE"""),81000.0)</f>
        <v>81000</v>
      </c>
      <c r="C2512" s="1">
        <f>IFERROR(__xludf.DUMMYFUNCTION("""COMPUTED_VALUE"""),82100.0)</f>
        <v>82100</v>
      </c>
      <c r="D2512" s="1">
        <f>IFERROR(__xludf.DUMMYFUNCTION("""COMPUTED_VALUE"""),80800.0)</f>
        <v>80800</v>
      </c>
      <c r="E2512" s="1">
        <f>IFERROR(__xludf.DUMMYFUNCTION("""COMPUTED_VALUE"""),81200.0)</f>
        <v>81200</v>
      </c>
      <c r="F2512" s="1">
        <f>IFERROR(__xludf.DUMMYFUNCTION("""COMPUTED_VALUE"""),1.4758826E7)</f>
        <v>14758826</v>
      </c>
    </row>
    <row r="2513">
      <c r="A2513" s="2">
        <f>IFERROR(__xludf.DUMMYFUNCTION("""COMPUTED_VALUE"""),44281.64583333333)</f>
        <v>44281.64583</v>
      </c>
      <c r="B2513" s="1">
        <f>IFERROR(__xludf.DUMMYFUNCTION("""COMPUTED_VALUE"""),81400.0)</f>
        <v>81400</v>
      </c>
      <c r="C2513" s="1">
        <f>IFERROR(__xludf.DUMMYFUNCTION("""COMPUTED_VALUE"""),81600.0)</f>
        <v>81600</v>
      </c>
      <c r="D2513" s="1">
        <f>IFERROR(__xludf.DUMMYFUNCTION("""COMPUTED_VALUE"""),81000.0)</f>
        <v>81000</v>
      </c>
      <c r="E2513" s="1">
        <f>IFERROR(__xludf.DUMMYFUNCTION("""COMPUTED_VALUE"""),81500.0)</f>
        <v>81500</v>
      </c>
      <c r="F2513" s="1">
        <f>IFERROR(__xludf.DUMMYFUNCTION("""COMPUTED_VALUE"""),1.2845778E7)</f>
        <v>12845778</v>
      </c>
    </row>
    <row r="2514">
      <c r="A2514" s="2">
        <f>IFERROR(__xludf.DUMMYFUNCTION("""COMPUTED_VALUE"""),44284.64583333333)</f>
        <v>44284.64583</v>
      </c>
      <c r="B2514" s="1">
        <f>IFERROR(__xludf.DUMMYFUNCTION("""COMPUTED_VALUE"""),81700.0)</f>
        <v>81700</v>
      </c>
      <c r="C2514" s="1">
        <f>IFERROR(__xludf.DUMMYFUNCTION("""COMPUTED_VALUE"""),81700.0)</f>
        <v>81700</v>
      </c>
      <c r="D2514" s="1">
        <f>IFERROR(__xludf.DUMMYFUNCTION("""COMPUTED_VALUE"""),81000.0)</f>
        <v>81000</v>
      </c>
      <c r="E2514" s="1">
        <f>IFERROR(__xludf.DUMMYFUNCTION("""COMPUTED_VALUE"""),81600.0)</f>
        <v>81600</v>
      </c>
      <c r="F2514" s="1">
        <f>IFERROR(__xludf.DUMMYFUNCTION("""COMPUTED_VALUE"""),1.4952134E7)</f>
        <v>14952134</v>
      </c>
    </row>
    <row r="2515">
      <c r="A2515" s="2">
        <f>IFERROR(__xludf.DUMMYFUNCTION("""COMPUTED_VALUE"""),44285.64583333333)</f>
        <v>44285.64583</v>
      </c>
      <c r="B2515" s="1">
        <f>IFERROR(__xludf.DUMMYFUNCTION("""COMPUTED_VALUE"""),81600.0)</f>
        <v>81600</v>
      </c>
      <c r="C2515" s="1">
        <f>IFERROR(__xludf.DUMMYFUNCTION("""COMPUTED_VALUE"""),82300.0)</f>
        <v>82300</v>
      </c>
      <c r="D2515" s="1">
        <f>IFERROR(__xludf.DUMMYFUNCTION("""COMPUTED_VALUE"""),81300.0)</f>
        <v>81300</v>
      </c>
      <c r="E2515" s="1">
        <f>IFERROR(__xludf.DUMMYFUNCTION("""COMPUTED_VALUE"""),82200.0)</f>
        <v>82200</v>
      </c>
      <c r="F2515" s="1">
        <f>IFERROR(__xludf.DUMMYFUNCTION("""COMPUTED_VALUE"""),1.3121698E7)</f>
        <v>13121698</v>
      </c>
    </row>
    <row r="2516">
      <c r="A2516" s="2">
        <f>IFERROR(__xludf.DUMMYFUNCTION("""COMPUTED_VALUE"""),44286.64583333333)</f>
        <v>44286.64583</v>
      </c>
      <c r="B2516" s="1">
        <f>IFERROR(__xludf.DUMMYFUNCTION("""COMPUTED_VALUE"""),82400.0)</f>
        <v>82400</v>
      </c>
      <c r="C2516" s="1">
        <f>IFERROR(__xludf.DUMMYFUNCTION("""COMPUTED_VALUE"""),82700.0)</f>
        <v>82700</v>
      </c>
      <c r="D2516" s="1">
        <f>IFERROR(__xludf.DUMMYFUNCTION("""COMPUTED_VALUE"""),81400.0)</f>
        <v>81400</v>
      </c>
      <c r="E2516" s="1">
        <f>IFERROR(__xludf.DUMMYFUNCTION("""COMPUTED_VALUE"""),81400.0)</f>
        <v>81400</v>
      </c>
      <c r="F2516" s="1">
        <f>IFERROR(__xludf.DUMMYFUNCTION("""COMPUTED_VALUE"""),1.7240518E7)</f>
        <v>17240518</v>
      </c>
    </row>
    <row r="2517">
      <c r="A2517" s="2">
        <f>IFERROR(__xludf.DUMMYFUNCTION("""COMPUTED_VALUE"""),44287.64583333333)</f>
        <v>44287.64583</v>
      </c>
      <c r="B2517" s="1">
        <f>IFERROR(__xludf.DUMMYFUNCTION("""COMPUTED_VALUE"""),82500.0)</f>
        <v>82500</v>
      </c>
      <c r="C2517" s="1">
        <f>IFERROR(__xludf.DUMMYFUNCTION("""COMPUTED_VALUE"""),83000.0)</f>
        <v>83000</v>
      </c>
      <c r="D2517" s="1">
        <f>IFERROR(__xludf.DUMMYFUNCTION("""COMPUTED_VALUE"""),82000.0)</f>
        <v>82000</v>
      </c>
      <c r="E2517" s="1">
        <f>IFERROR(__xludf.DUMMYFUNCTION("""COMPUTED_VALUE"""),82900.0)</f>
        <v>82900</v>
      </c>
      <c r="F2517" s="1">
        <f>IFERROR(__xludf.DUMMYFUNCTION("""COMPUTED_VALUE"""),1.8676461E7)</f>
        <v>18676461</v>
      </c>
    </row>
    <row r="2518">
      <c r="A2518" s="2">
        <f>IFERROR(__xludf.DUMMYFUNCTION("""COMPUTED_VALUE"""),44288.64583333333)</f>
        <v>44288.64583</v>
      </c>
      <c r="B2518" s="1">
        <f>IFERROR(__xludf.DUMMYFUNCTION("""COMPUTED_VALUE"""),84000.0)</f>
        <v>84000</v>
      </c>
      <c r="C2518" s="1">
        <f>IFERROR(__xludf.DUMMYFUNCTION("""COMPUTED_VALUE"""),85200.0)</f>
        <v>85200</v>
      </c>
      <c r="D2518" s="1">
        <f>IFERROR(__xludf.DUMMYFUNCTION("""COMPUTED_VALUE"""),83900.0)</f>
        <v>83900</v>
      </c>
      <c r="E2518" s="1">
        <f>IFERROR(__xludf.DUMMYFUNCTION("""COMPUTED_VALUE"""),84800.0)</f>
        <v>84800</v>
      </c>
      <c r="F2518" s="1">
        <f>IFERROR(__xludf.DUMMYFUNCTION("""COMPUTED_VALUE"""),2.2997538E7)</f>
        <v>22997538</v>
      </c>
    </row>
    <row r="2519">
      <c r="A2519" s="2">
        <f>IFERROR(__xludf.DUMMYFUNCTION("""COMPUTED_VALUE"""),44291.64583333333)</f>
        <v>44291.64583</v>
      </c>
      <c r="B2519" s="1">
        <f>IFERROR(__xludf.DUMMYFUNCTION("""COMPUTED_VALUE"""),85800.0)</f>
        <v>85800</v>
      </c>
      <c r="C2519" s="1">
        <f>IFERROR(__xludf.DUMMYFUNCTION("""COMPUTED_VALUE"""),86000.0)</f>
        <v>86000</v>
      </c>
      <c r="D2519" s="1">
        <f>IFERROR(__xludf.DUMMYFUNCTION("""COMPUTED_VALUE"""),84800.0)</f>
        <v>84800</v>
      </c>
      <c r="E2519" s="1">
        <f>IFERROR(__xludf.DUMMYFUNCTION("""COMPUTED_VALUE"""),85400.0)</f>
        <v>85400</v>
      </c>
      <c r="F2519" s="1">
        <f>IFERROR(__xludf.DUMMYFUNCTION("""COMPUTED_VALUE"""),1.625599E7)</f>
        <v>16255990</v>
      </c>
    </row>
    <row r="2520">
      <c r="A2520" s="2">
        <f>IFERROR(__xludf.DUMMYFUNCTION("""COMPUTED_VALUE"""),44292.64583333333)</f>
        <v>44292.64583</v>
      </c>
      <c r="B2520" s="1">
        <f>IFERROR(__xludf.DUMMYFUNCTION("""COMPUTED_VALUE"""),86200.0)</f>
        <v>86200</v>
      </c>
      <c r="C2520" s="1">
        <f>IFERROR(__xludf.DUMMYFUNCTION("""COMPUTED_VALUE"""),86200.0)</f>
        <v>86200</v>
      </c>
      <c r="D2520" s="1">
        <f>IFERROR(__xludf.DUMMYFUNCTION("""COMPUTED_VALUE"""),85100.0)</f>
        <v>85100</v>
      </c>
      <c r="E2520" s="1">
        <f>IFERROR(__xludf.DUMMYFUNCTION("""COMPUTED_VALUE"""),86000.0)</f>
        <v>86000</v>
      </c>
      <c r="F2520" s="1">
        <f>IFERROR(__xludf.DUMMYFUNCTION("""COMPUTED_VALUE"""),1.9042023E7)</f>
        <v>19042023</v>
      </c>
    </row>
    <row r="2521">
      <c r="A2521" s="2">
        <f>IFERROR(__xludf.DUMMYFUNCTION("""COMPUTED_VALUE"""),44293.64583333333)</f>
        <v>44293.64583</v>
      </c>
      <c r="B2521" s="1">
        <f>IFERROR(__xludf.DUMMYFUNCTION("""COMPUTED_VALUE"""),86100.0)</f>
        <v>86100</v>
      </c>
      <c r="C2521" s="1">
        <f>IFERROR(__xludf.DUMMYFUNCTION("""COMPUTED_VALUE"""),86200.0)</f>
        <v>86200</v>
      </c>
      <c r="D2521" s="1">
        <f>IFERROR(__xludf.DUMMYFUNCTION("""COMPUTED_VALUE"""),85400.0)</f>
        <v>85400</v>
      </c>
      <c r="E2521" s="1">
        <f>IFERROR(__xludf.DUMMYFUNCTION("""COMPUTED_VALUE"""),85600.0)</f>
        <v>85600</v>
      </c>
      <c r="F2521" s="1">
        <f>IFERROR(__xludf.DUMMYFUNCTION("""COMPUTED_VALUE"""),1.7885538E7)</f>
        <v>17885538</v>
      </c>
    </row>
    <row r="2522">
      <c r="A2522" s="2">
        <f>IFERROR(__xludf.DUMMYFUNCTION("""COMPUTED_VALUE"""),44294.64583333333)</f>
        <v>44294.64583</v>
      </c>
      <c r="B2522" s="1">
        <f>IFERROR(__xludf.DUMMYFUNCTION("""COMPUTED_VALUE"""),85700.0)</f>
        <v>85700</v>
      </c>
      <c r="C2522" s="1">
        <f>IFERROR(__xludf.DUMMYFUNCTION("""COMPUTED_VALUE"""),85700.0)</f>
        <v>85700</v>
      </c>
      <c r="D2522" s="1">
        <f>IFERROR(__xludf.DUMMYFUNCTION("""COMPUTED_VALUE"""),84100.0)</f>
        <v>84100</v>
      </c>
      <c r="E2522" s="1">
        <f>IFERROR(__xludf.DUMMYFUNCTION("""COMPUTED_VALUE"""),84700.0)</f>
        <v>84700</v>
      </c>
      <c r="F2522" s="1">
        <f>IFERROR(__xludf.DUMMYFUNCTION("""COMPUTED_VALUE"""),1.9244259E7)</f>
        <v>19244259</v>
      </c>
    </row>
    <row r="2523">
      <c r="A2523" s="2">
        <f>IFERROR(__xludf.DUMMYFUNCTION("""COMPUTED_VALUE"""),44295.64583333333)</f>
        <v>44295.64583</v>
      </c>
      <c r="B2523" s="1">
        <f>IFERROR(__xludf.DUMMYFUNCTION("""COMPUTED_VALUE"""),84700.0)</f>
        <v>84700</v>
      </c>
      <c r="C2523" s="1">
        <f>IFERROR(__xludf.DUMMYFUNCTION("""COMPUTED_VALUE"""),84900.0)</f>
        <v>84900</v>
      </c>
      <c r="D2523" s="1">
        <f>IFERROR(__xludf.DUMMYFUNCTION("""COMPUTED_VALUE"""),83400.0)</f>
        <v>83400</v>
      </c>
      <c r="E2523" s="1">
        <f>IFERROR(__xludf.DUMMYFUNCTION("""COMPUTED_VALUE"""),83600.0)</f>
        <v>83600</v>
      </c>
      <c r="F2523" s="1">
        <f>IFERROR(__xludf.DUMMYFUNCTION("""COMPUTED_VALUE"""),1.8193707E7)</f>
        <v>18193707</v>
      </c>
    </row>
    <row r="2524">
      <c r="A2524" s="2">
        <f>IFERROR(__xludf.DUMMYFUNCTION("""COMPUTED_VALUE"""),44298.64583333333)</f>
        <v>44298.64583</v>
      </c>
      <c r="B2524" s="1">
        <f>IFERROR(__xludf.DUMMYFUNCTION("""COMPUTED_VALUE"""),84100.0)</f>
        <v>84100</v>
      </c>
      <c r="C2524" s="1">
        <f>IFERROR(__xludf.DUMMYFUNCTION("""COMPUTED_VALUE"""),84100.0)</f>
        <v>84100</v>
      </c>
      <c r="D2524" s="1">
        <f>IFERROR(__xludf.DUMMYFUNCTION("""COMPUTED_VALUE"""),83100.0)</f>
        <v>83100</v>
      </c>
      <c r="E2524" s="1">
        <f>IFERROR(__xludf.DUMMYFUNCTION("""COMPUTED_VALUE"""),83200.0)</f>
        <v>83200</v>
      </c>
      <c r="F2524" s="1">
        <f>IFERROR(__xludf.DUMMYFUNCTION("""COMPUTED_VALUE"""),1.2915282E7)</f>
        <v>12915282</v>
      </c>
    </row>
    <row r="2525">
      <c r="A2525" s="2">
        <f>IFERROR(__xludf.DUMMYFUNCTION("""COMPUTED_VALUE"""),44299.64583333333)</f>
        <v>44299.64583</v>
      </c>
      <c r="B2525" s="1">
        <f>IFERROR(__xludf.DUMMYFUNCTION("""COMPUTED_VALUE"""),83000.0)</f>
        <v>83000</v>
      </c>
      <c r="C2525" s="1">
        <f>IFERROR(__xludf.DUMMYFUNCTION("""COMPUTED_VALUE"""),84500.0)</f>
        <v>84500</v>
      </c>
      <c r="D2525" s="1">
        <f>IFERROR(__xludf.DUMMYFUNCTION("""COMPUTED_VALUE"""),82800.0)</f>
        <v>82800</v>
      </c>
      <c r="E2525" s="1">
        <f>IFERROR(__xludf.DUMMYFUNCTION("""COMPUTED_VALUE"""),84000.0)</f>
        <v>84000</v>
      </c>
      <c r="F2525" s="1">
        <f>IFERROR(__xludf.DUMMYFUNCTION("""COMPUTED_VALUE"""),1.5238206E7)</f>
        <v>15238206</v>
      </c>
    </row>
    <row r="2526">
      <c r="A2526" s="2">
        <f>IFERROR(__xludf.DUMMYFUNCTION("""COMPUTED_VALUE"""),44300.64583333333)</f>
        <v>44300.64583</v>
      </c>
      <c r="B2526" s="1">
        <f>IFERROR(__xludf.DUMMYFUNCTION("""COMPUTED_VALUE"""),84000.0)</f>
        <v>84000</v>
      </c>
      <c r="C2526" s="1">
        <f>IFERROR(__xludf.DUMMYFUNCTION("""COMPUTED_VALUE"""),84300.0)</f>
        <v>84300</v>
      </c>
      <c r="D2526" s="1">
        <f>IFERROR(__xludf.DUMMYFUNCTION("""COMPUTED_VALUE"""),83400.0)</f>
        <v>83400</v>
      </c>
      <c r="E2526" s="1">
        <f>IFERROR(__xludf.DUMMYFUNCTION("""COMPUTED_VALUE"""),84000.0)</f>
        <v>84000</v>
      </c>
      <c r="F2526" s="1">
        <f>IFERROR(__xludf.DUMMYFUNCTION("""COMPUTED_VALUE"""),1.3794652E7)</f>
        <v>13794652</v>
      </c>
    </row>
    <row r="2527">
      <c r="A2527" s="2">
        <f>IFERROR(__xludf.DUMMYFUNCTION("""COMPUTED_VALUE"""),44301.64583333333)</f>
        <v>44301.64583</v>
      </c>
      <c r="B2527" s="1">
        <f>IFERROR(__xludf.DUMMYFUNCTION("""COMPUTED_VALUE"""),83700.0)</f>
        <v>83700</v>
      </c>
      <c r="C2527" s="1">
        <f>IFERROR(__xludf.DUMMYFUNCTION("""COMPUTED_VALUE"""),84500.0)</f>
        <v>84500</v>
      </c>
      <c r="D2527" s="1">
        <f>IFERROR(__xludf.DUMMYFUNCTION("""COMPUTED_VALUE"""),83400.0)</f>
        <v>83400</v>
      </c>
      <c r="E2527" s="1">
        <f>IFERROR(__xludf.DUMMYFUNCTION("""COMPUTED_VALUE"""),84100.0)</f>
        <v>84100</v>
      </c>
      <c r="F2527" s="1">
        <f>IFERROR(__xludf.DUMMYFUNCTION("""COMPUTED_VALUE"""),1.6377412E7)</f>
        <v>16377412</v>
      </c>
    </row>
    <row r="2528">
      <c r="A2528" s="2">
        <f>IFERROR(__xludf.DUMMYFUNCTION("""COMPUTED_VALUE"""),44302.64583333333)</f>
        <v>44302.64583</v>
      </c>
      <c r="B2528" s="1">
        <f>IFERROR(__xludf.DUMMYFUNCTION("""COMPUTED_VALUE"""),84700.0)</f>
        <v>84700</v>
      </c>
      <c r="C2528" s="1">
        <f>IFERROR(__xludf.DUMMYFUNCTION("""COMPUTED_VALUE"""),84700.0)</f>
        <v>84700</v>
      </c>
      <c r="D2528" s="1">
        <f>IFERROR(__xludf.DUMMYFUNCTION("""COMPUTED_VALUE"""),83600.0)</f>
        <v>83600</v>
      </c>
      <c r="E2528" s="1">
        <f>IFERROR(__xludf.DUMMYFUNCTION("""COMPUTED_VALUE"""),83900.0)</f>
        <v>83900</v>
      </c>
      <c r="F2528" s="1">
        <f>IFERROR(__xludf.DUMMYFUNCTION("""COMPUTED_VALUE"""),1.5429522E7)</f>
        <v>15429522</v>
      </c>
    </row>
    <row r="2529">
      <c r="A2529" s="2">
        <f>IFERROR(__xludf.DUMMYFUNCTION("""COMPUTED_VALUE"""),44305.64583333333)</f>
        <v>44305.64583</v>
      </c>
      <c r="B2529" s="1">
        <f>IFERROR(__xludf.DUMMYFUNCTION("""COMPUTED_VALUE"""),83800.0)</f>
        <v>83800</v>
      </c>
      <c r="C2529" s="1">
        <f>IFERROR(__xludf.DUMMYFUNCTION("""COMPUTED_VALUE"""),84000.0)</f>
        <v>84000</v>
      </c>
      <c r="D2529" s="1">
        <f>IFERROR(__xludf.DUMMYFUNCTION("""COMPUTED_VALUE"""),83300.0)</f>
        <v>83300</v>
      </c>
      <c r="E2529" s="1">
        <f>IFERROR(__xludf.DUMMYFUNCTION("""COMPUTED_VALUE"""),83300.0)</f>
        <v>83300</v>
      </c>
      <c r="F2529" s="1">
        <f>IFERROR(__xludf.DUMMYFUNCTION("""COMPUTED_VALUE"""),1.5287311E7)</f>
        <v>15287311</v>
      </c>
    </row>
    <row r="2530">
      <c r="A2530" s="2">
        <f>IFERROR(__xludf.DUMMYFUNCTION("""COMPUTED_VALUE"""),44306.64583333333)</f>
        <v>44306.64583</v>
      </c>
      <c r="B2530" s="1">
        <f>IFERROR(__xludf.DUMMYFUNCTION("""COMPUTED_VALUE"""),83300.0)</f>
        <v>83300</v>
      </c>
      <c r="C2530" s="1">
        <f>IFERROR(__xludf.DUMMYFUNCTION("""COMPUTED_VALUE"""),84000.0)</f>
        <v>84000</v>
      </c>
      <c r="D2530" s="1">
        <f>IFERROR(__xludf.DUMMYFUNCTION("""COMPUTED_VALUE"""),83100.0)</f>
        <v>83100</v>
      </c>
      <c r="E2530" s="1">
        <f>IFERROR(__xludf.DUMMYFUNCTION("""COMPUTED_VALUE"""),83900.0)</f>
        <v>83900</v>
      </c>
      <c r="F2530" s="1">
        <f>IFERROR(__xludf.DUMMYFUNCTION("""COMPUTED_VALUE"""),1.5521965E7)</f>
        <v>15521965</v>
      </c>
    </row>
    <row r="2531">
      <c r="A2531" s="2">
        <f>IFERROR(__xludf.DUMMYFUNCTION("""COMPUTED_VALUE"""),44307.64583333333)</f>
        <v>44307.64583</v>
      </c>
      <c r="B2531" s="1">
        <f>IFERROR(__xludf.DUMMYFUNCTION("""COMPUTED_VALUE"""),83300.0)</f>
        <v>83300</v>
      </c>
      <c r="C2531" s="1">
        <f>IFERROR(__xludf.DUMMYFUNCTION("""COMPUTED_VALUE"""),83500.0)</f>
        <v>83500</v>
      </c>
      <c r="D2531" s="1">
        <f>IFERROR(__xludf.DUMMYFUNCTION("""COMPUTED_VALUE"""),82500.0)</f>
        <v>82500</v>
      </c>
      <c r="E2531" s="1">
        <f>IFERROR(__xludf.DUMMYFUNCTION("""COMPUTED_VALUE"""),82600.0)</f>
        <v>82600</v>
      </c>
      <c r="F2531" s="1">
        <f>IFERROR(__xludf.DUMMYFUNCTION("""COMPUTED_VALUE"""),2.1636079E7)</f>
        <v>21636079</v>
      </c>
    </row>
    <row r="2532">
      <c r="A2532" s="2">
        <f>IFERROR(__xludf.DUMMYFUNCTION("""COMPUTED_VALUE"""),44308.64583333333)</f>
        <v>44308.64583</v>
      </c>
      <c r="B2532" s="1">
        <f>IFERROR(__xludf.DUMMYFUNCTION("""COMPUTED_VALUE"""),82900.0)</f>
        <v>82900</v>
      </c>
      <c r="C2532" s="1">
        <f>IFERROR(__xludf.DUMMYFUNCTION("""COMPUTED_VALUE"""),83000.0)</f>
        <v>83000</v>
      </c>
      <c r="D2532" s="1">
        <f>IFERROR(__xludf.DUMMYFUNCTION("""COMPUTED_VALUE"""),82400.0)</f>
        <v>82400</v>
      </c>
      <c r="E2532" s="1">
        <f>IFERROR(__xludf.DUMMYFUNCTION("""COMPUTED_VALUE"""),82400.0)</f>
        <v>82400</v>
      </c>
      <c r="F2532" s="1">
        <f>IFERROR(__xludf.DUMMYFUNCTION("""COMPUTED_VALUE"""),1.3934746E7)</f>
        <v>13934746</v>
      </c>
    </row>
    <row r="2533">
      <c r="A2533" s="2">
        <f>IFERROR(__xludf.DUMMYFUNCTION("""COMPUTED_VALUE"""),44309.64583333333)</f>
        <v>44309.64583</v>
      </c>
      <c r="B2533" s="1">
        <f>IFERROR(__xludf.DUMMYFUNCTION("""COMPUTED_VALUE"""),81900.0)</f>
        <v>81900</v>
      </c>
      <c r="C2533" s="1">
        <f>IFERROR(__xludf.DUMMYFUNCTION("""COMPUTED_VALUE"""),82900.0)</f>
        <v>82900</v>
      </c>
      <c r="D2533" s="1">
        <f>IFERROR(__xludf.DUMMYFUNCTION("""COMPUTED_VALUE"""),81600.0)</f>
        <v>81600</v>
      </c>
      <c r="E2533" s="1">
        <f>IFERROR(__xludf.DUMMYFUNCTION("""COMPUTED_VALUE"""),82800.0)</f>
        <v>82800</v>
      </c>
      <c r="F2533" s="1">
        <f>IFERROR(__xludf.DUMMYFUNCTION("""COMPUTED_VALUE"""),1.780508E7)</f>
        <v>17805080</v>
      </c>
    </row>
    <row r="2534">
      <c r="A2534" s="2">
        <f>IFERROR(__xludf.DUMMYFUNCTION("""COMPUTED_VALUE"""),44312.64583333333)</f>
        <v>44312.64583</v>
      </c>
      <c r="B2534" s="1">
        <f>IFERROR(__xludf.DUMMYFUNCTION("""COMPUTED_VALUE"""),82900.0)</f>
        <v>82900</v>
      </c>
      <c r="C2534" s="1">
        <f>IFERROR(__xludf.DUMMYFUNCTION("""COMPUTED_VALUE"""),83500.0)</f>
        <v>83500</v>
      </c>
      <c r="D2534" s="1">
        <f>IFERROR(__xludf.DUMMYFUNCTION("""COMPUTED_VALUE"""),82600.0)</f>
        <v>82600</v>
      </c>
      <c r="E2534" s="1">
        <f>IFERROR(__xludf.DUMMYFUNCTION("""COMPUTED_VALUE"""),83500.0)</f>
        <v>83500</v>
      </c>
      <c r="F2534" s="1">
        <f>IFERROR(__xludf.DUMMYFUNCTION("""COMPUTED_VALUE"""),1.5489938E7)</f>
        <v>15489938</v>
      </c>
    </row>
    <row r="2535">
      <c r="A2535" s="2">
        <f>IFERROR(__xludf.DUMMYFUNCTION("""COMPUTED_VALUE"""),44313.64583333333)</f>
        <v>44313.64583</v>
      </c>
      <c r="B2535" s="1">
        <f>IFERROR(__xludf.DUMMYFUNCTION("""COMPUTED_VALUE"""),83200.0)</f>
        <v>83200</v>
      </c>
      <c r="C2535" s="1">
        <f>IFERROR(__xludf.DUMMYFUNCTION("""COMPUTED_VALUE"""),83300.0)</f>
        <v>83300</v>
      </c>
      <c r="D2535" s="1">
        <f>IFERROR(__xludf.DUMMYFUNCTION("""COMPUTED_VALUE"""),82500.0)</f>
        <v>82500</v>
      </c>
      <c r="E2535" s="1">
        <f>IFERROR(__xludf.DUMMYFUNCTION("""COMPUTED_VALUE"""),82900.0)</f>
        <v>82900</v>
      </c>
      <c r="F2535" s="1">
        <f>IFERROR(__xludf.DUMMYFUNCTION("""COMPUTED_VALUE"""),1.2941533E7)</f>
        <v>12941533</v>
      </c>
    </row>
    <row r="2536">
      <c r="A2536" s="2">
        <f>IFERROR(__xludf.DUMMYFUNCTION("""COMPUTED_VALUE"""),44314.64583333333)</f>
        <v>44314.64583</v>
      </c>
      <c r="B2536" s="1">
        <f>IFERROR(__xludf.DUMMYFUNCTION("""COMPUTED_VALUE"""),83200.0)</f>
        <v>83200</v>
      </c>
      <c r="C2536" s="1">
        <f>IFERROR(__xludf.DUMMYFUNCTION("""COMPUTED_VALUE"""),83200.0)</f>
        <v>83200</v>
      </c>
      <c r="D2536" s="1">
        <f>IFERROR(__xludf.DUMMYFUNCTION("""COMPUTED_VALUE"""),82100.0)</f>
        <v>82100</v>
      </c>
      <c r="E2536" s="1">
        <f>IFERROR(__xludf.DUMMYFUNCTION("""COMPUTED_VALUE"""),82100.0)</f>
        <v>82100</v>
      </c>
      <c r="F2536" s="1">
        <f>IFERROR(__xludf.DUMMYFUNCTION("""COMPUTED_VALUE"""),1.5596759E7)</f>
        <v>15596759</v>
      </c>
    </row>
    <row r="2537">
      <c r="A2537" s="2">
        <f>IFERROR(__xludf.DUMMYFUNCTION("""COMPUTED_VALUE"""),44315.64583333333)</f>
        <v>44315.64583</v>
      </c>
      <c r="B2537" s="1">
        <f>IFERROR(__xludf.DUMMYFUNCTION("""COMPUTED_VALUE"""),82400.0)</f>
        <v>82400</v>
      </c>
      <c r="C2537" s="1">
        <f>IFERROR(__xludf.DUMMYFUNCTION("""COMPUTED_VALUE"""),82500.0)</f>
        <v>82500</v>
      </c>
      <c r="D2537" s="1">
        <f>IFERROR(__xludf.DUMMYFUNCTION("""COMPUTED_VALUE"""),81500.0)</f>
        <v>81500</v>
      </c>
      <c r="E2537" s="1">
        <f>IFERROR(__xludf.DUMMYFUNCTION("""COMPUTED_VALUE"""),81700.0)</f>
        <v>81700</v>
      </c>
      <c r="F2537" s="1">
        <f>IFERROR(__xludf.DUMMYFUNCTION("""COMPUTED_VALUE"""),2.0000973E7)</f>
        <v>20000973</v>
      </c>
    </row>
    <row r="2538">
      <c r="A2538" s="2">
        <f>IFERROR(__xludf.DUMMYFUNCTION("""COMPUTED_VALUE"""),44316.64583333333)</f>
        <v>44316.64583</v>
      </c>
      <c r="B2538" s="1">
        <f>IFERROR(__xludf.DUMMYFUNCTION("""COMPUTED_VALUE"""),81900.0)</f>
        <v>81900</v>
      </c>
      <c r="C2538" s="1">
        <f>IFERROR(__xludf.DUMMYFUNCTION("""COMPUTED_VALUE"""),82100.0)</f>
        <v>82100</v>
      </c>
      <c r="D2538" s="1">
        <f>IFERROR(__xludf.DUMMYFUNCTION("""COMPUTED_VALUE"""),81500.0)</f>
        <v>81500</v>
      </c>
      <c r="E2538" s="1">
        <f>IFERROR(__xludf.DUMMYFUNCTION("""COMPUTED_VALUE"""),81500.0)</f>
        <v>81500</v>
      </c>
      <c r="F2538" s="1">
        <f>IFERROR(__xludf.DUMMYFUNCTION("""COMPUTED_VALUE"""),1.8673197E7)</f>
        <v>18673197</v>
      </c>
    </row>
    <row r="2539">
      <c r="A2539" s="2">
        <f>IFERROR(__xludf.DUMMYFUNCTION("""COMPUTED_VALUE"""),44319.64583333333)</f>
        <v>44319.64583</v>
      </c>
      <c r="B2539" s="1">
        <f>IFERROR(__xludf.DUMMYFUNCTION("""COMPUTED_VALUE"""),81000.0)</f>
        <v>81000</v>
      </c>
      <c r="C2539" s="1">
        <f>IFERROR(__xludf.DUMMYFUNCTION("""COMPUTED_VALUE"""),82400.0)</f>
        <v>82400</v>
      </c>
      <c r="D2539" s="1">
        <f>IFERROR(__xludf.DUMMYFUNCTION("""COMPUTED_VALUE"""),81000.0)</f>
        <v>81000</v>
      </c>
      <c r="E2539" s="1">
        <f>IFERROR(__xludf.DUMMYFUNCTION("""COMPUTED_VALUE"""),81700.0)</f>
        <v>81700</v>
      </c>
      <c r="F2539" s="1">
        <f>IFERROR(__xludf.DUMMYFUNCTION("""COMPUTED_VALUE"""),1.5710336E7)</f>
        <v>15710336</v>
      </c>
    </row>
    <row r="2540">
      <c r="A2540" s="2">
        <f>IFERROR(__xludf.DUMMYFUNCTION("""COMPUTED_VALUE"""),44320.64583333333)</f>
        <v>44320.64583</v>
      </c>
      <c r="B2540" s="1">
        <f>IFERROR(__xludf.DUMMYFUNCTION("""COMPUTED_VALUE"""),81900.0)</f>
        <v>81900</v>
      </c>
      <c r="C2540" s="1">
        <f>IFERROR(__xludf.DUMMYFUNCTION("""COMPUTED_VALUE"""),82600.0)</f>
        <v>82600</v>
      </c>
      <c r="D2540" s="1">
        <f>IFERROR(__xludf.DUMMYFUNCTION("""COMPUTED_VALUE"""),81800.0)</f>
        <v>81800</v>
      </c>
      <c r="E2540" s="1">
        <f>IFERROR(__xludf.DUMMYFUNCTION("""COMPUTED_VALUE"""),82600.0)</f>
        <v>82600</v>
      </c>
      <c r="F2540" s="1">
        <f>IFERROR(__xludf.DUMMYFUNCTION("""COMPUTED_VALUE"""),1.253255E7)</f>
        <v>12532550</v>
      </c>
    </row>
    <row r="2541">
      <c r="A2541" s="2">
        <f>IFERROR(__xludf.DUMMYFUNCTION("""COMPUTED_VALUE"""),44322.64583333333)</f>
        <v>44322.64583</v>
      </c>
      <c r="B2541" s="1">
        <f>IFERROR(__xludf.DUMMYFUNCTION("""COMPUTED_VALUE"""),81700.0)</f>
        <v>81700</v>
      </c>
      <c r="C2541" s="1">
        <f>IFERROR(__xludf.DUMMYFUNCTION("""COMPUTED_VALUE"""),82300.0)</f>
        <v>82300</v>
      </c>
      <c r="D2541" s="1">
        <f>IFERROR(__xludf.DUMMYFUNCTION("""COMPUTED_VALUE"""),81700.0)</f>
        <v>81700</v>
      </c>
      <c r="E2541" s="1">
        <f>IFERROR(__xludf.DUMMYFUNCTION("""COMPUTED_VALUE"""),82300.0)</f>
        <v>82300</v>
      </c>
      <c r="F2541" s="1">
        <f>IFERROR(__xludf.DUMMYFUNCTION("""COMPUTED_VALUE"""),1.7047511E7)</f>
        <v>17047511</v>
      </c>
    </row>
    <row r="2542">
      <c r="A2542" s="2">
        <f>IFERROR(__xludf.DUMMYFUNCTION("""COMPUTED_VALUE"""),44323.64583333333)</f>
        <v>44323.64583</v>
      </c>
      <c r="B2542" s="1">
        <f>IFERROR(__xludf.DUMMYFUNCTION("""COMPUTED_VALUE"""),81800.0)</f>
        <v>81800</v>
      </c>
      <c r="C2542" s="1">
        <f>IFERROR(__xludf.DUMMYFUNCTION("""COMPUTED_VALUE"""),82100.0)</f>
        <v>82100</v>
      </c>
      <c r="D2542" s="1">
        <f>IFERROR(__xludf.DUMMYFUNCTION("""COMPUTED_VALUE"""),81500.0)</f>
        <v>81500</v>
      </c>
      <c r="E2542" s="1">
        <f>IFERROR(__xludf.DUMMYFUNCTION("""COMPUTED_VALUE"""),81900.0)</f>
        <v>81900</v>
      </c>
      <c r="F2542" s="1">
        <f>IFERROR(__xludf.DUMMYFUNCTION("""COMPUTED_VALUE"""),1.4154882E7)</f>
        <v>14154882</v>
      </c>
    </row>
    <row r="2543">
      <c r="A2543" s="2">
        <f>IFERROR(__xludf.DUMMYFUNCTION("""COMPUTED_VALUE"""),44326.64583333333)</f>
        <v>44326.64583</v>
      </c>
      <c r="B2543" s="1">
        <f>IFERROR(__xludf.DUMMYFUNCTION("""COMPUTED_VALUE"""),82300.0)</f>
        <v>82300</v>
      </c>
      <c r="C2543" s="1">
        <f>IFERROR(__xludf.DUMMYFUNCTION("""COMPUTED_VALUE"""),83500.0)</f>
        <v>83500</v>
      </c>
      <c r="D2543" s="1">
        <f>IFERROR(__xludf.DUMMYFUNCTION("""COMPUTED_VALUE"""),81800.0)</f>
        <v>81800</v>
      </c>
      <c r="E2543" s="1">
        <f>IFERROR(__xludf.DUMMYFUNCTION("""COMPUTED_VALUE"""),83200.0)</f>
        <v>83200</v>
      </c>
      <c r="F2543" s="1">
        <f>IFERROR(__xludf.DUMMYFUNCTION("""COMPUTED_VALUE"""),1.9385027E7)</f>
        <v>19385027</v>
      </c>
    </row>
    <row r="2544">
      <c r="A2544" s="2">
        <f>IFERROR(__xludf.DUMMYFUNCTION("""COMPUTED_VALUE"""),44327.64583333333)</f>
        <v>44327.64583</v>
      </c>
      <c r="B2544" s="1">
        <f>IFERROR(__xludf.DUMMYFUNCTION("""COMPUTED_VALUE"""),82500.0)</f>
        <v>82500</v>
      </c>
      <c r="C2544" s="1">
        <f>IFERROR(__xludf.DUMMYFUNCTION("""COMPUTED_VALUE"""),82600.0)</f>
        <v>82600</v>
      </c>
      <c r="D2544" s="1">
        <f>IFERROR(__xludf.DUMMYFUNCTION("""COMPUTED_VALUE"""),81100.0)</f>
        <v>81100</v>
      </c>
      <c r="E2544" s="1">
        <f>IFERROR(__xludf.DUMMYFUNCTION("""COMPUTED_VALUE"""),81200.0)</f>
        <v>81200</v>
      </c>
      <c r="F2544" s="1">
        <f>IFERROR(__xludf.DUMMYFUNCTION("""COMPUTED_VALUE"""),2.899668E7)</f>
        <v>28996680</v>
      </c>
    </row>
    <row r="2545">
      <c r="A2545" s="2">
        <f>IFERROR(__xludf.DUMMYFUNCTION("""COMPUTED_VALUE"""),44328.64583333333)</f>
        <v>44328.64583</v>
      </c>
      <c r="B2545" s="1">
        <f>IFERROR(__xludf.DUMMYFUNCTION("""COMPUTED_VALUE"""),80800.0)</f>
        <v>80800</v>
      </c>
      <c r="C2545" s="1">
        <f>IFERROR(__xludf.DUMMYFUNCTION("""COMPUTED_VALUE"""),81200.0)</f>
        <v>81200</v>
      </c>
      <c r="D2545" s="1">
        <f>IFERROR(__xludf.DUMMYFUNCTION("""COMPUTED_VALUE"""),79800.0)</f>
        <v>79800</v>
      </c>
      <c r="E2545" s="1">
        <f>IFERROR(__xludf.DUMMYFUNCTION("""COMPUTED_VALUE"""),80000.0)</f>
        <v>80000</v>
      </c>
      <c r="F2545" s="1">
        <f>IFERROR(__xludf.DUMMYFUNCTION("""COMPUTED_VALUE"""),3.5812268E7)</f>
        <v>35812268</v>
      </c>
    </row>
    <row r="2546">
      <c r="A2546" s="2">
        <f>IFERROR(__xludf.DUMMYFUNCTION("""COMPUTED_VALUE"""),44329.64583333333)</f>
        <v>44329.64583</v>
      </c>
      <c r="B2546" s="1">
        <f>IFERROR(__xludf.DUMMYFUNCTION("""COMPUTED_VALUE"""),78900.0)</f>
        <v>78900</v>
      </c>
      <c r="C2546" s="1">
        <f>IFERROR(__xludf.DUMMYFUNCTION("""COMPUTED_VALUE"""),79600.0)</f>
        <v>79600</v>
      </c>
      <c r="D2546" s="1">
        <f>IFERROR(__xludf.DUMMYFUNCTION("""COMPUTED_VALUE"""),78400.0)</f>
        <v>78400</v>
      </c>
      <c r="E2546" s="1">
        <f>IFERROR(__xludf.DUMMYFUNCTION("""COMPUTED_VALUE"""),78500.0)</f>
        <v>78500</v>
      </c>
      <c r="F2546" s="1">
        <f>IFERROR(__xludf.DUMMYFUNCTION("""COMPUTED_VALUE"""),3.1490096E7)</f>
        <v>31490096</v>
      </c>
    </row>
    <row r="2547">
      <c r="A2547" s="2">
        <f>IFERROR(__xludf.DUMMYFUNCTION("""COMPUTED_VALUE"""),44330.64583333333)</f>
        <v>44330.64583</v>
      </c>
      <c r="B2547" s="1">
        <f>IFERROR(__xludf.DUMMYFUNCTION("""COMPUTED_VALUE"""),79000.0)</f>
        <v>79000</v>
      </c>
      <c r="C2547" s="1">
        <f>IFERROR(__xludf.DUMMYFUNCTION("""COMPUTED_VALUE"""),80300.0)</f>
        <v>80300</v>
      </c>
      <c r="D2547" s="1">
        <f>IFERROR(__xludf.DUMMYFUNCTION("""COMPUTED_VALUE"""),78900.0)</f>
        <v>78900</v>
      </c>
      <c r="E2547" s="1">
        <f>IFERROR(__xludf.DUMMYFUNCTION("""COMPUTED_VALUE"""),80100.0)</f>
        <v>80100</v>
      </c>
      <c r="F2547" s="1">
        <f>IFERROR(__xludf.DUMMYFUNCTION("""COMPUTED_VALUE"""),1.645092E7)</f>
        <v>16450920</v>
      </c>
    </row>
    <row r="2548">
      <c r="A2548" s="2">
        <f>IFERROR(__xludf.DUMMYFUNCTION("""COMPUTED_VALUE"""),44333.64583333333)</f>
        <v>44333.64583</v>
      </c>
      <c r="B2548" s="1">
        <f>IFERROR(__xludf.DUMMYFUNCTION("""COMPUTED_VALUE"""),80800.0)</f>
        <v>80800</v>
      </c>
      <c r="C2548" s="1">
        <f>IFERROR(__xludf.DUMMYFUNCTION("""COMPUTED_VALUE"""),80900.0)</f>
        <v>80900</v>
      </c>
      <c r="D2548" s="1">
        <f>IFERROR(__xludf.DUMMYFUNCTION("""COMPUTED_VALUE"""),79200.0)</f>
        <v>79200</v>
      </c>
      <c r="E2548" s="1">
        <f>IFERROR(__xludf.DUMMYFUNCTION("""COMPUTED_VALUE"""),79600.0)</f>
        <v>79600</v>
      </c>
      <c r="F2548" s="1">
        <f>IFERROR(__xludf.DUMMYFUNCTION("""COMPUTED_VALUE"""),1.7740855E7)</f>
        <v>17740855</v>
      </c>
    </row>
    <row r="2549">
      <c r="A2549" s="2">
        <f>IFERROR(__xludf.DUMMYFUNCTION("""COMPUTED_VALUE"""),44334.64583333333)</f>
        <v>44334.64583</v>
      </c>
      <c r="B2549" s="1">
        <f>IFERROR(__xludf.DUMMYFUNCTION("""COMPUTED_VALUE"""),79600.0)</f>
        <v>79600</v>
      </c>
      <c r="C2549" s="1">
        <f>IFERROR(__xludf.DUMMYFUNCTION("""COMPUTED_VALUE"""),80000.0)</f>
        <v>80000</v>
      </c>
      <c r="D2549" s="1">
        <f>IFERROR(__xludf.DUMMYFUNCTION("""COMPUTED_VALUE"""),79100.0)</f>
        <v>79100</v>
      </c>
      <c r="E2549" s="1">
        <f>IFERROR(__xludf.DUMMYFUNCTION("""COMPUTED_VALUE"""),79600.0)</f>
        <v>79600</v>
      </c>
      <c r="F2549" s="1">
        <f>IFERROR(__xludf.DUMMYFUNCTION("""COMPUTED_VALUE"""),1.7494407E7)</f>
        <v>17494407</v>
      </c>
    </row>
    <row r="2550">
      <c r="A2550" s="2">
        <f>IFERROR(__xludf.DUMMYFUNCTION("""COMPUTED_VALUE"""),44336.64583333333)</f>
        <v>44336.64583</v>
      </c>
      <c r="B2550" s="1">
        <f>IFERROR(__xludf.DUMMYFUNCTION("""COMPUTED_VALUE"""),79400.0)</f>
        <v>79400</v>
      </c>
      <c r="C2550" s="1">
        <f>IFERROR(__xludf.DUMMYFUNCTION("""COMPUTED_VALUE"""),79700.0)</f>
        <v>79700</v>
      </c>
      <c r="D2550" s="1">
        <f>IFERROR(__xludf.DUMMYFUNCTION("""COMPUTED_VALUE"""),79100.0)</f>
        <v>79100</v>
      </c>
      <c r="E2550" s="1">
        <f>IFERROR(__xludf.DUMMYFUNCTION("""COMPUTED_VALUE"""),79500.0)</f>
        <v>79500</v>
      </c>
      <c r="F2550" s="1">
        <f>IFERROR(__xludf.DUMMYFUNCTION("""COMPUTED_VALUE"""),1.6541828E7)</f>
        <v>16541828</v>
      </c>
    </row>
    <row r="2551">
      <c r="A2551" s="2">
        <f>IFERROR(__xludf.DUMMYFUNCTION("""COMPUTED_VALUE"""),44337.64583333333)</f>
        <v>44337.64583</v>
      </c>
      <c r="B2551" s="1">
        <f>IFERROR(__xludf.DUMMYFUNCTION("""COMPUTED_VALUE"""),80100.0)</f>
        <v>80100</v>
      </c>
      <c r="C2551" s="1">
        <f>IFERROR(__xludf.DUMMYFUNCTION("""COMPUTED_VALUE"""),81500.0)</f>
        <v>81500</v>
      </c>
      <c r="D2551" s="1">
        <f>IFERROR(__xludf.DUMMYFUNCTION("""COMPUTED_VALUE"""),79800.0)</f>
        <v>79800</v>
      </c>
      <c r="E2551" s="1">
        <f>IFERROR(__xludf.DUMMYFUNCTION("""COMPUTED_VALUE"""),80100.0)</f>
        <v>80100</v>
      </c>
      <c r="F2551" s="1">
        <f>IFERROR(__xludf.DUMMYFUNCTION("""COMPUTED_VALUE"""),2.0961714E7)</f>
        <v>20961714</v>
      </c>
    </row>
    <row r="2552">
      <c r="A2552" s="2">
        <f>IFERROR(__xludf.DUMMYFUNCTION("""COMPUTED_VALUE"""),44340.64583333333)</f>
        <v>44340.64583</v>
      </c>
      <c r="B2552" s="1">
        <f>IFERROR(__xludf.DUMMYFUNCTION("""COMPUTED_VALUE"""),80100.0)</f>
        <v>80100</v>
      </c>
      <c r="C2552" s="1">
        <f>IFERROR(__xludf.DUMMYFUNCTION("""COMPUTED_VALUE"""),80400.0)</f>
        <v>80400</v>
      </c>
      <c r="D2552" s="1">
        <f>IFERROR(__xludf.DUMMYFUNCTION("""COMPUTED_VALUE"""),79500.0)</f>
        <v>79500</v>
      </c>
      <c r="E2552" s="1">
        <f>IFERROR(__xludf.DUMMYFUNCTION("""COMPUTED_VALUE"""),79700.0)</f>
        <v>79700</v>
      </c>
      <c r="F2552" s="1">
        <f>IFERROR(__xludf.DUMMYFUNCTION("""COMPUTED_VALUE"""),1.3398666E7)</f>
        <v>13398666</v>
      </c>
    </row>
    <row r="2553">
      <c r="A2553" s="2">
        <f>IFERROR(__xludf.DUMMYFUNCTION("""COMPUTED_VALUE"""),44341.64583333333)</f>
        <v>44341.64583</v>
      </c>
      <c r="B2553" s="1">
        <f>IFERROR(__xludf.DUMMYFUNCTION("""COMPUTED_VALUE"""),80000.0)</f>
        <v>80000</v>
      </c>
      <c r="C2553" s="1">
        <f>IFERROR(__xludf.DUMMYFUNCTION("""COMPUTED_VALUE"""),80400.0)</f>
        <v>80400</v>
      </c>
      <c r="D2553" s="1">
        <f>IFERROR(__xludf.DUMMYFUNCTION("""COMPUTED_VALUE"""),79800.0)</f>
        <v>79800</v>
      </c>
      <c r="E2553" s="1">
        <f>IFERROR(__xludf.DUMMYFUNCTION("""COMPUTED_VALUE"""),79900.0)</f>
        <v>79900</v>
      </c>
      <c r="F2553" s="1">
        <f>IFERROR(__xludf.DUMMYFUNCTION("""COMPUTED_VALUE"""),1.3628942E7)</f>
        <v>13628942</v>
      </c>
    </row>
    <row r="2554">
      <c r="A2554" s="2">
        <f>IFERROR(__xludf.DUMMYFUNCTION("""COMPUTED_VALUE"""),44342.64583333333)</f>
        <v>44342.64583</v>
      </c>
      <c r="B2554" s="1">
        <f>IFERROR(__xludf.DUMMYFUNCTION("""COMPUTED_VALUE"""),80400.0)</f>
        <v>80400</v>
      </c>
      <c r="C2554" s="1">
        <f>IFERROR(__xludf.DUMMYFUNCTION("""COMPUTED_VALUE"""),80500.0)</f>
        <v>80500</v>
      </c>
      <c r="D2554" s="1">
        <f>IFERROR(__xludf.DUMMYFUNCTION("""COMPUTED_VALUE"""),79700.0)</f>
        <v>79700</v>
      </c>
      <c r="E2554" s="1">
        <f>IFERROR(__xludf.DUMMYFUNCTION("""COMPUTED_VALUE"""),79800.0)</f>
        <v>79800</v>
      </c>
      <c r="F2554" s="1">
        <f>IFERROR(__xludf.DUMMYFUNCTION("""COMPUTED_VALUE"""),1.1984359E7)</f>
        <v>11984359</v>
      </c>
    </row>
    <row r="2555">
      <c r="A2555" s="2">
        <f>IFERROR(__xludf.DUMMYFUNCTION("""COMPUTED_VALUE"""),44343.64583333333)</f>
        <v>44343.64583</v>
      </c>
      <c r="B2555" s="1">
        <f>IFERROR(__xludf.DUMMYFUNCTION("""COMPUTED_VALUE"""),80000.0)</f>
        <v>80000</v>
      </c>
      <c r="C2555" s="1">
        <f>IFERROR(__xludf.DUMMYFUNCTION("""COMPUTED_VALUE"""),80000.0)</f>
        <v>80000</v>
      </c>
      <c r="D2555" s="1">
        <f>IFERROR(__xludf.DUMMYFUNCTION("""COMPUTED_VALUE"""),79100.0)</f>
        <v>79100</v>
      </c>
      <c r="E2555" s="1">
        <f>IFERROR(__xludf.DUMMYFUNCTION("""COMPUTED_VALUE"""),79600.0)</f>
        <v>79600</v>
      </c>
      <c r="F2555" s="1">
        <f>IFERROR(__xludf.DUMMYFUNCTION("""COMPUTED_VALUE"""),2.319851E7)</f>
        <v>23198510</v>
      </c>
    </row>
    <row r="2556">
      <c r="A2556" s="2">
        <f>IFERROR(__xludf.DUMMYFUNCTION("""COMPUTED_VALUE"""),44344.64583333333)</f>
        <v>44344.64583</v>
      </c>
      <c r="B2556" s="1">
        <f>IFERROR(__xludf.DUMMYFUNCTION("""COMPUTED_VALUE"""),79800.0)</f>
        <v>79800</v>
      </c>
      <c r="C2556" s="1">
        <f>IFERROR(__xludf.DUMMYFUNCTION("""COMPUTED_VALUE"""),80400.0)</f>
        <v>80400</v>
      </c>
      <c r="D2556" s="1">
        <f>IFERROR(__xludf.DUMMYFUNCTION("""COMPUTED_VALUE"""),79400.0)</f>
        <v>79400</v>
      </c>
      <c r="E2556" s="1">
        <f>IFERROR(__xludf.DUMMYFUNCTION("""COMPUTED_VALUE"""),80100.0)</f>
        <v>80100</v>
      </c>
      <c r="F2556" s="1">
        <f>IFERROR(__xludf.DUMMYFUNCTION("""COMPUTED_VALUE"""),1.2360199E7)</f>
        <v>12360199</v>
      </c>
    </row>
    <row r="2557">
      <c r="A2557" s="2">
        <f>IFERROR(__xludf.DUMMYFUNCTION("""COMPUTED_VALUE"""),44347.64583333333)</f>
        <v>44347.64583</v>
      </c>
      <c r="B2557" s="1">
        <f>IFERROR(__xludf.DUMMYFUNCTION("""COMPUTED_VALUE"""),80300.0)</f>
        <v>80300</v>
      </c>
      <c r="C2557" s="1">
        <f>IFERROR(__xludf.DUMMYFUNCTION("""COMPUTED_VALUE"""),80600.0)</f>
        <v>80600</v>
      </c>
      <c r="D2557" s="1">
        <f>IFERROR(__xludf.DUMMYFUNCTION("""COMPUTED_VALUE"""),79600.0)</f>
        <v>79600</v>
      </c>
      <c r="E2557" s="1">
        <f>IFERROR(__xludf.DUMMYFUNCTION("""COMPUTED_VALUE"""),80500.0)</f>
        <v>80500</v>
      </c>
      <c r="F2557" s="1">
        <f>IFERROR(__xludf.DUMMYFUNCTION("""COMPUTED_VALUE"""),1.3321324E7)</f>
        <v>13321324</v>
      </c>
    </row>
    <row r="2558">
      <c r="A2558" s="2">
        <f>IFERROR(__xludf.DUMMYFUNCTION("""COMPUTED_VALUE"""),44348.64583333333)</f>
        <v>44348.64583</v>
      </c>
      <c r="B2558" s="1">
        <f>IFERROR(__xludf.DUMMYFUNCTION("""COMPUTED_VALUE"""),80500.0)</f>
        <v>80500</v>
      </c>
      <c r="C2558" s="1">
        <f>IFERROR(__xludf.DUMMYFUNCTION("""COMPUTED_VALUE"""),81300.0)</f>
        <v>81300</v>
      </c>
      <c r="D2558" s="1">
        <f>IFERROR(__xludf.DUMMYFUNCTION("""COMPUTED_VALUE"""),80100.0)</f>
        <v>80100</v>
      </c>
      <c r="E2558" s="1">
        <f>IFERROR(__xludf.DUMMYFUNCTION("""COMPUTED_VALUE"""),80600.0)</f>
        <v>80600</v>
      </c>
      <c r="F2558" s="1">
        <f>IFERROR(__xludf.DUMMYFUNCTION("""COMPUTED_VALUE"""),1.4058401E7)</f>
        <v>14058401</v>
      </c>
    </row>
    <row r="2559">
      <c r="A2559" s="2">
        <f>IFERROR(__xludf.DUMMYFUNCTION("""COMPUTED_VALUE"""),44349.64583333333)</f>
        <v>44349.64583</v>
      </c>
      <c r="B2559" s="1">
        <f>IFERROR(__xludf.DUMMYFUNCTION("""COMPUTED_VALUE"""),80400.0)</f>
        <v>80400</v>
      </c>
      <c r="C2559" s="1">
        <f>IFERROR(__xludf.DUMMYFUNCTION("""COMPUTED_VALUE"""),81400.0)</f>
        <v>81400</v>
      </c>
      <c r="D2559" s="1">
        <f>IFERROR(__xludf.DUMMYFUNCTION("""COMPUTED_VALUE"""),80300.0)</f>
        <v>80300</v>
      </c>
      <c r="E2559" s="1">
        <f>IFERROR(__xludf.DUMMYFUNCTION("""COMPUTED_VALUE"""),80800.0)</f>
        <v>80800</v>
      </c>
      <c r="F2559" s="1">
        <f>IFERROR(__xludf.DUMMYFUNCTION("""COMPUTED_VALUE"""),1.6414644E7)</f>
        <v>16414644</v>
      </c>
    </row>
    <row r="2560">
      <c r="A2560" s="2">
        <f>IFERROR(__xludf.DUMMYFUNCTION("""COMPUTED_VALUE"""),44350.64583333333)</f>
        <v>44350.64583</v>
      </c>
      <c r="B2560" s="1">
        <f>IFERROR(__xludf.DUMMYFUNCTION("""COMPUTED_VALUE"""),81300.0)</f>
        <v>81300</v>
      </c>
      <c r="C2560" s="1">
        <f>IFERROR(__xludf.DUMMYFUNCTION("""COMPUTED_VALUE"""),83000.0)</f>
        <v>83000</v>
      </c>
      <c r="D2560" s="1">
        <f>IFERROR(__xludf.DUMMYFUNCTION("""COMPUTED_VALUE"""),81100.0)</f>
        <v>81100</v>
      </c>
      <c r="E2560" s="1">
        <f>IFERROR(__xludf.DUMMYFUNCTION("""COMPUTED_VALUE"""),82800.0)</f>
        <v>82800</v>
      </c>
      <c r="F2560" s="1">
        <f>IFERROR(__xludf.DUMMYFUNCTION("""COMPUTED_VALUE"""),2.9546007E7)</f>
        <v>29546007</v>
      </c>
    </row>
    <row r="2561">
      <c r="A2561" s="2">
        <f>IFERROR(__xludf.DUMMYFUNCTION("""COMPUTED_VALUE"""),44351.64583333333)</f>
        <v>44351.64583</v>
      </c>
      <c r="B2561" s="1">
        <f>IFERROR(__xludf.DUMMYFUNCTION("""COMPUTED_VALUE"""),82700.0)</f>
        <v>82700</v>
      </c>
      <c r="C2561" s="1">
        <f>IFERROR(__xludf.DUMMYFUNCTION("""COMPUTED_VALUE"""),82700.0)</f>
        <v>82700</v>
      </c>
      <c r="D2561" s="1">
        <f>IFERROR(__xludf.DUMMYFUNCTION("""COMPUTED_VALUE"""),81500.0)</f>
        <v>81500</v>
      </c>
      <c r="E2561" s="1">
        <f>IFERROR(__xludf.DUMMYFUNCTION("""COMPUTED_VALUE"""),82200.0)</f>
        <v>82200</v>
      </c>
      <c r="F2561" s="1">
        <f>IFERROR(__xludf.DUMMYFUNCTION("""COMPUTED_VALUE"""),1.8112259E7)</f>
        <v>18112259</v>
      </c>
    </row>
    <row r="2562">
      <c r="A2562" s="2">
        <f>IFERROR(__xludf.DUMMYFUNCTION("""COMPUTED_VALUE"""),44354.64583333333)</f>
        <v>44354.64583</v>
      </c>
      <c r="B2562" s="1">
        <f>IFERROR(__xludf.DUMMYFUNCTION("""COMPUTED_VALUE"""),82700.0)</f>
        <v>82700</v>
      </c>
      <c r="C2562" s="1">
        <f>IFERROR(__xludf.DUMMYFUNCTION("""COMPUTED_VALUE"""),82800.0)</f>
        <v>82800</v>
      </c>
      <c r="D2562" s="1">
        <f>IFERROR(__xludf.DUMMYFUNCTION("""COMPUTED_VALUE"""),81600.0)</f>
        <v>81600</v>
      </c>
      <c r="E2562" s="1">
        <f>IFERROR(__xludf.DUMMYFUNCTION("""COMPUTED_VALUE"""),81900.0)</f>
        <v>81900</v>
      </c>
      <c r="F2562" s="1">
        <f>IFERROR(__xludf.DUMMYFUNCTION("""COMPUTED_VALUE"""),1.6496197E7)</f>
        <v>16496197</v>
      </c>
    </row>
    <row r="2563">
      <c r="A2563" s="2">
        <f>IFERROR(__xludf.DUMMYFUNCTION("""COMPUTED_VALUE"""),44355.64583333333)</f>
        <v>44355.64583</v>
      </c>
      <c r="B2563" s="1">
        <f>IFERROR(__xludf.DUMMYFUNCTION("""COMPUTED_VALUE"""),82300.0)</f>
        <v>82300</v>
      </c>
      <c r="C2563" s="1">
        <f>IFERROR(__xludf.DUMMYFUNCTION("""COMPUTED_VALUE"""),82600.0)</f>
        <v>82600</v>
      </c>
      <c r="D2563" s="1">
        <f>IFERROR(__xludf.DUMMYFUNCTION("""COMPUTED_VALUE"""),81800.0)</f>
        <v>81800</v>
      </c>
      <c r="E2563" s="1">
        <f>IFERROR(__xludf.DUMMYFUNCTION("""COMPUTED_VALUE"""),81900.0)</f>
        <v>81900</v>
      </c>
      <c r="F2563" s="1">
        <f>IFERROR(__xludf.DUMMYFUNCTION("""COMPUTED_VALUE"""),1.2781226E7)</f>
        <v>12781226</v>
      </c>
    </row>
    <row r="2564">
      <c r="A2564" s="2">
        <f>IFERROR(__xludf.DUMMYFUNCTION("""COMPUTED_VALUE"""),44356.64583333333)</f>
        <v>44356.64583</v>
      </c>
      <c r="B2564" s="1">
        <f>IFERROR(__xludf.DUMMYFUNCTION("""COMPUTED_VALUE"""),81500.0)</f>
        <v>81500</v>
      </c>
      <c r="C2564" s="1">
        <f>IFERROR(__xludf.DUMMYFUNCTION("""COMPUTED_VALUE"""),82000.0)</f>
        <v>82000</v>
      </c>
      <c r="D2564" s="1">
        <f>IFERROR(__xludf.DUMMYFUNCTION("""COMPUTED_VALUE"""),81100.0)</f>
        <v>81100</v>
      </c>
      <c r="E2564" s="1">
        <f>IFERROR(__xludf.DUMMYFUNCTION("""COMPUTED_VALUE"""),81100.0)</f>
        <v>81100</v>
      </c>
      <c r="F2564" s="1">
        <f>IFERROR(__xludf.DUMMYFUNCTION("""COMPUTED_VALUE"""),1.4908823E7)</f>
        <v>14908823</v>
      </c>
    </row>
    <row r="2565">
      <c r="A2565" s="2">
        <f>IFERROR(__xludf.DUMMYFUNCTION("""COMPUTED_VALUE"""),44357.64583333333)</f>
        <v>44357.64583</v>
      </c>
      <c r="B2565" s="1">
        <f>IFERROR(__xludf.DUMMYFUNCTION("""COMPUTED_VALUE"""),81300.0)</f>
        <v>81300</v>
      </c>
      <c r="C2565" s="1">
        <f>IFERROR(__xludf.DUMMYFUNCTION("""COMPUTED_VALUE"""),81400.0)</f>
        <v>81400</v>
      </c>
      <c r="D2565" s="1">
        <f>IFERROR(__xludf.DUMMYFUNCTION("""COMPUTED_VALUE"""),80900.0)</f>
        <v>80900</v>
      </c>
      <c r="E2565" s="1">
        <f>IFERROR(__xludf.DUMMYFUNCTION("""COMPUTED_VALUE"""),81000.0)</f>
        <v>81000</v>
      </c>
      <c r="F2565" s="1">
        <f>IFERROR(__xludf.DUMMYFUNCTION("""COMPUTED_VALUE"""),1.7586995E7)</f>
        <v>17586995</v>
      </c>
    </row>
    <row r="2566">
      <c r="A2566" s="2">
        <f>IFERROR(__xludf.DUMMYFUNCTION("""COMPUTED_VALUE"""),44358.64583333333)</f>
        <v>44358.64583</v>
      </c>
      <c r="B2566" s="1">
        <f>IFERROR(__xludf.DUMMYFUNCTION("""COMPUTED_VALUE"""),81200.0)</f>
        <v>81200</v>
      </c>
      <c r="C2566" s="1">
        <f>IFERROR(__xludf.DUMMYFUNCTION("""COMPUTED_VALUE"""),81700.0)</f>
        <v>81700</v>
      </c>
      <c r="D2566" s="1">
        <f>IFERROR(__xludf.DUMMYFUNCTION("""COMPUTED_VALUE"""),80700.0)</f>
        <v>80700</v>
      </c>
      <c r="E2566" s="1">
        <f>IFERROR(__xludf.DUMMYFUNCTION("""COMPUTED_VALUE"""),81000.0)</f>
        <v>81000</v>
      </c>
      <c r="F2566" s="1">
        <f>IFERROR(__xludf.DUMMYFUNCTION("""COMPUTED_VALUE"""),1.4087962E7)</f>
        <v>14087962</v>
      </c>
    </row>
    <row r="2567">
      <c r="A2567" s="2">
        <f>IFERROR(__xludf.DUMMYFUNCTION("""COMPUTED_VALUE"""),44361.64583333333)</f>
        <v>44361.64583</v>
      </c>
      <c r="B2567" s="1">
        <f>IFERROR(__xludf.DUMMYFUNCTION("""COMPUTED_VALUE"""),80800.0)</f>
        <v>80800</v>
      </c>
      <c r="C2567" s="1">
        <f>IFERROR(__xludf.DUMMYFUNCTION("""COMPUTED_VALUE"""),80900.0)</f>
        <v>80900</v>
      </c>
      <c r="D2567" s="1">
        <f>IFERROR(__xludf.DUMMYFUNCTION("""COMPUTED_VALUE"""),80500.0)</f>
        <v>80500</v>
      </c>
      <c r="E2567" s="1">
        <f>IFERROR(__xludf.DUMMYFUNCTION("""COMPUTED_VALUE"""),80500.0)</f>
        <v>80500</v>
      </c>
      <c r="F2567" s="1">
        <f>IFERROR(__xludf.DUMMYFUNCTION("""COMPUTED_VALUE"""),1.0550078E7)</f>
        <v>10550078</v>
      </c>
    </row>
    <row r="2568">
      <c r="A2568" s="2">
        <f>IFERROR(__xludf.DUMMYFUNCTION("""COMPUTED_VALUE"""),44362.64583333333)</f>
        <v>44362.64583</v>
      </c>
      <c r="B2568" s="1">
        <f>IFERROR(__xludf.DUMMYFUNCTION("""COMPUTED_VALUE"""),80900.0)</f>
        <v>80900</v>
      </c>
      <c r="C2568" s="1">
        <f>IFERROR(__xludf.DUMMYFUNCTION("""COMPUTED_VALUE"""),81200.0)</f>
        <v>81200</v>
      </c>
      <c r="D2568" s="1">
        <f>IFERROR(__xludf.DUMMYFUNCTION("""COMPUTED_VALUE"""),80600.0)</f>
        <v>80600</v>
      </c>
      <c r="E2568" s="1">
        <f>IFERROR(__xludf.DUMMYFUNCTION("""COMPUTED_VALUE"""),80900.0)</f>
        <v>80900</v>
      </c>
      <c r="F2568" s="1">
        <f>IFERROR(__xludf.DUMMYFUNCTION("""COMPUTED_VALUE"""),1.0075685E7)</f>
        <v>10075685</v>
      </c>
    </row>
    <row r="2569">
      <c r="A2569" s="2">
        <f>IFERROR(__xludf.DUMMYFUNCTION("""COMPUTED_VALUE"""),44363.64583333333)</f>
        <v>44363.64583</v>
      </c>
      <c r="B2569" s="1">
        <f>IFERROR(__xludf.DUMMYFUNCTION("""COMPUTED_VALUE"""),81500.0)</f>
        <v>81500</v>
      </c>
      <c r="C2569" s="1">
        <f>IFERROR(__xludf.DUMMYFUNCTION("""COMPUTED_VALUE"""),81900.0)</f>
        <v>81900</v>
      </c>
      <c r="D2569" s="1">
        <f>IFERROR(__xludf.DUMMYFUNCTION("""COMPUTED_VALUE"""),81100.0)</f>
        <v>81100</v>
      </c>
      <c r="E2569" s="1">
        <f>IFERROR(__xludf.DUMMYFUNCTION("""COMPUTED_VALUE"""),81800.0)</f>
        <v>81800</v>
      </c>
      <c r="F2569" s="1">
        <f>IFERROR(__xludf.DUMMYFUNCTION("""COMPUTED_VALUE"""),1.4999855E7)</f>
        <v>14999855</v>
      </c>
    </row>
    <row r="2570">
      <c r="A2570" s="2">
        <f>IFERROR(__xludf.DUMMYFUNCTION("""COMPUTED_VALUE"""),44364.64583333333)</f>
        <v>44364.64583</v>
      </c>
      <c r="B2570" s="1">
        <f>IFERROR(__xludf.DUMMYFUNCTION("""COMPUTED_VALUE"""),81100.0)</f>
        <v>81100</v>
      </c>
      <c r="C2570" s="1">
        <f>IFERROR(__xludf.DUMMYFUNCTION("""COMPUTED_VALUE"""),81300.0)</f>
        <v>81300</v>
      </c>
      <c r="D2570" s="1">
        <f>IFERROR(__xludf.DUMMYFUNCTION("""COMPUTED_VALUE"""),80700.0)</f>
        <v>80700</v>
      </c>
      <c r="E2570" s="1">
        <f>IFERROR(__xludf.DUMMYFUNCTION("""COMPUTED_VALUE"""),80900.0)</f>
        <v>80900</v>
      </c>
      <c r="F2570" s="1">
        <f>IFERROR(__xludf.DUMMYFUNCTION("""COMPUTED_VALUE"""),1.4007385E7)</f>
        <v>14007385</v>
      </c>
    </row>
    <row r="2571">
      <c r="A2571" s="2">
        <f>IFERROR(__xludf.DUMMYFUNCTION("""COMPUTED_VALUE"""),44365.64583333333)</f>
        <v>44365.64583</v>
      </c>
      <c r="B2571" s="1">
        <f>IFERROR(__xludf.DUMMYFUNCTION("""COMPUTED_VALUE"""),81100.0)</f>
        <v>81100</v>
      </c>
      <c r="C2571" s="1">
        <f>IFERROR(__xludf.DUMMYFUNCTION("""COMPUTED_VALUE"""),81100.0)</f>
        <v>81100</v>
      </c>
      <c r="D2571" s="1">
        <f>IFERROR(__xludf.DUMMYFUNCTION("""COMPUTED_VALUE"""),80500.0)</f>
        <v>80500</v>
      </c>
      <c r="E2571" s="1">
        <f>IFERROR(__xludf.DUMMYFUNCTION("""COMPUTED_VALUE"""),80500.0)</f>
        <v>80500</v>
      </c>
      <c r="F2571" s="1">
        <f>IFERROR(__xludf.DUMMYFUNCTION("""COMPUTED_VALUE"""),1.4916721E7)</f>
        <v>14916721</v>
      </c>
    </row>
    <row r="2572">
      <c r="A2572" s="2">
        <f>IFERROR(__xludf.DUMMYFUNCTION("""COMPUTED_VALUE"""),44368.64583333333)</f>
        <v>44368.64583</v>
      </c>
      <c r="B2572" s="1">
        <f>IFERROR(__xludf.DUMMYFUNCTION("""COMPUTED_VALUE"""),79700.0)</f>
        <v>79700</v>
      </c>
      <c r="C2572" s="1">
        <f>IFERROR(__xludf.DUMMYFUNCTION("""COMPUTED_VALUE"""),80000.0)</f>
        <v>80000</v>
      </c>
      <c r="D2572" s="1">
        <f>IFERROR(__xludf.DUMMYFUNCTION("""COMPUTED_VALUE"""),79600.0)</f>
        <v>79600</v>
      </c>
      <c r="E2572" s="1">
        <f>IFERROR(__xludf.DUMMYFUNCTION("""COMPUTED_VALUE"""),79900.0)</f>
        <v>79900</v>
      </c>
      <c r="F2572" s="1">
        <f>IFERROR(__xludf.DUMMYFUNCTION("""COMPUTED_VALUE"""),1.606334E7)</f>
        <v>16063340</v>
      </c>
    </row>
    <row r="2573">
      <c r="A2573" s="2">
        <f>IFERROR(__xludf.DUMMYFUNCTION("""COMPUTED_VALUE"""),44369.64583333333)</f>
        <v>44369.64583</v>
      </c>
      <c r="B2573" s="1">
        <f>IFERROR(__xludf.DUMMYFUNCTION("""COMPUTED_VALUE"""),80200.0)</f>
        <v>80200</v>
      </c>
      <c r="C2573" s="1">
        <f>IFERROR(__xludf.DUMMYFUNCTION("""COMPUTED_VALUE"""),80300.0)</f>
        <v>80300</v>
      </c>
      <c r="D2573" s="1">
        <f>IFERROR(__xludf.DUMMYFUNCTION("""COMPUTED_VALUE"""),79900.0)</f>
        <v>79900</v>
      </c>
      <c r="E2573" s="1">
        <f>IFERROR(__xludf.DUMMYFUNCTION("""COMPUTED_VALUE"""),80000.0)</f>
        <v>80000</v>
      </c>
      <c r="F2573" s="1">
        <f>IFERROR(__xludf.DUMMYFUNCTION("""COMPUTED_VALUE"""),1.1773365E7)</f>
        <v>11773365</v>
      </c>
    </row>
    <row r="2574">
      <c r="A2574" s="2">
        <f>IFERROR(__xludf.DUMMYFUNCTION("""COMPUTED_VALUE"""),44370.64583333333)</f>
        <v>44370.64583</v>
      </c>
      <c r="B2574" s="1">
        <f>IFERROR(__xludf.DUMMYFUNCTION("""COMPUTED_VALUE"""),80500.0)</f>
        <v>80500</v>
      </c>
      <c r="C2574" s="1">
        <f>IFERROR(__xludf.DUMMYFUNCTION("""COMPUTED_VALUE"""),80600.0)</f>
        <v>80600</v>
      </c>
      <c r="D2574" s="1">
        <f>IFERROR(__xludf.DUMMYFUNCTION("""COMPUTED_VALUE"""),79900.0)</f>
        <v>79900</v>
      </c>
      <c r="E2574" s="1">
        <f>IFERROR(__xludf.DUMMYFUNCTION("""COMPUTED_VALUE"""),80100.0)</f>
        <v>80100</v>
      </c>
      <c r="F2574" s="1">
        <f>IFERROR(__xludf.DUMMYFUNCTION("""COMPUTED_VALUE"""),1.3856548E7)</f>
        <v>13856548</v>
      </c>
    </row>
    <row r="2575">
      <c r="A2575" s="2">
        <f>IFERROR(__xludf.DUMMYFUNCTION("""COMPUTED_VALUE"""),44371.64583333333)</f>
        <v>44371.64583</v>
      </c>
      <c r="B2575" s="1">
        <f>IFERROR(__xludf.DUMMYFUNCTION("""COMPUTED_VALUE"""),80400.0)</f>
        <v>80400</v>
      </c>
      <c r="C2575" s="1">
        <f>IFERROR(__xludf.DUMMYFUNCTION("""COMPUTED_VALUE"""),81400.0)</f>
        <v>81400</v>
      </c>
      <c r="D2575" s="1">
        <f>IFERROR(__xludf.DUMMYFUNCTION("""COMPUTED_VALUE"""),80100.0)</f>
        <v>80100</v>
      </c>
      <c r="E2575" s="1">
        <f>IFERROR(__xludf.DUMMYFUNCTION("""COMPUTED_VALUE"""),81200.0)</f>
        <v>81200</v>
      </c>
      <c r="F2575" s="1">
        <f>IFERROR(__xludf.DUMMYFUNCTION("""COMPUTED_VALUE"""),1.877108E7)</f>
        <v>18771080</v>
      </c>
    </row>
    <row r="2576">
      <c r="A2576" s="2">
        <f>IFERROR(__xludf.DUMMYFUNCTION("""COMPUTED_VALUE"""),44372.64583333333)</f>
        <v>44372.64583</v>
      </c>
      <c r="B2576" s="1">
        <f>IFERROR(__xludf.DUMMYFUNCTION("""COMPUTED_VALUE"""),81500.0)</f>
        <v>81500</v>
      </c>
      <c r="C2576" s="1">
        <f>IFERROR(__xludf.DUMMYFUNCTION("""COMPUTED_VALUE"""),81900.0)</f>
        <v>81900</v>
      </c>
      <c r="D2576" s="1">
        <f>IFERROR(__xludf.DUMMYFUNCTION("""COMPUTED_VALUE"""),81200.0)</f>
        <v>81200</v>
      </c>
      <c r="E2576" s="1">
        <f>IFERROR(__xludf.DUMMYFUNCTION("""COMPUTED_VALUE"""),81600.0)</f>
        <v>81600</v>
      </c>
      <c r="F2576" s="1">
        <f>IFERROR(__xludf.DUMMYFUNCTION("""COMPUTED_VALUE"""),1.3481405E7)</f>
        <v>13481405</v>
      </c>
    </row>
    <row r="2577">
      <c r="A2577" s="2">
        <f>IFERROR(__xludf.DUMMYFUNCTION("""COMPUTED_VALUE"""),44375.64583333333)</f>
        <v>44375.64583</v>
      </c>
      <c r="B2577" s="1">
        <f>IFERROR(__xludf.DUMMYFUNCTION("""COMPUTED_VALUE"""),81700.0)</f>
        <v>81700</v>
      </c>
      <c r="C2577" s="1">
        <f>IFERROR(__xludf.DUMMYFUNCTION("""COMPUTED_VALUE"""),82000.0)</f>
        <v>82000</v>
      </c>
      <c r="D2577" s="1">
        <f>IFERROR(__xludf.DUMMYFUNCTION("""COMPUTED_VALUE"""),81600.0)</f>
        <v>81600</v>
      </c>
      <c r="E2577" s="1">
        <f>IFERROR(__xludf.DUMMYFUNCTION("""COMPUTED_VALUE"""),81900.0)</f>
        <v>81900</v>
      </c>
      <c r="F2577" s="1">
        <f>IFERROR(__xludf.DUMMYFUNCTION("""COMPUTED_VALUE"""),1.1578529E7)</f>
        <v>11578529</v>
      </c>
    </row>
    <row r="2578">
      <c r="A2578" s="2">
        <f>IFERROR(__xludf.DUMMYFUNCTION("""COMPUTED_VALUE"""),44376.64583333333)</f>
        <v>44376.64583</v>
      </c>
      <c r="B2578" s="1">
        <f>IFERROR(__xludf.DUMMYFUNCTION("""COMPUTED_VALUE"""),81900.0)</f>
        <v>81900</v>
      </c>
      <c r="C2578" s="1">
        <f>IFERROR(__xludf.DUMMYFUNCTION("""COMPUTED_VALUE"""),82100.0)</f>
        <v>82100</v>
      </c>
      <c r="D2578" s="1">
        <f>IFERROR(__xludf.DUMMYFUNCTION("""COMPUTED_VALUE"""),80800.0)</f>
        <v>80800</v>
      </c>
      <c r="E2578" s="1">
        <f>IFERROR(__xludf.DUMMYFUNCTION("""COMPUTED_VALUE"""),81000.0)</f>
        <v>81000</v>
      </c>
      <c r="F2578" s="1">
        <f>IFERROR(__xludf.DUMMYFUNCTION("""COMPUTED_VALUE"""),1.5744317E7)</f>
        <v>15744317</v>
      </c>
    </row>
    <row r="2579">
      <c r="A2579" s="2">
        <f>IFERROR(__xludf.DUMMYFUNCTION("""COMPUTED_VALUE"""),44377.64583333333)</f>
        <v>44377.64583</v>
      </c>
      <c r="B2579" s="1">
        <f>IFERROR(__xludf.DUMMYFUNCTION("""COMPUTED_VALUE"""),81100.0)</f>
        <v>81100</v>
      </c>
      <c r="C2579" s="1">
        <f>IFERROR(__xludf.DUMMYFUNCTION("""COMPUTED_VALUE"""),81400.0)</f>
        <v>81400</v>
      </c>
      <c r="D2579" s="1">
        <f>IFERROR(__xludf.DUMMYFUNCTION("""COMPUTED_VALUE"""),80700.0)</f>
        <v>80700</v>
      </c>
      <c r="E2579" s="1">
        <f>IFERROR(__xludf.DUMMYFUNCTION("""COMPUTED_VALUE"""),80700.0)</f>
        <v>80700</v>
      </c>
      <c r="F2579" s="1">
        <f>IFERROR(__xludf.DUMMYFUNCTION("""COMPUTED_VALUE"""),1.3288643E7)</f>
        <v>13288643</v>
      </c>
    </row>
    <row r="2580">
      <c r="A2580" s="2">
        <f>IFERROR(__xludf.DUMMYFUNCTION("""COMPUTED_VALUE"""),44378.64583333333)</f>
        <v>44378.64583</v>
      </c>
      <c r="B2580" s="1">
        <f>IFERROR(__xludf.DUMMYFUNCTION("""COMPUTED_VALUE"""),80500.0)</f>
        <v>80500</v>
      </c>
      <c r="C2580" s="1">
        <f>IFERROR(__xludf.DUMMYFUNCTION("""COMPUTED_VALUE"""),80600.0)</f>
        <v>80600</v>
      </c>
      <c r="D2580" s="1">
        <f>IFERROR(__xludf.DUMMYFUNCTION("""COMPUTED_VALUE"""),80000.0)</f>
        <v>80000</v>
      </c>
      <c r="E2580" s="1">
        <f>IFERROR(__xludf.DUMMYFUNCTION("""COMPUTED_VALUE"""),80100.0)</f>
        <v>80100</v>
      </c>
      <c r="F2580" s="1">
        <f>IFERROR(__xludf.DUMMYFUNCTION("""COMPUTED_VALUE"""),1.3382882E7)</f>
        <v>13382882</v>
      </c>
    </row>
    <row r="2581">
      <c r="A2581" s="2">
        <f>IFERROR(__xludf.DUMMYFUNCTION("""COMPUTED_VALUE"""),44379.64583333333)</f>
        <v>44379.64583</v>
      </c>
      <c r="B2581" s="1">
        <f>IFERROR(__xludf.DUMMYFUNCTION("""COMPUTED_VALUE"""),80000.0)</f>
        <v>80000</v>
      </c>
      <c r="C2581" s="1">
        <f>IFERROR(__xludf.DUMMYFUNCTION("""COMPUTED_VALUE"""),80400.0)</f>
        <v>80400</v>
      </c>
      <c r="D2581" s="1">
        <f>IFERROR(__xludf.DUMMYFUNCTION("""COMPUTED_VALUE"""),79900.0)</f>
        <v>79900</v>
      </c>
      <c r="E2581" s="1">
        <f>IFERROR(__xludf.DUMMYFUNCTION("""COMPUTED_VALUE"""),80000.0)</f>
        <v>80000</v>
      </c>
      <c r="F2581" s="1">
        <f>IFERROR(__xludf.DUMMYFUNCTION("""COMPUTED_VALUE"""),8753097.0)</f>
        <v>8753097</v>
      </c>
    </row>
    <row r="2582">
      <c r="A2582" s="2">
        <f>IFERROR(__xludf.DUMMYFUNCTION("""COMPUTED_VALUE"""),44382.64583333333)</f>
        <v>44382.64583</v>
      </c>
      <c r="B2582" s="1">
        <f>IFERROR(__xludf.DUMMYFUNCTION("""COMPUTED_VALUE"""),80100.0)</f>
        <v>80100</v>
      </c>
      <c r="C2582" s="1">
        <f>IFERROR(__xludf.DUMMYFUNCTION("""COMPUTED_VALUE"""),80800.0)</f>
        <v>80800</v>
      </c>
      <c r="D2582" s="1">
        <f>IFERROR(__xludf.DUMMYFUNCTION("""COMPUTED_VALUE"""),80000.0)</f>
        <v>80000</v>
      </c>
      <c r="E2582" s="1">
        <f>IFERROR(__xludf.DUMMYFUNCTION("""COMPUTED_VALUE"""),80400.0)</f>
        <v>80400</v>
      </c>
      <c r="F2582" s="1">
        <f>IFERROR(__xludf.DUMMYFUNCTION("""COMPUTED_VALUE"""),8330969.0)</f>
        <v>8330969</v>
      </c>
    </row>
    <row r="2583">
      <c r="A2583" s="2">
        <f>IFERROR(__xludf.DUMMYFUNCTION("""COMPUTED_VALUE"""),44383.64583333333)</f>
        <v>44383.64583</v>
      </c>
      <c r="B2583" s="1">
        <f>IFERROR(__xludf.DUMMYFUNCTION("""COMPUTED_VALUE"""),80600.0)</f>
        <v>80600</v>
      </c>
      <c r="C2583" s="1">
        <f>IFERROR(__xludf.DUMMYFUNCTION("""COMPUTED_VALUE"""),81200.0)</f>
        <v>81200</v>
      </c>
      <c r="D2583" s="1">
        <f>IFERROR(__xludf.DUMMYFUNCTION("""COMPUTED_VALUE"""),80500.0)</f>
        <v>80500</v>
      </c>
      <c r="E2583" s="1">
        <f>IFERROR(__xludf.DUMMYFUNCTION("""COMPUTED_VALUE"""),81200.0)</f>
        <v>81200</v>
      </c>
      <c r="F2583" s="1">
        <f>IFERROR(__xludf.DUMMYFUNCTION("""COMPUTED_VALUE"""),1.2131651E7)</f>
        <v>12131651</v>
      </c>
    </row>
    <row r="2584">
      <c r="A2584" s="2">
        <f>IFERROR(__xludf.DUMMYFUNCTION("""COMPUTED_VALUE"""),44384.64583333333)</f>
        <v>44384.64583</v>
      </c>
      <c r="B2584" s="1">
        <f>IFERROR(__xludf.DUMMYFUNCTION("""COMPUTED_VALUE"""),81200.0)</f>
        <v>81200</v>
      </c>
      <c r="C2584" s="1">
        <f>IFERROR(__xludf.DUMMYFUNCTION("""COMPUTED_VALUE"""),81300.0)</f>
        <v>81300</v>
      </c>
      <c r="D2584" s="1">
        <f>IFERROR(__xludf.DUMMYFUNCTION("""COMPUTED_VALUE"""),80300.0)</f>
        <v>80300</v>
      </c>
      <c r="E2584" s="1">
        <f>IFERROR(__xludf.DUMMYFUNCTION("""COMPUTED_VALUE"""),80800.0)</f>
        <v>80800</v>
      </c>
      <c r="F2584" s="1">
        <f>IFERROR(__xludf.DUMMYFUNCTION("""COMPUTED_VALUE"""),1.5992202E7)</f>
        <v>15992202</v>
      </c>
    </row>
    <row r="2585">
      <c r="A2585" s="2">
        <f>IFERROR(__xludf.DUMMYFUNCTION("""COMPUTED_VALUE"""),44385.64583333333)</f>
        <v>44385.64583</v>
      </c>
      <c r="B2585" s="1">
        <f>IFERROR(__xludf.DUMMYFUNCTION("""COMPUTED_VALUE"""),81100.0)</f>
        <v>81100</v>
      </c>
      <c r="C2585" s="1">
        <f>IFERROR(__xludf.DUMMYFUNCTION("""COMPUTED_VALUE"""),81200.0)</f>
        <v>81200</v>
      </c>
      <c r="D2585" s="1">
        <f>IFERROR(__xludf.DUMMYFUNCTION("""COMPUTED_VALUE"""),79900.0)</f>
        <v>79900</v>
      </c>
      <c r="E2585" s="1">
        <f>IFERROR(__xludf.DUMMYFUNCTION("""COMPUTED_VALUE"""),79900.0)</f>
        <v>79900</v>
      </c>
      <c r="F2585" s="1">
        <f>IFERROR(__xludf.DUMMYFUNCTION("""COMPUTED_VALUE"""),1.6660998E7)</f>
        <v>16660998</v>
      </c>
    </row>
    <row r="2586">
      <c r="A2586" s="2">
        <f>IFERROR(__xludf.DUMMYFUNCTION("""COMPUTED_VALUE"""),44386.64583333333)</f>
        <v>44386.64583</v>
      </c>
      <c r="B2586" s="1">
        <f>IFERROR(__xludf.DUMMYFUNCTION("""COMPUTED_VALUE"""),79600.0)</f>
        <v>79600</v>
      </c>
      <c r="C2586" s="1">
        <f>IFERROR(__xludf.DUMMYFUNCTION("""COMPUTED_VALUE"""),79800.0)</f>
        <v>79800</v>
      </c>
      <c r="D2586" s="1">
        <f>IFERROR(__xludf.DUMMYFUNCTION("""COMPUTED_VALUE"""),79000.0)</f>
        <v>79000</v>
      </c>
      <c r="E2586" s="1">
        <f>IFERROR(__xludf.DUMMYFUNCTION("""COMPUTED_VALUE"""),79400.0)</f>
        <v>79400</v>
      </c>
      <c r="F2586" s="1">
        <f>IFERROR(__xludf.DUMMYFUNCTION("""COMPUTED_VALUE"""),2.2720577E7)</f>
        <v>22720577</v>
      </c>
    </row>
    <row r="2587">
      <c r="A2587" s="2">
        <f>IFERROR(__xludf.DUMMYFUNCTION("""COMPUTED_VALUE"""),44389.64583333333)</f>
        <v>44389.64583</v>
      </c>
      <c r="B2587" s="1">
        <f>IFERROR(__xludf.DUMMYFUNCTION("""COMPUTED_VALUE"""),79900.0)</f>
        <v>79900</v>
      </c>
      <c r="C2587" s="1">
        <f>IFERROR(__xludf.DUMMYFUNCTION("""COMPUTED_VALUE"""),80000.0)</f>
        <v>80000</v>
      </c>
      <c r="D2587" s="1">
        <f>IFERROR(__xludf.DUMMYFUNCTION("""COMPUTED_VALUE"""),79500.0)</f>
        <v>79500</v>
      </c>
      <c r="E2587" s="1">
        <f>IFERROR(__xludf.DUMMYFUNCTION("""COMPUTED_VALUE"""),79700.0)</f>
        <v>79700</v>
      </c>
      <c r="F2587" s="1">
        <f>IFERROR(__xludf.DUMMYFUNCTION("""COMPUTED_VALUE"""),9768108.0)</f>
        <v>9768108</v>
      </c>
    </row>
    <row r="2588">
      <c r="A2588" s="2">
        <f>IFERROR(__xludf.DUMMYFUNCTION("""COMPUTED_VALUE"""),44390.64583333333)</f>
        <v>44390.64583</v>
      </c>
      <c r="B2588" s="1">
        <f>IFERROR(__xludf.DUMMYFUNCTION("""COMPUTED_VALUE"""),80000.0)</f>
        <v>80000</v>
      </c>
      <c r="C2588" s="1">
        <f>IFERROR(__xludf.DUMMYFUNCTION("""COMPUTED_VALUE"""),80200.0)</f>
        <v>80200</v>
      </c>
      <c r="D2588" s="1">
        <f>IFERROR(__xludf.DUMMYFUNCTION("""COMPUTED_VALUE"""),79800.0)</f>
        <v>79800</v>
      </c>
      <c r="E2588" s="1">
        <f>IFERROR(__xludf.DUMMYFUNCTION("""COMPUTED_VALUE"""),79800.0)</f>
        <v>79800</v>
      </c>
      <c r="F2588" s="1">
        <f>IFERROR(__xludf.DUMMYFUNCTION("""COMPUTED_VALUE"""),9863450.0)</f>
        <v>9863450</v>
      </c>
    </row>
    <row r="2589">
      <c r="A2589" s="2">
        <f>IFERROR(__xludf.DUMMYFUNCTION("""COMPUTED_VALUE"""),44391.64583333333)</f>
        <v>44391.64583</v>
      </c>
      <c r="B2589" s="1">
        <f>IFERROR(__xludf.DUMMYFUNCTION("""COMPUTED_VALUE"""),79400.0)</f>
        <v>79400</v>
      </c>
      <c r="C2589" s="1">
        <f>IFERROR(__xludf.DUMMYFUNCTION("""COMPUTED_VALUE"""),79600.0)</f>
        <v>79600</v>
      </c>
      <c r="D2589" s="1">
        <f>IFERROR(__xludf.DUMMYFUNCTION("""COMPUTED_VALUE"""),79100.0)</f>
        <v>79100</v>
      </c>
      <c r="E2589" s="1">
        <f>IFERROR(__xludf.DUMMYFUNCTION("""COMPUTED_VALUE"""),79500.0)</f>
        <v>79500</v>
      </c>
      <c r="F2589" s="1">
        <f>IFERROR(__xludf.DUMMYFUNCTION("""COMPUTED_VALUE"""),1.1575636E7)</f>
        <v>11575636</v>
      </c>
    </row>
    <row r="2590">
      <c r="A2590" s="2">
        <f>IFERROR(__xludf.DUMMYFUNCTION("""COMPUTED_VALUE"""),44392.64583333333)</f>
        <v>44392.64583</v>
      </c>
      <c r="B2590" s="1">
        <f>IFERROR(__xludf.DUMMYFUNCTION("""COMPUTED_VALUE"""),79800.0)</f>
        <v>79800</v>
      </c>
      <c r="C2590" s="1">
        <f>IFERROR(__xludf.DUMMYFUNCTION("""COMPUTED_VALUE"""),80600.0)</f>
        <v>80600</v>
      </c>
      <c r="D2590" s="1">
        <f>IFERROR(__xludf.DUMMYFUNCTION("""COMPUTED_VALUE"""),79500.0)</f>
        <v>79500</v>
      </c>
      <c r="E2590" s="1">
        <f>IFERROR(__xludf.DUMMYFUNCTION("""COMPUTED_VALUE"""),80600.0)</f>
        <v>80600</v>
      </c>
      <c r="F2590" s="1">
        <f>IFERROR(__xludf.DUMMYFUNCTION("""COMPUTED_VALUE"""),1.3766279E7)</f>
        <v>13766279</v>
      </c>
    </row>
    <row r="2591">
      <c r="A2591" s="2">
        <f>IFERROR(__xludf.DUMMYFUNCTION("""COMPUTED_VALUE"""),44393.64583333333)</f>
        <v>44393.64583</v>
      </c>
      <c r="B2591" s="1">
        <f>IFERROR(__xludf.DUMMYFUNCTION("""COMPUTED_VALUE"""),80100.0)</f>
        <v>80100</v>
      </c>
      <c r="C2591" s="1">
        <f>IFERROR(__xludf.DUMMYFUNCTION("""COMPUTED_VALUE"""),80100.0)</f>
        <v>80100</v>
      </c>
      <c r="D2591" s="1">
        <f>IFERROR(__xludf.DUMMYFUNCTION("""COMPUTED_VALUE"""),79500.0)</f>
        <v>79500</v>
      </c>
      <c r="E2591" s="1">
        <f>IFERROR(__xludf.DUMMYFUNCTION("""COMPUTED_VALUE"""),79800.0)</f>
        <v>79800</v>
      </c>
      <c r="F2591" s="1">
        <f>IFERROR(__xludf.DUMMYFUNCTION("""COMPUTED_VALUE"""),1.0859399E7)</f>
        <v>10859399</v>
      </c>
    </row>
    <row r="2592">
      <c r="A2592" s="2">
        <f>IFERROR(__xludf.DUMMYFUNCTION("""COMPUTED_VALUE"""),44396.64583333333)</f>
        <v>44396.64583</v>
      </c>
      <c r="B2592" s="1">
        <f>IFERROR(__xludf.DUMMYFUNCTION("""COMPUTED_VALUE"""),79100.0)</f>
        <v>79100</v>
      </c>
      <c r="C2592" s="1">
        <f>IFERROR(__xludf.DUMMYFUNCTION("""COMPUTED_VALUE"""),79200.0)</f>
        <v>79200</v>
      </c>
      <c r="D2592" s="1">
        <f>IFERROR(__xludf.DUMMYFUNCTION("""COMPUTED_VALUE"""),78800.0)</f>
        <v>78800</v>
      </c>
      <c r="E2592" s="1">
        <f>IFERROR(__xludf.DUMMYFUNCTION("""COMPUTED_VALUE"""),79000.0)</f>
        <v>79000</v>
      </c>
      <c r="F2592" s="1">
        <f>IFERROR(__xludf.DUMMYFUNCTION("""COMPUTED_VALUE"""),1.3155414E7)</f>
        <v>13155414</v>
      </c>
    </row>
    <row r="2593">
      <c r="A2593" s="2">
        <f>IFERROR(__xludf.DUMMYFUNCTION("""COMPUTED_VALUE"""),44397.64583333333)</f>
        <v>44397.64583</v>
      </c>
      <c r="B2593" s="1">
        <f>IFERROR(__xludf.DUMMYFUNCTION("""COMPUTED_VALUE"""),78500.0)</f>
        <v>78500</v>
      </c>
      <c r="C2593" s="1">
        <f>IFERROR(__xludf.DUMMYFUNCTION("""COMPUTED_VALUE"""),79000.0)</f>
        <v>79000</v>
      </c>
      <c r="D2593" s="1">
        <f>IFERROR(__xludf.DUMMYFUNCTION("""COMPUTED_VALUE"""),78400.0)</f>
        <v>78400</v>
      </c>
      <c r="E2593" s="1">
        <f>IFERROR(__xludf.DUMMYFUNCTION("""COMPUTED_VALUE"""),79000.0)</f>
        <v>79000</v>
      </c>
      <c r="F2593" s="1">
        <f>IFERROR(__xludf.DUMMYFUNCTION("""COMPUTED_VALUE"""),1.2456646E7)</f>
        <v>12456646</v>
      </c>
    </row>
    <row r="2594">
      <c r="A2594" s="2">
        <f>IFERROR(__xludf.DUMMYFUNCTION("""COMPUTED_VALUE"""),44398.64583333333)</f>
        <v>44398.64583</v>
      </c>
      <c r="B2594" s="1">
        <f>IFERROR(__xludf.DUMMYFUNCTION("""COMPUTED_VALUE"""),79000.0)</f>
        <v>79000</v>
      </c>
      <c r="C2594" s="1">
        <f>IFERROR(__xludf.DUMMYFUNCTION("""COMPUTED_VALUE"""),79100.0)</f>
        <v>79100</v>
      </c>
      <c r="D2594" s="1">
        <f>IFERROR(__xludf.DUMMYFUNCTION("""COMPUTED_VALUE"""),78500.0)</f>
        <v>78500</v>
      </c>
      <c r="E2594" s="1">
        <f>IFERROR(__xludf.DUMMYFUNCTION("""COMPUTED_VALUE"""),78500.0)</f>
        <v>78500</v>
      </c>
      <c r="F2594" s="1">
        <f>IFERROR(__xludf.DUMMYFUNCTION("""COMPUTED_VALUE"""),1.2355296E7)</f>
        <v>12355296</v>
      </c>
    </row>
    <row r="2595">
      <c r="A2595" s="2">
        <f>IFERROR(__xludf.DUMMYFUNCTION("""COMPUTED_VALUE"""),44399.64583333333)</f>
        <v>44399.64583</v>
      </c>
      <c r="B2595" s="1">
        <f>IFERROR(__xludf.DUMMYFUNCTION("""COMPUTED_VALUE"""),79000.0)</f>
        <v>79000</v>
      </c>
      <c r="C2595" s="1">
        <f>IFERROR(__xludf.DUMMYFUNCTION("""COMPUTED_VALUE"""),79800.0)</f>
        <v>79800</v>
      </c>
      <c r="D2595" s="1">
        <f>IFERROR(__xludf.DUMMYFUNCTION("""COMPUTED_VALUE"""),78900.0)</f>
        <v>78900</v>
      </c>
      <c r="E2595" s="1">
        <f>IFERROR(__xludf.DUMMYFUNCTION("""COMPUTED_VALUE"""),79700.0)</f>
        <v>79700</v>
      </c>
      <c r="F2595" s="1">
        <f>IFERROR(__xludf.DUMMYFUNCTION("""COMPUTED_VALUE"""),1.261879E7)</f>
        <v>12618790</v>
      </c>
    </row>
    <row r="2596">
      <c r="A2596" s="2">
        <f>IFERROR(__xludf.DUMMYFUNCTION("""COMPUTED_VALUE"""),44400.64583333333)</f>
        <v>44400.64583</v>
      </c>
      <c r="B2596" s="1">
        <f>IFERROR(__xludf.DUMMYFUNCTION("""COMPUTED_VALUE"""),79700.0)</f>
        <v>79700</v>
      </c>
      <c r="C2596" s="1">
        <f>IFERROR(__xludf.DUMMYFUNCTION("""COMPUTED_VALUE"""),79900.0)</f>
        <v>79900</v>
      </c>
      <c r="D2596" s="1">
        <f>IFERROR(__xludf.DUMMYFUNCTION("""COMPUTED_VALUE"""),79200.0)</f>
        <v>79200</v>
      </c>
      <c r="E2596" s="1">
        <f>IFERROR(__xludf.DUMMYFUNCTION("""COMPUTED_VALUE"""),79300.0)</f>
        <v>79300</v>
      </c>
      <c r="F2596" s="1">
        <f>IFERROR(__xludf.DUMMYFUNCTION("""COMPUTED_VALUE"""),9098910.0)</f>
        <v>9098910</v>
      </c>
    </row>
    <row r="2597">
      <c r="A2597" s="2">
        <f>IFERROR(__xludf.DUMMYFUNCTION("""COMPUTED_VALUE"""),44403.64583333333)</f>
        <v>44403.64583</v>
      </c>
      <c r="B2597" s="1">
        <f>IFERROR(__xludf.DUMMYFUNCTION("""COMPUTED_VALUE"""),79400.0)</f>
        <v>79400</v>
      </c>
      <c r="C2597" s="1">
        <f>IFERROR(__xludf.DUMMYFUNCTION("""COMPUTED_VALUE"""),79500.0)</f>
        <v>79500</v>
      </c>
      <c r="D2597" s="1">
        <f>IFERROR(__xludf.DUMMYFUNCTION("""COMPUTED_VALUE"""),78800.0)</f>
        <v>78800</v>
      </c>
      <c r="E2597" s="1">
        <f>IFERROR(__xludf.DUMMYFUNCTION("""COMPUTED_VALUE"""),78800.0)</f>
        <v>78800</v>
      </c>
      <c r="F2597" s="1">
        <f>IFERROR(__xludf.DUMMYFUNCTION("""COMPUTED_VALUE"""),1.0040975E7)</f>
        <v>10040975</v>
      </c>
    </row>
    <row r="2598">
      <c r="A2598" s="2">
        <f>IFERROR(__xludf.DUMMYFUNCTION("""COMPUTED_VALUE"""),44404.64583333333)</f>
        <v>44404.64583</v>
      </c>
      <c r="B2598" s="1">
        <f>IFERROR(__xludf.DUMMYFUNCTION("""COMPUTED_VALUE"""),79200.0)</f>
        <v>79200</v>
      </c>
      <c r="C2598" s="1">
        <f>IFERROR(__xludf.DUMMYFUNCTION("""COMPUTED_VALUE"""),79400.0)</f>
        <v>79400</v>
      </c>
      <c r="D2598" s="1">
        <f>IFERROR(__xludf.DUMMYFUNCTION("""COMPUTED_VALUE"""),78500.0)</f>
        <v>78500</v>
      </c>
      <c r="E2598" s="1">
        <f>IFERROR(__xludf.DUMMYFUNCTION("""COMPUTED_VALUE"""),78500.0)</f>
        <v>78500</v>
      </c>
      <c r="F2598" s="1">
        <f>IFERROR(__xludf.DUMMYFUNCTION("""COMPUTED_VALUE"""),1.1427693E7)</f>
        <v>11427693</v>
      </c>
    </row>
    <row r="2599">
      <c r="A2599" s="2">
        <f>IFERROR(__xludf.DUMMYFUNCTION("""COMPUTED_VALUE"""),44405.64583333333)</f>
        <v>44405.64583</v>
      </c>
      <c r="B2599" s="1">
        <f>IFERROR(__xludf.DUMMYFUNCTION("""COMPUTED_VALUE"""),78300.0)</f>
        <v>78300</v>
      </c>
      <c r="C2599" s="1">
        <f>IFERROR(__xludf.DUMMYFUNCTION("""COMPUTED_VALUE"""),79200.0)</f>
        <v>79200</v>
      </c>
      <c r="D2599" s="1">
        <f>IFERROR(__xludf.DUMMYFUNCTION("""COMPUTED_VALUE"""),78100.0)</f>
        <v>78100</v>
      </c>
      <c r="E2599" s="1">
        <f>IFERROR(__xludf.DUMMYFUNCTION("""COMPUTED_VALUE"""),79200.0)</f>
        <v>79200</v>
      </c>
      <c r="F2599" s="1">
        <f>IFERROR(__xludf.DUMMYFUNCTION("""COMPUTED_VALUE"""),1.2743417E7)</f>
        <v>12743417</v>
      </c>
    </row>
    <row r="2600">
      <c r="A2600" s="2">
        <f>IFERROR(__xludf.DUMMYFUNCTION("""COMPUTED_VALUE"""),44406.64583333333)</f>
        <v>44406.64583</v>
      </c>
      <c r="B2600" s="1">
        <f>IFERROR(__xludf.DUMMYFUNCTION("""COMPUTED_VALUE"""),78800.0)</f>
        <v>78800</v>
      </c>
      <c r="C2600" s="1">
        <f>IFERROR(__xludf.DUMMYFUNCTION("""COMPUTED_VALUE"""),79400.0)</f>
        <v>79400</v>
      </c>
      <c r="D2600" s="1">
        <f>IFERROR(__xludf.DUMMYFUNCTION("""COMPUTED_VALUE"""),78800.0)</f>
        <v>78800</v>
      </c>
      <c r="E2600" s="1">
        <f>IFERROR(__xludf.DUMMYFUNCTION("""COMPUTED_VALUE"""),79000.0)</f>
        <v>79000</v>
      </c>
      <c r="F2600" s="1">
        <f>IFERROR(__xludf.DUMMYFUNCTION("""COMPUTED_VALUE"""),1.4360453E7)</f>
        <v>14360453</v>
      </c>
    </row>
    <row r="2601">
      <c r="A2601" s="2">
        <f>IFERROR(__xludf.DUMMYFUNCTION("""COMPUTED_VALUE"""),44407.64583333333)</f>
        <v>44407.64583</v>
      </c>
      <c r="B2601" s="1">
        <f>IFERROR(__xludf.DUMMYFUNCTION("""COMPUTED_VALUE"""),78900.0)</f>
        <v>78900</v>
      </c>
      <c r="C2601" s="1">
        <f>IFERROR(__xludf.DUMMYFUNCTION("""COMPUTED_VALUE"""),78900.0)</f>
        <v>78900</v>
      </c>
      <c r="D2601" s="1">
        <f>IFERROR(__xludf.DUMMYFUNCTION("""COMPUTED_VALUE"""),78500.0)</f>
        <v>78500</v>
      </c>
      <c r="E2601" s="1">
        <f>IFERROR(__xludf.DUMMYFUNCTION("""COMPUTED_VALUE"""),78500.0)</f>
        <v>78500</v>
      </c>
      <c r="F2601" s="1">
        <f>IFERROR(__xludf.DUMMYFUNCTION("""COMPUTED_VALUE"""),1.3823411E7)</f>
        <v>13823411</v>
      </c>
    </row>
    <row r="2602">
      <c r="A2602" s="2">
        <f>IFERROR(__xludf.DUMMYFUNCTION("""COMPUTED_VALUE"""),44410.64583333333)</f>
        <v>44410.64583</v>
      </c>
      <c r="B2602" s="1">
        <f>IFERROR(__xludf.DUMMYFUNCTION("""COMPUTED_VALUE"""),79200.0)</f>
        <v>79200</v>
      </c>
      <c r="C2602" s="1">
        <f>IFERROR(__xludf.DUMMYFUNCTION("""COMPUTED_VALUE"""),79500.0)</f>
        <v>79500</v>
      </c>
      <c r="D2602" s="1">
        <f>IFERROR(__xludf.DUMMYFUNCTION("""COMPUTED_VALUE"""),78700.0)</f>
        <v>78700</v>
      </c>
      <c r="E2602" s="1">
        <f>IFERROR(__xludf.DUMMYFUNCTION("""COMPUTED_VALUE"""),79300.0)</f>
        <v>79300</v>
      </c>
      <c r="F2602" s="1">
        <f>IFERROR(__xludf.DUMMYFUNCTION("""COMPUTED_VALUE"""),1.1739124E7)</f>
        <v>11739124</v>
      </c>
    </row>
    <row r="2603">
      <c r="A2603" s="2">
        <f>IFERROR(__xludf.DUMMYFUNCTION("""COMPUTED_VALUE"""),44411.64583333333)</f>
        <v>44411.64583</v>
      </c>
      <c r="B2603" s="1">
        <f>IFERROR(__xludf.DUMMYFUNCTION("""COMPUTED_VALUE"""),79400.0)</f>
        <v>79400</v>
      </c>
      <c r="C2603" s="1">
        <f>IFERROR(__xludf.DUMMYFUNCTION("""COMPUTED_VALUE"""),81400.0)</f>
        <v>81400</v>
      </c>
      <c r="D2603" s="1">
        <f>IFERROR(__xludf.DUMMYFUNCTION("""COMPUTED_VALUE"""),79300.0)</f>
        <v>79300</v>
      </c>
      <c r="E2603" s="1">
        <f>IFERROR(__xludf.DUMMYFUNCTION("""COMPUTED_VALUE"""),81400.0)</f>
        <v>81400</v>
      </c>
      <c r="F2603" s="1">
        <f>IFERROR(__xludf.DUMMYFUNCTION("""COMPUTED_VALUE"""),2.433936E7)</f>
        <v>24339360</v>
      </c>
    </row>
    <row r="2604">
      <c r="A2604" s="2">
        <f>IFERROR(__xludf.DUMMYFUNCTION("""COMPUTED_VALUE"""),44412.64583333333)</f>
        <v>44412.64583</v>
      </c>
      <c r="B2604" s="1">
        <f>IFERROR(__xludf.DUMMYFUNCTION("""COMPUTED_VALUE"""),82200.0)</f>
        <v>82200</v>
      </c>
      <c r="C2604" s="1">
        <f>IFERROR(__xludf.DUMMYFUNCTION("""COMPUTED_VALUE"""),83100.0)</f>
        <v>83100</v>
      </c>
      <c r="D2604" s="1">
        <f>IFERROR(__xludf.DUMMYFUNCTION("""COMPUTED_VALUE"""),81800.0)</f>
        <v>81800</v>
      </c>
      <c r="E2604" s="1">
        <f>IFERROR(__xludf.DUMMYFUNCTION("""COMPUTED_VALUE"""),82900.0)</f>
        <v>82900</v>
      </c>
      <c r="F2604" s="1">
        <f>IFERROR(__xludf.DUMMYFUNCTION("""COMPUTED_VALUE"""),2.5642368E7)</f>
        <v>25642368</v>
      </c>
    </row>
    <row r="2605">
      <c r="A2605" s="2">
        <f>IFERROR(__xludf.DUMMYFUNCTION("""COMPUTED_VALUE"""),44413.64583333333)</f>
        <v>44413.64583</v>
      </c>
      <c r="B2605" s="1">
        <f>IFERROR(__xludf.DUMMYFUNCTION("""COMPUTED_VALUE"""),83300.0)</f>
        <v>83300</v>
      </c>
      <c r="C2605" s="1">
        <f>IFERROR(__xludf.DUMMYFUNCTION("""COMPUTED_VALUE"""),83300.0)</f>
        <v>83300</v>
      </c>
      <c r="D2605" s="1">
        <f>IFERROR(__xludf.DUMMYFUNCTION("""COMPUTED_VALUE"""),82000.0)</f>
        <v>82000</v>
      </c>
      <c r="E2605" s="1">
        <f>IFERROR(__xludf.DUMMYFUNCTION("""COMPUTED_VALUE"""),82100.0)</f>
        <v>82100</v>
      </c>
      <c r="F2605" s="1">
        <f>IFERROR(__xludf.DUMMYFUNCTION("""COMPUTED_VALUE"""),1.8485469E7)</f>
        <v>18485469</v>
      </c>
    </row>
    <row r="2606">
      <c r="A2606" s="2">
        <f>IFERROR(__xludf.DUMMYFUNCTION("""COMPUTED_VALUE"""),44414.64583333333)</f>
        <v>44414.64583</v>
      </c>
      <c r="B2606" s="1">
        <f>IFERROR(__xludf.DUMMYFUNCTION("""COMPUTED_VALUE"""),81900.0)</f>
        <v>81900</v>
      </c>
      <c r="C2606" s="1">
        <f>IFERROR(__xludf.DUMMYFUNCTION("""COMPUTED_VALUE"""),82500.0)</f>
        <v>82500</v>
      </c>
      <c r="D2606" s="1">
        <f>IFERROR(__xludf.DUMMYFUNCTION("""COMPUTED_VALUE"""),81300.0)</f>
        <v>81300</v>
      </c>
      <c r="E2606" s="1">
        <f>IFERROR(__xludf.DUMMYFUNCTION("""COMPUTED_VALUE"""),81500.0)</f>
        <v>81500</v>
      </c>
      <c r="F2606" s="1">
        <f>IFERROR(__xludf.DUMMYFUNCTION("""COMPUTED_VALUE"""),1.3342623E7)</f>
        <v>13342623</v>
      </c>
    </row>
    <row r="2607">
      <c r="A2607" s="2">
        <f>IFERROR(__xludf.DUMMYFUNCTION("""COMPUTED_VALUE"""),44417.64583333333)</f>
        <v>44417.64583</v>
      </c>
      <c r="B2607" s="1">
        <f>IFERROR(__xludf.DUMMYFUNCTION("""COMPUTED_VALUE"""),81500.0)</f>
        <v>81500</v>
      </c>
      <c r="C2607" s="1">
        <f>IFERROR(__xludf.DUMMYFUNCTION("""COMPUTED_VALUE"""),82300.0)</f>
        <v>82300</v>
      </c>
      <c r="D2607" s="1">
        <f>IFERROR(__xludf.DUMMYFUNCTION("""COMPUTED_VALUE"""),80900.0)</f>
        <v>80900</v>
      </c>
      <c r="E2607" s="1">
        <f>IFERROR(__xludf.DUMMYFUNCTION("""COMPUTED_VALUE"""),81500.0)</f>
        <v>81500</v>
      </c>
      <c r="F2607" s="1">
        <f>IFERROR(__xludf.DUMMYFUNCTION("""COMPUTED_VALUE"""),1.5522581E7)</f>
        <v>15522581</v>
      </c>
    </row>
    <row r="2608">
      <c r="A2608" s="2">
        <f>IFERROR(__xludf.DUMMYFUNCTION("""COMPUTED_VALUE"""),44418.64583333333)</f>
        <v>44418.64583</v>
      </c>
      <c r="B2608" s="1">
        <f>IFERROR(__xludf.DUMMYFUNCTION("""COMPUTED_VALUE"""),82300.0)</f>
        <v>82300</v>
      </c>
      <c r="C2608" s="1">
        <f>IFERROR(__xludf.DUMMYFUNCTION("""COMPUTED_VALUE"""),82400.0)</f>
        <v>82400</v>
      </c>
      <c r="D2608" s="1">
        <f>IFERROR(__xludf.DUMMYFUNCTION("""COMPUTED_VALUE"""),80100.0)</f>
        <v>80100</v>
      </c>
      <c r="E2608" s="1">
        <f>IFERROR(__xludf.DUMMYFUNCTION("""COMPUTED_VALUE"""),80200.0)</f>
        <v>80200</v>
      </c>
      <c r="F2608" s="1">
        <f>IFERROR(__xludf.DUMMYFUNCTION("""COMPUTED_VALUE"""),2.0362639E7)</f>
        <v>20362639</v>
      </c>
    </row>
    <row r="2609">
      <c r="A2609" s="2">
        <f>IFERROR(__xludf.DUMMYFUNCTION("""COMPUTED_VALUE"""),44419.64583333333)</f>
        <v>44419.64583</v>
      </c>
      <c r="B2609" s="1">
        <f>IFERROR(__xludf.DUMMYFUNCTION("""COMPUTED_VALUE"""),79600.0)</f>
        <v>79600</v>
      </c>
      <c r="C2609" s="1">
        <f>IFERROR(__xludf.DUMMYFUNCTION("""COMPUTED_VALUE"""),79800.0)</f>
        <v>79800</v>
      </c>
      <c r="D2609" s="1">
        <f>IFERROR(__xludf.DUMMYFUNCTION("""COMPUTED_VALUE"""),78500.0)</f>
        <v>78500</v>
      </c>
      <c r="E2609" s="1">
        <f>IFERROR(__xludf.DUMMYFUNCTION("""COMPUTED_VALUE"""),78500.0)</f>
        <v>78500</v>
      </c>
      <c r="F2609" s="1">
        <f>IFERROR(__xludf.DUMMYFUNCTION("""COMPUTED_VALUE"""),3.0241137E7)</f>
        <v>30241137</v>
      </c>
    </row>
    <row r="2610">
      <c r="A2610" s="2">
        <f>IFERROR(__xludf.DUMMYFUNCTION("""COMPUTED_VALUE"""),44420.64583333333)</f>
        <v>44420.64583</v>
      </c>
      <c r="B2610" s="1">
        <f>IFERROR(__xludf.DUMMYFUNCTION("""COMPUTED_VALUE"""),77100.0)</f>
        <v>77100</v>
      </c>
      <c r="C2610" s="1">
        <f>IFERROR(__xludf.DUMMYFUNCTION("""COMPUTED_VALUE"""),78200.0)</f>
        <v>78200</v>
      </c>
      <c r="D2610" s="1">
        <f>IFERROR(__xludf.DUMMYFUNCTION("""COMPUTED_VALUE"""),76900.0)</f>
        <v>76900</v>
      </c>
      <c r="E2610" s="1">
        <f>IFERROR(__xludf.DUMMYFUNCTION("""COMPUTED_VALUE"""),77000.0)</f>
        <v>77000</v>
      </c>
      <c r="F2610" s="1">
        <f>IFERROR(__xludf.DUMMYFUNCTION("""COMPUTED_VALUE"""),4.2365223E7)</f>
        <v>42365223</v>
      </c>
    </row>
    <row r="2611">
      <c r="A2611" s="2">
        <f>IFERROR(__xludf.DUMMYFUNCTION("""COMPUTED_VALUE"""),44421.64583333333)</f>
        <v>44421.64583</v>
      </c>
      <c r="B2611" s="1">
        <f>IFERROR(__xludf.DUMMYFUNCTION("""COMPUTED_VALUE"""),75800.0)</f>
        <v>75800</v>
      </c>
      <c r="C2611" s="1">
        <f>IFERROR(__xludf.DUMMYFUNCTION("""COMPUTED_VALUE"""),76000.0)</f>
        <v>76000</v>
      </c>
      <c r="D2611" s="1">
        <f>IFERROR(__xludf.DUMMYFUNCTION("""COMPUTED_VALUE"""),74100.0)</f>
        <v>74100</v>
      </c>
      <c r="E2611" s="1">
        <f>IFERROR(__xludf.DUMMYFUNCTION("""COMPUTED_VALUE"""),74400.0)</f>
        <v>74400</v>
      </c>
      <c r="F2611" s="1">
        <f>IFERROR(__xludf.DUMMYFUNCTION("""COMPUTED_VALUE"""),6.1270643E7)</f>
        <v>61270643</v>
      </c>
    </row>
    <row r="2612">
      <c r="A2612" s="2">
        <f>IFERROR(__xludf.DUMMYFUNCTION("""COMPUTED_VALUE"""),44425.64583333333)</f>
        <v>44425.64583</v>
      </c>
      <c r="B2612" s="1">
        <f>IFERROR(__xludf.DUMMYFUNCTION("""COMPUTED_VALUE"""),74000.0)</f>
        <v>74000</v>
      </c>
      <c r="C2612" s="1">
        <f>IFERROR(__xludf.DUMMYFUNCTION("""COMPUTED_VALUE"""),75100.0)</f>
        <v>75100</v>
      </c>
      <c r="D2612" s="1">
        <f>IFERROR(__xludf.DUMMYFUNCTION("""COMPUTED_VALUE"""),74000.0)</f>
        <v>74000</v>
      </c>
      <c r="E2612" s="1">
        <f>IFERROR(__xludf.DUMMYFUNCTION("""COMPUTED_VALUE"""),74200.0)</f>
        <v>74200</v>
      </c>
      <c r="F2612" s="1">
        <f>IFERROR(__xludf.DUMMYFUNCTION("""COMPUTED_VALUE"""),3.0944847E7)</f>
        <v>30944847</v>
      </c>
    </row>
    <row r="2613">
      <c r="A2613" s="2">
        <f>IFERROR(__xludf.DUMMYFUNCTION("""COMPUTED_VALUE"""),44426.64583333333)</f>
        <v>44426.64583</v>
      </c>
      <c r="B2613" s="1">
        <f>IFERROR(__xludf.DUMMYFUNCTION("""COMPUTED_VALUE"""),73900.0)</f>
        <v>73900</v>
      </c>
      <c r="C2613" s="1">
        <f>IFERROR(__xludf.DUMMYFUNCTION("""COMPUTED_VALUE"""),74600.0)</f>
        <v>74600</v>
      </c>
      <c r="D2613" s="1">
        <f>IFERROR(__xludf.DUMMYFUNCTION("""COMPUTED_VALUE"""),73100.0)</f>
        <v>73100</v>
      </c>
      <c r="E2613" s="1">
        <f>IFERROR(__xludf.DUMMYFUNCTION("""COMPUTED_VALUE"""),73900.0)</f>
        <v>73900</v>
      </c>
      <c r="F2613" s="1">
        <f>IFERROR(__xludf.DUMMYFUNCTION("""COMPUTED_VALUE"""),2.9192631E7)</f>
        <v>29192631</v>
      </c>
    </row>
    <row r="2614">
      <c r="A2614" s="2">
        <f>IFERROR(__xludf.DUMMYFUNCTION("""COMPUTED_VALUE"""),44427.64583333333)</f>
        <v>44427.64583</v>
      </c>
      <c r="B2614" s="1">
        <f>IFERROR(__xludf.DUMMYFUNCTION("""COMPUTED_VALUE"""),73500.0)</f>
        <v>73500</v>
      </c>
      <c r="C2614" s="1">
        <f>IFERROR(__xludf.DUMMYFUNCTION("""COMPUTED_VALUE"""),74400.0)</f>
        <v>74400</v>
      </c>
      <c r="D2614" s="1">
        <f>IFERROR(__xludf.DUMMYFUNCTION("""COMPUTED_VALUE"""),73100.0)</f>
        <v>73100</v>
      </c>
      <c r="E2614" s="1">
        <f>IFERROR(__xludf.DUMMYFUNCTION("""COMPUTED_VALUE"""),73100.0)</f>
        <v>73100</v>
      </c>
      <c r="F2614" s="1">
        <f>IFERROR(__xludf.DUMMYFUNCTION("""COMPUTED_VALUE"""),2.2166298E7)</f>
        <v>22166298</v>
      </c>
    </row>
    <row r="2615">
      <c r="A2615" s="2">
        <f>IFERROR(__xludf.DUMMYFUNCTION("""COMPUTED_VALUE"""),44428.64583333333)</f>
        <v>44428.64583</v>
      </c>
      <c r="B2615" s="1">
        <f>IFERROR(__xludf.DUMMYFUNCTION("""COMPUTED_VALUE"""),73500.0)</f>
        <v>73500</v>
      </c>
      <c r="C2615" s="1">
        <f>IFERROR(__xludf.DUMMYFUNCTION("""COMPUTED_VALUE"""),73900.0)</f>
        <v>73900</v>
      </c>
      <c r="D2615" s="1">
        <f>IFERROR(__xludf.DUMMYFUNCTION("""COMPUTED_VALUE"""),72500.0)</f>
        <v>72500</v>
      </c>
      <c r="E2615" s="1">
        <f>IFERROR(__xludf.DUMMYFUNCTION("""COMPUTED_VALUE"""),72700.0)</f>
        <v>72700</v>
      </c>
      <c r="F2615" s="1">
        <f>IFERROR(__xludf.DUMMYFUNCTION("""COMPUTED_VALUE"""),2.2364803E7)</f>
        <v>22364803</v>
      </c>
    </row>
    <row r="2616">
      <c r="A2616" s="2">
        <f>IFERROR(__xludf.DUMMYFUNCTION("""COMPUTED_VALUE"""),44431.64583333333)</f>
        <v>44431.64583</v>
      </c>
      <c r="B2616" s="1">
        <f>IFERROR(__xludf.DUMMYFUNCTION("""COMPUTED_VALUE"""),73300.0)</f>
        <v>73300</v>
      </c>
      <c r="C2616" s="1">
        <f>IFERROR(__xludf.DUMMYFUNCTION("""COMPUTED_VALUE"""),74000.0)</f>
        <v>74000</v>
      </c>
      <c r="D2616" s="1">
        <f>IFERROR(__xludf.DUMMYFUNCTION("""COMPUTED_VALUE"""),73000.0)</f>
        <v>73000</v>
      </c>
      <c r="E2616" s="1">
        <f>IFERROR(__xludf.DUMMYFUNCTION("""COMPUTED_VALUE"""),73300.0)</f>
        <v>73300</v>
      </c>
      <c r="F2616" s="1">
        <f>IFERROR(__xludf.DUMMYFUNCTION("""COMPUTED_VALUE"""),1.9384648E7)</f>
        <v>19384648</v>
      </c>
    </row>
    <row r="2617">
      <c r="A2617" s="2">
        <f>IFERROR(__xludf.DUMMYFUNCTION("""COMPUTED_VALUE"""),44432.64583333333)</f>
        <v>44432.64583</v>
      </c>
      <c r="B2617" s="1">
        <f>IFERROR(__xludf.DUMMYFUNCTION("""COMPUTED_VALUE"""),73900.0)</f>
        <v>73900</v>
      </c>
      <c r="C2617" s="1">
        <f>IFERROR(__xludf.DUMMYFUNCTION("""COMPUTED_VALUE"""),75700.0)</f>
        <v>75700</v>
      </c>
      <c r="D2617" s="1">
        <f>IFERROR(__xludf.DUMMYFUNCTION("""COMPUTED_VALUE"""),73900.0)</f>
        <v>73900</v>
      </c>
      <c r="E2617" s="1">
        <f>IFERROR(__xludf.DUMMYFUNCTION("""COMPUTED_VALUE"""),75600.0)</f>
        <v>75600</v>
      </c>
      <c r="F2617" s="1">
        <f>IFERROR(__xludf.DUMMYFUNCTION("""COMPUTED_VALUE"""),2.1016913E7)</f>
        <v>21016913</v>
      </c>
    </row>
    <row r="2618">
      <c r="A2618" s="2">
        <f>IFERROR(__xludf.DUMMYFUNCTION("""COMPUTED_VALUE"""),44433.64583333333)</f>
        <v>44433.64583</v>
      </c>
      <c r="B2618" s="1">
        <f>IFERROR(__xludf.DUMMYFUNCTION("""COMPUTED_VALUE"""),76200.0)</f>
        <v>76200</v>
      </c>
      <c r="C2618" s="1">
        <f>IFERROR(__xludf.DUMMYFUNCTION("""COMPUTED_VALUE"""),76600.0)</f>
        <v>76600</v>
      </c>
      <c r="D2618" s="1">
        <f>IFERROR(__xludf.DUMMYFUNCTION("""COMPUTED_VALUE"""),74900.0)</f>
        <v>74900</v>
      </c>
      <c r="E2618" s="1">
        <f>IFERROR(__xludf.DUMMYFUNCTION("""COMPUTED_VALUE"""),75700.0)</f>
        <v>75700</v>
      </c>
      <c r="F2618" s="1">
        <f>IFERROR(__xludf.DUMMYFUNCTION("""COMPUTED_VALUE"""),2.2319664E7)</f>
        <v>22319664</v>
      </c>
    </row>
    <row r="2619">
      <c r="A2619" s="2">
        <f>IFERROR(__xludf.DUMMYFUNCTION("""COMPUTED_VALUE"""),44434.64583333333)</f>
        <v>44434.64583</v>
      </c>
      <c r="B2619" s="1">
        <f>IFERROR(__xludf.DUMMYFUNCTION("""COMPUTED_VALUE"""),76100.0)</f>
        <v>76100</v>
      </c>
      <c r="C2619" s="1">
        <f>IFERROR(__xludf.DUMMYFUNCTION("""COMPUTED_VALUE"""),76200.0)</f>
        <v>76200</v>
      </c>
      <c r="D2619" s="1">
        <f>IFERROR(__xludf.DUMMYFUNCTION("""COMPUTED_VALUE"""),74600.0)</f>
        <v>74600</v>
      </c>
      <c r="E2619" s="1">
        <f>IFERROR(__xludf.DUMMYFUNCTION("""COMPUTED_VALUE"""),74600.0)</f>
        <v>74600</v>
      </c>
      <c r="F2619" s="1">
        <f>IFERROR(__xludf.DUMMYFUNCTION("""COMPUTED_VALUE"""),1.6671494E7)</f>
        <v>16671494</v>
      </c>
    </row>
    <row r="2620">
      <c r="A2620" s="2">
        <f>IFERROR(__xludf.DUMMYFUNCTION("""COMPUTED_VALUE"""),44435.64583333333)</f>
        <v>44435.64583</v>
      </c>
      <c r="B2620" s="1">
        <f>IFERROR(__xludf.DUMMYFUNCTION("""COMPUTED_VALUE"""),74300.0)</f>
        <v>74300</v>
      </c>
      <c r="C2620" s="1">
        <f>IFERROR(__xludf.DUMMYFUNCTION("""COMPUTED_VALUE"""),75000.0)</f>
        <v>75000</v>
      </c>
      <c r="D2620" s="1">
        <f>IFERROR(__xludf.DUMMYFUNCTION("""COMPUTED_VALUE"""),73800.0)</f>
        <v>73800</v>
      </c>
      <c r="E2620" s="1">
        <f>IFERROR(__xludf.DUMMYFUNCTION("""COMPUTED_VALUE"""),74300.0)</f>
        <v>74300</v>
      </c>
      <c r="F2620" s="1">
        <f>IFERROR(__xludf.DUMMYFUNCTION("""COMPUTED_VALUE"""),1.5172748E7)</f>
        <v>15172748</v>
      </c>
    </row>
    <row r="2621">
      <c r="A2621" s="2">
        <f>IFERROR(__xludf.DUMMYFUNCTION("""COMPUTED_VALUE"""),44438.64583333333)</f>
        <v>44438.64583</v>
      </c>
      <c r="B2621" s="1">
        <f>IFERROR(__xludf.DUMMYFUNCTION("""COMPUTED_VALUE"""),75400.0)</f>
        <v>75400</v>
      </c>
      <c r="C2621" s="1">
        <f>IFERROR(__xludf.DUMMYFUNCTION("""COMPUTED_VALUE"""),75500.0)</f>
        <v>75500</v>
      </c>
      <c r="D2621" s="1">
        <f>IFERROR(__xludf.DUMMYFUNCTION("""COMPUTED_VALUE"""),74200.0)</f>
        <v>74200</v>
      </c>
      <c r="E2621" s="1">
        <f>IFERROR(__xludf.DUMMYFUNCTION("""COMPUTED_VALUE"""),74600.0)</f>
        <v>74600</v>
      </c>
      <c r="F2621" s="1">
        <f>IFERROR(__xludf.DUMMYFUNCTION("""COMPUTED_VALUE"""),1.2686999E7)</f>
        <v>12686999</v>
      </c>
    </row>
    <row r="2622">
      <c r="A2622" s="2">
        <f>IFERROR(__xludf.DUMMYFUNCTION("""COMPUTED_VALUE"""),44439.64583333333)</f>
        <v>44439.64583</v>
      </c>
      <c r="B2622" s="1">
        <f>IFERROR(__xludf.DUMMYFUNCTION("""COMPUTED_VALUE"""),74900.0)</f>
        <v>74900</v>
      </c>
      <c r="C2622" s="1">
        <f>IFERROR(__xludf.DUMMYFUNCTION("""COMPUTED_VALUE"""),76700.0)</f>
        <v>76700</v>
      </c>
      <c r="D2622" s="1">
        <f>IFERROR(__xludf.DUMMYFUNCTION("""COMPUTED_VALUE"""),74300.0)</f>
        <v>74300</v>
      </c>
      <c r="E2622" s="1">
        <f>IFERROR(__xludf.DUMMYFUNCTION("""COMPUTED_VALUE"""),76700.0)</f>
        <v>76700</v>
      </c>
      <c r="F2622" s="1">
        <f>IFERROR(__xludf.DUMMYFUNCTION("""COMPUTED_VALUE"""),2.463037E7)</f>
        <v>24630370</v>
      </c>
    </row>
    <row r="2623">
      <c r="A2623" s="2">
        <f>IFERROR(__xludf.DUMMYFUNCTION("""COMPUTED_VALUE"""),44440.64583333333)</f>
        <v>44440.64583</v>
      </c>
      <c r="B2623" s="1">
        <f>IFERROR(__xludf.DUMMYFUNCTION("""COMPUTED_VALUE"""),76700.0)</f>
        <v>76700</v>
      </c>
      <c r="C2623" s="1">
        <f>IFERROR(__xludf.DUMMYFUNCTION("""COMPUTED_VALUE"""),77100.0)</f>
        <v>77100</v>
      </c>
      <c r="D2623" s="1">
        <f>IFERROR(__xludf.DUMMYFUNCTION("""COMPUTED_VALUE"""),75900.0)</f>
        <v>75900</v>
      </c>
      <c r="E2623" s="1">
        <f>IFERROR(__xludf.DUMMYFUNCTION("""COMPUTED_VALUE"""),76800.0)</f>
        <v>76800</v>
      </c>
      <c r="F2623" s="1">
        <f>IFERROR(__xludf.DUMMYFUNCTION("""COMPUTED_VALUE"""),1.6114775E7)</f>
        <v>16114775</v>
      </c>
    </row>
    <row r="2624">
      <c r="A2624" s="2">
        <f>IFERROR(__xludf.DUMMYFUNCTION("""COMPUTED_VALUE"""),44441.64583333333)</f>
        <v>44441.64583</v>
      </c>
      <c r="B2624" s="1">
        <f>IFERROR(__xludf.DUMMYFUNCTION("""COMPUTED_VALUE"""),76800.0)</f>
        <v>76800</v>
      </c>
      <c r="C2624" s="1">
        <f>IFERROR(__xludf.DUMMYFUNCTION("""COMPUTED_VALUE"""),76800.0)</f>
        <v>76800</v>
      </c>
      <c r="D2624" s="1">
        <f>IFERROR(__xludf.DUMMYFUNCTION("""COMPUTED_VALUE"""),75700.0)</f>
        <v>75700</v>
      </c>
      <c r="E2624" s="1">
        <f>IFERROR(__xludf.DUMMYFUNCTION("""COMPUTED_VALUE"""),76000.0)</f>
        <v>76000</v>
      </c>
      <c r="F2624" s="1">
        <f>IFERROR(__xludf.DUMMYFUNCTION("""COMPUTED_VALUE"""),1.5347486E7)</f>
        <v>15347486</v>
      </c>
    </row>
    <row r="2625">
      <c r="A2625" s="2">
        <f>IFERROR(__xludf.DUMMYFUNCTION("""COMPUTED_VALUE"""),44442.64583333333)</f>
        <v>44442.64583</v>
      </c>
      <c r="B2625" s="1">
        <f>IFERROR(__xludf.DUMMYFUNCTION("""COMPUTED_VALUE"""),76400.0)</f>
        <v>76400</v>
      </c>
      <c r="C2625" s="1">
        <f>IFERROR(__xludf.DUMMYFUNCTION("""COMPUTED_VALUE"""),76700.0)</f>
        <v>76700</v>
      </c>
      <c r="D2625" s="1">
        <f>IFERROR(__xludf.DUMMYFUNCTION("""COMPUTED_VALUE"""),76000.0)</f>
        <v>76000</v>
      </c>
      <c r="E2625" s="1">
        <f>IFERROR(__xludf.DUMMYFUNCTION("""COMPUTED_VALUE"""),76600.0)</f>
        <v>76600</v>
      </c>
      <c r="F2625" s="1">
        <f>IFERROR(__xludf.DUMMYFUNCTION("""COMPUTED_VALUE"""),1.2096419E7)</f>
        <v>12096419</v>
      </c>
    </row>
    <row r="2626">
      <c r="A2626" s="2">
        <f>IFERROR(__xludf.DUMMYFUNCTION("""COMPUTED_VALUE"""),44445.64583333333)</f>
        <v>44445.64583</v>
      </c>
      <c r="B2626" s="1">
        <f>IFERROR(__xludf.DUMMYFUNCTION("""COMPUTED_VALUE"""),76800.0)</f>
        <v>76800</v>
      </c>
      <c r="C2626" s="1">
        <f>IFERROR(__xludf.DUMMYFUNCTION("""COMPUTED_VALUE"""),77600.0)</f>
        <v>77600</v>
      </c>
      <c r="D2626" s="1">
        <f>IFERROR(__xludf.DUMMYFUNCTION("""COMPUTED_VALUE"""),76600.0)</f>
        <v>76600</v>
      </c>
      <c r="E2626" s="1">
        <f>IFERROR(__xludf.DUMMYFUNCTION("""COMPUTED_VALUE"""),77300.0)</f>
        <v>77300</v>
      </c>
      <c r="F2626" s="1">
        <f>IFERROR(__xludf.DUMMYFUNCTION("""COMPUTED_VALUE"""),1.286118E7)</f>
        <v>12861180</v>
      </c>
    </row>
    <row r="2627">
      <c r="A2627" s="2">
        <f>IFERROR(__xludf.DUMMYFUNCTION("""COMPUTED_VALUE"""),44446.64583333333)</f>
        <v>44446.64583</v>
      </c>
      <c r="B2627" s="1">
        <f>IFERROR(__xludf.DUMMYFUNCTION("""COMPUTED_VALUE"""),77100.0)</f>
        <v>77100</v>
      </c>
      <c r="C2627" s="1">
        <f>IFERROR(__xludf.DUMMYFUNCTION("""COMPUTED_VALUE"""),77100.0)</f>
        <v>77100</v>
      </c>
      <c r="D2627" s="1">
        <f>IFERROR(__xludf.DUMMYFUNCTION("""COMPUTED_VALUE"""),75900.0)</f>
        <v>75900</v>
      </c>
      <c r="E2627" s="1">
        <f>IFERROR(__xludf.DUMMYFUNCTION("""COMPUTED_VALUE"""),76100.0)</f>
        <v>76100</v>
      </c>
      <c r="F2627" s="1">
        <f>IFERROR(__xludf.DUMMYFUNCTION("""COMPUTED_VALUE"""),1.3239401E7)</f>
        <v>13239401</v>
      </c>
    </row>
    <row r="2628">
      <c r="A2628" s="2">
        <f>IFERROR(__xludf.DUMMYFUNCTION("""COMPUTED_VALUE"""),44447.64583333333)</f>
        <v>44447.64583</v>
      </c>
      <c r="B2628" s="1">
        <f>IFERROR(__xludf.DUMMYFUNCTION("""COMPUTED_VALUE"""),76000.0)</f>
        <v>76000</v>
      </c>
      <c r="C2628" s="1">
        <f>IFERROR(__xludf.DUMMYFUNCTION("""COMPUTED_VALUE"""),76400.0)</f>
        <v>76400</v>
      </c>
      <c r="D2628" s="1">
        <f>IFERROR(__xludf.DUMMYFUNCTION("""COMPUTED_VALUE"""),75600.0)</f>
        <v>75600</v>
      </c>
      <c r="E2628" s="1">
        <f>IFERROR(__xludf.DUMMYFUNCTION("""COMPUTED_VALUE"""),76300.0)</f>
        <v>76300</v>
      </c>
      <c r="F2628" s="1">
        <f>IFERROR(__xludf.DUMMYFUNCTION("""COMPUTED_VALUE"""),1.1798147E7)</f>
        <v>11798147</v>
      </c>
    </row>
    <row r="2629">
      <c r="A2629" s="2">
        <f>IFERROR(__xludf.DUMMYFUNCTION("""COMPUTED_VALUE"""),44448.64583333333)</f>
        <v>44448.64583</v>
      </c>
      <c r="B2629" s="1">
        <f>IFERROR(__xludf.DUMMYFUNCTION("""COMPUTED_VALUE"""),76400.0)</f>
        <v>76400</v>
      </c>
      <c r="C2629" s="1">
        <f>IFERROR(__xludf.DUMMYFUNCTION("""COMPUTED_VALUE"""),76600.0)</f>
        <v>76600</v>
      </c>
      <c r="D2629" s="1">
        <f>IFERROR(__xludf.DUMMYFUNCTION("""COMPUTED_VALUE"""),75000.0)</f>
        <v>75000</v>
      </c>
      <c r="E2629" s="1">
        <f>IFERROR(__xludf.DUMMYFUNCTION("""COMPUTED_VALUE"""),75300.0)</f>
        <v>75300</v>
      </c>
      <c r="F2629" s="1">
        <f>IFERROR(__xludf.DUMMYFUNCTION("""COMPUTED_VALUE"""),1.760077E7)</f>
        <v>17600770</v>
      </c>
    </row>
    <row r="2630">
      <c r="A2630" s="2">
        <f>IFERROR(__xludf.DUMMYFUNCTION("""COMPUTED_VALUE"""),44449.64583333333)</f>
        <v>44449.64583</v>
      </c>
      <c r="B2630" s="1">
        <f>IFERROR(__xludf.DUMMYFUNCTION("""COMPUTED_VALUE"""),75300.0)</f>
        <v>75300</v>
      </c>
      <c r="C2630" s="1">
        <f>IFERROR(__xludf.DUMMYFUNCTION("""COMPUTED_VALUE"""),75600.0)</f>
        <v>75600</v>
      </c>
      <c r="D2630" s="1">
        <f>IFERROR(__xludf.DUMMYFUNCTION("""COMPUTED_VALUE"""),74800.0)</f>
        <v>74800</v>
      </c>
      <c r="E2630" s="1">
        <f>IFERROR(__xludf.DUMMYFUNCTION("""COMPUTED_VALUE"""),75300.0)</f>
        <v>75300</v>
      </c>
      <c r="F2630" s="1">
        <f>IFERROR(__xludf.DUMMYFUNCTION("""COMPUTED_VALUE"""),1.0103212E7)</f>
        <v>10103212</v>
      </c>
    </row>
    <row r="2631">
      <c r="A2631" s="2">
        <f>IFERROR(__xludf.DUMMYFUNCTION("""COMPUTED_VALUE"""),44452.64583333333)</f>
        <v>44452.64583</v>
      </c>
      <c r="B2631" s="1">
        <f>IFERROR(__xludf.DUMMYFUNCTION("""COMPUTED_VALUE"""),75200.0)</f>
        <v>75200</v>
      </c>
      <c r="C2631" s="1">
        <f>IFERROR(__xludf.DUMMYFUNCTION("""COMPUTED_VALUE"""),76300.0)</f>
        <v>76300</v>
      </c>
      <c r="D2631" s="1">
        <f>IFERROR(__xludf.DUMMYFUNCTION("""COMPUTED_VALUE"""),75100.0)</f>
        <v>75100</v>
      </c>
      <c r="E2631" s="1">
        <f>IFERROR(__xludf.DUMMYFUNCTION("""COMPUTED_VALUE"""),76300.0)</f>
        <v>76300</v>
      </c>
      <c r="F2631" s="1">
        <f>IFERROR(__xludf.DUMMYFUNCTION("""COMPUTED_VALUE"""),1.1397775E7)</f>
        <v>11397775</v>
      </c>
    </row>
    <row r="2632">
      <c r="A2632" s="2">
        <f>IFERROR(__xludf.DUMMYFUNCTION("""COMPUTED_VALUE"""),44453.64583333333)</f>
        <v>44453.64583</v>
      </c>
      <c r="B2632" s="1">
        <f>IFERROR(__xludf.DUMMYFUNCTION("""COMPUTED_VALUE"""),77100.0)</f>
        <v>77100</v>
      </c>
      <c r="C2632" s="1">
        <f>IFERROR(__xludf.DUMMYFUNCTION("""COMPUTED_VALUE"""),77700.0)</f>
        <v>77700</v>
      </c>
      <c r="D2632" s="1">
        <f>IFERROR(__xludf.DUMMYFUNCTION("""COMPUTED_VALUE"""),76600.0)</f>
        <v>76600</v>
      </c>
      <c r="E2632" s="1">
        <f>IFERROR(__xludf.DUMMYFUNCTION("""COMPUTED_VALUE"""),76600.0)</f>
        <v>76600</v>
      </c>
      <c r="F2632" s="1">
        <f>IFERROR(__xludf.DUMMYFUNCTION("""COMPUTED_VALUE"""),1.8167057E7)</f>
        <v>18167057</v>
      </c>
    </row>
    <row r="2633">
      <c r="A2633" s="2">
        <f>IFERROR(__xludf.DUMMYFUNCTION("""COMPUTED_VALUE"""),44454.64583333333)</f>
        <v>44454.64583</v>
      </c>
      <c r="B2633" s="1">
        <f>IFERROR(__xludf.DUMMYFUNCTION("""COMPUTED_VALUE"""),77400.0)</f>
        <v>77400</v>
      </c>
      <c r="C2633" s="1">
        <f>IFERROR(__xludf.DUMMYFUNCTION("""COMPUTED_VALUE"""),77400.0)</f>
        <v>77400</v>
      </c>
      <c r="D2633" s="1">
        <f>IFERROR(__xludf.DUMMYFUNCTION("""COMPUTED_VALUE"""),76400.0)</f>
        <v>76400</v>
      </c>
      <c r="E2633" s="1">
        <f>IFERROR(__xludf.DUMMYFUNCTION("""COMPUTED_VALUE"""),77000.0)</f>
        <v>77000</v>
      </c>
      <c r="F2633" s="1">
        <f>IFERROR(__xludf.DUMMYFUNCTION("""COMPUTED_VALUE"""),1.2829128E7)</f>
        <v>12829128</v>
      </c>
    </row>
    <row r="2634">
      <c r="A2634" s="2">
        <f>IFERROR(__xludf.DUMMYFUNCTION("""COMPUTED_VALUE"""),44455.64583333333)</f>
        <v>44455.64583</v>
      </c>
      <c r="B2634" s="1">
        <f>IFERROR(__xludf.DUMMYFUNCTION("""COMPUTED_VALUE"""),77300.0)</f>
        <v>77300</v>
      </c>
      <c r="C2634" s="1">
        <f>IFERROR(__xludf.DUMMYFUNCTION("""COMPUTED_VALUE"""),77400.0)</f>
        <v>77400</v>
      </c>
      <c r="D2634" s="1">
        <f>IFERROR(__xludf.DUMMYFUNCTION("""COMPUTED_VALUE"""),76100.0)</f>
        <v>76100</v>
      </c>
      <c r="E2634" s="1">
        <f>IFERROR(__xludf.DUMMYFUNCTION("""COMPUTED_VALUE"""),76100.0)</f>
        <v>76100</v>
      </c>
      <c r="F2634" s="1">
        <f>IFERROR(__xludf.DUMMYFUNCTION("""COMPUTED_VALUE"""),1.3067622E7)</f>
        <v>13067622</v>
      </c>
    </row>
    <row r="2635">
      <c r="A2635" s="2">
        <f>IFERROR(__xludf.DUMMYFUNCTION("""COMPUTED_VALUE"""),44456.64583333333)</f>
        <v>44456.64583</v>
      </c>
      <c r="B2635" s="1">
        <f>IFERROR(__xludf.DUMMYFUNCTION("""COMPUTED_VALUE"""),76300.0)</f>
        <v>76300</v>
      </c>
      <c r="C2635" s="1">
        <f>IFERROR(__xludf.DUMMYFUNCTION("""COMPUTED_VALUE"""),77200.0)</f>
        <v>77200</v>
      </c>
      <c r="D2635" s="1">
        <f>IFERROR(__xludf.DUMMYFUNCTION("""COMPUTED_VALUE"""),75900.0)</f>
        <v>75900</v>
      </c>
      <c r="E2635" s="1">
        <f>IFERROR(__xludf.DUMMYFUNCTION("""COMPUTED_VALUE"""),77200.0)</f>
        <v>77200</v>
      </c>
      <c r="F2635" s="1">
        <f>IFERROR(__xludf.DUMMYFUNCTION("""COMPUTED_VALUE"""),1.6289502E7)</f>
        <v>16289502</v>
      </c>
    </row>
    <row r="2636">
      <c r="A2636" s="2">
        <f>IFERROR(__xludf.DUMMYFUNCTION("""COMPUTED_VALUE"""),44462.64583333333)</f>
        <v>44462.64583</v>
      </c>
      <c r="B2636" s="1">
        <f>IFERROR(__xludf.DUMMYFUNCTION("""COMPUTED_VALUE"""),77500.0)</f>
        <v>77500</v>
      </c>
      <c r="C2636" s="1">
        <f>IFERROR(__xludf.DUMMYFUNCTION("""COMPUTED_VALUE"""),77600.0)</f>
        <v>77600</v>
      </c>
      <c r="D2636" s="1">
        <f>IFERROR(__xludf.DUMMYFUNCTION("""COMPUTED_VALUE"""),76800.0)</f>
        <v>76800</v>
      </c>
      <c r="E2636" s="1">
        <f>IFERROR(__xludf.DUMMYFUNCTION("""COMPUTED_VALUE"""),77400.0)</f>
        <v>77400</v>
      </c>
      <c r="F2636" s="1">
        <f>IFERROR(__xludf.DUMMYFUNCTION("""COMPUTED_VALUE"""),1.705559E7)</f>
        <v>17055590</v>
      </c>
    </row>
    <row r="2637">
      <c r="A2637" s="2">
        <f>IFERROR(__xludf.DUMMYFUNCTION("""COMPUTED_VALUE"""),44463.64583333333)</f>
        <v>44463.64583</v>
      </c>
      <c r="B2637" s="1">
        <f>IFERROR(__xludf.DUMMYFUNCTION("""COMPUTED_VALUE"""),77600.0)</f>
        <v>77600</v>
      </c>
      <c r="C2637" s="1">
        <f>IFERROR(__xludf.DUMMYFUNCTION("""COMPUTED_VALUE"""),77700.0)</f>
        <v>77700</v>
      </c>
      <c r="D2637" s="1">
        <f>IFERROR(__xludf.DUMMYFUNCTION("""COMPUTED_VALUE"""),77100.0)</f>
        <v>77100</v>
      </c>
      <c r="E2637" s="1">
        <f>IFERROR(__xludf.DUMMYFUNCTION("""COMPUTED_VALUE"""),77300.0)</f>
        <v>77300</v>
      </c>
      <c r="F2637" s="1">
        <f>IFERROR(__xludf.DUMMYFUNCTION("""COMPUTED_VALUE"""),1.2247274E7)</f>
        <v>12247274</v>
      </c>
    </row>
    <row r="2638">
      <c r="A2638" s="2">
        <f>IFERROR(__xludf.DUMMYFUNCTION("""COMPUTED_VALUE"""),44466.64583333333)</f>
        <v>44466.64583</v>
      </c>
      <c r="B2638" s="1">
        <f>IFERROR(__xludf.DUMMYFUNCTION("""COMPUTED_VALUE"""),77300.0)</f>
        <v>77300</v>
      </c>
      <c r="C2638" s="1">
        <f>IFERROR(__xludf.DUMMYFUNCTION("""COMPUTED_VALUE"""),77700.0)</f>
        <v>77700</v>
      </c>
      <c r="D2638" s="1">
        <f>IFERROR(__xludf.DUMMYFUNCTION("""COMPUTED_VALUE"""),77000.0)</f>
        <v>77000</v>
      </c>
      <c r="E2638" s="1">
        <f>IFERROR(__xludf.DUMMYFUNCTION("""COMPUTED_VALUE"""),77700.0)</f>
        <v>77700</v>
      </c>
      <c r="F2638" s="1">
        <f>IFERROR(__xludf.DUMMYFUNCTION("""COMPUTED_VALUE"""),1.1699798E7)</f>
        <v>11699798</v>
      </c>
    </row>
    <row r="2639">
      <c r="A2639" s="2">
        <f>IFERROR(__xludf.DUMMYFUNCTION("""COMPUTED_VALUE"""),44467.64583333333)</f>
        <v>44467.64583</v>
      </c>
      <c r="B2639" s="1">
        <f>IFERROR(__xludf.DUMMYFUNCTION("""COMPUTED_VALUE"""),77700.0)</f>
        <v>77700</v>
      </c>
      <c r="C2639" s="1">
        <f>IFERROR(__xludf.DUMMYFUNCTION("""COMPUTED_VALUE"""),77800.0)</f>
        <v>77800</v>
      </c>
      <c r="D2639" s="1">
        <f>IFERROR(__xludf.DUMMYFUNCTION("""COMPUTED_VALUE"""),76200.0)</f>
        <v>76200</v>
      </c>
      <c r="E2639" s="1">
        <f>IFERROR(__xludf.DUMMYFUNCTION("""COMPUTED_VALUE"""),76300.0)</f>
        <v>76300</v>
      </c>
      <c r="F2639" s="1">
        <f>IFERROR(__xludf.DUMMYFUNCTION("""COMPUTED_VALUE"""),1.5406382E7)</f>
        <v>15406382</v>
      </c>
    </row>
    <row r="2640">
      <c r="A2640" s="2">
        <f>IFERROR(__xludf.DUMMYFUNCTION("""COMPUTED_VALUE"""),44468.64583333333)</f>
        <v>44468.64583</v>
      </c>
      <c r="B2640" s="1">
        <f>IFERROR(__xludf.DUMMYFUNCTION("""COMPUTED_VALUE"""),74800.0)</f>
        <v>74800</v>
      </c>
      <c r="C2640" s="1">
        <f>IFERROR(__xludf.DUMMYFUNCTION("""COMPUTED_VALUE"""),75300.0)</f>
        <v>75300</v>
      </c>
      <c r="D2640" s="1">
        <f>IFERROR(__xludf.DUMMYFUNCTION("""COMPUTED_VALUE"""),73800.0)</f>
        <v>73800</v>
      </c>
      <c r="E2640" s="1">
        <f>IFERROR(__xludf.DUMMYFUNCTION("""COMPUTED_VALUE"""),74100.0)</f>
        <v>74100</v>
      </c>
      <c r="F2640" s="1">
        <f>IFERROR(__xludf.DUMMYFUNCTION("""COMPUTED_VALUE"""),2.3992458E7)</f>
        <v>23992458</v>
      </c>
    </row>
    <row r="2641">
      <c r="A2641" s="2">
        <f>IFERROR(__xludf.DUMMYFUNCTION("""COMPUTED_VALUE"""),44469.64583333333)</f>
        <v>44469.64583</v>
      </c>
      <c r="B2641" s="1">
        <f>IFERROR(__xludf.DUMMYFUNCTION("""COMPUTED_VALUE"""),74300.0)</f>
        <v>74300</v>
      </c>
      <c r="C2641" s="1">
        <f>IFERROR(__xludf.DUMMYFUNCTION("""COMPUTED_VALUE"""),74800.0)</f>
        <v>74800</v>
      </c>
      <c r="D2641" s="1">
        <f>IFERROR(__xludf.DUMMYFUNCTION("""COMPUTED_VALUE"""),73700.0)</f>
        <v>73700</v>
      </c>
      <c r="E2641" s="1">
        <f>IFERROR(__xludf.DUMMYFUNCTION("""COMPUTED_VALUE"""),74100.0)</f>
        <v>74100</v>
      </c>
      <c r="F2641" s="1">
        <f>IFERROR(__xludf.DUMMYFUNCTION("""COMPUTED_VALUE"""),1.9919361E7)</f>
        <v>19919361</v>
      </c>
    </row>
    <row r="2642">
      <c r="A2642" s="2">
        <f>IFERROR(__xludf.DUMMYFUNCTION("""COMPUTED_VALUE"""),44470.64583333333)</f>
        <v>44470.64583</v>
      </c>
      <c r="B2642" s="1">
        <f>IFERROR(__xludf.DUMMYFUNCTION("""COMPUTED_VALUE"""),73900.0)</f>
        <v>73900</v>
      </c>
      <c r="C2642" s="1">
        <f>IFERROR(__xludf.DUMMYFUNCTION("""COMPUTED_VALUE"""),74000.0)</f>
        <v>74000</v>
      </c>
      <c r="D2642" s="1">
        <f>IFERROR(__xludf.DUMMYFUNCTION("""COMPUTED_VALUE"""),72900.0)</f>
        <v>72900</v>
      </c>
      <c r="E2642" s="1">
        <f>IFERROR(__xludf.DUMMYFUNCTION("""COMPUTED_VALUE"""),73200.0)</f>
        <v>73200</v>
      </c>
      <c r="F2642" s="1">
        <f>IFERROR(__xludf.DUMMYFUNCTION("""COMPUTED_VALUE"""),1.5803395E7)</f>
        <v>15803395</v>
      </c>
    </row>
    <row r="2643">
      <c r="A2643" s="2">
        <f>IFERROR(__xludf.DUMMYFUNCTION("""COMPUTED_VALUE"""),44474.64583333333)</f>
        <v>44474.64583</v>
      </c>
      <c r="B2643" s="1">
        <f>IFERROR(__xludf.DUMMYFUNCTION("""COMPUTED_VALUE"""),73000.0)</f>
        <v>73000</v>
      </c>
      <c r="C2643" s="1">
        <f>IFERROR(__xludf.DUMMYFUNCTION("""COMPUTED_VALUE"""),73000.0)</f>
        <v>73000</v>
      </c>
      <c r="D2643" s="1">
        <f>IFERROR(__xludf.DUMMYFUNCTION("""COMPUTED_VALUE"""),71400.0)</f>
        <v>71400</v>
      </c>
      <c r="E2643" s="1">
        <f>IFERROR(__xludf.DUMMYFUNCTION("""COMPUTED_VALUE"""),72200.0)</f>
        <v>72200</v>
      </c>
      <c r="F2643" s="1">
        <f>IFERROR(__xludf.DUMMYFUNCTION("""COMPUTED_VALUE"""),2.4013921E7)</f>
        <v>24013921</v>
      </c>
    </row>
    <row r="2644">
      <c r="A2644" s="2">
        <f>IFERROR(__xludf.DUMMYFUNCTION("""COMPUTED_VALUE"""),44475.64583333333)</f>
        <v>44475.64583</v>
      </c>
      <c r="B2644" s="1">
        <f>IFERROR(__xludf.DUMMYFUNCTION("""COMPUTED_VALUE"""),72600.0)</f>
        <v>72600</v>
      </c>
      <c r="C2644" s="1">
        <f>IFERROR(__xludf.DUMMYFUNCTION("""COMPUTED_VALUE"""),72800.0)</f>
        <v>72800</v>
      </c>
      <c r="D2644" s="1">
        <f>IFERROR(__xludf.DUMMYFUNCTION("""COMPUTED_VALUE"""),71200.0)</f>
        <v>71200</v>
      </c>
      <c r="E2644" s="1">
        <f>IFERROR(__xludf.DUMMYFUNCTION("""COMPUTED_VALUE"""),71300.0)</f>
        <v>71300</v>
      </c>
      <c r="F2644" s="1">
        <f>IFERROR(__xludf.DUMMYFUNCTION("""COMPUTED_VALUE"""),1.8956962E7)</f>
        <v>18956962</v>
      </c>
    </row>
    <row r="2645">
      <c r="A2645" s="2">
        <f>IFERROR(__xludf.DUMMYFUNCTION("""COMPUTED_VALUE"""),44476.64583333333)</f>
        <v>44476.64583</v>
      </c>
      <c r="B2645" s="1">
        <f>IFERROR(__xludf.DUMMYFUNCTION("""COMPUTED_VALUE"""),71600.0)</f>
        <v>71600</v>
      </c>
      <c r="C2645" s="1">
        <f>IFERROR(__xludf.DUMMYFUNCTION("""COMPUTED_VALUE"""),72100.0)</f>
        <v>72100</v>
      </c>
      <c r="D2645" s="1">
        <f>IFERROR(__xludf.DUMMYFUNCTION("""COMPUTED_VALUE"""),71300.0)</f>
        <v>71300</v>
      </c>
      <c r="E2645" s="1">
        <f>IFERROR(__xludf.DUMMYFUNCTION("""COMPUTED_VALUE"""),71600.0)</f>
        <v>71600</v>
      </c>
      <c r="F2645" s="1">
        <f>IFERROR(__xludf.DUMMYFUNCTION("""COMPUTED_VALUE"""),1.3683532E7)</f>
        <v>13683532</v>
      </c>
    </row>
    <row r="2646">
      <c r="A2646" s="2">
        <f>IFERROR(__xludf.DUMMYFUNCTION("""COMPUTED_VALUE"""),44477.64583333333)</f>
        <v>44477.64583</v>
      </c>
      <c r="B2646" s="1">
        <f>IFERROR(__xludf.DUMMYFUNCTION("""COMPUTED_VALUE"""),72300.0)</f>
        <v>72300</v>
      </c>
      <c r="C2646" s="1">
        <f>IFERROR(__xludf.DUMMYFUNCTION("""COMPUTED_VALUE"""),72400.0)</f>
        <v>72400</v>
      </c>
      <c r="D2646" s="1">
        <f>IFERROR(__xludf.DUMMYFUNCTION("""COMPUTED_VALUE"""),71500.0)</f>
        <v>71500</v>
      </c>
      <c r="E2646" s="1">
        <f>IFERROR(__xludf.DUMMYFUNCTION("""COMPUTED_VALUE"""),71500.0)</f>
        <v>71500</v>
      </c>
      <c r="F2646" s="1">
        <f>IFERROR(__xludf.DUMMYFUNCTION("""COMPUTED_VALUE"""),1.4043287E7)</f>
        <v>14043287</v>
      </c>
    </row>
    <row r="2647">
      <c r="A2647" s="2">
        <f>IFERROR(__xludf.DUMMYFUNCTION("""COMPUTED_VALUE"""),44481.64583333333)</f>
        <v>44481.64583</v>
      </c>
      <c r="B2647" s="1">
        <f>IFERROR(__xludf.DUMMYFUNCTION("""COMPUTED_VALUE"""),70700.0)</f>
        <v>70700</v>
      </c>
      <c r="C2647" s="1">
        <f>IFERROR(__xludf.DUMMYFUNCTION("""COMPUTED_VALUE"""),70900.0)</f>
        <v>70900</v>
      </c>
      <c r="D2647" s="1">
        <f>IFERROR(__xludf.DUMMYFUNCTION("""COMPUTED_VALUE"""),68700.0)</f>
        <v>68700</v>
      </c>
      <c r="E2647" s="1">
        <f>IFERROR(__xludf.DUMMYFUNCTION("""COMPUTED_VALUE"""),69000.0)</f>
        <v>69000</v>
      </c>
      <c r="F2647" s="1">
        <f>IFERROR(__xludf.DUMMYFUNCTION("""COMPUTED_VALUE"""),3.1001484E7)</f>
        <v>31001484</v>
      </c>
    </row>
    <row r="2648">
      <c r="A2648" s="2">
        <f>IFERROR(__xludf.DUMMYFUNCTION("""COMPUTED_VALUE"""),44482.64583333333)</f>
        <v>44482.64583</v>
      </c>
      <c r="B2648" s="1">
        <f>IFERROR(__xludf.DUMMYFUNCTION("""COMPUTED_VALUE"""),68700.0)</f>
        <v>68700</v>
      </c>
      <c r="C2648" s="1">
        <f>IFERROR(__xludf.DUMMYFUNCTION("""COMPUTED_VALUE"""),69600.0)</f>
        <v>69600</v>
      </c>
      <c r="D2648" s="1">
        <f>IFERROR(__xludf.DUMMYFUNCTION("""COMPUTED_VALUE"""),68300.0)</f>
        <v>68300</v>
      </c>
      <c r="E2648" s="1">
        <f>IFERROR(__xludf.DUMMYFUNCTION("""COMPUTED_VALUE"""),68800.0)</f>
        <v>68800</v>
      </c>
      <c r="F2648" s="1">
        <f>IFERROR(__xludf.DUMMYFUNCTION("""COMPUTED_VALUE"""),2.4172015E7)</f>
        <v>24172015</v>
      </c>
    </row>
    <row r="2649">
      <c r="A2649" s="2">
        <f>IFERROR(__xludf.DUMMYFUNCTION("""COMPUTED_VALUE"""),44483.64583333333)</f>
        <v>44483.64583</v>
      </c>
      <c r="B2649" s="1">
        <f>IFERROR(__xludf.DUMMYFUNCTION("""COMPUTED_VALUE"""),69000.0)</f>
        <v>69000</v>
      </c>
      <c r="C2649" s="1">
        <f>IFERROR(__xludf.DUMMYFUNCTION("""COMPUTED_VALUE"""),69800.0)</f>
        <v>69800</v>
      </c>
      <c r="D2649" s="1">
        <f>IFERROR(__xludf.DUMMYFUNCTION("""COMPUTED_VALUE"""),68800.0)</f>
        <v>68800</v>
      </c>
      <c r="E2649" s="1">
        <f>IFERROR(__xludf.DUMMYFUNCTION("""COMPUTED_VALUE"""),69400.0)</f>
        <v>69400</v>
      </c>
      <c r="F2649" s="1">
        <f>IFERROR(__xludf.DUMMYFUNCTION("""COMPUTED_VALUE"""),1.9520641E7)</f>
        <v>19520641</v>
      </c>
    </row>
    <row r="2650">
      <c r="A2650" s="2">
        <f>IFERROR(__xludf.DUMMYFUNCTION("""COMPUTED_VALUE"""),44484.64583333333)</f>
        <v>44484.64583</v>
      </c>
      <c r="B2650" s="1">
        <f>IFERROR(__xludf.DUMMYFUNCTION("""COMPUTED_VALUE"""),70200.0)</f>
        <v>70200</v>
      </c>
      <c r="C2650" s="1">
        <f>IFERROR(__xludf.DUMMYFUNCTION("""COMPUTED_VALUE"""),71000.0)</f>
        <v>71000</v>
      </c>
      <c r="D2650" s="1">
        <f>IFERROR(__xludf.DUMMYFUNCTION("""COMPUTED_VALUE"""),70000.0)</f>
        <v>70000</v>
      </c>
      <c r="E2650" s="1">
        <f>IFERROR(__xludf.DUMMYFUNCTION("""COMPUTED_VALUE"""),70100.0)</f>
        <v>70100</v>
      </c>
      <c r="F2650" s="1">
        <f>IFERROR(__xludf.DUMMYFUNCTION("""COMPUTED_VALUE"""),1.8051612E7)</f>
        <v>18051612</v>
      </c>
    </row>
    <row r="2651">
      <c r="A2651" s="2">
        <f>IFERROR(__xludf.DUMMYFUNCTION("""COMPUTED_VALUE"""),44487.64583333333)</f>
        <v>44487.64583</v>
      </c>
      <c r="B2651" s="1">
        <f>IFERROR(__xludf.DUMMYFUNCTION("""COMPUTED_VALUE"""),70200.0)</f>
        <v>70200</v>
      </c>
      <c r="C2651" s="1">
        <f>IFERROR(__xludf.DUMMYFUNCTION("""COMPUTED_VALUE"""),70300.0)</f>
        <v>70300</v>
      </c>
      <c r="D2651" s="1">
        <f>IFERROR(__xludf.DUMMYFUNCTION("""COMPUTED_VALUE"""),69200.0)</f>
        <v>69200</v>
      </c>
      <c r="E2651" s="1">
        <f>IFERROR(__xludf.DUMMYFUNCTION("""COMPUTED_VALUE"""),70200.0)</f>
        <v>70200</v>
      </c>
      <c r="F2651" s="1">
        <f>IFERROR(__xludf.DUMMYFUNCTION("""COMPUTED_VALUE"""),1.3486391E7)</f>
        <v>13486391</v>
      </c>
    </row>
    <row r="2652">
      <c r="A2652" s="2">
        <f>IFERROR(__xludf.DUMMYFUNCTION("""COMPUTED_VALUE"""),44488.64583333333)</f>
        <v>44488.64583</v>
      </c>
      <c r="B2652" s="1">
        <f>IFERROR(__xludf.DUMMYFUNCTION("""COMPUTED_VALUE"""),70800.0)</f>
        <v>70800</v>
      </c>
      <c r="C2652" s="1">
        <f>IFERROR(__xludf.DUMMYFUNCTION("""COMPUTED_VALUE"""),71000.0)</f>
        <v>71000</v>
      </c>
      <c r="D2652" s="1">
        <f>IFERROR(__xludf.DUMMYFUNCTION("""COMPUTED_VALUE"""),70400.0)</f>
        <v>70400</v>
      </c>
      <c r="E2652" s="1">
        <f>IFERROR(__xludf.DUMMYFUNCTION("""COMPUTED_VALUE"""),70600.0)</f>
        <v>70600</v>
      </c>
      <c r="F2652" s="1">
        <f>IFERROR(__xludf.DUMMYFUNCTION("""COMPUTED_VALUE"""),9507991.0)</f>
        <v>9507991</v>
      </c>
    </row>
    <row r="2653">
      <c r="A2653" s="2">
        <f>IFERROR(__xludf.DUMMYFUNCTION("""COMPUTED_VALUE"""),44489.64583333333)</f>
        <v>44489.64583</v>
      </c>
      <c r="B2653" s="1">
        <f>IFERROR(__xludf.DUMMYFUNCTION("""COMPUTED_VALUE"""),70700.0)</f>
        <v>70700</v>
      </c>
      <c r="C2653" s="1">
        <f>IFERROR(__xludf.DUMMYFUNCTION("""COMPUTED_VALUE"""),71000.0)</f>
        <v>71000</v>
      </c>
      <c r="D2653" s="1">
        <f>IFERROR(__xludf.DUMMYFUNCTION("""COMPUTED_VALUE"""),70200.0)</f>
        <v>70200</v>
      </c>
      <c r="E2653" s="1">
        <f>IFERROR(__xludf.DUMMYFUNCTION("""COMPUTED_VALUE"""),70300.0)</f>
        <v>70300</v>
      </c>
      <c r="F2653" s="1">
        <f>IFERROR(__xludf.DUMMYFUNCTION("""COMPUTED_VALUE"""),1.0151638E7)</f>
        <v>10151638</v>
      </c>
    </row>
    <row r="2654">
      <c r="A2654" s="2">
        <f>IFERROR(__xludf.DUMMYFUNCTION("""COMPUTED_VALUE"""),44490.64583333333)</f>
        <v>44490.64583</v>
      </c>
      <c r="B2654" s="1">
        <f>IFERROR(__xludf.DUMMYFUNCTION("""COMPUTED_VALUE"""),70300.0)</f>
        <v>70300</v>
      </c>
      <c r="C2654" s="1">
        <f>IFERROR(__xludf.DUMMYFUNCTION("""COMPUTED_VALUE"""),70600.0)</f>
        <v>70600</v>
      </c>
      <c r="D2654" s="1">
        <f>IFERROR(__xludf.DUMMYFUNCTION("""COMPUTED_VALUE"""),70000.0)</f>
        <v>70000</v>
      </c>
      <c r="E2654" s="1">
        <f>IFERROR(__xludf.DUMMYFUNCTION("""COMPUTED_VALUE"""),70200.0)</f>
        <v>70200</v>
      </c>
      <c r="F2654" s="1">
        <f>IFERROR(__xludf.DUMMYFUNCTION("""COMPUTED_VALUE"""),1.0891094E7)</f>
        <v>10891094</v>
      </c>
    </row>
    <row r="2655">
      <c r="A2655" s="2">
        <f>IFERROR(__xludf.DUMMYFUNCTION("""COMPUTED_VALUE"""),44491.64583333333)</f>
        <v>44491.64583</v>
      </c>
      <c r="B2655" s="1">
        <f>IFERROR(__xludf.DUMMYFUNCTION("""COMPUTED_VALUE"""),70000.0)</f>
        <v>70000</v>
      </c>
      <c r="C2655" s="1">
        <f>IFERROR(__xludf.DUMMYFUNCTION("""COMPUTED_VALUE"""),70700.0)</f>
        <v>70700</v>
      </c>
      <c r="D2655" s="1">
        <f>IFERROR(__xludf.DUMMYFUNCTION("""COMPUTED_VALUE"""),70000.0)</f>
        <v>70000</v>
      </c>
      <c r="E2655" s="1">
        <f>IFERROR(__xludf.DUMMYFUNCTION("""COMPUTED_VALUE"""),70400.0)</f>
        <v>70400</v>
      </c>
      <c r="F2655" s="1">
        <f>IFERROR(__xludf.DUMMYFUNCTION("""COMPUTED_VALUE"""),8395448.0)</f>
        <v>8395448</v>
      </c>
    </row>
    <row r="2656">
      <c r="A2656" s="2">
        <f>IFERROR(__xludf.DUMMYFUNCTION("""COMPUTED_VALUE"""),44494.64583333333)</f>
        <v>44494.64583</v>
      </c>
      <c r="B2656" s="1">
        <f>IFERROR(__xludf.DUMMYFUNCTION("""COMPUTED_VALUE"""),69900.0)</f>
        <v>69900</v>
      </c>
      <c r="C2656" s="1">
        <f>IFERROR(__xludf.DUMMYFUNCTION("""COMPUTED_VALUE"""),70600.0)</f>
        <v>70600</v>
      </c>
      <c r="D2656" s="1">
        <f>IFERROR(__xludf.DUMMYFUNCTION("""COMPUTED_VALUE"""),69500.0)</f>
        <v>69500</v>
      </c>
      <c r="E2656" s="1">
        <f>IFERROR(__xludf.DUMMYFUNCTION("""COMPUTED_VALUE"""),70200.0)</f>
        <v>70200</v>
      </c>
      <c r="F2656" s="1">
        <f>IFERROR(__xludf.DUMMYFUNCTION("""COMPUTED_VALUE"""),1.0029621E7)</f>
        <v>10029621</v>
      </c>
    </row>
    <row r="2657">
      <c r="A2657" s="2">
        <f>IFERROR(__xludf.DUMMYFUNCTION("""COMPUTED_VALUE"""),44495.64583333333)</f>
        <v>44495.64583</v>
      </c>
      <c r="B2657" s="1">
        <f>IFERROR(__xludf.DUMMYFUNCTION("""COMPUTED_VALUE"""),70600.0)</f>
        <v>70600</v>
      </c>
      <c r="C2657" s="1">
        <f>IFERROR(__xludf.DUMMYFUNCTION("""COMPUTED_VALUE"""),71500.0)</f>
        <v>71500</v>
      </c>
      <c r="D2657" s="1">
        <f>IFERROR(__xludf.DUMMYFUNCTION("""COMPUTED_VALUE"""),70400.0)</f>
        <v>70400</v>
      </c>
      <c r="E2657" s="1">
        <f>IFERROR(__xludf.DUMMYFUNCTION("""COMPUTED_VALUE"""),71100.0)</f>
        <v>71100</v>
      </c>
      <c r="F2657" s="1">
        <f>IFERROR(__xludf.DUMMYFUNCTION("""COMPUTED_VALUE"""),1.0528252E7)</f>
        <v>10528252</v>
      </c>
    </row>
    <row r="2658">
      <c r="A2658" s="2">
        <f>IFERROR(__xludf.DUMMYFUNCTION("""COMPUTED_VALUE"""),44496.64583333333)</f>
        <v>44496.64583</v>
      </c>
      <c r="B2658" s="1">
        <f>IFERROR(__xludf.DUMMYFUNCTION("""COMPUTED_VALUE"""),71000.0)</f>
        <v>71000</v>
      </c>
      <c r="C2658" s="1">
        <f>IFERROR(__xludf.DUMMYFUNCTION("""COMPUTED_VALUE"""),71000.0)</f>
        <v>71000</v>
      </c>
      <c r="D2658" s="1">
        <f>IFERROR(__xludf.DUMMYFUNCTION("""COMPUTED_VALUE"""),70000.0)</f>
        <v>70000</v>
      </c>
      <c r="E2658" s="1">
        <f>IFERROR(__xludf.DUMMYFUNCTION("""COMPUTED_VALUE"""),70100.0)</f>
        <v>70100</v>
      </c>
      <c r="F2658" s="1">
        <f>IFERROR(__xludf.DUMMYFUNCTION("""COMPUTED_VALUE"""),1.0295316E7)</f>
        <v>10295316</v>
      </c>
    </row>
    <row r="2659">
      <c r="A2659" s="2">
        <f>IFERROR(__xludf.DUMMYFUNCTION("""COMPUTED_VALUE"""),44497.64583333333)</f>
        <v>44497.64583</v>
      </c>
      <c r="B2659" s="1">
        <f>IFERROR(__xludf.DUMMYFUNCTION("""COMPUTED_VALUE"""),69500.0)</f>
        <v>69500</v>
      </c>
      <c r="C2659" s="1">
        <f>IFERROR(__xludf.DUMMYFUNCTION("""COMPUTED_VALUE"""),72200.0)</f>
        <v>72200</v>
      </c>
      <c r="D2659" s="1">
        <f>IFERROR(__xludf.DUMMYFUNCTION("""COMPUTED_VALUE"""),69500.0)</f>
        <v>69500</v>
      </c>
      <c r="E2659" s="1">
        <f>IFERROR(__xludf.DUMMYFUNCTION("""COMPUTED_VALUE"""),70700.0)</f>
        <v>70700</v>
      </c>
      <c r="F2659" s="1">
        <f>IFERROR(__xludf.DUMMYFUNCTION("""COMPUTED_VALUE"""),2.0644902E7)</f>
        <v>20644902</v>
      </c>
    </row>
    <row r="2660">
      <c r="A2660" s="2">
        <f>IFERROR(__xludf.DUMMYFUNCTION("""COMPUTED_VALUE"""),44498.64583333333)</f>
        <v>44498.64583</v>
      </c>
      <c r="B2660" s="1">
        <f>IFERROR(__xludf.DUMMYFUNCTION("""COMPUTED_VALUE"""),71200.0)</f>
        <v>71200</v>
      </c>
      <c r="C2660" s="1">
        <f>IFERROR(__xludf.DUMMYFUNCTION("""COMPUTED_VALUE"""),71600.0)</f>
        <v>71600</v>
      </c>
      <c r="D2660" s="1">
        <f>IFERROR(__xludf.DUMMYFUNCTION("""COMPUTED_VALUE"""),69700.0)</f>
        <v>69700</v>
      </c>
      <c r="E2660" s="1">
        <f>IFERROR(__xludf.DUMMYFUNCTION("""COMPUTED_VALUE"""),69800.0)</f>
        <v>69800</v>
      </c>
      <c r="F2660" s="1">
        <f>IFERROR(__xludf.DUMMYFUNCTION("""COMPUTED_VALUE"""),1.7016151E7)</f>
        <v>17016151</v>
      </c>
    </row>
    <row r="2661">
      <c r="A2661" s="2">
        <f>IFERROR(__xludf.DUMMYFUNCTION("""COMPUTED_VALUE"""),44501.64583333333)</f>
        <v>44501.64583</v>
      </c>
      <c r="B2661" s="1">
        <f>IFERROR(__xludf.DUMMYFUNCTION("""COMPUTED_VALUE"""),70200.0)</f>
        <v>70200</v>
      </c>
      <c r="C2661" s="1">
        <f>IFERROR(__xludf.DUMMYFUNCTION("""COMPUTED_VALUE"""),70600.0)</f>
        <v>70600</v>
      </c>
      <c r="D2661" s="1">
        <f>IFERROR(__xludf.DUMMYFUNCTION("""COMPUTED_VALUE"""),69900.0)</f>
        <v>69900</v>
      </c>
      <c r="E2661" s="1">
        <f>IFERROR(__xludf.DUMMYFUNCTION("""COMPUTED_VALUE"""),69900.0)</f>
        <v>69900</v>
      </c>
      <c r="F2661" s="1">
        <f>IFERROR(__xludf.DUMMYFUNCTION("""COMPUTED_VALUE"""),1.1503729E7)</f>
        <v>11503729</v>
      </c>
    </row>
    <row r="2662">
      <c r="A2662" s="2">
        <f>IFERROR(__xludf.DUMMYFUNCTION("""COMPUTED_VALUE"""),44502.64583333333)</f>
        <v>44502.64583</v>
      </c>
      <c r="B2662" s="1">
        <f>IFERROR(__xludf.DUMMYFUNCTION("""COMPUTED_VALUE"""),70800.0)</f>
        <v>70800</v>
      </c>
      <c r="C2662" s="1">
        <f>IFERROR(__xludf.DUMMYFUNCTION("""COMPUTED_VALUE"""),72200.0)</f>
        <v>72200</v>
      </c>
      <c r="D2662" s="1">
        <f>IFERROR(__xludf.DUMMYFUNCTION("""COMPUTED_VALUE"""),70700.0)</f>
        <v>70700</v>
      </c>
      <c r="E2662" s="1">
        <f>IFERROR(__xludf.DUMMYFUNCTION("""COMPUTED_VALUE"""),71500.0)</f>
        <v>71500</v>
      </c>
      <c r="F2662" s="1">
        <f>IFERROR(__xludf.DUMMYFUNCTION("""COMPUTED_VALUE"""),1.681257E7)</f>
        <v>16812570</v>
      </c>
    </row>
    <row r="2663">
      <c r="A2663" s="2">
        <f>IFERROR(__xludf.DUMMYFUNCTION("""COMPUTED_VALUE"""),44503.64583333333)</f>
        <v>44503.64583</v>
      </c>
      <c r="B2663" s="1">
        <f>IFERROR(__xludf.DUMMYFUNCTION("""COMPUTED_VALUE"""),71700.0)</f>
        <v>71700</v>
      </c>
      <c r="C2663" s="1">
        <f>IFERROR(__xludf.DUMMYFUNCTION("""COMPUTED_VALUE"""),71700.0)</f>
        <v>71700</v>
      </c>
      <c r="D2663" s="1">
        <f>IFERROR(__xludf.DUMMYFUNCTION("""COMPUTED_VALUE"""),70100.0)</f>
        <v>70100</v>
      </c>
      <c r="E2663" s="1">
        <f>IFERROR(__xludf.DUMMYFUNCTION("""COMPUTED_VALUE"""),70400.0)</f>
        <v>70400</v>
      </c>
      <c r="F2663" s="1">
        <f>IFERROR(__xludf.DUMMYFUNCTION("""COMPUTED_VALUE"""),1.2770428E7)</f>
        <v>12770428</v>
      </c>
    </row>
    <row r="2664">
      <c r="A2664" s="2">
        <f>IFERROR(__xludf.DUMMYFUNCTION("""COMPUTED_VALUE"""),44504.64583333333)</f>
        <v>44504.64583</v>
      </c>
      <c r="B2664" s="1">
        <f>IFERROR(__xludf.DUMMYFUNCTION("""COMPUTED_VALUE"""),71200.0)</f>
        <v>71200</v>
      </c>
      <c r="C2664" s="1">
        <f>IFERROR(__xludf.DUMMYFUNCTION("""COMPUTED_VALUE"""),71600.0)</f>
        <v>71600</v>
      </c>
      <c r="D2664" s="1">
        <f>IFERROR(__xludf.DUMMYFUNCTION("""COMPUTED_VALUE"""),70500.0)</f>
        <v>70500</v>
      </c>
      <c r="E2664" s="1">
        <f>IFERROR(__xludf.DUMMYFUNCTION("""COMPUTED_VALUE"""),70600.0)</f>
        <v>70600</v>
      </c>
      <c r="F2664" s="1">
        <f>IFERROR(__xludf.DUMMYFUNCTION("""COMPUTED_VALUE"""),1.1818987E7)</f>
        <v>11818987</v>
      </c>
    </row>
    <row r="2665">
      <c r="A2665" s="2">
        <f>IFERROR(__xludf.DUMMYFUNCTION("""COMPUTED_VALUE"""),44505.64583333333)</f>
        <v>44505.64583</v>
      </c>
      <c r="B2665" s="1">
        <f>IFERROR(__xludf.DUMMYFUNCTION("""COMPUTED_VALUE"""),71600.0)</f>
        <v>71600</v>
      </c>
      <c r="C2665" s="1">
        <f>IFERROR(__xludf.DUMMYFUNCTION("""COMPUTED_VALUE"""),71600.0)</f>
        <v>71600</v>
      </c>
      <c r="D2665" s="1">
        <f>IFERROR(__xludf.DUMMYFUNCTION("""COMPUTED_VALUE"""),70200.0)</f>
        <v>70200</v>
      </c>
      <c r="E2665" s="1">
        <f>IFERROR(__xludf.DUMMYFUNCTION("""COMPUTED_VALUE"""),70200.0)</f>
        <v>70200</v>
      </c>
      <c r="F2665" s="1">
        <f>IFERROR(__xludf.DUMMYFUNCTION("""COMPUTED_VALUE"""),1.2667743E7)</f>
        <v>12667743</v>
      </c>
    </row>
    <row r="2666">
      <c r="A2666" s="2">
        <f>IFERROR(__xludf.DUMMYFUNCTION("""COMPUTED_VALUE"""),44508.64583333333)</f>
        <v>44508.64583</v>
      </c>
      <c r="B2666" s="1">
        <f>IFERROR(__xludf.DUMMYFUNCTION("""COMPUTED_VALUE"""),70400.0)</f>
        <v>70400</v>
      </c>
      <c r="C2666" s="1">
        <f>IFERROR(__xludf.DUMMYFUNCTION("""COMPUTED_VALUE"""),70600.0)</f>
        <v>70600</v>
      </c>
      <c r="D2666" s="1">
        <f>IFERROR(__xludf.DUMMYFUNCTION("""COMPUTED_VALUE"""),69800.0)</f>
        <v>69800</v>
      </c>
      <c r="E2666" s="1">
        <f>IFERROR(__xludf.DUMMYFUNCTION("""COMPUTED_VALUE"""),70600.0)</f>
        <v>70600</v>
      </c>
      <c r="F2666" s="1">
        <f>IFERROR(__xludf.DUMMYFUNCTION("""COMPUTED_VALUE"""),1.1121981E7)</f>
        <v>11121981</v>
      </c>
    </row>
    <row r="2667">
      <c r="A2667" s="2">
        <f>IFERROR(__xludf.DUMMYFUNCTION("""COMPUTED_VALUE"""),44509.64583333333)</f>
        <v>44509.64583</v>
      </c>
      <c r="B2667" s="1">
        <f>IFERROR(__xludf.DUMMYFUNCTION("""COMPUTED_VALUE"""),70300.0)</f>
        <v>70300</v>
      </c>
      <c r="C2667" s="1">
        <f>IFERROR(__xludf.DUMMYFUNCTION("""COMPUTED_VALUE"""),71000.0)</f>
        <v>71000</v>
      </c>
      <c r="D2667" s="1">
        <f>IFERROR(__xludf.DUMMYFUNCTION("""COMPUTED_VALUE"""),70100.0)</f>
        <v>70100</v>
      </c>
      <c r="E2667" s="1">
        <f>IFERROR(__xludf.DUMMYFUNCTION("""COMPUTED_VALUE"""),70500.0)</f>
        <v>70500</v>
      </c>
      <c r="F2667" s="1">
        <f>IFERROR(__xludf.DUMMYFUNCTION("""COMPUTED_VALUE"""),1.1159589E7)</f>
        <v>11159589</v>
      </c>
    </row>
    <row r="2668">
      <c r="A2668" s="2">
        <f>IFERROR(__xludf.DUMMYFUNCTION("""COMPUTED_VALUE"""),44510.64583333333)</f>
        <v>44510.64583</v>
      </c>
      <c r="B2668" s="1">
        <f>IFERROR(__xludf.DUMMYFUNCTION("""COMPUTED_VALUE"""),70300.0)</f>
        <v>70300</v>
      </c>
      <c r="C2668" s="1">
        <f>IFERROR(__xludf.DUMMYFUNCTION("""COMPUTED_VALUE"""),70900.0)</f>
        <v>70900</v>
      </c>
      <c r="D2668" s="1">
        <f>IFERROR(__xludf.DUMMYFUNCTION("""COMPUTED_VALUE"""),70200.0)</f>
        <v>70200</v>
      </c>
      <c r="E2668" s="1">
        <f>IFERROR(__xludf.DUMMYFUNCTION("""COMPUTED_VALUE"""),70200.0)</f>
        <v>70200</v>
      </c>
      <c r="F2668" s="1">
        <f>IFERROR(__xludf.DUMMYFUNCTION("""COMPUTED_VALUE"""),9422009.0)</f>
        <v>9422009</v>
      </c>
    </row>
    <row r="2669">
      <c r="A2669" s="2">
        <f>IFERROR(__xludf.DUMMYFUNCTION("""COMPUTED_VALUE"""),44511.64583333333)</f>
        <v>44511.64583</v>
      </c>
      <c r="B2669" s="1">
        <f>IFERROR(__xludf.DUMMYFUNCTION("""COMPUTED_VALUE"""),69900.0)</f>
        <v>69900</v>
      </c>
      <c r="C2669" s="1">
        <f>IFERROR(__xludf.DUMMYFUNCTION("""COMPUTED_VALUE"""),70000.0)</f>
        <v>70000</v>
      </c>
      <c r="D2669" s="1">
        <f>IFERROR(__xludf.DUMMYFUNCTION("""COMPUTED_VALUE"""),69600.0)</f>
        <v>69600</v>
      </c>
      <c r="E2669" s="1">
        <f>IFERROR(__xludf.DUMMYFUNCTION("""COMPUTED_VALUE"""),69900.0)</f>
        <v>69900</v>
      </c>
      <c r="F2669" s="1">
        <f>IFERROR(__xludf.DUMMYFUNCTION("""COMPUTED_VALUE"""),1.1489122E7)</f>
        <v>11489122</v>
      </c>
    </row>
    <row r="2670">
      <c r="A2670" s="2">
        <f>IFERROR(__xludf.DUMMYFUNCTION("""COMPUTED_VALUE"""),44512.64583333333)</f>
        <v>44512.64583</v>
      </c>
      <c r="B2670" s="1">
        <f>IFERROR(__xludf.DUMMYFUNCTION("""COMPUTED_VALUE"""),70200.0)</f>
        <v>70200</v>
      </c>
      <c r="C2670" s="1">
        <f>IFERROR(__xludf.DUMMYFUNCTION("""COMPUTED_VALUE"""),70900.0)</f>
        <v>70900</v>
      </c>
      <c r="D2670" s="1">
        <f>IFERROR(__xludf.DUMMYFUNCTION("""COMPUTED_VALUE"""),69900.0)</f>
        <v>69900</v>
      </c>
      <c r="E2670" s="1">
        <f>IFERROR(__xludf.DUMMYFUNCTION("""COMPUTED_VALUE"""),70600.0)</f>
        <v>70600</v>
      </c>
      <c r="F2670" s="1">
        <f>IFERROR(__xludf.DUMMYFUNCTION("""COMPUTED_VALUE"""),1.008745E7)</f>
        <v>10087450</v>
      </c>
    </row>
    <row r="2671">
      <c r="A2671" s="2">
        <f>IFERROR(__xludf.DUMMYFUNCTION("""COMPUTED_VALUE"""),44515.64583333333)</f>
        <v>44515.64583</v>
      </c>
      <c r="B2671" s="1">
        <f>IFERROR(__xludf.DUMMYFUNCTION("""COMPUTED_VALUE"""),71700.0)</f>
        <v>71700</v>
      </c>
      <c r="C2671" s="1">
        <f>IFERROR(__xludf.DUMMYFUNCTION("""COMPUTED_VALUE"""),71900.0)</f>
        <v>71900</v>
      </c>
      <c r="D2671" s="1">
        <f>IFERROR(__xludf.DUMMYFUNCTION("""COMPUTED_VALUE"""),70900.0)</f>
        <v>70900</v>
      </c>
      <c r="E2671" s="1">
        <f>IFERROR(__xludf.DUMMYFUNCTION("""COMPUTED_VALUE"""),71400.0)</f>
        <v>71400</v>
      </c>
      <c r="F2671" s="1">
        <f>IFERROR(__xludf.DUMMYFUNCTION("""COMPUTED_VALUE"""),1.242071E7)</f>
        <v>12420710</v>
      </c>
    </row>
    <row r="2672">
      <c r="A2672" s="2">
        <f>IFERROR(__xludf.DUMMYFUNCTION("""COMPUTED_VALUE"""),44516.64583333333)</f>
        <v>44516.64583</v>
      </c>
      <c r="B2672" s="1">
        <f>IFERROR(__xludf.DUMMYFUNCTION("""COMPUTED_VALUE"""),71500.0)</f>
        <v>71500</v>
      </c>
      <c r="C2672" s="1">
        <f>IFERROR(__xludf.DUMMYFUNCTION("""COMPUTED_VALUE"""),72000.0)</f>
        <v>72000</v>
      </c>
      <c r="D2672" s="1">
        <f>IFERROR(__xludf.DUMMYFUNCTION("""COMPUTED_VALUE"""),71300.0)</f>
        <v>71300</v>
      </c>
      <c r="E2672" s="1">
        <f>IFERROR(__xludf.DUMMYFUNCTION("""COMPUTED_VALUE"""),71300.0)</f>
        <v>71300</v>
      </c>
      <c r="F2672" s="1">
        <f>IFERROR(__xludf.DUMMYFUNCTION("""COMPUTED_VALUE"""),1.0919239E7)</f>
        <v>10919239</v>
      </c>
    </row>
    <row r="2673">
      <c r="A2673" s="2">
        <f>IFERROR(__xludf.DUMMYFUNCTION("""COMPUTED_VALUE"""),44517.64583333333)</f>
        <v>44517.64583</v>
      </c>
      <c r="B2673" s="1">
        <f>IFERROR(__xludf.DUMMYFUNCTION("""COMPUTED_VALUE"""),71300.0)</f>
        <v>71300</v>
      </c>
      <c r="C2673" s="1">
        <f>IFERROR(__xludf.DUMMYFUNCTION("""COMPUTED_VALUE"""),71600.0)</f>
        <v>71600</v>
      </c>
      <c r="D2673" s="1">
        <f>IFERROR(__xludf.DUMMYFUNCTION("""COMPUTED_VALUE"""),70600.0)</f>
        <v>70600</v>
      </c>
      <c r="E2673" s="1">
        <f>IFERROR(__xludf.DUMMYFUNCTION("""COMPUTED_VALUE"""),70700.0)</f>
        <v>70700</v>
      </c>
      <c r="F2673" s="1">
        <f>IFERROR(__xludf.DUMMYFUNCTION("""COMPUTED_VALUE"""),1.1027606E7)</f>
        <v>11027606</v>
      </c>
    </row>
    <row r="2674">
      <c r="A2674" s="2">
        <f>IFERROR(__xludf.DUMMYFUNCTION("""COMPUTED_VALUE"""),44518.64583333333)</f>
        <v>44518.64583</v>
      </c>
      <c r="B2674" s="1">
        <f>IFERROR(__xludf.DUMMYFUNCTION("""COMPUTED_VALUE"""),70700.0)</f>
        <v>70700</v>
      </c>
      <c r="C2674" s="1">
        <f>IFERROR(__xludf.DUMMYFUNCTION("""COMPUTED_VALUE"""),71000.0)</f>
        <v>71000</v>
      </c>
      <c r="D2674" s="1">
        <f>IFERROR(__xludf.DUMMYFUNCTION("""COMPUTED_VALUE"""),70200.0)</f>
        <v>70200</v>
      </c>
      <c r="E2674" s="1">
        <f>IFERROR(__xludf.DUMMYFUNCTION("""COMPUTED_VALUE"""),70200.0)</f>
        <v>70200</v>
      </c>
      <c r="F2674" s="1">
        <f>IFERROR(__xludf.DUMMYFUNCTION("""COMPUTED_VALUE"""),1.0144957E7)</f>
        <v>10144957</v>
      </c>
    </row>
    <row r="2675">
      <c r="A2675" s="2">
        <f>IFERROR(__xludf.DUMMYFUNCTION("""COMPUTED_VALUE"""),44519.64583333333)</f>
        <v>44519.64583</v>
      </c>
      <c r="B2675" s="1">
        <f>IFERROR(__xludf.DUMMYFUNCTION("""COMPUTED_VALUE"""),70400.0)</f>
        <v>70400</v>
      </c>
      <c r="C2675" s="1">
        <f>IFERROR(__xludf.DUMMYFUNCTION("""COMPUTED_VALUE"""),71400.0)</f>
        <v>71400</v>
      </c>
      <c r="D2675" s="1">
        <f>IFERROR(__xludf.DUMMYFUNCTION("""COMPUTED_VALUE"""),70100.0)</f>
        <v>70100</v>
      </c>
      <c r="E2675" s="1">
        <f>IFERROR(__xludf.DUMMYFUNCTION("""COMPUTED_VALUE"""),71200.0)</f>
        <v>71200</v>
      </c>
      <c r="F2675" s="1">
        <f>IFERROR(__xludf.DUMMYFUNCTION("""COMPUTED_VALUE"""),1.1954728E7)</f>
        <v>11954728</v>
      </c>
    </row>
    <row r="2676">
      <c r="A2676" s="2">
        <f>IFERROR(__xludf.DUMMYFUNCTION("""COMPUTED_VALUE"""),44522.64583333333)</f>
        <v>44522.64583</v>
      </c>
      <c r="B2676" s="1">
        <f>IFERROR(__xludf.DUMMYFUNCTION("""COMPUTED_VALUE"""),73300.0)</f>
        <v>73300</v>
      </c>
      <c r="C2676" s="1">
        <f>IFERROR(__xludf.DUMMYFUNCTION("""COMPUTED_VALUE"""),75200.0)</f>
        <v>75200</v>
      </c>
      <c r="D2676" s="1">
        <f>IFERROR(__xludf.DUMMYFUNCTION("""COMPUTED_VALUE"""),73000.0)</f>
        <v>73000</v>
      </c>
      <c r="E2676" s="1">
        <f>IFERROR(__xludf.DUMMYFUNCTION("""COMPUTED_VALUE"""),74900.0)</f>
        <v>74900</v>
      </c>
      <c r="F2676" s="1">
        <f>IFERROR(__xludf.DUMMYFUNCTION("""COMPUTED_VALUE"""),2.7506623E7)</f>
        <v>27506623</v>
      </c>
    </row>
    <row r="2677">
      <c r="A2677" s="2">
        <f>IFERROR(__xludf.DUMMYFUNCTION("""COMPUTED_VALUE"""),44523.64583333333)</f>
        <v>44523.64583</v>
      </c>
      <c r="B2677" s="1">
        <f>IFERROR(__xludf.DUMMYFUNCTION("""COMPUTED_VALUE"""),76000.0)</f>
        <v>76000</v>
      </c>
      <c r="C2677" s="1">
        <f>IFERROR(__xludf.DUMMYFUNCTION("""COMPUTED_VALUE"""),76000.0)</f>
        <v>76000</v>
      </c>
      <c r="D2677" s="1">
        <f>IFERROR(__xludf.DUMMYFUNCTION("""COMPUTED_VALUE"""),74500.0)</f>
        <v>74500</v>
      </c>
      <c r="E2677" s="1">
        <f>IFERROR(__xludf.DUMMYFUNCTION("""COMPUTED_VALUE"""),75300.0)</f>
        <v>75300</v>
      </c>
      <c r="F2677" s="1">
        <f>IFERROR(__xludf.DUMMYFUNCTION("""COMPUTED_VALUE"""),2.2029195E7)</f>
        <v>22029195</v>
      </c>
    </row>
    <row r="2678">
      <c r="A2678" s="2">
        <f>IFERROR(__xludf.DUMMYFUNCTION("""COMPUTED_VALUE"""),44524.64583333333)</f>
        <v>44524.64583</v>
      </c>
      <c r="B2678" s="1">
        <f>IFERROR(__xludf.DUMMYFUNCTION("""COMPUTED_VALUE"""),76000.0)</f>
        <v>76000</v>
      </c>
      <c r="C2678" s="1">
        <f>IFERROR(__xludf.DUMMYFUNCTION("""COMPUTED_VALUE"""),76200.0)</f>
        <v>76200</v>
      </c>
      <c r="D2678" s="1">
        <f>IFERROR(__xludf.DUMMYFUNCTION("""COMPUTED_VALUE"""),74100.0)</f>
        <v>74100</v>
      </c>
      <c r="E2678" s="1">
        <f>IFERROR(__xludf.DUMMYFUNCTION("""COMPUTED_VALUE"""),74800.0)</f>
        <v>74800</v>
      </c>
      <c r="F2678" s="1">
        <f>IFERROR(__xludf.DUMMYFUNCTION("""COMPUTED_VALUE"""),1.5652305E7)</f>
        <v>15652305</v>
      </c>
    </row>
    <row r="2679">
      <c r="A2679" s="2">
        <f>IFERROR(__xludf.DUMMYFUNCTION("""COMPUTED_VALUE"""),44525.64583333333)</f>
        <v>44525.64583</v>
      </c>
      <c r="B2679" s="1">
        <f>IFERROR(__xludf.DUMMYFUNCTION("""COMPUTED_VALUE"""),75100.0)</f>
        <v>75100</v>
      </c>
      <c r="C2679" s="1">
        <f>IFERROR(__xludf.DUMMYFUNCTION("""COMPUTED_VALUE"""),75100.0)</f>
        <v>75100</v>
      </c>
      <c r="D2679" s="1">
        <f>IFERROR(__xludf.DUMMYFUNCTION("""COMPUTED_VALUE"""),73600.0)</f>
        <v>73600</v>
      </c>
      <c r="E2679" s="1">
        <f>IFERROR(__xludf.DUMMYFUNCTION("""COMPUTED_VALUE"""),73700.0)</f>
        <v>73700</v>
      </c>
      <c r="F2679" s="1">
        <f>IFERROR(__xludf.DUMMYFUNCTION("""COMPUTED_VALUE"""),1.2559258E7)</f>
        <v>12559258</v>
      </c>
    </row>
    <row r="2680">
      <c r="A2680" s="2">
        <f>IFERROR(__xludf.DUMMYFUNCTION("""COMPUTED_VALUE"""),44526.64583333333)</f>
        <v>44526.64583</v>
      </c>
      <c r="B2680" s="1">
        <f>IFERROR(__xludf.DUMMYFUNCTION("""COMPUTED_VALUE"""),73500.0)</f>
        <v>73500</v>
      </c>
      <c r="C2680" s="1">
        <f>IFERROR(__xludf.DUMMYFUNCTION("""COMPUTED_VALUE"""),74100.0)</f>
        <v>74100</v>
      </c>
      <c r="D2680" s="1">
        <f>IFERROR(__xludf.DUMMYFUNCTION("""COMPUTED_VALUE"""),72000.0)</f>
        <v>72000</v>
      </c>
      <c r="E2680" s="1">
        <f>IFERROR(__xludf.DUMMYFUNCTION("""COMPUTED_VALUE"""),72300.0)</f>
        <v>72300</v>
      </c>
      <c r="F2680" s="1">
        <f>IFERROR(__xludf.DUMMYFUNCTION("""COMPUTED_VALUE"""),1.3002242E7)</f>
        <v>13002242</v>
      </c>
    </row>
    <row r="2681">
      <c r="A2681" s="2">
        <f>IFERROR(__xludf.DUMMYFUNCTION("""COMPUTED_VALUE"""),44529.64583333333)</f>
        <v>44529.64583</v>
      </c>
      <c r="B2681" s="1">
        <f>IFERROR(__xludf.DUMMYFUNCTION("""COMPUTED_VALUE"""),71700.0)</f>
        <v>71700</v>
      </c>
      <c r="C2681" s="1">
        <f>IFERROR(__xludf.DUMMYFUNCTION("""COMPUTED_VALUE"""),73000.0)</f>
        <v>73000</v>
      </c>
      <c r="D2681" s="1">
        <f>IFERROR(__xludf.DUMMYFUNCTION("""COMPUTED_VALUE"""),71400.0)</f>
        <v>71400</v>
      </c>
      <c r="E2681" s="1">
        <f>IFERROR(__xludf.DUMMYFUNCTION("""COMPUTED_VALUE"""),72300.0)</f>
        <v>72300</v>
      </c>
      <c r="F2681" s="1">
        <f>IFERROR(__xludf.DUMMYFUNCTION("""COMPUTED_VALUE"""),1.6682559E7)</f>
        <v>16682559</v>
      </c>
    </row>
    <row r="2682">
      <c r="A2682" s="2">
        <f>IFERROR(__xludf.DUMMYFUNCTION("""COMPUTED_VALUE"""),44530.64583333333)</f>
        <v>44530.64583</v>
      </c>
      <c r="B2682" s="1">
        <f>IFERROR(__xludf.DUMMYFUNCTION("""COMPUTED_VALUE"""),73200.0)</f>
        <v>73200</v>
      </c>
      <c r="C2682" s="1">
        <f>IFERROR(__xludf.DUMMYFUNCTION("""COMPUTED_VALUE"""),73900.0)</f>
        <v>73900</v>
      </c>
      <c r="D2682" s="1">
        <f>IFERROR(__xludf.DUMMYFUNCTION("""COMPUTED_VALUE"""),70500.0)</f>
        <v>70500</v>
      </c>
      <c r="E2682" s="1">
        <f>IFERROR(__xludf.DUMMYFUNCTION("""COMPUTED_VALUE"""),71300.0)</f>
        <v>71300</v>
      </c>
      <c r="F2682" s="1">
        <f>IFERROR(__xludf.DUMMYFUNCTION("""COMPUTED_VALUE"""),3.0364841E7)</f>
        <v>30364841</v>
      </c>
    </row>
    <row r="2683">
      <c r="A2683" s="2">
        <f>IFERROR(__xludf.DUMMYFUNCTION("""COMPUTED_VALUE"""),44531.64583333333)</f>
        <v>44531.64583</v>
      </c>
      <c r="B2683" s="1">
        <f>IFERROR(__xludf.DUMMYFUNCTION("""COMPUTED_VALUE"""),72000.0)</f>
        <v>72000</v>
      </c>
      <c r="C2683" s="1">
        <f>IFERROR(__xludf.DUMMYFUNCTION("""COMPUTED_VALUE"""),74800.0)</f>
        <v>74800</v>
      </c>
      <c r="D2683" s="1">
        <f>IFERROR(__xludf.DUMMYFUNCTION("""COMPUTED_VALUE"""),71600.0)</f>
        <v>71600</v>
      </c>
      <c r="E2683" s="1">
        <f>IFERROR(__xludf.DUMMYFUNCTION("""COMPUTED_VALUE"""),74400.0)</f>
        <v>74400</v>
      </c>
      <c r="F2683" s="1">
        <f>IFERROR(__xludf.DUMMYFUNCTION("""COMPUTED_VALUE"""),2.1954856E7)</f>
        <v>21954856</v>
      </c>
    </row>
    <row r="2684">
      <c r="A2684" s="2">
        <f>IFERROR(__xludf.DUMMYFUNCTION("""COMPUTED_VALUE"""),44532.64583333333)</f>
        <v>44532.64583</v>
      </c>
      <c r="B2684" s="1">
        <f>IFERROR(__xludf.DUMMYFUNCTION("""COMPUTED_VALUE"""),73900.0)</f>
        <v>73900</v>
      </c>
      <c r="C2684" s="1">
        <f>IFERROR(__xludf.DUMMYFUNCTION("""COMPUTED_VALUE"""),75800.0)</f>
        <v>75800</v>
      </c>
      <c r="D2684" s="1">
        <f>IFERROR(__xludf.DUMMYFUNCTION("""COMPUTED_VALUE"""),73800.0)</f>
        <v>73800</v>
      </c>
      <c r="E2684" s="1">
        <f>IFERROR(__xludf.DUMMYFUNCTION("""COMPUTED_VALUE"""),75800.0)</f>
        <v>75800</v>
      </c>
      <c r="F2684" s="1">
        <f>IFERROR(__xludf.DUMMYFUNCTION("""COMPUTED_VALUE"""),2.365294E7)</f>
        <v>23652940</v>
      </c>
    </row>
    <row r="2685">
      <c r="A2685" s="2">
        <f>IFERROR(__xludf.DUMMYFUNCTION("""COMPUTED_VALUE"""),44533.64583333333)</f>
        <v>44533.64583</v>
      </c>
      <c r="B2685" s="1">
        <f>IFERROR(__xludf.DUMMYFUNCTION("""COMPUTED_VALUE"""),75600.0)</f>
        <v>75600</v>
      </c>
      <c r="C2685" s="1">
        <f>IFERROR(__xludf.DUMMYFUNCTION("""COMPUTED_VALUE"""),76000.0)</f>
        <v>76000</v>
      </c>
      <c r="D2685" s="1">
        <f>IFERROR(__xludf.DUMMYFUNCTION("""COMPUTED_VALUE"""),74100.0)</f>
        <v>74100</v>
      </c>
      <c r="E2685" s="1">
        <f>IFERROR(__xludf.DUMMYFUNCTION("""COMPUTED_VALUE"""),75600.0)</f>
        <v>75600</v>
      </c>
      <c r="F2685" s="1">
        <f>IFERROR(__xludf.DUMMYFUNCTION("""COMPUTED_VALUE"""),1.833024E7)</f>
        <v>18330240</v>
      </c>
    </row>
    <row r="2686">
      <c r="A2686" s="2">
        <f>IFERROR(__xludf.DUMMYFUNCTION("""COMPUTED_VALUE"""),44536.64583333333)</f>
        <v>44536.64583</v>
      </c>
      <c r="B2686" s="1">
        <f>IFERROR(__xludf.DUMMYFUNCTION("""COMPUTED_VALUE"""),75100.0)</f>
        <v>75100</v>
      </c>
      <c r="C2686" s="1">
        <f>IFERROR(__xludf.DUMMYFUNCTION("""COMPUTED_VALUE"""),76700.0)</f>
        <v>76700</v>
      </c>
      <c r="D2686" s="1">
        <f>IFERROR(__xludf.DUMMYFUNCTION("""COMPUTED_VALUE"""),74900.0)</f>
        <v>74900</v>
      </c>
      <c r="E2686" s="1">
        <f>IFERROR(__xludf.DUMMYFUNCTION("""COMPUTED_VALUE"""),76300.0)</f>
        <v>76300</v>
      </c>
      <c r="F2686" s="1">
        <f>IFERROR(__xludf.DUMMYFUNCTION("""COMPUTED_VALUE"""),1.639125E7)</f>
        <v>16391250</v>
      </c>
    </row>
    <row r="2687">
      <c r="A2687" s="2">
        <f>IFERROR(__xludf.DUMMYFUNCTION("""COMPUTED_VALUE"""),44537.64583333333)</f>
        <v>44537.64583</v>
      </c>
      <c r="B2687" s="1">
        <f>IFERROR(__xludf.DUMMYFUNCTION("""COMPUTED_VALUE"""),76100.0)</f>
        <v>76100</v>
      </c>
      <c r="C2687" s="1">
        <f>IFERROR(__xludf.DUMMYFUNCTION("""COMPUTED_VALUE"""),77700.0)</f>
        <v>77700</v>
      </c>
      <c r="D2687" s="1">
        <f>IFERROR(__xludf.DUMMYFUNCTION("""COMPUTED_VALUE"""),75600.0)</f>
        <v>75600</v>
      </c>
      <c r="E2687" s="1">
        <f>IFERROR(__xludf.DUMMYFUNCTION("""COMPUTED_VALUE"""),77400.0)</f>
        <v>77400</v>
      </c>
      <c r="F2687" s="1">
        <f>IFERROR(__xludf.DUMMYFUNCTION("""COMPUTED_VALUE"""),1.9232453E7)</f>
        <v>19232453</v>
      </c>
    </row>
    <row r="2688">
      <c r="A2688" s="2">
        <f>IFERROR(__xludf.DUMMYFUNCTION("""COMPUTED_VALUE"""),44538.64583333333)</f>
        <v>44538.64583</v>
      </c>
      <c r="B2688" s="1">
        <f>IFERROR(__xludf.DUMMYFUNCTION("""COMPUTED_VALUE"""),78300.0)</f>
        <v>78300</v>
      </c>
      <c r="C2688" s="1">
        <f>IFERROR(__xludf.DUMMYFUNCTION("""COMPUTED_VALUE"""),78600.0)</f>
        <v>78600</v>
      </c>
      <c r="D2688" s="1">
        <f>IFERROR(__xludf.DUMMYFUNCTION("""COMPUTED_VALUE"""),77100.0)</f>
        <v>77100</v>
      </c>
      <c r="E2688" s="1">
        <f>IFERROR(__xludf.DUMMYFUNCTION("""COMPUTED_VALUE"""),77400.0)</f>
        <v>77400</v>
      </c>
      <c r="F2688" s="1">
        <f>IFERROR(__xludf.DUMMYFUNCTION("""COMPUTED_VALUE"""),2.155834E7)</f>
        <v>21558340</v>
      </c>
    </row>
    <row r="2689">
      <c r="A2689" s="2">
        <f>IFERROR(__xludf.DUMMYFUNCTION("""COMPUTED_VALUE"""),44539.64583333333)</f>
        <v>44539.64583</v>
      </c>
      <c r="B2689" s="1">
        <f>IFERROR(__xludf.DUMMYFUNCTION("""COMPUTED_VALUE"""),77400.0)</f>
        <v>77400</v>
      </c>
      <c r="C2689" s="1">
        <f>IFERROR(__xludf.DUMMYFUNCTION("""COMPUTED_VALUE"""),78200.0)</f>
        <v>78200</v>
      </c>
      <c r="D2689" s="1">
        <f>IFERROR(__xludf.DUMMYFUNCTION("""COMPUTED_VALUE"""),77000.0)</f>
        <v>77000</v>
      </c>
      <c r="E2689" s="1">
        <f>IFERROR(__xludf.DUMMYFUNCTION("""COMPUTED_VALUE"""),78200.0)</f>
        <v>78200</v>
      </c>
      <c r="F2689" s="1">
        <f>IFERROR(__xludf.DUMMYFUNCTION("""COMPUTED_VALUE"""),2.1604528E7)</f>
        <v>21604528</v>
      </c>
    </row>
    <row r="2690">
      <c r="A2690" s="2">
        <f>IFERROR(__xludf.DUMMYFUNCTION("""COMPUTED_VALUE"""),44540.64583333333)</f>
        <v>44540.64583</v>
      </c>
      <c r="B2690" s="1">
        <f>IFERROR(__xludf.DUMMYFUNCTION("""COMPUTED_VALUE"""),77400.0)</f>
        <v>77400</v>
      </c>
      <c r="C2690" s="1">
        <f>IFERROR(__xludf.DUMMYFUNCTION("""COMPUTED_VALUE"""),77600.0)</f>
        <v>77600</v>
      </c>
      <c r="D2690" s="1">
        <f>IFERROR(__xludf.DUMMYFUNCTION("""COMPUTED_VALUE"""),76800.0)</f>
        <v>76800</v>
      </c>
      <c r="E2690" s="1">
        <f>IFERROR(__xludf.DUMMYFUNCTION("""COMPUTED_VALUE"""),76900.0)</f>
        <v>76900</v>
      </c>
      <c r="F2690" s="1">
        <f>IFERROR(__xludf.DUMMYFUNCTION("""COMPUTED_VALUE"""),9155219.0)</f>
        <v>9155219</v>
      </c>
    </row>
    <row r="2691">
      <c r="A2691" s="2">
        <f>IFERROR(__xludf.DUMMYFUNCTION("""COMPUTED_VALUE"""),44543.64583333333)</f>
        <v>44543.64583</v>
      </c>
      <c r="B2691" s="1">
        <f>IFERROR(__xludf.DUMMYFUNCTION("""COMPUTED_VALUE"""),77200.0)</f>
        <v>77200</v>
      </c>
      <c r="C2691" s="1">
        <f>IFERROR(__xludf.DUMMYFUNCTION("""COMPUTED_VALUE"""),78300.0)</f>
        <v>78300</v>
      </c>
      <c r="D2691" s="1">
        <f>IFERROR(__xludf.DUMMYFUNCTION("""COMPUTED_VALUE"""),76500.0)</f>
        <v>76500</v>
      </c>
      <c r="E2691" s="1">
        <f>IFERROR(__xludf.DUMMYFUNCTION("""COMPUTED_VALUE"""),76800.0)</f>
        <v>76800</v>
      </c>
      <c r="F2691" s="1">
        <f>IFERROR(__xludf.DUMMYFUNCTION("""COMPUTED_VALUE"""),1.503875E7)</f>
        <v>15038750</v>
      </c>
    </row>
    <row r="2692">
      <c r="A2692" s="2">
        <f>IFERROR(__xludf.DUMMYFUNCTION("""COMPUTED_VALUE"""),44544.64583333333)</f>
        <v>44544.64583</v>
      </c>
      <c r="B2692" s="1">
        <f>IFERROR(__xludf.DUMMYFUNCTION("""COMPUTED_VALUE"""),76500.0)</f>
        <v>76500</v>
      </c>
      <c r="C2692" s="1">
        <f>IFERROR(__xludf.DUMMYFUNCTION("""COMPUTED_VALUE"""),77200.0)</f>
        <v>77200</v>
      </c>
      <c r="D2692" s="1">
        <f>IFERROR(__xludf.DUMMYFUNCTION("""COMPUTED_VALUE"""),76200.0)</f>
        <v>76200</v>
      </c>
      <c r="E2692" s="1">
        <f>IFERROR(__xludf.DUMMYFUNCTION("""COMPUTED_VALUE"""),77000.0)</f>
        <v>77000</v>
      </c>
      <c r="F2692" s="1">
        <f>IFERROR(__xludf.DUMMYFUNCTION("""COMPUTED_VALUE"""),1.097666E7)</f>
        <v>10976660</v>
      </c>
    </row>
    <row r="2693">
      <c r="A2693" s="2">
        <f>IFERROR(__xludf.DUMMYFUNCTION("""COMPUTED_VALUE"""),44545.64583333333)</f>
        <v>44545.64583</v>
      </c>
      <c r="B2693" s="1">
        <f>IFERROR(__xludf.DUMMYFUNCTION("""COMPUTED_VALUE"""),76400.0)</f>
        <v>76400</v>
      </c>
      <c r="C2693" s="1">
        <f>IFERROR(__xludf.DUMMYFUNCTION("""COMPUTED_VALUE"""),77600.0)</f>
        <v>77600</v>
      </c>
      <c r="D2693" s="1">
        <f>IFERROR(__xludf.DUMMYFUNCTION("""COMPUTED_VALUE"""),76300.0)</f>
        <v>76300</v>
      </c>
      <c r="E2693" s="1">
        <f>IFERROR(__xludf.DUMMYFUNCTION("""COMPUTED_VALUE"""),77600.0)</f>
        <v>77600</v>
      </c>
      <c r="F2693" s="1">
        <f>IFERROR(__xludf.DUMMYFUNCTION("""COMPUTED_VALUE"""),9584939.0)</f>
        <v>9584939</v>
      </c>
    </row>
    <row r="2694">
      <c r="A2694" s="2">
        <f>IFERROR(__xludf.DUMMYFUNCTION("""COMPUTED_VALUE"""),44546.64583333333)</f>
        <v>44546.64583</v>
      </c>
      <c r="B2694" s="1">
        <f>IFERROR(__xludf.DUMMYFUNCTION("""COMPUTED_VALUE"""),78500.0)</f>
        <v>78500</v>
      </c>
      <c r="C2694" s="1">
        <f>IFERROR(__xludf.DUMMYFUNCTION("""COMPUTED_VALUE"""),78500.0)</f>
        <v>78500</v>
      </c>
      <c r="D2694" s="1">
        <f>IFERROR(__xludf.DUMMYFUNCTION("""COMPUTED_VALUE"""),77400.0)</f>
        <v>77400</v>
      </c>
      <c r="E2694" s="1">
        <f>IFERROR(__xludf.DUMMYFUNCTION("""COMPUTED_VALUE"""),77800.0)</f>
        <v>77800</v>
      </c>
      <c r="F2694" s="1">
        <f>IFERROR(__xludf.DUMMYFUNCTION("""COMPUTED_VALUE"""),1.1996128E7)</f>
        <v>11996128</v>
      </c>
    </row>
    <row r="2695">
      <c r="A2695" s="2">
        <f>IFERROR(__xludf.DUMMYFUNCTION("""COMPUTED_VALUE"""),44547.64583333333)</f>
        <v>44547.64583</v>
      </c>
      <c r="B2695" s="1">
        <f>IFERROR(__xludf.DUMMYFUNCTION("""COMPUTED_VALUE"""),76800.0)</f>
        <v>76800</v>
      </c>
      <c r="C2695" s="1">
        <f>IFERROR(__xludf.DUMMYFUNCTION("""COMPUTED_VALUE"""),78000.0)</f>
        <v>78000</v>
      </c>
      <c r="D2695" s="1">
        <f>IFERROR(__xludf.DUMMYFUNCTION("""COMPUTED_VALUE"""),76800.0)</f>
        <v>76800</v>
      </c>
      <c r="E2695" s="1">
        <f>IFERROR(__xludf.DUMMYFUNCTION("""COMPUTED_VALUE"""),78000.0)</f>
        <v>78000</v>
      </c>
      <c r="F2695" s="1">
        <f>IFERROR(__xludf.DUMMYFUNCTION("""COMPUTED_VALUE"""),1.3108479E7)</f>
        <v>13108479</v>
      </c>
    </row>
    <row r="2696">
      <c r="A2696" s="2">
        <f>IFERROR(__xludf.DUMMYFUNCTION("""COMPUTED_VALUE"""),44550.64583333333)</f>
        <v>44550.64583</v>
      </c>
      <c r="B2696" s="1">
        <f>IFERROR(__xludf.DUMMYFUNCTION("""COMPUTED_VALUE"""),77600.0)</f>
        <v>77600</v>
      </c>
      <c r="C2696" s="1">
        <f>IFERROR(__xludf.DUMMYFUNCTION("""COMPUTED_VALUE"""),77800.0)</f>
        <v>77800</v>
      </c>
      <c r="D2696" s="1">
        <f>IFERROR(__xludf.DUMMYFUNCTION("""COMPUTED_VALUE"""),76800.0)</f>
        <v>76800</v>
      </c>
      <c r="E2696" s="1">
        <f>IFERROR(__xludf.DUMMYFUNCTION("""COMPUTED_VALUE"""),77100.0)</f>
        <v>77100</v>
      </c>
      <c r="F2696" s="1">
        <f>IFERROR(__xludf.DUMMYFUNCTION("""COMPUTED_VALUE"""),1.1264375E7)</f>
        <v>11264375</v>
      </c>
    </row>
    <row r="2697">
      <c r="A2697" s="2">
        <f>IFERROR(__xludf.DUMMYFUNCTION("""COMPUTED_VALUE"""),44551.64583333333)</f>
        <v>44551.64583</v>
      </c>
      <c r="B2697" s="1">
        <f>IFERROR(__xludf.DUMMYFUNCTION("""COMPUTED_VALUE"""),77900.0)</f>
        <v>77900</v>
      </c>
      <c r="C2697" s="1">
        <f>IFERROR(__xludf.DUMMYFUNCTION("""COMPUTED_VALUE"""),78300.0)</f>
        <v>78300</v>
      </c>
      <c r="D2697" s="1">
        <f>IFERROR(__xludf.DUMMYFUNCTION("""COMPUTED_VALUE"""),77500.0)</f>
        <v>77500</v>
      </c>
      <c r="E2697" s="1">
        <f>IFERROR(__xludf.DUMMYFUNCTION("""COMPUTED_VALUE"""),78100.0)</f>
        <v>78100</v>
      </c>
      <c r="F2697" s="1">
        <f>IFERROR(__xludf.DUMMYFUNCTION("""COMPUTED_VALUE"""),1.4245298E7)</f>
        <v>14245298</v>
      </c>
    </row>
    <row r="2698">
      <c r="A2698" s="2">
        <f>IFERROR(__xludf.DUMMYFUNCTION("""COMPUTED_VALUE"""),44552.64583333333)</f>
        <v>44552.64583</v>
      </c>
      <c r="B2698" s="1">
        <f>IFERROR(__xludf.DUMMYFUNCTION("""COMPUTED_VALUE"""),78900.0)</f>
        <v>78900</v>
      </c>
      <c r="C2698" s="1">
        <f>IFERROR(__xludf.DUMMYFUNCTION("""COMPUTED_VALUE"""),79400.0)</f>
        <v>79400</v>
      </c>
      <c r="D2698" s="1">
        <f>IFERROR(__xludf.DUMMYFUNCTION("""COMPUTED_VALUE"""),78800.0)</f>
        <v>78800</v>
      </c>
      <c r="E2698" s="1">
        <f>IFERROR(__xludf.DUMMYFUNCTION("""COMPUTED_VALUE"""),79400.0)</f>
        <v>79400</v>
      </c>
      <c r="F2698" s="1">
        <f>IFERROR(__xludf.DUMMYFUNCTION("""COMPUTED_VALUE"""),1.7105892E7)</f>
        <v>17105892</v>
      </c>
    </row>
    <row r="2699">
      <c r="A2699" s="2">
        <f>IFERROR(__xludf.DUMMYFUNCTION("""COMPUTED_VALUE"""),44553.64583333333)</f>
        <v>44553.64583</v>
      </c>
      <c r="B2699" s="1">
        <f>IFERROR(__xludf.DUMMYFUNCTION("""COMPUTED_VALUE"""),79800.0)</f>
        <v>79800</v>
      </c>
      <c r="C2699" s="1">
        <f>IFERROR(__xludf.DUMMYFUNCTION("""COMPUTED_VALUE"""),80000.0)</f>
        <v>80000</v>
      </c>
      <c r="D2699" s="1">
        <f>IFERROR(__xludf.DUMMYFUNCTION("""COMPUTED_VALUE"""),79300.0)</f>
        <v>79300</v>
      </c>
      <c r="E2699" s="1">
        <f>IFERROR(__xludf.DUMMYFUNCTION("""COMPUTED_VALUE"""),79900.0)</f>
        <v>79900</v>
      </c>
      <c r="F2699" s="1">
        <f>IFERROR(__xludf.DUMMYFUNCTION("""COMPUTED_VALUE"""),1.3577498E7)</f>
        <v>13577498</v>
      </c>
    </row>
    <row r="2700">
      <c r="A2700" s="2">
        <f>IFERROR(__xludf.DUMMYFUNCTION("""COMPUTED_VALUE"""),44554.64583333333)</f>
        <v>44554.64583</v>
      </c>
      <c r="B2700" s="1">
        <f>IFERROR(__xludf.DUMMYFUNCTION("""COMPUTED_VALUE"""),80200.0)</f>
        <v>80200</v>
      </c>
      <c r="C2700" s="1">
        <f>IFERROR(__xludf.DUMMYFUNCTION("""COMPUTED_VALUE"""),80800.0)</f>
        <v>80800</v>
      </c>
      <c r="D2700" s="1">
        <f>IFERROR(__xludf.DUMMYFUNCTION("""COMPUTED_VALUE"""),80200.0)</f>
        <v>80200</v>
      </c>
      <c r="E2700" s="1">
        <f>IFERROR(__xludf.DUMMYFUNCTION("""COMPUTED_VALUE"""),80500.0)</f>
        <v>80500</v>
      </c>
      <c r="F2700" s="1">
        <f>IFERROR(__xludf.DUMMYFUNCTION("""COMPUTED_VALUE"""),1.208638E7)</f>
        <v>12086380</v>
      </c>
    </row>
    <row r="2701">
      <c r="A2701" s="2">
        <f>IFERROR(__xludf.DUMMYFUNCTION("""COMPUTED_VALUE"""),44557.64583333333)</f>
        <v>44557.64583</v>
      </c>
      <c r="B2701" s="1">
        <f>IFERROR(__xludf.DUMMYFUNCTION("""COMPUTED_VALUE"""),80600.0)</f>
        <v>80600</v>
      </c>
      <c r="C2701" s="1">
        <f>IFERROR(__xludf.DUMMYFUNCTION("""COMPUTED_VALUE"""),80600.0)</f>
        <v>80600</v>
      </c>
      <c r="D2701" s="1">
        <f>IFERROR(__xludf.DUMMYFUNCTION("""COMPUTED_VALUE"""),79800.0)</f>
        <v>79800</v>
      </c>
      <c r="E2701" s="1">
        <f>IFERROR(__xludf.DUMMYFUNCTION("""COMPUTED_VALUE"""),80200.0)</f>
        <v>80200</v>
      </c>
      <c r="F2701" s="1">
        <f>IFERROR(__xludf.DUMMYFUNCTION("""COMPUTED_VALUE"""),1.0783368E7)</f>
        <v>10783368</v>
      </c>
    </row>
    <row r="2702">
      <c r="A2702" s="2">
        <f>IFERROR(__xludf.DUMMYFUNCTION("""COMPUTED_VALUE"""),44558.64583333333)</f>
        <v>44558.64583</v>
      </c>
      <c r="B2702" s="1">
        <f>IFERROR(__xludf.DUMMYFUNCTION("""COMPUTED_VALUE"""),80200.0)</f>
        <v>80200</v>
      </c>
      <c r="C2702" s="1">
        <f>IFERROR(__xludf.DUMMYFUNCTION("""COMPUTED_VALUE"""),80400.0)</f>
        <v>80400</v>
      </c>
      <c r="D2702" s="1">
        <f>IFERROR(__xludf.DUMMYFUNCTION("""COMPUTED_VALUE"""),79700.0)</f>
        <v>79700</v>
      </c>
      <c r="E2702" s="1">
        <f>IFERROR(__xludf.DUMMYFUNCTION("""COMPUTED_VALUE"""),80300.0)</f>
        <v>80300</v>
      </c>
      <c r="F2702" s="1">
        <f>IFERROR(__xludf.DUMMYFUNCTION("""COMPUTED_VALUE"""),1.8226325E7)</f>
        <v>18226325</v>
      </c>
    </row>
    <row r="2703">
      <c r="A2703" s="2">
        <f>IFERROR(__xludf.DUMMYFUNCTION("""COMPUTED_VALUE"""),44559.64583333333)</f>
        <v>44559.64583</v>
      </c>
      <c r="B2703" s="1">
        <f>IFERROR(__xludf.DUMMYFUNCTION("""COMPUTED_VALUE"""),80200.0)</f>
        <v>80200</v>
      </c>
      <c r="C2703" s="1">
        <f>IFERROR(__xludf.DUMMYFUNCTION("""COMPUTED_VALUE"""),80200.0)</f>
        <v>80200</v>
      </c>
      <c r="D2703" s="1">
        <f>IFERROR(__xludf.DUMMYFUNCTION("""COMPUTED_VALUE"""),78500.0)</f>
        <v>78500</v>
      </c>
      <c r="E2703" s="1">
        <f>IFERROR(__xludf.DUMMYFUNCTION("""COMPUTED_VALUE"""),78800.0)</f>
        <v>78800</v>
      </c>
      <c r="F2703" s="1">
        <f>IFERROR(__xludf.DUMMYFUNCTION("""COMPUTED_VALUE"""),1.9794795E7)</f>
        <v>19794795</v>
      </c>
    </row>
    <row r="2704">
      <c r="A2704" s="2">
        <f>IFERROR(__xludf.DUMMYFUNCTION("""COMPUTED_VALUE"""),44560.64583333333)</f>
        <v>44560.64583</v>
      </c>
      <c r="B2704" s="1">
        <f>IFERROR(__xludf.DUMMYFUNCTION("""COMPUTED_VALUE"""),78900.0)</f>
        <v>78900</v>
      </c>
      <c r="C2704" s="1">
        <f>IFERROR(__xludf.DUMMYFUNCTION("""COMPUTED_VALUE"""),79500.0)</f>
        <v>79500</v>
      </c>
      <c r="D2704" s="1">
        <f>IFERROR(__xludf.DUMMYFUNCTION("""COMPUTED_VALUE"""),78100.0)</f>
        <v>78100</v>
      </c>
      <c r="E2704" s="1">
        <f>IFERROR(__xludf.DUMMYFUNCTION("""COMPUTED_VALUE"""),78300.0)</f>
        <v>78300</v>
      </c>
      <c r="F2704" s="1">
        <f>IFERROR(__xludf.DUMMYFUNCTION("""COMPUTED_VALUE"""),1.42367E7)</f>
        <v>14236700</v>
      </c>
    </row>
    <row r="2705">
      <c r="A2705" s="2">
        <f>IFERROR(__xludf.DUMMYFUNCTION("""COMPUTED_VALUE"""),44564.64583333333)</f>
        <v>44564.64583</v>
      </c>
      <c r="B2705" s="1">
        <f>IFERROR(__xludf.DUMMYFUNCTION("""COMPUTED_VALUE"""),79400.0)</f>
        <v>79400</v>
      </c>
      <c r="C2705" s="1">
        <f>IFERROR(__xludf.DUMMYFUNCTION("""COMPUTED_VALUE"""),79800.0)</f>
        <v>79800</v>
      </c>
      <c r="D2705" s="1">
        <f>IFERROR(__xludf.DUMMYFUNCTION("""COMPUTED_VALUE"""),78200.0)</f>
        <v>78200</v>
      </c>
      <c r="E2705" s="1">
        <f>IFERROR(__xludf.DUMMYFUNCTION("""COMPUTED_VALUE"""),78600.0)</f>
        <v>78600</v>
      </c>
      <c r="F2705" s="1">
        <f>IFERROR(__xludf.DUMMYFUNCTION("""COMPUTED_VALUE"""),1.3502112E7)</f>
        <v>13502112</v>
      </c>
    </row>
    <row r="2706">
      <c r="A2706" s="2">
        <f>IFERROR(__xludf.DUMMYFUNCTION("""COMPUTED_VALUE"""),44565.64583333333)</f>
        <v>44565.64583</v>
      </c>
      <c r="B2706" s="1">
        <f>IFERROR(__xludf.DUMMYFUNCTION("""COMPUTED_VALUE"""),78800.0)</f>
        <v>78800</v>
      </c>
      <c r="C2706" s="1">
        <f>IFERROR(__xludf.DUMMYFUNCTION("""COMPUTED_VALUE"""),79200.0)</f>
        <v>79200</v>
      </c>
      <c r="D2706" s="1">
        <f>IFERROR(__xludf.DUMMYFUNCTION("""COMPUTED_VALUE"""),78300.0)</f>
        <v>78300</v>
      </c>
      <c r="E2706" s="1">
        <f>IFERROR(__xludf.DUMMYFUNCTION("""COMPUTED_VALUE"""),78700.0)</f>
        <v>78700</v>
      </c>
      <c r="F2706" s="1">
        <f>IFERROR(__xludf.DUMMYFUNCTION("""COMPUTED_VALUE"""),1.2427416E7)</f>
        <v>12427416</v>
      </c>
    </row>
    <row r="2707">
      <c r="A2707" s="2">
        <f>IFERROR(__xludf.DUMMYFUNCTION("""COMPUTED_VALUE"""),44566.64583333333)</f>
        <v>44566.64583</v>
      </c>
      <c r="B2707" s="1">
        <f>IFERROR(__xludf.DUMMYFUNCTION("""COMPUTED_VALUE"""),78800.0)</f>
        <v>78800</v>
      </c>
      <c r="C2707" s="1">
        <f>IFERROR(__xludf.DUMMYFUNCTION("""COMPUTED_VALUE"""),79000.0)</f>
        <v>79000</v>
      </c>
      <c r="D2707" s="1">
        <f>IFERROR(__xludf.DUMMYFUNCTION("""COMPUTED_VALUE"""),76400.0)</f>
        <v>76400</v>
      </c>
      <c r="E2707" s="1">
        <f>IFERROR(__xludf.DUMMYFUNCTION("""COMPUTED_VALUE"""),77400.0)</f>
        <v>77400</v>
      </c>
      <c r="F2707" s="1">
        <f>IFERROR(__xludf.DUMMYFUNCTION("""COMPUTED_VALUE"""),2.547064E7)</f>
        <v>25470640</v>
      </c>
    </row>
    <row r="2708">
      <c r="A2708" s="2">
        <f>IFERROR(__xludf.DUMMYFUNCTION("""COMPUTED_VALUE"""),44567.64583333333)</f>
        <v>44567.64583</v>
      </c>
      <c r="B2708" s="1">
        <f>IFERROR(__xludf.DUMMYFUNCTION("""COMPUTED_VALUE"""),76700.0)</f>
        <v>76700</v>
      </c>
      <c r="C2708" s="1">
        <f>IFERROR(__xludf.DUMMYFUNCTION("""COMPUTED_VALUE"""),77600.0)</f>
        <v>77600</v>
      </c>
      <c r="D2708" s="1">
        <f>IFERROR(__xludf.DUMMYFUNCTION("""COMPUTED_VALUE"""),76600.0)</f>
        <v>76600</v>
      </c>
      <c r="E2708" s="1">
        <f>IFERROR(__xludf.DUMMYFUNCTION("""COMPUTED_VALUE"""),76900.0)</f>
        <v>76900</v>
      </c>
      <c r="F2708" s="1">
        <f>IFERROR(__xludf.DUMMYFUNCTION("""COMPUTED_VALUE"""),1.2931954E7)</f>
        <v>12931954</v>
      </c>
    </row>
    <row r="2709">
      <c r="A2709" s="2">
        <f>IFERROR(__xludf.DUMMYFUNCTION("""COMPUTED_VALUE"""),44568.64583333333)</f>
        <v>44568.64583</v>
      </c>
      <c r="B2709" s="1">
        <f>IFERROR(__xludf.DUMMYFUNCTION("""COMPUTED_VALUE"""),78100.0)</f>
        <v>78100</v>
      </c>
      <c r="C2709" s="1">
        <f>IFERROR(__xludf.DUMMYFUNCTION("""COMPUTED_VALUE"""),78400.0)</f>
        <v>78400</v>
      </c>
      <c r="D2709" s="1">
        <f>IFERROR(__xludf.DUMMYFUNCTION("""COMPUTED_VALUE"""),77400.0)</f>
        <v>77400</v>
      </c>
      <c r="E2709" s="1">
        <f>IFERROR(__xludf.DUMMYFUNCTION("""COMPUTED_VALUE"""),78300.0)</f>
        <v>78300</v>
      </c>
      <c r="F2709" s="1">
        <f>IFERROR(__xludf.DUMMYFUNCTION("""COMPUTED_VALUE"""),1.5163757E7)</f>
        <v>15163757</v>
      </c>
    </row>
    <row r="2710">
      <c r="A2710" s="2">
        <f>IFERROR(__xludf.DUMMYFUNCTION("""COMPUTED_VALUE"""),44571.64583333333)</f>
        <v>44571.64583</v>
      </c>
      <c r="B2710" s="1">
        <f>IFERROR(__xludf.DUMMYFUNCTION("""COMPUTED_VALUE"""),78100.0)</f>
        <v>78100</v>
      </c>
      <c r="C2710" s="1">
        <f>IFERROR(__xludf.DUMMYFUNCTION("""COMPUTED_VALUE"""),78100.0)</f>
        <v>78100</v>
      </c>
      <c r="D2710" s="1">
        <f>IFERROR(__xludf.DUMMYFUNCTION("""COMPUTED_VALUE"""),77100.0)</f>
        <v>77100</v>
      </c>
      <c r="E2710" s="1">
        <f>IFERROR(__xludf.DUMMYFUNCTION("""COMPUTED_VALUE"""),78000.0)</f>
        <v>78000</v>
      </c>
      <c r="F2710" s="1">
        <f>IFERROR(__xludf.DUMMYFUNCTION("""COMPUTED_VALUE"""),9947422.0)</f>
        <v>9947422</v>
      </c>
    </row>
    <row r="2711">
      <c r="A2711" s="2">
        <f>IFERROR(__xludf.DUMMYFUNCTION("""COMPUTED_VALUE"""),44572.64583333333)</f>
        <v>44572.64583</v>
      </c>
      <c r="B2711" s="1">
        <f>IFERROR(__xludf.DUMMYFUNCTION("""COMPUTED_VALUE"""),78400.0)</f>
        <v>78400</v>
      </c>
      <c r="C2711" s="1">
        <f>IFERROR(__xludf.DUMMYFUNCTION("""COMPUTED_VALUE"""),79000.0)</f>
        <v>79000</v>
      </c>
      <c r="D2711" s="1">
        <f>IFERROR(__xludf.DUMMYFUNCTION("""COMPUTED_VALUE"""),78000.0)</f>
        <v>78000</v>
      </c>
      <c r="E2711" s="1">
        <f>IFERROR(__xludf.DUMMYFUNCTION("""COMPUTED_VALUE"""),78900.0)</f>
        <v>78900</v>
      </c>
      <c r="F2711" s="1">
        <f>IFERROR(__xludf.DUMMYFUNCTION("""COMPUTED_VALUE"""),1.3221123E7)</f>
        <v>13221123</v>
      </c>
    </row>
    <row r="2712">
      <c r="A2712" s="2">
        <f>IFERROR(__xludf.DUMMYFUNCTION("""COMPUTED_VALUE"""),44573.64583333333)</f>
        <v>44573.64583</v>
      </c>
      <c r="B2712" s="1">
        <f>IFERROR(__xludf.DUMMYFUNCTION("""COMPUTED_VALUE"""),79500.0)</f>
        <v>79500</v>
      </c>
      <c r="C2712" s="1">
        <f>IFERROR(__xludf.DUMMYFUNCTION("""COMPUTED_VALUE"""),79600.0)</f>
        <v>79600</v>
      </c>
      <c r="D2712" s="1">
        <f>IFERROR(__xludf.DUMMYFUNCTION("""COMPUTED_VALUE"""),78600.0)</f>
        <v>78600</v>
      </c>
      <c r="E2712" s="1">
        <f>IFERROR(__xludf.DUMMYFUNCTION("""COMPUTED_VALUE"""),78900.0)</f>
        <v>78900</v>
      </c>
      <c r="F2712" s="1">
        <f>IFERROR(__xludf.DUMMYFUNCTION("""COMPUTED_VALUE"""),1.1000502E7)</f>
        <v>11000502</v>
      </c>
    </row>
    <row r="2713">
      <c r="A2713" s="2">
        <f>IFERROR(__xludf.DUMMYFUNCTION("""COMPUTED_VALUE"""),44574.64583333333)</f>
        <v>44574.64583</v>
      </c>
      <c r="B2713" s="1">
        <f>IFERROR(__xludf.DUMMYFUNCTION("""COMPUTED_VALUE"""),79300.0)</f>
        <v>79300</v>
      </c>
      <c r="C2713" s="1">
        <f>IFERROR(__xludf.DUMMYFUNCTION("""COMPUTED_VALUE"""),79300.0)</f>
        <v>79300</v>
      </c>
      <c r="D2713" s="1">
        <f>IFERROR(__xludf.DUMMYFUNCTION("""COMPUTED_VALUE"""),77900.0)</f>
        <v>77900</v>
      </c>
      <c r="E2713" s="1">
        <f>IFERROR(__xludf.DUMMYFUNCTION("""COMPUTED_VALUE"""),77900.0)</f>
        <v>77900</v>
      </c>
      <c r="F2713" s="1">
        <f>IFERROR(__xludf.DUMMYFUNCTION("""COMPUTED_VALUE"""),1.3889401E7)</f>
        <v>13889401</v>
      </c>
    </row>
    <row r="2714">
      <c r="A2714" s="2">
        <f>IFERROR(__xludf.DUMMYFUNCTION("""COMPUTED_VALUE"""),44575.64583333333)</f>
        <v>44575.64583</v>
      </c>
      <c r="B2714" s="1">
        <f>IFERROR(__xludf.DUMMYFUNCTION("""COMPUTED_VALUE"""),77700.0)</f>
        <v>77700</v>
      </c>
      <c r="C2714" s="1">
        <f>IFERROR(__xludf.DUMMYFUNCTION("""COMPUTED_VALUE"""),78100.0)</f>
        <v>78100</v>
      </c>
      <c r="D2714" s="1">
        <f>IFERROR(__xludf.DUMMYFUNCTION("""COMPUTED_VALUE"""),77100.0)</f>
        <v>77100</v>
      </c>
      <c r="E2714" s="1">
        <f>IFERROR(__xludf.DUMMYFUNCTION("""COMPUTED_VALUE"""),77300.0)</f>
        <v>77300</v>
      </c>
      <c r="F2714" s="1">
        <f>IFERROR(__xludf.DUMMYFUNCTION("""COMPUTED_VALUE"""),1.0096725E7)</f>
        <v>10096725</v>
      </c>
    </row>
    <row r="2715">
      <c r="A2715" s="2">
        <f>IFERROR(__xludf.DUMMYFUNCTION("""COMPUTED_VALUE"""),44578.64583333333)</f>
        <v>44578.64583</v>
      </c>
      <c r="B2715" s="1">
        <f>IFERROR(__xludf.DUMMYFUNCTION("""COMPUTED_VALUE"""),77600.0)</f>
        <v>77600</v>
      </c>
      <c r="C2715" s="1">
        <f>IFERROR(__xludf.DUMMYFUNCTION("""COMPUTED_VALUE"""),77800.0)</f>
        <v>77800</v>
      </c>
      <c r="D2715" s="1">
        <f>IFERROR(__xludf.DUMMYFUNCTION("""COMPUTED_VALUE"""),76900.0)</f>
        <v>76900</v>
      </c>
      <c r="E2715" s="1">
        <f>IFERROR(__xludf.DUMMYFUNCTION("""COMPUTED_VALUE"""),77500.0)</f>
        <v>77500</v>
      </c>
      <c r="F2715" s="1">
        <f>IFERROR(__xludf.DUMMYFUNCTION("""COMPUTED_VALUE"""),8785122.0)</f>
        <v>8785122</v>
      </c>
    </row>
    <row r="2716">
      <c r="A2716" s="2">
        <f>IFERROR(__xludf.DUMMYFUNCTION("""COMPUTED_VALUE"""),44579.64583333333)</f>
        <v>44579.64583</v>
      </c>
      <c r="B2716" s="1">
        <f>IFERROR(__xludf.DUMMYFUNCTION("""COMPUTED_VALUE"""),77600.0)</f>
        <v>77600</v>
      </c>
      <c r="C2716" s="1">
        <f>IFERROR(__xludf.DUMMYFUNCTION("""COMPUTED_VALUE"""),77800.0)</f>
        <v>77800</v>
      </c>
      <c r="D2716" s="1">
        <f>IFERROR(__xludf.DUMMYFUNCTION("""COMPUTED_VALUE"""),76600.0)</f>
        <v>76600</v>
      </c>
      <c r="E2716" s="1">
        <f>IFERROR(__xludf.DUMMYFUNCTION("""COMPUTED_VALUE"""),77000.0)</f>
        <v>77000</v>
      </c>
      <c r="F2716" s="1">
        <f>IFERROR(__xludf.DUMMYFUNCTION("""COMPUTED_VALUE"""),9592788.0)</f>
        <v>9592788</v>
      </c>
    </row>
    <row r="2717">
      <c r="A2717" s="2">
        <f>IFERROR(__xludf.DUMMYFUNCTION("""COMPUTED_VALUE"""),44580.64583333333)</f>
        <v>44580.64583</v>
      </c>
      <c r="B2717" s="1">
        <f>IFERROR(__xludf.DUMMYFUNCTION("""COMPUTED_VALUE"""),76500.0)</f>
        <v>76500</v>
      </c>
      <c r="C2717" s="1">
        <f>IFERROR(__xludf.DUMMYFUNCTION("""COMPUTED_VALUE"""),76900.0)</f>
        <v>76900</v>
      </c>
      <c r="D2717" s="1">
        <f>IFERROR(__xludf.DUMMYFUNCTION("""COMPUTED_VALUE"""),76100.0)</f>
        <v>76100</v>
      </c>
      <c r="E2717" s="1">
        <f>IFERROR(__xludf.DUMMYFUNCTION("""COMPUTED_VALUE"""),76300.0)</f>
        <v>76300</v>
      </c>
      <c r="F2717" s="1">
        <f>IFERROR(__xludf.DUMMYFUNCTION("""COMPUTED_VALUE"""),1.059829E7)</f>
        <v>10598290</v>
      </c>
    </row>
    <row r="2718">
      <c r="A2718" s="2">
        <f>IFERROR(__xludf.DUMMYFUNCTION("""COMPUTED_VALUE"""),44581.64583333333)</f>
        <v>44581.64583</v>
      </c>
      <c r="B2718" s="1">
        <f>IFERROR(__xludf.DUMMYFUNCTION("""COMPUTED_VALUE"""),76200.0)</f>
        <v>76200</v>
      </c>
      <c r="C2718" s="1">
        <f>IFERROR(__xludf.DUMMYFUNCTION("""COMPUTED_VALUE"""),76700.0)</f>
        <v>76700</v>
      </c>
      <c r="D2718" s="1">
        <f>IFERROR(__xludf.DUMMYFUNCTION("""COMPUTED_VALUE"""),75900.0)</f>
        <v>75900</v>
      </c>
      <c r="E2718" s="1">
        <f>IFERROR(__xludf.DUMMYFUNCTION("""COMPUTED_VALUE"""),76500.0)</f>
        <v>76500</v>
      </c>
      <c r="F2718" s="1">
        <f>IFERROR(__xludf.DUMMYFUNCTION("""COMPUTED_VALUE"""),9708168.0)</f>
        <v>9708168</v>
      </c>
    </row>
    <row r="2719">
      <c r="A2719" s="2">
        <f>IFERROR(__xludf.DUMMYFUNCTION("""COMPUTED_VALUE"""),44582.64583333333)</f>
        <v>44582.64583</v>
      </c>
      <c r="B2719" s="1">
        <f>IFERROR(__xludf.DUMMYFUNCTION("""COMPUTED_VALUE"""),75800.0)</f>
        <v>75800</v>
      </c>
      <c r="C2719" s="1">
        <f>IFERROR(__xludf.DUMMYFUNCTION("""COMPUTED_VALUE"""),75800.0)</f>
        <v>75800</v>
      </c>
      <c r="D2719" s="1">
        <f>IFERROR(__xludf.DUMMYFUNCTION("""COMPUTED_VALUE"""),74700.0)</f>
        <v>74700</v>
      </c>
      <c r="E2719" s="1">
        <f>IFERROR(__xludf.DUMMYFUNCTION("""COMPUTED_VALUE"""),75600.0)</f>
        <v>75600</v>
      </c>
      <c r="F2719" s="1">
        <f>IFERROR(__xludf.DUMMYFUNCTION("""COMPUTED_VALUE"""),1.5774888E7)</f>
        <v>15774888</v>
      </c>
    </row>
    <row r="2720">
      <c r="A2720" s="2">
        <f>IFERROR(__xludf.DUMMYFUNCTION("""COMPUTED_VALUE"""),44585.64583333333)</f>
        <v>44585.64583</v>
      </c>
      <c r="B2720" s="1">
        <f>IFERROR(__xludf.DUMMYFUNCTION("""COMPUTED_VALUE"""),75400.0)</f>
        <v>75400</v>
      </c>
      <c r="C2720" s="1">
        <f>IFERROR(__xludf.DUMMYFUNCTION("""COMPUTED_VALUE"""),75800.0)</f>
        <v>75800</v>
      </c>
      <c r="D2720" s="1">
        <f>IFERROR(__xludf.DUMMYFUNCTION("""COMPUTED_VALUE"""),74700.0)</f>
        <v>74700</v>
      </c>
      <c r="E2720" s="1">
        <f>IFERROR(__xludf.DUMMYFUNCTION("""COMPUTED_VALUE"""),75100.0)</f>
        <v>75100</v>
      </c>
      <c r="F2720" s="1">
        <f>IFERROR(__xludf.DUMMYFUNCTION("""COMPUTED_VALUE"""),1.3691134E7)</f>
        <v>13691134</v>
      </c>
    </row>
    <row r="2721">
      <c r="A2721" s="2">
        <f>IFERROR(__xludf.DUMMYFUNCTION("""COMPUTED_VALUE"""),44586.64583333333)</f>
        <v>44586.64583</v>
      </c>
      <c r="B2721" s="1">
        <f>IFERROR(__xludf.DUMMYFUNCTION("""COMPUTED_VALUE"""),74800.0)</f>
        <v>74800</v>
      </c>
      <c r="C2721" s="1">
        <f>IFERROR(__xludf.DUMMYFUNCTION("""COMPUTED_VALUE"""),75000.0)</f>
        <v>75000</v>
      </c>
      <c r="D2721" s="1">
        <f>IFERROR(__xludf.DUMMYFUNCTION("""COMPUTED_VALUE"""),73200.0)</f>
        <v>73200</v>
      </c>
      <c r="E2721" s="1">
        <f>IFERROR(__xludf.DUMMYFUNCTION("""COMPUTED_VALUE"""),74000.0)</f>
        <v>74000</v>
      </c>
      <c r="F2721" s="1">
        <f>IFERROR(__xludf.DUMMYFUNCTION("""COMPUTED_VALUE"""),1.7766704E7)</f>
        <v>17766704</v>
      </c>
    </row>
    <row r="2722">
      <c r="A2722" s="2">
        <f>IFERROR(__xludf.DUMMYFUNCTION("""COMPUTED_VALUE"""),44587.64583333333)</f>
        <v>44587.64583</v>
      </c>
      <c r="B2722" s="1">
        <f>IFERROR(__xludf.DUMMYFUNCTION("""COMPUTED_VALUE"""),73900.0)</f>
        <v>73900</v>
      </c>
      <c r="C2722" s="1">
        <f>IFERROR(__xludf.DUMMYFUNCTION("""COMPUTED_VALUE"""),74400.0)</f>
        <v>74400</v>
      </c>
      <c r="D2722" s="1">
        <f>IFERROR(__xludf.DUMMYFUNCTION("""COMPUTED_VALUE"""),73100.0)</f>
        <v>73100</v>
      </c>
      <c r="E2722" s="1">
        <f>IFERROR(__xludf.DUMMYFUNCTION("""COMPUTED_VALUE"""),73300.0)</f>
        <v>73300</v>
      </c>
      <c r="F2722" s="1">
        <f>IFERROR(__xludf.DUMMYFUNCTION("""COMPUTED_VALUE"""),1.297673E7)</f>
        <v>12976730</v>
      </c>
    </row>
    <row r="2723">
      <c r="A2723" s="2">
        <f>IFERROR(__xludf.DUMMYFUNCTION("""COMPUTED_VALUE"""),44588.64583333333)</f>
        <v>44588.64583</v>
      </c>
      <c r="B2723" s="1">
        <f>IFERROR(__xludf.DUMMYFUNCTION("""COMPUTED_VALUE"""),73800.0)</f>
        <v>73800</v>
      </c>
      <c r="C2723" s="1">
        <f>IFERROR(__xludf.DUMMYFUNCTION("""COMPUTED_VALUE"""),74000.0)</f>
        <v>74000</v>
      </c>
      <c r="D2723" s="1">
        <f>IFERROR(__xludf.DUMMYFUNCTION("""COMPUTED_VALUE"""),71300.0)</f>
        <v>71300</v>
      </c>
      <c r="E2723" s="1">
        <f>IFERROR(__xludf.DUMMYFUNCTION("""COMPUTED_VALUE"""),71300.0)</f>
        <v>71300</v>
      </c>
      <c r="F2723" s="1">
        <f>IFERROR(__xludf.DUMMYFUNCTION("""COMPUTED_VALUE"""),2.2274777E7)</f>
        <v>22274777</v>
      </c>
    </row>
    <row r="2724">
      <c r="A2724" s="2">
        <f>IFERROR(__xludf.DUMMYFUNCTION("""COMPUTED_VALUE"""),44589.64583333333)</f>
        <v>44589.64583</v>
      </c>
      <c r="B2724" s="1">
        <f>IFERROR(__xludf.DUMMYFUNCTION("""COMPUTED_VALUE"""),71300.0)</f>
        <v>71300</v>
      </c>
      <c r="C2724" s="1">
        <f>IFERROR(__xludf.DUMMYFUNCTION("""COMPUTED_VALUE"""),73700.0)</f>
        <v>73700</v>
      </c>
      <c r="D2724" s="1">
        <f>IFERROR(__xludf.DUMMYFUNCTION("""COMPUTED_VALUE"""),71200.0)</f>
        <v>71200</v>
      </c>
      <c r="E2724" s="1">
        <f>IFERROR(__xludf.DUMMYFUNCTION("""COMPUTED_VALUE"""),73300.0)</f>
        <v>73300</v>
      </c>
      <c r="F2724" s="1">
        <f>IFERROR(__xludf.DUMMYFUNCTION("""COMPUTED_VALUE"""),2.1367447E7)</f>
        <v>21367447</v>
      </c>
    </row>
    <row r="2725">
      <c r="A2725" s="2">
        <f>IFERROR(__xludf.DUMMYFUNCTION("""COMPUTED_VALUE"""),44595.64583333333)</f>
        <v>44595.64583</v>
      </c>
      <c r="B2725" s="1">
        <f>IFERROR(__xludf.DUMMYFUNCTION("""COMPUTED_VALUE"""),74900.0)</f>
        <v>74900</v>
      </c>
      <c r="C2725" s="1">
        <f>IFERROR(__xludf.DUMMYFUNCTION("""COMPUTED_VALUE"""),74900.0)</f>
        <v>74900</v>
      </c>
      <c r="D2725" s="1">
        <f>IFERROR(__xludf.DUMMYFUNCTION("""COMPUTED_VALUE"""),73300.0)</f>
        <v>73300</v>
      </c>
      <c r="E2725" s="1">
        <f>IFERROR(__xludf.DUMMYFUNCTION("""COMPUTED_VALUE"""),73300.0)</f>
        <v>73300</v>
      </c>
      <c r="F2725" s="1">
        <f>IFERROR(__xludf.DUMMYFUNCTION("""COMPUTED_VALUE"""),1.7744721E7)</f>
        <v>17744721</v>
      </c>
    </row>
    <row r="2726">
      <c r="A2726" s="2">
        <f>IFERROR(__xludf.DUMMYFUNCTION("""COMPUTED_VALUE"""),44596.64583333333)</f>
        <v>44596.64583</v>
      </c>
      <c r="B2726" s="1">
        <f>IFERROR(__xludf.DUMMYFUNCTION("""COMPUTED_VALUE"""),74300.0)</f>
        <v>74300</v>
      </c>
      <c r="C2726" s="1">
        <f>IFERROR(__xludf.DUMMYFUNCTION("""COMPUTED_VALUE"""),74600.0)</f>
        <v>74600</v>
      </c>
      <c r="D2726" s="1">
        <f>IFERROR(__xludf.DUMMYFUNCTION("""COMPUTED_VALUE"""),73400.0)</f>
        <v>73400</v>
      </c>
      <c r="E2726" s="1">
        <f>IFERROR(__xludf.DUMMYFUNCTION("""COMPUTED_VALUE"""),74000.0)</f>
        <v>74000</v>
      </c>
      <c r="F2726" s="1">
        <f>IFERROR(__xludf.DUMMYFUNCTION("""COMPUTED_VALUE"""),1.2730034E7)</f>
        <v>12730034</v>
      </c>
    </row>
    <row r="2727">
      <c r="A2727" s="2">
        <f>IFERROR(__xludf.DUMMYFUNCTION("""COMPUTED_VALUE"""),44599.64583333333)</f>
        <v>44599.64583</v>
      </c>
      <c r="B2727" s="1">
        <f>IFERROR(__xludf.DUMMYFUNCTION("""COMPUTED_VALUE"""),73500.0)</f>
        <v>73500</v>
      </c>
      <c r="C2727" s="1">
        <f>IFERROR(__xludf.DUMMYFUNCTION("""COMPUTED_VALUE"""),73600.0)</f>
        <v>73600</v>
      </c>
      <c r="D2727" s="1">
        <f>IFERROR(__xludf.DUMMYFUNCTION("""COMPUTED_VALUE"""),72400.0)</f>
        <v>72400</v>
      </c>
      <c r="E2727" s="1">
        <f>IFERROR(__xludf.DUMMYFUNCTION("""COMPUTED_VALUE"""),73000.0)</f>
        <v>73000</v>
      </c>
      <c r="F2727" s="1">
        <f>IFERROR(__xludf.DUMMYFUNCTION("""COMPUTED_VALUE"""),1.4240838E7)</f>
        <v>14240838</v>
      </c>
    </row>
    <row r="2728">
      <c r="A2728" s="2">
        <f>IFERROR(__xludf.DUMMYFUNCTION("""COMPUTED_VALUE"""),44600.64583333333)</f>
        <v>44600.64583</v>
      </c>
      <c r="B2728" s="1">
        <f>IFERROR(__xludf.DUMMYFUNCTION("""COMPUTED_VALUE"""),73800.0)</f>
        <v>73800</v>
      </c>
      <c r="C2728" s="1">
        <f>IFERROR(__xludf.DUMMYFUNCTION("""COMPUTED_VALUE"""),74200.0)</f>
        <v>74200</v>
      </c>
      <c r="D2728" s="1">
        <f>IFERROR(__xludf.DUMMYFUNCTION("""COMPUTED_VALUE"""),73000.0)</f>
        <v>73000</v>
      </c>
      <c r="E2728" s="1">
        <f>IFERROR(__xludf.DUMMYFUNCTION("""COMPUTED_VALUE"""),73500.0)</f>
        <v>73500</v>
      </c>
      <c r="F2728" s="1">
        <f>IFERROR(__xludf.DUMMYFUNCTION("""COMPUTED_VALUE"""),1.1736666E7)</f>
        <v>11736666</v>
      </c>
    </row>
    <row r="2729">
      <c r="A2729" s="2">
        <f>IFERROR(__xludf.DUMMYFUNCTION("""COMPUTED_VALUE"""),44601.64583333333)</f>
        <v>44601.64583</v>
      </c>
      <c r="B2729" s="1">
        <f>IFERROR(__xludf.DUMMYFUNCTION("""COMPUTED_VALUE"""),74300.0)</f>
        <v>74300</v>
      </c>
      <c r="C2729" s="1">
        <f>IFERROR(__xludf.DUMMYFUNCTION("""COMPUTED_VALUE"""),74700.0)</f>
        <v>74700</v>
      </c>
      <c r="D2729" s="1">
        <f>IFERROR(__xludf.DUMMYFUNCTION("""COMPUTED_VALUE"""),74000.0)</f>
        <v>74000</v>
      </c>
      <c r="E2729" s="1">
        <f>IFERROR(__xludf.DUMMYFUNCTION("""COMPUTED_VALUE"""),74700.0)</f>
        <v>74700</v>
      </c>
      <c r="F2729" s="1">
        <f>IFERROR(__xludf.DUMMYFUNCTION("""COMPUTED_VALUE"""),9699122.0)</f>
        <v>9699122</v>
      </c>
    </row>
    <row r="2730">
      <c r="A2730" s="2">
        <f>IFERROR(__xludf.DUMMYFUNCTION("""COMPUTED_VALUE"""),44602.64583333333)</f>
        <v>44602.64583</v>
      </c>
      <c r="B2730" s="1">
        <f>IFERROR(__xludf.DUMMYFUNCTION("""COMPUTED_VALUE"""),75600.0)</f>
        <v>75600</v>
      </c>
      <c r="C2730" s="1">
        <f>IFERROR(__xludf.DUMMYFUNCTION("""COMPUTED_VALUE"""),75800.0)</f>
        <v>75800</v>
      </c>
      <c r="D2730" s="1">
        <f>IFERROR(__xludf.DUMMYFUNCTION("""COMPUTED_VALUE"""),74700.0)</f>
        <v>74700</v>
      </c>
      <c r="E2730" s="1">
        <f>IFERROR(__xludf.DUMMYFUNCTION("""COMPUTED_VALUE"""),75400.0)</f>
        <v>75400</v>
      </c>
      <c r="F2730" s="1">
        <f>IFERROR(__xludf.DUMMYFUNCTION("""COMPUTED_VALUE"""),1.7746033E7)</f>
        <v>17746033</v>
      </c>
    </row>
    <row r="2731">
      <c r="A2731" s="2">
        <f>IFERROR(__xludf.DUMMYFUNCTION("""COMPUTED_VALUE"""),44603.64583333333)</f>
        <v>44603.64583</v>
      </c>
      <c r="B2731" s="1">
        <f>IFERROR(__xludf.DUMMYFUNCTION("""COMPUTED_VALUE"""),75000.0)</f>
        <v>75000</v>
      </c>
      <c r="C2731" s="1">
        <f>IFERROR(__xludf.DUMMYFUNCTION("""COMPUTED_VALUE"""),75500.0)</f>
        <v>75500</v>
      </c>
      <c r="D2731" s="1">
        <f>IFERROR(__xludf.DUMMYFUNCTION("""COMPUTED_VALUE"""),74600.0)</f>
        <v>74600</v>
      </c>
      <c r="E2731" s="1">
        <f>IFERROR(__xludf.DUMMYFUNCTION("""COMPUTED_VALUE"""),74900.0)</f>
        <v>74900</v>
      </c>
      <c r="F2731" s="1">
        <f>IFERROR(__xludf.DUMMYFUNCTION("""COMPUTED_VALUE"""),1.2205407E7)</f>
        <v>12205407</v>
      </c>
    </row>
    <row r="2732">
      <c r="A2732" s="2">
        <f>IFERROR(__xludf.DUMMYFUNCTION("""COMPUTED_VALUE"""),44606.64583333333)</f>
        <v>44606.64583</v>
      </c>
      <c r="B2732" s="1">
        <f>IFERROR(__xludf.DUMMYFUNCTION("""COMPUTED_VALUE"""),74400.0)</f>
        <v>74400</v>
      </c>
      <c r="C2732" s="1">
        <f>IFERROR(__xludf.DUMMYFUNCTION("""COMPUTED_VALUE"""),74500.0)</f>
        <v>74500</v>
      </c>
      <c r="D2732" s="1">
        <f>IFERROR(__xludf.DUMMYFUNCTION("""COMPUTED_VALUE"""),73100.0)</f>
        <v>73100</v>
      </c>
      <c r="E2732" s="1">
        <f>IFERROR(__xludf.DUMMYFUNCTION("""COMPUTED_VALUE"""),73700.0)</f>
        <v>73700</v>
      </c>
      <c r="F2732" s="1">
        <f>IFERROR(__xludf.DUMMYFUNCTION("""COMPUTED_VALUE"""),1.3993255E7)</f>
        <v>13993255</v>
      </c>
    </row>
    <row r="2733">
      <c r="A2733" s="2">
        <f>IFERROR(__xludf.DUMMYFUNCTION("""COMPUTED_VALUE"""),44607.64583333333)</f>
        <v>44607.64583</v>
      </c>
      <c r="B2733" s="1">
        <f>IFERROR(__xludf.DUMMYFUNCTION("""COMPUTED_VALUE"""),74100.0)</f>
        <v>74100</v>
      </c>
      <c r="C2733" s="1">
        <f>IFERROR(__xludf.DUMMYFUNCTION("""COMPUTED_VALUE"""),74200.0)</f>
        <v>74200</v>
      </c>
      <c r="D2733" s="1">
        <f>IFERROR(__xludf.DUMMYFUNCTION("""COMPUTED_VALUE"""),73100.0)</f>
        <v>73100</v>
      </c>
      <c r="E2733" s="1">
        <f>IFERROR(__xludf.DUMMYFUNCTION("""COMPUTED_VALUE"""),73700.0)</f>
        <v>73700</v>
      </c>
      <c r="F2733" s="1">
        <f>IFERROR(__xludf.DUMMYFUNCTION("""COMPUTED_VALUE"""),9320365.0)</f>
        <v>9320365</v>
      </c>
    </row>
    <row r="2734">
      <c r="A2734" s="2">
        <f>IFERROR(__xludf.DUMMYFUNCTION("""COMPUTED_VALUE"""),44608.64583333333)</f>
        <v>44608.64583</v>
      </c>
      <c r="B2734" s="1">
        <f>IFERROR(__xludf.DUMMYFUNCTION("""COMPUTED_VALUE"""),74600.0)</f>
        <v>74600</v>
      </c>
      <c r="C2734" s="1">
        <f>IFERROR(__xludf.DUMMYFUNCTION("""COMPUTED_VALUE"""),74900.0)</f>
        <v>74900</v>
      </c>
      <c r="D2734" s="1">
        <f>IFERROR(__xludf.DUMMYFUNCTION("""COMPUTED_VALUE"""),74200.0)</f>
        <v>74200</v>
      </c>
      <c r="E2734" s="1">
        <f>IFERROR(__xludf.DUMMYFUNCTION("""COMPUTED_VALUE"""),74800.0)</f>
        <v>74800</v>
      </c>
      <c r="F2734" s="1">
        <f>IFERROR(__xludf.DUMMYFUNCTION("""COMPUTED_VALUE"""),1.0767386E7)</f>
        <v>10767386</v>
      </c>
    </row>
    <row r="2735">
      <c r="A2735" s="2">
        <f>IFERROR(__xludf.DUMMYFUNCTION("""COMPUTED_VALUE"""),44609.64583333333)</f>
        <v>44609.64583</v>
      </c>
      <c r="B2735" s="1">
        <f>IFERROR(__xludf.DUMMYFUNCTION("""COMPUTED_VALUE"""),75000.0)</f>
        <v>75000</v>
      </c>
      <c r="C2735" s="1">
        <f>IFERROR(__xludf.DUMMYFUNCTION("""COMPUTED_VALUE"""),75600.0)</f>
        <v>75600</v>
      </c>
      <c r="D2735" s="1">
        <f>IFERROR(__xludf.DUMMYFUNCTION("""COMPUTED_VALUE"""),74500.0)</f>
        <v>74500</v>
      </c>
      <c r="E2735" s="1">
        <f>IFERROR(__xludf.DUMMYFUNCTION("""COMPUTED_VALUE"""),75000.0)</f>
        <v>75000</v>
      </c>
      <c r="F2735" s="1">
        <f>IFERROR(__xludf.DUMMYFUNCTION("""COMPUTED_VALUE"""),1.3605382E7)</f>
        <v>13605382</v>
      </c>
    </row>
    <row r="2736">
      <c r="A2736" s="2">
        <f>IFERROR(__xludf.DUMMYFUNCTION("""COMPUTED_VALUE"""),44610.64583333333)</f>
        <v>44610.64583</v>
      </c>
      <c r="B2736" s="1">
        <f>IFERROR(__xludf.DUMMYFUNCTION("""COMPUTED_VALUE"""),74600.0)</f>
        <v>74600</v>
      </c>
      <c r="C2736" s="1">
        <f>IFERROR(__xludf.DUMMYFUNCTION("""COMPUTED_VALUE"""),74800.0)</f>
        <v>74800</v>
      </c>
      <c r="D2736" s="1">
        <f>IFERROR(__xludf.DUMMYFUNCTION("""COMPUTED_VALUE"""),73700.0)</f>
        <v>73700</v>
      </c>
      <c r="E2736" s="1">
        <f>IFERROR(__xludf.DUMMYFUNCTION("""COMPUTED_VALUE"""),74300.0)</f>
        <v>74300</v>
      </c>
      <c r="F2736" s="1">
        <f>IFERROR(__xludf.DUMMYFUNCTION("""COMPUTED_VALUE"""),1.0122226E7)</f>
        <v>10122226</v>
      </c>
    </row>
    <row r="2737">
      <c r="A2737" s="2">
        <f>IFERROR(__xludf.DUMMYFUNCTION("""COMPUTED_VALUE"""),44613.64583333333)</f>
        <v>44613.64583</v>
      </c>
      <c r="B2737" s="1">
        <f>IFERROR(__xludf.DUMMYFUNCTION("""COMPUTED_VALUE"""),73200.0)</f>
        <v>73200</v>
      </c>
      <c r="C2737" s="1">
        <f>IFERROR(__xludf.DUMMYFUNCTION("""COMPUTED_VALUE"""),74300.0)</f>
        <v>74300</v>
      </c>
      <c r="D2737" s="1">
        <f>IFERROR(__xludf.DUMMYFUNCTION("""COMPUTED_VALUE"""),72600.0)</f>
        <v>72600</v>
      </c>
      <c r="E2737" s="1">
        <f>IFERROR(__xludf.DUMMYFUNCTION("""COMPUTED_VALUE"""),74200.0)</f>
        <v>74200</v>
      </c>
      <c r="F2737" s="1">
        <f>IFERROR(__xludf.DUMMYFUNCTION("""COMPUTED_VALUE"""),1.0489717E7)</f>
        <v>10489717</v>
      </c>
    </row>
    <row r="2738">
      <c r="A2738" s="2">
        <f>IFERROR(__xludf.DUMMYFUNCTION("""COMPUTED_VALUE"""),44614.64583333333)</f>
        <v>44614.64583</v>
      </c>
      <c r="B2738" s="1">
        <f>IFERROR(__xludf.DUMMYFUNCTION("""COMPUTED_VALUE"""),73000.0)</f>
        <v>73000</v>
      </c>
      <c r="C2738" s="1">
        <f>IFERROR(__xludf.DUMMYFUNCTION("""COMPUTED_VALUE"""),73400.0)</f>
        <v>73400</v>
      </c>
      <c r="D2738" s="1">
        <f>IFERROR(__xludf.DUMMYFUNCTION("""COMPUTED_VALUE"""),72800.0)</f>
        <v>72800</v>
      </c>
      <c r="E2738" s="1">
        <f>IFERROR(__xludf.DUMMYFUNCTION("""COMPUTED_VALUE"""),73400.0)</f>
        <v>73400</v>
      </c>
      <c r="F2738" s="1">
        <f>IFERROR(__xludf.DUMMYFUNCTION("""COMPUTED_VALUE"""),1.1692469E7)</f>
        <v>11692469</v>
      </c>
    </row>
    <row r="2739">
      <c r="A2739" s="2">
        <f>IFERROR(__xludf.DUMMYFUNCTION("""COMPUTED_VALUE"""),44615.64583333333)</f>
        <v>44615.64583</v>
      </c>
      <c r="B2739" s="1">
        <f>IFERROR(__xludf.DUMMYFUNCTION("""COMPUTED_VALUE"""),73800.0)</f>
        <v>73800</v>
      </c>
      <c r="C2739" s="1">
        <f>IFERROR(__xludf.DUMMYFUNCTION("""COMPUTED_VALUE"""),73800.0)</f>
        <v>73800</v>
      </c>
      <c r="D2739" s="1">
        <f>IFERROR(__xludf.DUMMYFUNCTION("""COMPUTED_VALUE"""),72800.0)</f>
        <v>72800</v>
      </c>
      <c r="E2739" s="1">
        <f>IFERROR(__xludf.DUMMYFUNCTION("""COMPUTED_VALUE"""),73000.0)</f>
        <v>73000</v>
      </c>
      <c r="F2739" s="1">
        <f>IFERROR(__xludf.DUMMYFUNCTION("""COMPUTED_VALUE"""),1.0397964E7)</f>
        <v>10397964</v>
      </c>
    </row>
    <row r="2740">
      <c r="A2740" s="2">
        <f>IFERROR(__xludf.DUMMYFUNCTION("""COMPUTED_VALUE"""),44616.64583333333)</f>
        <v>44616.64583</v>
      </c>
      <c r="B2740" s="1">
        <f>IFERROR(__xludf.DUMMYFUNCTION("""COMPUTED_VALUE"""),72300.0)</f>
        <v>72300</v>
      </c>
      <c r="C2740" s="1">
        <f>IFERROR(__xludf.DUMMYFUNCTION("""COMPUTED_VALUE"""),72300.0)</f>
        <v>72300</v>
      </c>
      <c r="D2740" s="1">
        <f>IFERROR(__xludf.DUMMYFUNCTION("""COMPUTED_VALUE"""),71300.0)</f>
        <v>71300</v>
      </c>
      <c r="E2740" s="1">
        <f>IFERROR(__xludf.DUMMYFUNCTION("""COMPUTED_VALUE"""),71500.0)</f>
        <v>71500</v>
      </c>
      <c r="F2740" s="1">
        <f>IFERROR(__xludf.DUMMYFUNCTION("""COMPUTED_VALUE"""),1.5759283E7)</f>
        <v>15759283</v>
      </c>
    </row>
    <row r="2741">
      <c r="A2741" s="2">
        <f>IFERROR(__xludf.DUMMYFUNCTION("""COMPUTED_VALUE"""),44617.64583333333)</f>
        <v>44617.64583</v>
      </c>
      <c r="B2741" s="1">
        <f>IFERROR(__xludf.DUMMYFUNCTION("""COMPUTED_VALUE"""),72100.0)</f>
        <v>72100</v>
      </c>
      <c r="C2741" s="1">
        <f>IFERROR(__xludf.DUMMYFUNCTION("""COMPUTED_VALUE"""),72600.0)</f>
        <v>72600</v>
      </c>
      <c r="D2741" s="1">
        <f>IFERROR(__xludf.DUMMYFUNCTION("""COMPUTED_VALUE"""),71900.0)</f>
        <v>71900</v>
      </c>
      <c r="E2741" s="1">
        <f>IFERROR(__xludf.DUMMYFUNCTION("""COMPUTED_VALUE"""),71900.0)</f>
        <v>71900</v>
      </c>
      <c r="F2741" s="1">
        <f>IFERROR(__xludf.DUMMYFUNCTION("""COMPUTED_VALUE"""),1.3168484E7)</f>
        <v>13168484</v>
      </c>
    </row>
    <row r="2742">
      <c r="A2742" s="2">
        <f>IFERROR(__xludf.DUMMYFUNCTION("""COMPUTED_VALUE"""),44620.64583333333)</f>
        <v>44620.64583</v>
      </c>
      <c r="B2742" s="1">
        <f>IFERROR(__xludf.DUMMYFUNCTION("""COMPUTED_VALUE"""),71100.0)</f>
        <v>71100</v>
      </c>
      <c r="C2742" s="1">
        <f>IFERROR(__xludf.DUMMYFUNCTION("""COMPUTED_VALUE"""),72100.0)</f>
        <v>72100</v>
      </c>
      <c r="D2742" s="1">
        <f>IFERROR(__xludf.DUMMYFUNCTION("""COMPUTED_VALUE"""),71000.0)</f>
        <v>71000</v>
      </c>
      <c r="E2742" s="1">
        <f>IFERROR(__xludf.DUMMYFUNCTION("""COMPUTED_VALUE"""),72100.0)</f>
        <v>72100</v>
      </c>
      <c r="F2742" s="1">
        <f>IFERROR(__xludf.DUMMYFUNCTION("""COMPUTED_VALUE"""),1.7781783E7)</f>
        <v>17781783</v>
      </c>
    </row>
    <row r="2743">
      <c r="A2743" s="2">
        <f>IFERROR(__xludf.DUMMYFUNCTION("""COMPUTED_VALUE"""),44622.64583333333)</f>
        <v>44622.64583</v>
      </c>
      <c r="B2743" s="1">
        <f>IFERROR(__xludf.DUMMYFUNCTION("""COMPUTED_VALUE"""),72300.0)</f>
        <v>72300</v>
      </c>
      <c r="C2743" s="1">
        <f>IFERROR(__xludf.DUMMYFUNCTION("""COMPUTED_VALUE"""),72400.0)</f>
        <v>72400</v>
      </c>
      <c r="D2743" s="1">
        <f>IFERROR(__xludf.DUMMYFUNCTION("""COMPUTED_VALUE"""),71500.0)</f>
        <v>71500</v>
      </c>
      <c r="E2743" s="1">
        <f>IFERROR(__xludf.DUMMYFUNCTION("""COMPUTED_VALUE"""),71700.0)</f>
        <v>71700</v>
      </c>
      <c r="F2743" s="1">
        <f>IFERROR(__xludf.DUMMYFUNCTION("""COMPUTED_VALUE"""),1.248143E7)</f>
        <v>12481430</v>
      </c>
    </row>
    <row r="2744">
      <c r="A2744" s="2">
        <f>IFERROR(__xludf.DUMMYFUNCTION("""COMPUTED_VALUE"""),44623.64583333333)</f>
        <v>44623.64583</v>
      </c>
      <c r="B2744" s="1">
        <f>IFERROR(__xludf.DUMMYFUNCTION("""COMPUTED_VALUE"""),72300.0)</f>
        <v>72300</v>
      </c>
      <c r="C2744" s="1">
        <f>IFERROR(__xludf.DUMMYFUNCTION("""COMPUTED_VALUE"""),73100.0)</f>
        <v>73100</v>
      </c>
      <c r="D2744" s="1">
        <f>IFERROR(__xludf.DUMMYFUNCTION("""COMPUTED_VALUE"""),72200.0)</f>
        <v>72200</v>
      </c>
      <c r="E2744" s="1">
        <f>IFERROR(__xludf.DUMMYFUNCTION("""COMPUTED_VALUE"""),72900.0)</f>
        <v>72900</v>
      </c>
      <c r="F2744" s="1">
        <f>IFERROR(__xludf.DUMMYFUNCTION("""COMPUTED_VALUE"""),1.3232638E7)</f>
        <v>13232638</v>
      </c>
    </row>
    <row r="2745">
      <c r="A2745" s="2">
        <f>IFERROR(__xludf.DUMMYFUNCTION("""COMPUTED_VALUE"""),44624.64583333333)</f>
        <v>44624.64583</v>
      </c>
      <c r="B2745" s="1">
        <f>IFERROR(__xludf.DUMMYFUNCTION("""COMPUTED_VALUE"""),72700.0)</f>
        <v>72700</v>
      </c>
      <c r="C2745" s="1">
        <f>IFERROR(__xludf.DUMMYFUNCTION("""COMPUTED_VALUE"""),72700.0)</f>
        <v>72700</v>
      </c>
      <c r="D2745" s="1">
        <f>IFERROR(__xludf.DUMMYFUNCTION("""COMPUTED_VALUE"""),71200.0)</f>
        <v>71200</v>
      </c>
      <c r="E2745" s="1">
        <f>IFERROR(__xludf.DUMMYFUNCTION("""COMPUTED_VALUE"""),71500.0)</f>
        <v>71500</v>
      </c>
      <c r="F2745" s="1">
        <f>IFERROR(__xludf.DUMMYFUNCTION("""COMPUTED_VALUE"""),1.3409634E7)</f>
        <v>13409634</v>
      </c>
    </row>
    <row r="2746">
      <c r="A2746" s="2">
        <f>IFERROR(__xludf.DUMMYFUNCTION("""COMPUTED_VALUE"""),44627.64583333333)</f>
        <v>44627.64583</v>
      </c>
      <c r="B2746" s="1">
        <f>IFERROR(__xludf.DUMMYFUNCTION("""COMPUTED_VALUE"""),70000.0)</f>
        <v>70000</v>
      </c>
      <c r="C2746" s="1">
        <f>IFERROR(__xludf.DUMMYFUNCTION("""COMPUTED_VALUE"""),70600.0)</f>
        <v>70600</v>
      </c>
      <c r="D2746" s="1">
        <f>IFERROR(__xludf.DUMMYFUNCTION("""COMPUTED_VALUE"""),69900.0)</f>
        <v>69900</v>
      </c>
      <c r="E2746" s="1">
        <f>IFERROR(__xludf.DUMMYFUNCTION("""COMPUTED_VALUE"""),70100.0)</f>
        <v>70100</v>
      </c>
      <c r="F2746" s="1">
        <f>IFERROR(__xludf.DUMMYFUNCTION("""COMPUTED_VALUE"""),1.8617138E7)</f>
        <v>18617138</v>
      </c>
    </row>
    <row r="2747">
      <c r="A2747" s="2">
        <f>IFERROR(__xludf.DUMMYFUNCTION("""COMPUTED_VALUE"""),44628.64583333333)</f>
        <v>44628.64583</v>
      </c>
      <c r="B2747" s="1">
        <f>IFERROR(__xludf.DUMMYFUNCTION("""COMPUTED_VALUE"""),68800.0)</f>
        <v>68800</v>
      </c>
      <c r="C2747" s="1">
        <f>IFERROR(__xludf.DUMMYFUNCTION("""COMPUTED_VALUE"""),70000.0)</f>
        <v>70000</v>
      </c>
      <c r="D2747" s="1">
        <f>IFERROR(__xludf.DUMMYFUNCTION("""COMPUTED_VALUE"""),68700.0)</f>
        <v>68700</v>
      </c>
      <c r="E2747" s="1">
        <f>IFERROR(__xludf.DUMMYFUNCTION("""COMPUTED_VALUE"""),69500.0)</f>
        <v>69500</v>
      </c>
      <c r="F2747" s="1">
        <f>IFERROR(__xludf.DUMMYFUNCTION("""COMPUTED_VALUE"""),1.5828269E7)</f>
        <v>15828269</v>
      </c>
    </row>
    <row r="2748">
      <c r="A2748" s="2">
        <f>IFERROR(__xludf.DUMMYFUNCTION("""COMPUTED_VALUE"""),44630.64583333333)</f>
        <v>44630.64583</v>
      </c>
      <c r="B2748" s="1">
        <f>IFERROR(__xludf.DUMMYFUNCTION("""COMPUTED_VALUE"""),70800.0)</f>
        <v>70800</v>
      </c>
      <c r="C2748" s="1">
        <f>IFERROR(__xludf.DUMMYFUNCTION("""COMPUTED_VALUE"""),71200.0)</f>
        <v>71200</v>
      </c>
      <c r="D2748" s="1">
        <f>IFERROR(__xludf.DUMMYFUNCTION("""COMPUTED_VALUE"""),70500.0)</f>
        <v>70500</v>
      </c>
      <c r="E2748" s="1">
        <f>IFERROR(__xludf.DUMMYFUNCTION("""COMPUTED_VALUE"""),71200.0)</f>
        <v>71200</v>
      </c>
      <c r="F2748" s="1">
        <f>IFERROR(__xludf.DUMMYFUNCTION("""COMPUTED_VALUE"""),2.1159248E7)</f>
        <v>21159248</v>
      </c>
    </row>
    <row r="2749">
      <c r="A2749" s="2">
        <f>IFERROR(__xludf.DUMMYFUNCTION("""COMPUTED_VALUE"""),44631.64583333333)</f>
        <v>44631.64583</v>
      </c>
      <c r="B2749" s="1">
        <f>IFERROR(__xludf.DUMMYFUNCTION("""COMPUTED_VALUE"""),70500.0)</f>
        <v>70500</v>
      </c>
      <c r="C2749" s="1">
        <f>IFERROR(__xludf.DUMMYFUNCTION("""COMPUTED_VALUE"""),70700.0)</f>
        <v>70700</v>
      </c>
      <c r="D2749" s="1">
        <f>IFERROR(__xludf.DUMMYFUNCTION("""COMPUTED_VALUE"""),69700.0)</f>
        <v>69700</v>
      </c>
      <c r="E2749" s="1">
        <f>IFERROR(__xludf.DUMMYFUNCTION("""COMPUTED_VALUE"""),70000.0)</f>
        <v>70000</v>
      </c>
      <c r="F2749" s="1">
        <f>IFERROR(__xludf.DUMMYFUNCTION("""COMPUTED_VALUE"""),1.5787655E7)</f>
        <v>15787655</v>
      </c>
    </row>
    <row r="2750">
      <c r="A2750" s="2">
        <f>IFERROR(__xludf.DUMMYFUNCTION("""COMPUTED_VALUE"""),44634.64583333333)</f>
        <v>44634.64583</v>
      </c>
      <c r="B2750" s="1">
        <f>IFERROR(__xludf.DUMMYFUNCTION("""COMPUTED_VALUE"""),70000.0)</f>
        <v>70000</v>
      </c>
      <c r="C2750" s="1">
        <f>IFERROR(__xludf.DUMMYFUNCTION("""COMPUTED_VALUE"""),70200.0)</f>
        <v>70200</v>
      </c>
      <c r="D2750" s="1">
        <f>IFERROR(__xludf.DUMMYFUNCTION("""COMPUTED_VALUE"""),69600.0)</f>
        <v>69600</v>
      </c>
      <c r="E2750" s="1">
        <f>IFERROR(__xludf.DUMMYFUNCTION("""COMPUTED_VALUE"""),70200.0)</f>
        <v>70200</v>
      </c>
      <c r="F2750" s="1">
        <f>IFERROR(__xludf.DUMMYFUNCTION("""COMPUTED_VALUE"""),9040993.0)</f>
        <v>9040993</v>
      </c>
    </row>
    <row r="2751">
      <c r="A2751" s="2">
        <f>IFERROR(__xludf.DUMMYFUNCTION("""COMPUTED_VALUE"""),44635.64583333333)</f>
        <v>44635.64583</v>
      </c>
      <c r="B2751" s="1">
        <f>IFERROR(__xludf.DUMMYFUNCTION("""COMPUTED_VALUE"""),69800.0)</f>
        <v>69800</v>
      </c>
      <c r="C2751" s="1">
        <f>IFERROR(__xludf.DUMMYFUNCTION("""COMPUTED_VALUE"""),70100.0)</f>
        <v>70100</v>
      </c>
      <c r="D2751" s="1">
        <f>IFERROR(__xludf.DUMMYFUNCTION("""COMPUTED_VALUE"""),69500.0)</f>
        <v>69500</v>
      </c>
      <c r="E2751" s="1">
        <f>IFERROR(__xludf.DUMMYFUNCTION("""COMPUTED_VALUE"""),69500.0)</f>
        <v>69500</v>
      </c>
      <c r="F2751" s="1">
        <f>IFERROR(__xludf.DUMMYFUNCTION("""COMPUTED_VALUE"""),1.0258562E7)</f>
        <v>10258562</v>
      </c>
    </row>
    <row r="2752">
      <c r="A2752" s="2">
        <f>IFERROR(__xludf.DUMMYFUNCTION("""COMPUTED_VALUE"""),44636.64583333333)</f>
        <v>44636.64583</v>
      </c>
      <c r="B2752" s="1">
        <f>IFERROR(__xludf.DUMMYFUNCTION("""COMPUTED_VALUE"""),70200.0)</f>
        <v>70200</v>
      </c>
      <c r="C2752" s="1">
        <f>IFERROR(__xludf.DUMMYFUNCTION("""COMPUTED_VALUE"""),70500.0)</f>
        <v>70500</v>
      </c>
      <c r="D2752" s="1">
        <f>IFERROR(__xludf.DUMMYFUNCTION("""COMPUTED_VALUE"""),69700.0)</f>
        <v>69700</v>
      </c>
      <c r="E2752" s="1">
        <f>IFERROR(__xludf.DUMMYFUNCTION("""COMPUTED_VALUE"""),70400.0)</f>
        <v>70400</v>
      </c>
      <c r="F2752" s="1">
        <f>IFERROR(__xludf.DUMMYFUNCTION("""COMPUTED_VALUE"""),1.017575E7)</f>
        <v>10175750</v>
      </c>
    </row>
    <row r="2753">
      <c r="A2753" s="2">
        <f>IFERROR(__xludf.DUMMYFUNCTION("""COMPUTED_VALUE"""),44637.64583333333)</f>
        <v>44637.64583</v>
      </c>
      <c r="B2753" s="1">
        <f>IFERROR(__xludf.DUMMYFUNCTION("""COMPUTED_VALUE"""),71200.0)</f>
        <v>71200</v>
      </c>
      <c r="C2753" s="1">
        <f>IFERROR(__xludf.DUMMYFUNCTION("""COMPUTED_VALUE"""),71800.0)</f>
        <v>71800</v>
      </c>
      <c r="D2753" s="1">
        <f>IFERROR(__xludf.DUMMYFUNCTION("""COMPUTED_VALUE"""),70900.0)</f>
        <v>70900</v>
      </c>
      <c r="E2753" s="1">
        <f>IFERROR(__xludf.DUMMYFUNCTION("""COMPUTED_VALUE"""),71200.0)</f>
        <v>71200</v>
      </c>
      <c r="F2753" s="1">
        <f>IFERROR(__xludf.DUMMYFUNCTION("""COMPUTED_VALUE"""),1.7646315E7)</f>
        <v>17646315</v>
      </c>
    </row>
    <row r="2754">
      <c r="A2754" s="2">
        <f>IFERROR(__xludf.DUMMYFUNCTION("""COMPUTED_VALUE"""),44638.64583333333)</f>
        <v>44638.64583</v>
      </c>
      <c r="B2754" s="1">
        <f>IFERROR(__xludf.DUMMYFUNCTION("""COMPUTED_VALUE"""),70600.0)</f>
        <v>70600</v>
      </c>
      <c r="C2754" s="1">
        <f>IFERROR(__xludf.DUMMYFUNCTION("""COMPUTED_VALUE"""),70900.0)</f>
        <v>70900</v>
      </c>
      <c r="D2754" s="1">
        <f>IFERROR(__xludf.DUMMYFUNCTION("""COMPUTED_VALUE"""),70200.0)</f>
        <v>70200</v>
      </c>
      <c r="E2754" s="1">
        <f>IFERROR(__xludf.DUMMYFUNCTION("""COMPUTED_VALUE"""),70700.0)</f>
        <v>70700</v>
      </c>
      <c r="F2754" s="1">
        <f>IFERROR(__xludf.DUMMYFUNCTION("""COMPUTED_VALUE"""),1.4410038E7)</f>
        <v>14410038</v>
      </c>
    </row>
    <row r="2755">
      <c r="A2755" s="2">
        <f>IFERROR(__xludf.DUMMYFUNCTION("""COMPUTED_VALUE"""),44641.64583333333)</f>
        <v>44641.64583</v>
      </c>
      <c r="B2755" s="1">
        <f>IFERROR(__xludf.DUMMYFUNCTION("""COMPUTED_VALUE"""),70900.0)</f>
        <v>70900</v>
      </c>
      <c r="C2755" s="1">
        <f>IFERROR(__xludf.DUMMYFUNCTION("""COMPUTED_VALUE"""),71000.0)</f>
        <v>71000</v>
      </c>
      <c r="D2755" s="1">
        <f>IFERROR(__xludf.DUMMYFUNCTION("""COMPUTED_VALUE"""),69900.0)</f>
        <v>69900</v>
      </c>
      <c r="E2755" s="1">
        <f>IFERROR(__xludf.DUMMYFUNCTION("""COMPUTED_VALUE"""),69900.0)</f>
        <v>69900</v>
      </c>
      <c r="F2755" s="1">
        <f>IFERROR(__xludf.DUMMYFUNCTION("""COMPUTED_VALUE"""),1.1169002E7)</f>
        <v>11169002</v>
      </c>
    </row>
    <row r="2756">
      <c r="A2756" s="2">
        <f>IFERROR(__xludf.DUMMYFUNCTION("""COMPUTED_VALUE"""),44642.64583333333)</f>
        <v>44642.64583</v>
      </c>
      <c r="B2756" s="1">
        <f>IFERROR(__xludf.DUMMYFUNCTION("""COMPUTED_VALUE"""),69900.0)</f>
        <v>69900</v>
      </c>
      <c r="C2756" s="1">
        <f>IFERROR(__xludf.DUMMYFUNCTION("""COMPUTED_VALUE"""),70500.0)</f>
        <v>70500</v>
      </c>
      <c r="D2756" s="1">
        <f>IFERROR(__xludf.DUMMYFUNCTION("""COMPUTED_VALUE"""),69900.0)</f>
        <v>69900</v>
      </c>
      <c r="E2756" s="1">
        <f>IFERROR(__xludf.DUMMYFUNCTION("""COMPUTED_VALUE"""),70300.0)</f>
        <v>70300</v>
      </c>
      <c r="F2756" s="1">
        <f>IFERROR(__xludf.DUMMYFUNCTION("""COMPUTED_VALUE"""),9402666.0)</f>
        <v>9402666</v>
      </c>
    </row>
    <row r="2757">
      <c r="A2757" s="2">
        <f>IFERROR(__xludf.DUMMYFUNCTION("""COMPUTED_VALUE"""),44643.64583333333)</f>
        <v>44643.64583</v>
      </c>
      <c r="B2757" s="1">
        <f>IFERROR(__xludf.DUMMYFUNCTION("""COMPUTED_VALUE"""),70600.0)</f>
        <v>70600</v>
      </c>
      <c r="C2757" s="1">
        <f>IFERROR(__xludf.DUMMYFUNCTION("""COMPUTED_VALUE"""),71200.0)</f>
        <v>71200</v>
      </c>
      <c r="D2757" s="1">
        <f>IFERROR(__xludf.DUMMYFUNCTION("""COMPUTED_VALUE"""),70300.0)</f>
        <v>70300</v>
      </c>
      <c r="E2757" s="1">
        <f>IFERROR(__xludf.DUMMYFUNCTION("""COMPUTED_VALUE"""),70500.0)</f>
        <v>70500</v>
      </c>
      <c r="F2757" s="1">
        <f>IFERROR(__xludf.DUMMYFUNCTION("""COMPUTED_VALUE"""),1.2398025E7)</f>
        <v>12398025</v>
      </c>
    </row>
    <row r="2758">
      <c r="A2758" s="2">
        <f>IFERROR(__xludf.DUMMYFUNCTION("""COMPUTED_VALUE"""),44644.64583333333)</f>
        <v>44644.64583</v>
      </c>
      <c r="B2758" s="1">
        <f>IFERROR(__xludf.DUMMYFUNCTION("""COMPUTED_VALUE"""),69600.0)</f>
        <v>69600</v>
      </c>
      <c r="C2758" s="1">
        <f>IFERROR(__xludf.DUMMYFUNCTION("""COMPUTED_VALUE"""),70300.0)</f>
        <v>70300</v>
      </c>
      <c r="D2758" s="1">
        <f>IFERROR(__xludf.DUMMYFUNCTION("""COMPUTED_VALUE"""),69600.0)</f>
        <v>69600</v>
      </c>
      <c r="E2758" s="1">
        <f>IFERROR(__xludf.DUMMYFUNCTION("""COMPUTED_VALUE"""),69800.0)</f>
        <v>69800</v>
      </c>
      <c r="F2758" s="1">
        <f>IFERROR(__xludf.DUMMYFUNCTION("""COMPUTED_VALUE"""),3.7943357E7)</f>
        <v>37943357</v>
      </c>
    </row>
    <row r="2759">
      <c r="A2759" s="2">
        <f>IFERROR(__xludf.DUMMYFUNCTION("""COMPUTED_VALUE"""),44645.64583333333)</f>
        <v>44645.64583</v>
      </c>
      <c r="B2759" s="1">
        <f>IFERROR(__xludf.DUMMYFUNCTION("""COMPUTED_VALUE"""),70100.0)</f>
        <v>70100</v>
      </c>
      <c r="C2759" s="1">
        <f>IFERROR(__xludf.DUMMYFUNCTION("""COMPUTED_VALUE"""),70200.0)</f>
        <v>70200</v>
      </c>
      <c r="D2759" s="1">
        <f>IFERROR(__xludf.DUMMYFUNCTION("""COMPUTED_VALUE"""),69600.0)</f>
        <v>69600</v>
      </c>
      <c r="E2759" s="1">
        <f>IFERROR(__xludf.DUMMYFUNCTION("""COMPUTED_VALUE"""),69800.0)</f>
        <v>69800</v>
      </c>
      <c r="F2759" s="1">
        <f>IFERROR(__xludf.DUMMYFUNCTION("""COMPUTED_VALUE"""),1.298601E7)</f>
        <v>12986010</v>
      </c>
    </row>
    <row r="2760">
      <c r="A2760" s="2">
        <f>IFERROR(__xludf.DUMMYFUNCTION("""COMPUTED_VALUE"""),44648.64583333333)</f>
        <v>44648.64583</v>
      </c>
      <c r="B2760" s="1">
        <f>IFERROR(__xludf.DUMMYFUNCTION("""COMPUTED_VALUE"""),69500.0)</f>
        <v>69500</v>
      </c>
      <c r="C2760" s="1">
        <f>IFERROR(__xludf.DUMMYFUNCTION("""COMPUTED_VALUE"""),69900.0)</f>
        <v>69900</v>
      </c>
      <c r="D2760" s="1">
        <f>IFERROR(__xludf.DUMMYFUNCTION("""COMPUTED_VALUE"""),69200.0)</f>
        <v>69200</v>
      </c>
      <c r="E2760" s="1">
        <f>IFERROR(__xludf.DUMMYFUNCTION("""COMPUTED_VALUE"""),69700.0)</f>
        <v>69700</v>
      </c>
      <c r="F2760" s="1">
        <f>IFERROR(__xludf.DUMMYFUNCTION("""COMPUTED_VALUE"""),1.2619289E7)</f>
        <v>12619289</v>
      </c>
    </row>
    <row r="2761">
      <c r="A2761" s="2">
        <f>IFERROR(__xludf.DUMMYFUNCTION("""COMPUTED_VALUE"""),44649.64583333333)</f>
        <v>44649.64583</v>
      </c>
      <c r="B2761" s="1">
        <f>IFERROR(__xludf.DUMMYFUNCTION("""COMPUTED_VALUE"""),70000.0)</f>
        <v>70000</v>
      </c>
      <c r="C2761" s="1">
        <f>IFERROR(__xludf.DUMMYFUNCTION("""COMPUTED_VALUE"""),70300.0)</f>
        <v>70300</v>
      </c>
      <c r="D2761" s="1">
        <f>IFERROR(__xludf.DUMMYFUNCTION("""COMPUTED_VALUE"""),69800.0)</f>
        <v>69800</v>
      </c>
      <c r="E2761" s="1">
        <f>IFERROR(__xludf.DUMMYFUNCTION("""COMPUTED_VALUE"""),70200.0)</f>
        <v>70200</v>
      </c>
      <c r="F2761" s="1">
        <f>IFERROR(__xludf.DUMMYFUNCTION("""COMPUTED_VALUE"""),1.3686208E7)</f>
        <v>13686208</v>
      </c>
    </row>
    <row r="2762">
      <c r="A2762" s="2">
        <f>IFERROR(__xludf.DUMMYFUNCTION("""COMPUTED_VALUE"""),44650.64583333333)</f>
        <v>44650.64583</v>
      </c>
      <c r="B2762" s="1">
        <f>IFERROR(__xludf.DUMMYFUNCTION("""COMPUTED_VALUE"""),70300.0)</f>
        <v>70300</v>
      </c>
      <c r="C2762" s="1">
        <f>IFERROR(__xludf.DUMMYFUNCTION("""COMPUTED_VALUE"""),70500.0)</f>
        <v>70500</v>
      </c>
      <c r="D2762" s="1">
        <f>IFERROR(__xludf.DUMMYFUNCTION("""COMPUTED_VALUE"""),69800.0)</f>
        <v>69800</v>
      </c>
      <c r="E2762" s="1">
        <f>IFERROR(__xludf.DUMMYFUNCTION("""COMPUTED_VALUE"""),69900.0)</f>
        <v>69900</v>
      </c>
      <c r="F2762" s="1">
        <f>IFERROR(__xludf.DUMMYFUNCTION("""COMPUTED_VALUE"""),1.2670187E7)</f>
        <v>12670187</v>
      </c>
    </row>
    <row r="2763">
      <c r="A2763" s="2">
        <f>IFERROR(__xludf.DUMMYFUNCTION("""COMPUTED_VALUE"""),44651.64583333333)</f>
        <v>44651.64583</v>
      </c>
      <c r="B2763" s="1">
        <f>IFERROR(__xludf.DUMMYFUNCTION("""COMPUTED_VALUE"""),69900.0)</f>
        <v>69900</v>
      </c>
      <c r="C2763" s="1">
        <f>IFERROR(__xludf.DUMMYFUNCTION("""COMPUTED_VALUE"""),70200.0)</f>
        <v>70200</v>
      </c>
      <c r="D2763" s="1">
        <f>IFERROR(__xludf.DUMMYFUNCTION("""COMPUTED_VALUE"""),69600.0)</f>
        <v>69600</v>
      </c>
      <c r="E2763" s="1">
        <f>IFERROR(__xludf.DUMMYFUNCTION("""COMPUTED_VALUE"""),69600.0)</f>
        <v>69600</v>
      </c>
      <c r="F2763" s="1">
        <f>IFERROR(__xludf.DUMMYFUNCTION("""COMPUTED_VALUE"""),1.2510366E7)</f>
        <v>12510366</v>
      </c>
    </row>
    <row r="2764">
      <c r="A2764" s="2">
        <f>IFERROR(__xludf.DUMMYFUNCTION("""COMPUTED_VALUE"""),44652.64583333333)</f>
        <v>44652.64583</v>
      </c>
      <c r="B2764" s="1">
        <f>IFERROR(__xludf.DUMMYFUNCTION("""COMPUTED_VALUE"""),69500.0)</f>
        <v>69500</v>
      </c>
      <c r="C2764" s="1">
        <f>IFERROR(__xludf.DUMMYFUNCTION("""COMPUTED_VALUE"""),69500.0)</f>
        <v>69500</v>
      </c>
      <c r="D2764" s="1">
        <f>IFERROR(__xludf.DUMMYFUNCTION("""COMPUTED_VALUE"""),69000.0)</f>
        <v>69000</v>
      </c>
      <c r="E2764" s="1">
        <f>IFERROR(__xludf.DUMMYFUNCTION("""COMPUTED_VALUE"""),69100.0)</f>
        <v>69100</v>
      </c>
      <c r="F2764" s="1">
        <f>IFERROR(__xludf.DUMMYFUNCTION("""COMPUTED_VALUE"""),1.5916846E7)</f>
        <v>15916846</v>
      </c>
    </row>
    <row r="2765">
      <c r="A2765" s="2">
        <f>IFERROR(__xludf.DUMMYFUNCTION("""COMPUTED_VALUE"""),44655.64583333333)</f>
        <v>44655.64583</v>
      </c>
      <c r="B2765" s="1">
        <f>IFERROR(__xludf.DUMMYFUNCTION("""COMPUTED_VALUE"""),68900.0)</f>
        <v>68900</v>
      </c>
      <c r="C2765" s="1">
        <f>IFERROR(__xludf.DUMMYFUNCTION("""COMPUTED_VALUE"""),69300.0)</f>
        <v>69300</v>
      </c>
      <c r="D2765" s="1">
        <f>IFERROR(__xludf.DUMMYFUNCTION("""COMPUTED_VALUE"""),68600.0)</f>
        <v>68600</v>
      </c>
      <c r="E2765" s="1">
        <f>IFERROR(__xludf.DUMMYFUNCTION("""COMPUTED_VALUE"""),69300.0)</f>
        <v>69300</v>
      </c>
      <c r="F2765" s="1">
        <f>IFERROR(__xludf.DUMMYFUNCTION("""COMPUTED_VALUE"""),1.1107905E7)</f>
        <v>11107905</v>
      </c>
    </row>
    <row r="2766">
      <c r="A2766" s="2">
        <f>IFERROR(__xludf.DUMMYFUNCTION("""COMPUTED_VALUE"""),44656.64583333333)</f>
        <v>44656.64583</v>
      </c>
      <c r="B2766" s="1">
        <f>IFERROR(__xludf.DUMMYFUNCTION("""COMPUTED_VALUE"""),69400.0)</f>
        <v>69400</v>
      </c>
      <c r="C2766" s="1">
        <f>IFERROR(__xludf.DUMMYFUNCTION("""COMPUTED_VALUE"""),69600.0)</f>
        <v>69600</v>
      </c>
      <c r="D2766" s="1">
        <f>IFERROR(__xludf.DUMMYFUNCTION("""COMPUTED_VALUE"""),69100.0)</f>
        <v>69100</v>
      </c>
      <c r="E2766" s="1">
        <f>IFERROR(__xludf.DUMMYFUNCTION("""COMPUTED_VALUE"""),69200.0)</f>
        <v>69200</v>
      </c>
      <c r="F2766" s="1">
        <f>IFERROR(__xludf.DUMMYFUNCTION("""COMPUTED_VALUE"""),8467248.0)</f>
        <v>8467248</v>
      </c>
    </row>
    <row r="2767">
      <c r="A2767" s="2">
        <f>IFERROR(__xludf.DUMMYFUNCTION("""COMPUTED_VALUE"""),44657.64583333333)</f>
        <v>44657.64583</v>
      </c>
      <c r="B2767" s="1">
        <f>IFERROR(__xludf.DUMMYFUNCTION("""COMPUTED_VALUE"""),68600.0)</f>
        <v>68600</v>
      </c>
      <c r="C2767" s="1">
        <f>IFERROR(__xludf.DUMMYFUNCTION("""COMPUTED_VALUE"""),68800.0)</f>
        <v>68800</v>
      </c>
      <c r="D2767" s="1">
        <f>IFERROR(__xludf.DUMMYFUNCTION("""COMPUTED_VALUE"""),68500.0)</f>
        <v>68500</v>
      </c>
      <c r="E2767" s="1">
        <f>IFERROR(__xludf.DUMMYFUNCTION("""COMPUTED_VALUE"""),68500.0)</f>
        <v>68500</v>
      </c>
      <c r="F2767" s="1">
        <f>IFERROR(__xludf.DUMMYFUNCTION("""COMPUTED_VALUE"""),1.5517308E7)</f>
        <v>15517308</v>
      </c>
    </row>
    <row r="2768">
      <c r="A2768" s="2">
        <f>IFERROR(__xludf.DUMMYFUNCTION("""COMPUTED_VALUE"""),44658.64583333333)</f>
        <v>44658.64583</v>
      </c>
      <c r="B2768" s="1">
        <f>IFERROR(__xludf.DUMMYFUNCTION("""COMPUTED_VALUE"""),68500.0)</f>
        <v>68500</v>
      </c>
      <c r="C2768" s="1">
        <f>IFERROR(__xludf.DUMMYFUNCTION("""COMPUTED_VALUE"""),68500.0)</f>
        <v>68500</v>
      </c>
      <c r="D2768" s="1">
        <f>IFERROR(__xludf.DUMMYFUNCTION("""COMPUTED_VALUE"""),68000.0)</f>
        <v>68000</v>
      </c>
      <c r="E2768" s="1">
        <f>IFERROR(__xludf.DUMMYFUNCTION("""COMPUTED_VALUE"""),68000.0)</f>
        <v>68000</v>
      </c>
      <c r="F2768" s="1">
        <f>IFERROR(__xludf.DUMMYFUNCTION("""COMPUTED_VALUE"""),2.0683327E7)</f>
        <v>20683327</v>
      </c>
    </row>
    <row r="2769">
      <c r="A2769" s="2">
        <f>IFERROR(__xludf.DUMMYFUNCTION("""COMPUTED_VALUE"""),44659.64583333333)</f>
        <v>44659.64583</v>
      </c>
      <c r="B2769" s="1">
        <f>IFERROR(__xludf.DUMMYFUNCTION("""COMPUTED_VALUE"""),68100.0)</f>
        <v>68100</v>
      </c>
      <c r="C2769" s="1">
        <f>IFERROR(__xludf.DUMMYFUNCTION("""COMPUTED_VALUE"""),68300.0)</f>
        <v>68300</v>
      </c>
      <c r="D2769" s="1">
        <f>IFERROR(__xludf.DUMMYFUNCTION("""COMPUTED_VALUE"""),67700.0)</f>
        <v>67700</v>
      </c>
      <c r="E2769" s="1">
        <f>IFERROR(__xludf.DUMMYFUNCTION("""COMPUTED_VALUE"""),67800.0)</f>
        <v>67800</v>
      </c>
      <c r="F2769" s="1">
        <f>IFERROR(__xludf.DUMMYFUNCTION("""COMPUTED_VALUE"""),1.5453191E7)</f>
        <v>15453191</v>
      </c>
    </row>
    <row r="2770">
      <c r="A2770" s="2">
        <f>IFERROR(__xludf.DUMMYFUNCTION("""COMPUTED_VALUE"""),44662.64583333333)</f>
        <v>44662.64583</v>
      </c>
      <c r="B2770" s="1">
        <f>IFERROR(__xludf.DUMMYFUNCTION("""COMPUTED_VALUE"""),67800.0)</f>
        <v>67800</v>
      </c>
      <c r="C2770" s="1">
        <f>IFERROR(__xludf.DUMMYFUNCTION("""COMPUTED_VALUE"""),68100.0)</f>
        <v>68100</v>
      </c>
      <c r="D2770" s="1">
        <f>IFERROR(__xludf.DUMMYFUNCTION("""COMPUTED_VALUE"""),67400.0)</f>
        <v>67400</v>
      </c>
      <c r="E2770" s="1">
        <f>IFERROR(__xludf.DUMMYFUNCTION("""COMPUTED_VALUE"""),67900.0)</f>
        <v>67900</v>
      </c>
      <c r="F2770" s="1">
        <f>IFERROR(__xludf.DUMMYFUNCTION("""COMPUTED_VALUE"""),1.2263735E7)</f>
        <v>12263735</v>
      </c>
    </row>
    <row r="2771">
      <c r="A2771" s="2">
        <f>IFERROR(__xludf.DUMMYFUNCTION("""COMPUTED_VALUE"""),44663.64583333333)</f>
        <v>44663.64583</v>
      </c>
      <c r="B2771" s="1">
        <f>IFERROR(__xludf.DUMMYFUNCTION("""COMPUTED_VALUE"""),67600.0)</f>
        <v>67600</v>
      </c>
      <c r="C2771" s="1">
        <f>IFERROR(__xludf.DUMMYFUNCTION("""COMPUTED_VALUE"""),67700.0)</f>
        <v>67700</v>
      </c>
      <c r="D2771" s="1">
        <f>IFERROR(__xludf.DUMMYFUNCTION("""COMPUTED_VALUE"""),67000.0)</f>
        <v>67000</v>
      </c>
      <c r="E2771" s="1">
        <f>IFERROR(__xludf.DUMMYFUNCTION("""COMPUTED_VALUE"""),67000.0)</f>
        <v>67000</v>
      </c>
      <c r="F2771" s="1">
        <f>IFERROR(__xludf.DUMMYFUNCTION("""COMPUTED_VALUE"""),1.3924389E7)</f>
        <v>13924389</v>
      </c>
    </row>
    <row r="2772">
      <c r="A2772" s="2">
        <f>IFERROR(__xludf.DUMMYFUNCTION("""COMPUTED_VALUE"""),44664.64583333333)</f>
        <v>44664.64583</v>
      </c>
      <c r="B2772" s="1">
        <f>IFERROR(__xludf.DUMMYFUNCTION("""COMPUTED_VALUE"""),67300.0)</f>
        <v>67300</v>
      </c>
      <c r="C2772" s="1">
        <f>IFERROR(__xludf.DUMMYFUNCTION("""COMPUTED_VALUE"""),69000.0)</f>
        <v>69000</v>
      </c>
      <c r="D2772" s="1">
        <f>IFERROR(__xludf.DUMMYFUNCTION("""COMPUTED_VALUE"""),67200.0)</f>
        <v>67200</v>
      </c>
      <c r="E2772" s="1">
        <f>IFERROR(__xludf.DUMMYFUNCTION("""COMPUTED_VALUE"""),68700.0)</f>
        <v>68700</v>
      </c>
      <c r="F2772" s="1">
        <f>IFERROR(__xludf.DUMMYFUNCTION("""COMPUTED_VALUE"""),1.7378619E7)</f>
        <v>17378619</v>
      </c>
    </row>
    <row r="2773">
      <c r="A2773" s="2">
        <f>IFERROR(__xludf.DUMMYFUNCTION("""COMPUTED_VALUE"""),44665.64583333333)</f>
        <v>44665.64583</v>
      </c>
      <c r="B2773" s="1">
        <f>IFERROR(__xludf.DUMMYFUNCTION("""COMPUTED_VALUE"""),68700.0)</f>
        <v>68700</v>
      </c>
      <c r="C2773" s="1">
        <f>IFERROR(__xludf.DUMMYFUNCTION("""COMPUTED_VALUE"""),68700.0)</f>
        <v>68700</v>
      </c>
      <c r="D2773" s="1">
        <f>IFERROR(__xludf.DUMMYFUNCTION("""COMPUTED_VALUE"""),67500.0)</f>
        <v>67500</v>
      </c>
      <c r="E2773" s="1">
        <f>IFERROR(__xludf.DUMMYFUNCTION("""COMPUTED_VALUE"""),67500.0)</f>
        <v>67500</v>
      </c>
      <c r="F2773" s="1">
        <f>IFERROR(__xludf.DUMMYFUNCTION("""COMPUTED_VALUE"""),1.6409494E7)</f>
        <v>16409494</v>
      </c>
    </row>
    <row r="2774">
      <c r="A2774" s="2">
        <f>IFERROR(__xludf.DUMMYFUNCTION("""COMPUTED_VALUE"""),44666.64583333333)</f>
        <v>44666.64583</v>
      </c>
      <c r="B2774" s="1">
        <f>IFERROR(__xludf.DUMMYFUNCTION("""COMPUTED_VALUE"""),67200.0)</f>
        <v>67200</v>
      </c>
      <c r="C2774" s="1">
        <f>IFERROR(__xludf.DUMMYFUNCTION("""COMPUTED_VALUE"""),67300.0)</f>
        <v>67300</v>
      </c>
      <c r="D2774" s="1">
        <f>IFERROR(__xludf.DUMMYFUNCTION("""COMPUTED_VALUE"""),66500.0)</f>
        <v>66500</v>
      </c>
      <c r="E2774" s="1">
        <f>IFERROR(__xludf.DUMMYFUNCTION("""COMPUTED_VALUE"""),66600.0)</f>
        <v>66600</v>
      </c>
      <c r="F2774" s="1">
        <f>IFERROR(__xludf.DUMMYFUNCTION("""COMPUTED_VALUE"""),1.3176415E7)</f>
        <v>13176415</v>
      </c>
    </row>
    <row r="2775">
      <c r="A2775" s="2">
        <f>IFERROR(__xludf.DUMMYFUNCTION("""COMPUTED_VALUE"""),44669.64583333333)</f>
        <v>44669.64583</v>
      </c>
      <c r="B2775" s="1">
        <f>IFERROR(__xludf.DUMMYFUNCTION("""COMPUTED_VALUE"""),66500.0)</f>
        <v>66500</v>
      </c>
      <c r="C2775" s="1">
        <f>IFERROR(__xludf.DUMMYFUNCTION("""COMPUTED_VALUE"""),67100.0)</f>
        <v>67100</v>
      </c>
      <c r="D2775" s="1">
        <f>IFERROR(__xludf.DUMMYFUNCTION("""COMPUTED_VALUE"""),66100.0)</f>
        <v>66100</v>
      </c>
      <c r="E2775" s="1">
        <f>IFERROR(__xludf.DUMMYFUNCTION("""COMPUTED_VALUE"""),66700.0)</f>
        <v>66700</v>
      </c>
      <c r="F2775" s="1">
        <f>IFERROR(__xludf.DUMMYFUNCTION("""COMPUTED_VALUE"""),1.0119203E7)</f>
        <v>10119203</v>
      </c>
    </row>
    <row r="2776">
      <c r="A2776" s="2">
        <f>IFERROR(__xludf.DUMMYFUNCTION("""COMPUTED_VALUE"""),44670.64583333333)</f>
        <v>44670.64583</v>
      </c>
      <c r="B2776" s="1">
        <f>IFERROR(__xludf.DUMMYFUNCTION("""COMPUTED_VALUE"""),67100.0)</f>
        <v>67100</v>
      </c>
      <c r="C2776" s="1">
        <f>IFERROR(__xludf.DUMMYFUNCTION("""COMPUTED_VALUE"""),68000.0)</f>
        <v>68000</v>
      </c>
      <c r="D2776" s="1">
        <f>IFERROR(__xludf.DUMMYFUNCTION("""COMPUTED_VALUE"""),67000.0)</f>
        <v>67000</v>
      </c>
      <c r="E2776" s="1">
        <f>IFERROR(__xludf.DUMMYFUNCTION("""COMPUTED_VALUE"""),67300.0)</f>
        <v>67300</v>
      </c>
      <c r="F2776" s="1">
        <f>IFERROR(__xludf.DUMMYFUNCTION("""COMPUTED_VALUE"""),1.2959434E7)</f>
        <v>12959434</v>
      </c>
    </row>
    <row r="2777">
      <c r="A2777" s="2">
        <f>IFERROR(__xludf.DUMMYFUNCTION("""COMPUTED_VALUE"""),44671.64583333333)</f>
        <v>44671.64583</v>
      </c>
      <c r="B2777" s="1">
        <f>IFERROR(__xludf.DUMMYFUNCTION("""COMPUTED_VALUE"""),67000.0)</f>
        <v>67000</v>
      </c>
      <c r="C2777" s="1">
        <f>IFERROR(__xludf.DUMMYFUNCTION("""COMPUTED_VALUE"""),67400.0)</f>
        <v>67400</v>
      </c>
      <c r="D2777" s="1">
        <f>IFERROR(__xludf.DUMMYFUNCTION("""COMPUTED_VALUE"""),66500.0)</f>
        <v>66500</v>
      </c>
      <c r="E2777" s="1">
        <f>IFERROR(__xludf.DUMMYFUNCTION("""COMPUTED_VALUE"""),67400.0)</f>
        <v>67400</v>
      </c>
      <c r="F2777" s="1">
        <f>IFERROR(__xludf.DUMMYFUNCTION("""COMPUTED_VALUE"""),1.6693293E7)</f>
        <v>16693293</v>
      </c>
    </row>
    <row r="2778">
      <c r="A2778" s="2">
        <f>IFERROR(__xludf.DUMMYFUNCTION("""COMPUTED_VALUE"""),44672.64583333333)</f>
        <v>44672.64583</v>
      </c>
      <c r="B2778" s="1">
        <f>IFERROR(__xludf.DUMMYFUNCTION("""COMPUTED_VALUE"""),67600.0)</f>
        <v>67600</v>
      </c>
      <c r="C2778" s="1">
        <f>IFERROR(__xludf.DUMMYFUNCTION("""COMPUTED_VALUE"""),68300.0)</f>
        <v>68300</v>
      </c>
      <c r="D2778" s="1">
        <f>IFERROR(__xludf.DUMMYFUNCTION("""COMPUTED_VALUE"""),67500.0)</f>
        <v>67500</v>
      </c>
      <c r="E2778" s="1">
        <f>IFERROR(__xludf.DUMMYFUNCTION("""COMPUTED_VALUE"""),67700.0)</f>
        <v>67700</v>
      </c>
      <c r="F2778" s="1">
        <f>IFERROR(__xludf.DUMMYFUNCTION("""COMPUTED_VALUE"""),1.2847448E7)</f>
        <v>12847448</v>
      </c>
    </row>
    <row r="2779">
      <c r="A2779" s="2">
        <f>IFERROR(__xludf.DUMMYFUNCTION("""COMPUTED_VALUE"""),44673.64583333333)</f>
        <v>44673.64583</v>
      </c>
      <c r="B2779" s="1">
        <f>IFERROR(__xludf.DUMMYFUNCTION("""COMPUTED_VALUE"""),67200.0)</f>
        <v>67200</v>
      </c>
      <c r="C2779" s="1">
        <f>IFERROR(__xludf.DUMMYFUNCTION("""COMPUTED_VALUE"""),67300.0)</f>
        <v>67300</v>
      </c>
      <c r="D2779" s="1">
        <f>IFERROR(__xludf.DUMMYFUNCTION("""COMPUTED_VALUE"""),66700.0)</f>
        <v>66700</v>
      </c>
      <c r="E2779" s="1">
        <f>IFERROR(__xludf.DUMMYFUNCTION("""COMPUTED_VALUE"""),67000.0)</f>
        <v>67000</v>
      </c>
      <c r="F2779" s="1">
        <f>IFERROR(__xludf.DUMMYFUNCTION("""COMPUTED_VALUE"""),1.1791478E7)</f>
        <v>11791478</v>
      </c>
    </row>
    <row r="2780">
      <c r="A2780" s="2">
        <f>IFERROR(__xludf.DUMMYFUNCTION("""COMPUTED_VALUE"""),44676.64583333333)</f>
        <v>44676.64583</v>
      </c>
      <c r="B2780" s="1">
        <f>IFERROR(__xludf.DUMMYFUNCTION("""COMPUTED_VALUE"""),66500.0)</f>
        <v>66500</v>
      </c>
      <c r="C2780" s="1">
        <f>IFERROR(__xludf.DUMMYFUNCTION("""COMPUTED_VALUE"""),66700.0)</f>
        <v>66700</v>
      </c>
      <c r="D2780" s="1">
        <f>IFERROR(__xludf.DUMMYFUNCTION("""COMPUTED_VALUE"""),66300.0)</f>
        <v>66300</v>
      </c>
      <c r="E2780" s="1">
        <f>IFERROR(__xludf.DUMMYFUNCTION("""COMPUTED_VALUE"""),66300.0)</f>
        <v>66300</v>
      </c>
      <c r="F2780" s="1">
        <f>IFERROR(__xludf.DUMMYFUNCTION("""COMPUTED_VALUE"""),1.1016474E7)</f>
        <v>11016474</v>
      </c>
    </row>
    <row r="2781">
      <c r="A2781" s="2">
        <f>IFERROR(__xludf.DUMMYFUNCTION("""COMPUTED_VALUE"""),44677.64583333333)</f>
        <v>44677.64583</v>
      </c>
      <c r="B2781" s="1">
        <f>IFERROR(__xludf.DUMMYFUNCTION("""COMPUTED_VALUE"""),66400.0)</f>
        <v>66400</v>
      </c>
      <c r="C2781" s="1">
        <f>IFERROR(__xludf.DUMMYFUNCTION("""COMPUTED_VALUE"""),66700.0)</f>
        <v>66700</v>
      </c>
      <c r="D2781" s="1">
        <f>IFERROR(__xludf.DUMMYFUNCTION("""COMPUTED_VALUE"""),66100.0)</f>
        <v>66100</v>
      </c>
      <c r="E2781" s="1">
        <f>IFERROR(__xludf.DUMMYFUNCTION("""COMPUTED_VALUE"""),66100.0)</f>
        <v>66100</v>
      </c>
      <c r="F2781" s="1">
        <f>IFERROR(__xludf.DUMMYFUNCTION("""COMPUTED_VALUE"""),1.2946923E7)</f>
        <v>12946923</v>
      </c>
    </row>
    <row r="2782">
      <c r="A2782" s="2">
        <f>IFERROR(__xludf.DUMMYFUNCTION("""COMPUTED_VALUE"""),44678.64583333333)</f>
        <v>44678.64583</v>
      </c>
      <c r="B2782" s="1">
        <f>IFERROR(__xludf.DUMMYFUNCTION("""COMPUTED_VALUE"""),65400.0)</f>
        <v>65400</v>
      </c>
      <c r="C2782" s="1">
        <f>IFERROR(__xludf.DUMMYFUNCTION("""COMPUTED_VALUE"""),65500.0)</f>
        <v>65500</v>
      </c>
      <c r="D2782" s="1">
        <f>IFERROR(__xludf.DUMMYFUNCTION("""COMPUTED_VALUE"""),64900.0)</f>
        <v>64900</v>
      </c>
      <c r="E2782" s="1">
        <f>IFERROR(__xludf.DUMMYFUNCTION("""COMPUTED_VALUE"""),65000.0)</f>
        <v>65000</v>
      </c>
      <c r="F2782" s="1">
        <f>IFERROR(__xludf.DUMMYFUNCTION("""COMPUTED_VALUE"""),1.8122084E7)</f>
        <v>18122084</v>
      </c>
    </row>
    <row r="2783">
      <c r="A2783" s="2">
        <f>IFERROR(__xludf.DUMMYFUNCTION("""COMPUTED_VALUE"""),44679.64583333333)</f>
        <v>44679.64583</v>
      </c>
      <c r="B2783" s="1">
        <f>IFERROR(__xludf.DUMMYFUNCTION("""COMPUTED_VALUE"""),65400.0)</f>
        <v>65400</v>
      </c>
      <c r="C2783" s="1">
        <f>IFERROR(__xludf.DUMMYFUNCTION("""COMPUTED_VALUE"""),65500.0)</f>
        <v>65500</v>
      </c>
      <c r="D2783" s="1">
        <f>IFERROR(__xludf.DUMMYFUNCTION("""COMPUTED_VALUE"""),64500.0)</f>
        <v>64500</v>
      </c>
      <c r="E2783" s="1">
        <f>IFERROR(__xludf.DUMMYFUNCTION("""COMPUTED_VALUE"""),64800.0)</f>
        <v>64800</v>
      </c>
      <c r="F2783" s="1">
        <f>IFERROR(__xludf.DUMMYFUNCTION("""COMPUTED_VALUE"""),1.6895527E7)</f>
        <v>16895527</v>
      </c>
    </row>
    <row r="2784">
      <c r="A2784" s="2">
        <f>IFERROR(__xludf.DUMMYFUNCTION("""COMPUTED_VALUE"""),44680.64583333333)</f>
        <v>44680.64583</v>
      </c>
      <c r="B2784" s="1">
        <f>IFERROR(__xludf.DUMMYFUNCTION("""COMPUTED_VALUE"""),65100.0)</f>
        <v>65100</v>
      </c>
      <c r="C2784" s="1">
        <f>IFERROR(__xludf.DUMMYFUNCTION("""COMPUTED_VALUE"""),67600.0)</f>
        <v>67600</v>
      </c>
      <c r="D2784" s="1">
        <f>IFERROR(__xludf.DUMMYFUNCTION("""COMPUTED_VALUE"""),65000.0)</f>
        <v>65000</v>
      </c>
      <c r="E2784" s="1">
        <f>IFERROR(__xludf.DUMMYFUNCTION("""COMPUTED_VALUE"""),67400.0)</f>
        <v>67400</v>
      </c>
      <c r="F2784" s="1">
        <f>IFERROR(__xludf.DUMMYFUNCTION("""COMPUTED_VALUE"""),2.619039E7)</f>
        <v>26190390</v>
      </c>
    </row>
    <row r="2785">
      <c r="A2785" s="2">
        <f>IFERROR(__xludf.DUMMYFUNCTION("""COMPUTED_VALUE"""),44683.64583333333)</f>
        <v>44683.64583</v>
      </c>
      <c r="B2785" s="1">
        <f>IFERROR(__xludf.DUMMYFUNCTION("""COMPUTED_VALUE"""),66600.0)</f>
        <v>66600</v>
      </c>
      <c r="C2785" s="1">
        <f>IFERROR(__xludf.DUMMYFUNCTION("""COMPUTED_VALUE"""),67600.0)</f>
        <v>67600</v>
      </c>
      <c r="D2785" s="1">
        <f>IFERROR(__xludf.DUMMYFUNCTION("""COMPUTED_VALUE"""),66500.0)</f>
        <v>66500</v>
      </c>
      <c r="E2785" s="1">
        <f>IFERROR(__xludf.DUMMYFUNCTION("""COMPUTED_VALUE"""),67300.0)</f>
        <v>67300</v>
      </c>
      <c r="F2785" s="1">
        <f>IFERROR(__xludf.DUMMYFUNCTION("""COMPUTED_VALUE"""),1.4106184E7)</f>
        <v>14106184</v>
      </c>
    </row>
    <row r="2786">
      <c r="A2786" s="2">
        <f>IFERROR(__xludf.DUMMYFUNCTION("""COMPUTED_VALUE"""),44684.64583333333)</f>
        <v>44684.64583</v>
      </c>
      <c r="B2786" s="1">
        <f>IFERROR(__xludf.DUMMYFUNCTION("""COMPUTED_VALUE"""),67400.0)</f>
        <v>67400</v>
      </c>
      <c r="C2786" s="1">
        <f>IFERROR(__xludf.DUMMYFUNCTION("""COMPUTED_VALUE"""),68400.0)</f>
        <v>68400</v>
      </c>
      <c r="D2786" s="1">
        <f>IFERROR(__xludf.DUMMYFUNCTION("""COMPUTED_VALUE"""),67300.0)</f>
        <v>67300</v>
      </c>
      <c r="E2786" s="1">
        <f>IFERROR(__xludf.DUMMYFUNCTION("""COMPUTED_VALUE"""),67500.0)</f>
        <v>67500</v>
      </c>
      <c r="F2786" s="1">
        <f>IFERROR(__xludf.DUMMYFUNCTION("""COMPUTED_VALUE"""),1.4168875E7)</f>
        <v>14168875</v>
      </c>
    </row>
    <row r="2787">
      <c r="A2787" s="2">
        <f>IFERROR(__xludf.DUMMYFUNCTION("""COMPUTED_VALUE"""),44685.64583333333)</f>
        <v>44685.64583</v>
      </c>
      <c r="B2787" s="1">
        <f>IFERROR(__xludf.DUMMYFUNCTION("""COMPUTED_VALUE"""),68000.0)</f>
        <v>68000</v>
      </c>
      <c r="C2787" s="1">
        <f>IFERROR(__xludf.DUMMYFUNCTION("""COMPUTED_VALUE"""),68400.0)</f>
        <v>68400</v>
      </c>
      <c r="D2787" s="1">
        <f>IFERROR(__xludf.DUMMYFUNCTION("""COMPUTED_VALUE"""),67500.0)</f>
        <v>67500</v>
      </c>
      <c r="E2787" s="1">
        <f>IFERROR(__xludf.DUMMYFUNCTION("""COMPUTED_VALUE"""),67900.0)</f>
        <v>67900</v>
      </c>
      <c r="F2787" s="1">
        <f>IFERROR(__xludf.DUMMYFUNCTION("""COMPUTED_VALUE"""),1.1505248E7)</f>
        <v>11505248</v>
      </c>
    </row>
    <row r="2788">
      <c r="A2788" s="2">
        <f>IFERROR(__xludf.DUMMYFUNCTION("""COMPUTED_VALUE"""),44687.64583333333)</f>
        <v>44687.64583</v>
      </c>
      <c r="B2788" s="1">
        <f>IFERROR(__xludf.DUMMYFUNCTION("""COMPUTED_VALUE"""),67000.0)</f>
        <v>67000</v>
      </c>
      <c r="C2788" s="1">
        <f>IFERROR(__xludf.DUMMYFUNCTION("""COMPUTED_VALUE"""),67100.0)</f>
        <v>67100</v>
      </c>
      <c r="D2788" s="1">
        <f>IFERROR(__xludf.DUMMYFUNCTION("""COMPUTED_VALUE"""),66500.0)</f>
        <v>66500</v>
      </c>
      <c r="E2788" s="1">
        <f>IFERROR(__xludf.DUMMYFUNCTION("""COMPUTED_VALUE"""),66500.0)</f>
        <v>66500</v>
      </c>
      <c r="F2788" s="1">
        <f>IFERROR(__xludf.DUMMYFUNCTION("""COMPUTED_VALUE"""),1.4356156E7)</f>
        <v>14356156</v>
      </c>
    </row>
    <row r="2789">
      <c r="A2789" s="2">
        <f>IFERROR(__xludf.DUMMYFUNCTION("""COMPUTED_VALUE"""),44690.64583333333)</f>
        <v>44690.64583</v>
      </c>
      <c r="B2789" s="1">
        <f>IFERROR(__xludf.DUMMYFUNCTION("""COMPUTED_VALUE"""),66300.0)</f>
        <v>66300</v>
      </c>
      <c r="C2789" s="1">
        <f>IFERROR(__xludf.DUMMYFUNCTION("""COMPUTED_VALUE"""),66900.0)</f>
        <v>66900</v>
      </c>
      <c r="D2789" s="1">
        <f>IFERROR(__xludf.DUMMYFUNCTION("""COMPUTED_VALUE"""),66100.0)</f>
        <v>66100</v>
      </c>
      <c r="E2789" s="1">
        <f>IFERROR(__xludf.DUMMYFUNCTION("""COMPUTED_VALUE"""),66100.0)</f>
        <v>66100</v>
      </c>
      <c r="F2789" s="1">
        <f>IFERROR(__xludf.DUMMYFUNCTION("""COMPUTED_VALUE"""),1.1858736E7)</f>
        <v>11858736</v>
      </c>
    </row>
    <row r="2790">
      <c r="A2790" s="2">
        <f>IFERROR(__xludf.DUMMYFUNCTION("""COMPUTED_VALUE"""),44691.64583333333)</f>
        <v>44691.64583</v>
      </c>
      <c r="B2790" s="1">
        <f>IFERROR(__xludf.DUMMYFUNCTION("""COMPUTED_VALUE"""),65900.0)</f>
        <v>65900</v>
      </c>
      <c r="C2790" s="1">
        <f>IFERROR(__xludf.DUMMYFUNCTION("""COMPUTED_VALUE"""),66300.0)</f>
        <v>66300</v>
      </c>
      <c r="D2790" s="1">
        <f>IFERROR(__xludf.DUMMYFUNCTION("""COMPUTED_VALUE"""),65300.0)</f>
        <v>65300</v>
      </c>
      <c r="E2790" s="1">
        <f>IFERROR(__xludf.DUMMYFUNCTION("""COMPUTED_VALUE"""),65700.0)</f>
        <v>65700</v>
      </c>
      <c r="F2790" s="1">
        <f>IFERROR(__xludf.DUMMYFUNCTION("""COMPUTED_VALUE"""),1.7235605E7)</f>
        <v>17235605</v>
      </c>
    </row>
    <row r="2791">
      <c r="A2791" s="2">
        <f>IFERROR(__xludf.DUMMYFUNCTION("""COMPUTED_VALUE"""),44692.64583333333)</f>
        <v>44692.64583</v>
      </c>
      <c r="B2791" s="1">
        <f>IFERROR(__xludf.DUMMYFUNCTION("""COMPUTED_VALUE"""),65500.0)</f>
        <v>65500</v>
      </c>
      <c r="C2791" s="1">
        <f>IFERROR(__xludf.DUMMYFUNCTION("""COMPUTED_VALUE"""),66300.0)</f>
        <v>66300</v>
      </c>
      <c r="D2791" s="1">
        <f>IFERROR(__xludf.DUMMYFUNCTION("""COMPUTED_VALUE"""),65200.0)</f>
        <v>65200</v>
      </c>
      <c r="E2791" s="1">
        <f>IFERROR(__xludf.DUMMYFUNCTION("""COMPUTED_VALUE"""),65700.0)</f>
        <v>65700</v>
      </c>
      <c r="F2791" s="1">
        <f>IFERROR(__xludf.DUMMYFUNCTION("""COMPUTED_VALUE"""),1.233092E7)</f>
        <v>12330920</v>
      </c>
    </row>
    <row r="2792">
      <c r="A2792" s="2">
        <f>IFERROR(__xludf.DUMMYFUNCTION("""COMPUTED_VALUE"""),44693.64583333333)</f>
        <v>44693.64583</v>
      </c>
      <c r="B2792" s="1">
        <f>IFERROR(__xludf.DUMMYFUNCTION("""COMPUTED_VALUE"""),65200.0)</f>
        <v>65200</v>
      </c>
      <c r="C2792" s="1">
        <f>IFERROR(__xludf.DUMMYFUNCTION("""COMPUTED_VALUE"""),65500.0)</f>
        <v>65500</v>
      </c>
      <c r="D2792" s="1">
        <f>IFERROR(__xludf.DUMMYFUNCTION("""COMPUTED_VALUE"""),64900.0)</f>
        <v>64900</v>
      </c>
      <c r="E2792" s="1">
        <f>IFERROR(__xludf.DUMMYFUNCTION("""COMPUTED_VALUE"""),64900.0)</f>
        <v>64900</v>
      </c>
      <c r="F2792" s="1">
        <f>IFERROR(__xludf.DUMMYFUNCTION("""COMPUTED_VALUE"""),1.6414188E7)</f>
        <v>16414188</v>
      </c>
    </row>
    <row r="2793">
      <c r="A2793" s="2">
        <f>IFERROR(__xludf.DUMMYFUNCTION("""COMPUTED_VALUE"""),44694.64583333333)</f>
        <v>44694.64583</v>
      </c>
      <c r="B2793" s="1">
        <f>IFERROR(__xludf.DUMMYFUNCTION("""COMPUTED_VALUE"""),65300.0)</f>
        <v>65300</v>
      </c>
      <c r="C2793" s="1">
        <f>IFERROR(__xludf.DUMMYFUNCTION("""COMPUTED_VALUE"""),66700.0)</f>
        <v>66700</v>
      </c>
      <c r="D2793" s="1">
        <f>IFERROR(__xludf.DUMMYFUNCTION("""COMPUTED_VALUE"""),65200.0)</f>
        <v>65200</v>
      </c>
      <c r="E2793" s="1">
        <f>IFERROR(__xludf.DUMMYFUNCTION("""COMPUTED_VALUE"""),66500.0)</f>
        <v>66500</v>
      </c>
      <c r="F2793" s="1">
        <f>IFERROR(__xludf.DUMMYFUNCTION("""COMPUTED_VALUE"""),1.4551536E7)</f>
        <v>14551536</v>
      </c>
    </row>
    <row r="2794">
      <c r="A2794" s="2">
        <f>IFERROR(__xludf.DUMMYFUNCTION("""COMPUTED_VALUE"""),44697.64583333333)</f>
        <v>44697.64583</v>
      </c>
      <c r="B2794" s="1">
        <f>IFERROR(__xludf.DUMMYFUNCTION("""COMPUTED_VALUE"""),67100.0)</f>
        <v>67100</v>
      </c>
      <c r="C2794" s="1">
        <f>IFERROR(__xludf.DUMMYFUNCTION("""COMPUTED_VALUE"""),67400.0)</f>
        <v>67400</v>
      </c>
      <c r="D2794" s="1">
        <f>IFERROR(__xludf.DUMMYFUNCTION("""COMPUTED_VALUE"""),66100.0)</f>
        <v>66100</v>
      </c>
      <c r="E2794" s="1">
        <f>IFERROR(__xludf.DUMMYFUNCTION("""COMPUTED_VALUE"""),66300.0)</f>
        <v>66300</v>
      </c>
      <c r="F2794" s="1">
        <f>IFERROR(__xludf.DUMMYFUNCTION("""COMPUTED_VALUE"""),1.1937555E7)</f>
        <v>11937555</v>
      </c>
    </row>
    <row r="2795">
      <c r="A2795" s="2">
        <f>IFERROR(__xludf.DUMMYFUNCTION("""COMPUTED_VALUE"""),44698.64583333333)</f>
        <v>44698.64583</v>
      </c>
      <c r="B2795" s="1">
        <f>IFERROR(__xludf.DUMMYFUNCTION("""COMPUTED_VALUE"""),66600.0)</f>
        <v>66600</v>
      </c>
      <c r="C2795" s="1">
        <f>IFERROR(__xludf.DUMMYFUNCTION("""COMPUTED_VALUE"""),67900.0)</f>
        <v>67900</v>
      </c>
      <c r="D2795" s="1">
        <f>IFERROR(__xludf.DUMMYFUNCTION("""COMPUTED_VALUE"""),66600.0)</f>
        <v>66600</v>
      </c>
      <c r="E2795" s="1">
        <f>IFERROR(__xludf.DUMMYFUNCTION("""COMPUTED_VALUE"""),67600.0)</f>
        <v>67600</v>
      </c>
      <c r="F2795" s="1">
        <f>IFERROR(__xludf.DUMMYFUNCTION("""COMPUTED_VALUE"""),1.5680447E7)</f>
        <v>15680447</v>
      </c>
    </row>
    <row r="2796">
      <c r="A2796" s="2">
        <f>IFERROR(__xludf.DUMMYFUNCTION("""COMPUTED_VALUE"""),44699.64583333333)</f>
        <v>44699.64583</v>
      </c>
      <c r="B2796" s="1">
        <f>IFERROR(__xludf.DUMMYFUNCTION("""COMPUTED_VALUE"""),68300.0)</f>
        <v>68300</v>
      </c>
      <c r="C2796" s="1">
        <f>IFERROR(__xludf.DUMMYFUNCTION("""COMPUTED_VALUE"""),68700.0)</f>
        <v>68700</v>
      </c>
      <c r="D2796" s="1">
        <f>IFERROR(__xludf.DUMMYFUNCTION("""COMPUTED_VALUE"""),67600.0)</f>
        <v>67600</v>
      </c>
      <c r="E2796" s="1">
        <f>IFERROR(__xludf.DUMMYFUNCTION("""COMPUTED_VALUE"""),68100.0)</f>
        <v>68100</v>
      </c>
      <c r="F2796" s="1">
        <f>IFERROR(__xludf.DUMMYFUNCTION("""COMPUTED_VALUE"""),1.6486319E7)</f>
        <v>16486319</v>
      </c>
    </row>
    <row r="2797">
      <c r="A2797" s="2">
        <f>IFERROR(__xludf.DUMMYFUNCTION("""COMPUTED_VALUE"""),44700.64583333333)</f>
        <v>44700.64583</v>
      </c>
      <c r="B2797" s="1">
        <f>IFERROR(__xludf.DUMMYFUNCTION("""COMPUTED_VALUE"""),66500.0)</f>
        <v>66500</v>
      </c>
      <c r="C2797" s="1">
        <f>IFERROR(__xludf.DUMMYFUNCTION("""COMPUTED_VALUE"""),67600.0)</f>
        <v>67600</v>
      </c>
      <c r="D2797" s="1">
        <f>IFERROR(__xludf.DUMMYFUNCTION("""COMPUTED_VALUE"""),66500.0)</f>
        <v>66500</v>
      </c>
      <c r="E2797" s="1">
        <f>IFERROR(__xludf.DUMMYFUNCTION("""COMPUTED_VALUE"""),67500.0)</f>
        <v>67500</v>
      </c>
      <c r="F2797" s="1">
        <f>IFERROR(__xludf.DUMMYFUNCTION("""COMPUTED_VALUE"""),1.7073727E7)</f>
        <v>17073727</v>
      </c>
    </row>
    <row r="2798">
      <c r="A2798" s="2">
        <f>IFERROR(__xludf.DUMMYFUNCTION("""COMPUTED_VALUE"""),44701.64583333333)</f>
        <v>44701.64583</v>
      </c>
      <c r="B2798" s="1">
        <f>IFERROR(__xludf.DUMMYFUNCTION("""COMPUTED_VALUE"""),67800.0)</f>
        <v>67800</v>
      </c>
      <c r="C2798" s="1">
        <f>IFERROR(__xludf.DUMMYFUNCTION("""COMPUTED_VALUE"""),68400.0)</f>
        <v>68400</v>
      </c>
      <c r="D2798" s="1">
        <f>IFERROR(__xludf.DUMMYFUNCTION("""COMPUTED_VALUE"""),67700.0)</f>
        <v>67700</v>
      </c>
      <c r="E2798" s="1">
        <f>IFERROR(__xludf.DUMMYFUNCTION("""COMPUTED_VALUE"""),68000.0)</f>
        <v>68000</v>
      </c>
      <c r="F2798" s="1">
        <f>IFERROR(__xludf.DUMMYFUNCTION("""COMPUTED_VALUE"""),1.2109671E7)</f>
        <v>12109671</v>
      </c>
    </row>
    <row r="2799">
      <c r="A2799" s="2">
        <f>IFERROR(__xludf.DUMMYFUNCTION("""COMPUTED_VALUE"""),44704.64583333333)</f>
        <v>44704.64583</v>
      </c>
      <c r="B2799" s="1">
        <f>IFERROR(__xludf.DUMMYFUNCTION("""COMPUTED_VALUE"""),68800.0)</f>
        <v>68800</v>
      </c>
      <c r="C2799" s="1">
        <f>IFERROR(__xludf.DUMMYFUNCTION("""COMPUTED_VALUE"""),68800.0)</f>
        <v>68800</v>
      </c>
      <c r="D2799" s="1">
        <f>IFERROR(__xludf.DUMMYFUNCTION("""COMPUTED_VALUE"""),67600.0)</f>
        <v>67600</v>
      </c>
      <c r="E2799" s="1">
        <f>IFERROR(__xludf.DUMMYFUNCTION("""COMPUTED_VALUE"""),67900.0)</f>
        <v>67900</v>
      </c>
      <c r="F2799" s="1">
        <f>IFERROR(__xludf.DUMMYFUNCTION("""COMPUTED_VALUE"""),1.3684088E7)</f>
        <v>13684088</v>
      </c>
    </row>
    <row r="2800">
      <c r="A2800" s="2">
        <f>IFERROR(__xludf.DUMMYFUNCTION("""COMPUTED_VALUE"""),44705.64583333333)</f>
        <v>44705.64583</v>
      </c>
      <c r="B2800" s="1">
        <f>IFERROR(__xludf.DUMMYFUNCTION("""COMPUTED_VALUE"""),67500.0)</f>
        <v>67500</v>
      </c>
      <c r="C2800" s="1">
        <f>IFERROR(__xludf.DUMMYFUNCTION("""COMPUTED_VALUE"""),67700.0)</f>
        <v>67700</v>
      </c>
      <c r="D2800" s="1">
        <f>IFERROR(__xludf.DUMMYFUNCTION("""COMPUTED_VALUE"""),66500.0)</f>
        <v>66500</v>
      </c>
      <c r="E2800" s="1">
        <f>IFERROR(__xludf.DUMMYFUNCTION("""COMPUTED_VALUE"""),66500.0)</f>
        <v>66500</v>
      </c>
      <c r="F2800" s="1">
        <f>IFERROR(__xludf.DUMMYFUNCTION("""COMPUTED_VALUE"""),1.5482576E7)</f>
        <v>15482576</v>
      </c>
    </row>
    <row r="2801">
      <c r="A2801" s="2">
        <f>IFERROR(__xludf.DUMMYFUNCTION("""COMPUTED_VALUE"""),44706.64583333333)</f>
        <v>44706.64583</v>
      </c>
      <c r="B2801" s="1">
        <f>IFERROR(__xludf.DUMMYFUNCTION("""COMPUTED_VALUE"""),66700.0)</f>
        <v>66700</v>
      </c>
      <c r="C2801" s="1">
        <f>IFERROR(__xludf.DUMMYFUNCTION("""COMPUTED_VALUE"""),67100.0)</f>
        <v>67100</v>
      </c>
      <c r="D2801" s="1">
        <f>IFERROR(__xludf.DUMMYFUNCTION("""COMPUTED_VALUE"""),65900.0)</f>
        <v>65900</v>
      </c>
      <c r="E2801" s="1">
        <f>IFERROR(__xludf.DUMMYFUNCTION("""COMPUTED_VALUE"""),66400.0)</f>
        <v>66400</v>
      </c>
      <c r="F2801" s="1">
        <f>IFERROR(__xludf.DUMMYFUNCTION("""COMPUTED_VALUE"""),1.515049E7)</f>
        <v>15150490</v>
      </c>
    </row>
    <row r="2802">
      <c r="A2802" s="2">
        <f>IFERROR(__xludf.DUMMYFUNCTION("""COMPUTED_VALUE"""),44707.64583333333)</f>
        <v>44707.64583</v>
      </c>
      <c r="B2802" s="1">
        <f>IFERROR(__xludf.DUMMYFUNCTION("""COMPUTED_VALUE"""),66300.0)</f>
        <v>66300</v>
      </c>
      <c r="C2802" s="1">
        <f>IFERROR(__xludf.DUMMYFUNCTION("""COMPUTED_VALUE"""),67200.0)</f>
        <v>67200</v>
      </c>
      <c r="D2802" s="1">
        <f>IFERROR(__xludf.DUMMYFUNCTION("""COMPUTED_VALUE"""),65500.0)</f>
        <v>65500</v>
      </c>
      <c r="E2802" s="1">
        <f>IFERROR(__xludf.DUMMYFUNCTION("""COMPUTED_VALUE"""),65900.0)</f>
        <v>65900</v>
      </c>
      <c r="F2802" s="1">
        <f>IFERROR(__xludf.DUMMYFUNCTION("""COMPUTED_VALUE"""),1.597089E7)</f>
        <v>15970890</v>
      </c>
    </row>
    <row r="2803">
      <c r="A2803" s="2">
        <f>IFERROR(__xludf.DUMMYFUNCTION("""COMPUTED_VALUE"""),44708.64583333333)</f>
        <v>44708.64583</v>
      </c>
      <c r="B2803" s="1">
        <f>IFERROR(__xludf.DUMMYFUNCTION("""COMPUTED_VALUE"""),66700.0)</f>
        <v>66700</v>
      </c>
      <c r="C2803" s="1">
        <f>IFERROR(__xludf.DUMMYFUNCTION("""COMPUTED_VALUE"""),66900.0)</f>
        <v>66900</v>
      </c>
      <c r="D2803" s="1">
        <f>IFERROR(__xludf.DUMMYFUNCTION("""COMPUTED_VALUE"""),66200.0)</f>
        <v>66200</v>
      </c>
      <c r="E2803" s="1">
        <f>IFERROR(__xludf.DUMMYFUNCTION("""COMPUTED_VALUE"""),66500.0)</f>
        <v>66500</v>
      </c>
      <c r="F2803" s="1">
        <f>IFERROR(__xludf.DUMMYFUNCTION("""COMPUTED_VALUE"""),1.1405555E7)</f>
        <v>11405555</v>
      </c>
    </row>
    <row r="2804">
      <c r="A2804" s="2">
        <f>IFERROR(__xludf.DUMMYFUNCTION("""COMPUTED_VALUE"""),44711.64583333333)</f>
        <v>44711.64583</v>
      </c>
      <c r="B2804" s="1">
        <f>IFERROR(__xludf.DUMMYFUNCTION("""COMPUTED_VALUE"""),67500.0)</f>
        <v>67500</v>
      </c>
      <c r="C2804" s="1">
        <f>IFERROR(__xludf.DUMMYFUNCTION("""COMPUTED_VALUE"""),67800.0)</f>
        <v>67800</v>
      </c>
      <c r="D2804" s="1">
        <f>IFERROR(__xludf.DUMMYFUNCTION("""COMPUTED_VALUE"""),66900.0)</f>
        <v>66900</v>
      </c>
      <c r="E2804" s="1">
        <f>IFERROR(__xludf.DUMMYFUNCTION("""COMPUTED_VALUE"""),67700.0)</f>
        <v>67700</v>
      </c>
      <c r="F2804" s="1">
        <f>IFERROR(__xludf.DUMMYFUNCTION("""COMPUTED_VALUE"""),1.4255484E7)</f>
        <v>14255484</v>
      </c>
    </row>
    <row r="2805">
      <c r="A2805" s="2">
        <f>IFERROR(__xludf.DUMMYFUNCTION("""COMPUTED_VALUE"""),44712.64583333333)</f>
        <v>44712.64583</v>
      </c>
      <c r="B2805" s="1">
        <f>IFERROR(__xludf.DUMMYFUNCTION("""COMPUTED_VALUE"""),67500.0)</f>
        <v>67500</v>
      </c>
      <c r="C2805" s="1">
        <f>IFERROR(__xludf.DUMMYFUNCTION("""COMPUTED_VALUE"""),67500.0)</f>
        <v>67500</v>
      </c>
      <c r="D2805" s="1">
        <f>IFERROR(__xludf.DUMMYFUNCTION("""COMPUTED_VALUE"""),66700.0)</f>
        <v>66700</v>
      </c>
      <c r="E2805" s="1">
        <f>IFERROR(__xludf.DUMMYFUNCTION("""COMPUTED_VALUE"""),67400.0)</f>
        <v>67400</v>
      </c>
      <c r="F2805" s="1">
        <f>IFERROR(__xludf.DUMMYFUNCTION("""COMPUTED_VALUE"""),2.4365002E7)</f>
        <v>24365002</v>
      </c>
    </row>
    <row r="2806">
      <c r="A2806" s="2">
        <f>IFERROR(__xludf.DUMMYFUNCTION("""COMPUTED_VALUE"""),44714.64583333333)</f>
        <v>44714.64583</v>
      </c>
      <c r="B2806" s="1">
        <f>IFERROR(__xludf.DUMMYFUNCTION("""COMPUTED_VALUE"""),66600.0)</f>
        <v>66600</v>
      </c>
      <c r="C2806" s="1">
        <f>IFERROR(__xludf.DUMMYFUNCTION("""COMPUTED_VALUE"""),67000.0)</f>
        <v>67000</v>
      </c>
      <c r="D2806" s="1">
        <f>IFERROR(__xludf.DUMMYFUNCTION("""COMPUTED_VALUE"""),66400.0)</f>
        <v>66400</v>
      </c>
      <c r="E2806" s="1">
        <f>IFERROR(__xludf.DUMMYFUNCTION("""COMPUTED_VALUE"""),66700.0)</f>
        <v>66700</v>
      </c>
      <c r="F2806" s="1">
        <f>IFERROR(__xludf.DUMMYFUNCTION("""COMPUTED_VALUE"""),1.4959443E7)</f>
        <v>14959443</v>
      </c>
    </row>
    <row r="2807">
      <c r="A2807" s="2">
        <f>IFERROR(__xludf.DUMMYFUNCTION("""COMPUTED_VALUE"""),44715.64583333333)</f>
        <v>44715.64583</v>
      </c>
      <c r="B2807" s="1">
        <f>IFERROR(__xludf.DUMMYFUNCTION("""COMPUTED_VALUE"""),67200.0)</f>
        <v>67200</v>
      </c>
      <c r="C2807" s="1">
        <f>IFERROR(__xludf.DUMMYFUNCTION("""COMPUTED_VALUE"""),67300.0)</f>
        <v>67300</v>
      </c>
      <c r="D2807" s="1">
        <f>IFERROR(__xludf.DUMMYFUNCTION("""COMPUTED_VALUE"""),66800.0)</f>
        <v>66800</v>
      </c>
      <c r="E2807" s="1">
        <f>IFERROR(__xludf.DUMMYFUNCTION("""COMPUTED_VALUE"""),66800.0)</f>
        <v>66800</v>
      </c>
      <c r="F2807" s="1">
        <f>IFERROR(__xludf.DUMMYFUNCTION("""COMPUTED_VALUE"""),8222883.0)</f>
        <v>8222883</v>
      </c>
    </row>
    <row r="2808">
      <c r="A2808" s="2">
        <f>IFERROR(__xludf.DUMMYFUNCTION("""COMPUTED_VALUE"""),44719.64583333333)</f>
        <v>44719.64583</v>
      </c>
      <c r="B2808" s="1">
        <f>IFERROR(__xludf.DUMMYFUNCTION("""COMPUTED_VALUE"""),66200.0)</f>
        <v>66200</v>
      </c>
      <c r="C2808" s="1">
        <f>IFERROR(__xludf.DUMMYFUNCTION("""COMPUTED_VALUE"""),66400.0)</f>
        <v>66400</v>
      </c>
      <c r="D2808" s="1">
        <f>IFERROR(__xludf.DUMMYFUNCTION("""COMPUTED_VALUE"""),65400.0)</f>
        <v>65400</v>
      </c>
      <c r="E2808" s="1">
        <f>IFERROR(__xludf.DUMMYFUNCTION("""COMPUTED_VALUE"""),65500.0)</f>
        <v>65500</v>
      </c>
      <c r="F2808" s="1">
        <f>IFERROR(__xludf.DUMMYFUNCTION("""COMPUTED_VALUE"""),1.9355755E7)</f>
        <v>19355755</v>
      </c>
    </row>
    <row r="2809">
      <c r="A2809" s="2">
        <f>IFERROR(__xludf.DUMMYFUNCTION("""COMPUTED_VALUE"""),44720.64583333333)</f>
        <v>44720.64583</v>
      </c>
      <c r="B2809" s="1">
        <f>IFERROR(__xludf.DUMMYFUNCTION("""COMPUTED_VALUE"""),65400.0)</f>
        <v>65400</v>
      </c>
      <c r="C2809" s="1">
        <f>IFERROR(__xludf.DUMMYFUNCTION("""COMPUTED_VALUE"""),65700.0)</f>
        <v>65700</v>
      </c>
      <c r="D2809" s="1">
        <f>IFERROR(__xludf.DUMMYFUNCTION("""COMPUTED_VALUE"""),65300.0)</f>
        <v>65300</v>
      </c>
      <c r="E2809" s="1">
        <f>IFERROR(__xludf.DUMMYFUNCTION("""COMPUTED_VALUE"""),65300.0)</f>
        <v>65300</v>
      </c>
      <c r="F2809" s="1">
        <f>IFERROR(__xludf.DUMMYFUNCTION("""COMPUTED_VALUE"""),1.248318E7)</f>
        <v>12483180</v>
      </c>
    </row>
    <row r="2810">
      <c r="A2810" s="2">
        <f>IFERROR(__xludf.DUMMYFUNCTION("""COMPUTED_VALUE"""),44721.64583333333)</f>
        <v>44721.64583</v>
      </c>
      <c r="B2810" s="1">
        <f>IFERROR(__xludf.DUMMYFUNCTION("""COMPUTED_VALUE"""),65100.0)</f>
        <v>65100</v>
      </c>
      <c r="C2810" s="1">
        <f>IFERROR(__xludf.DUMMYFUNCTION("""COMPUTED_VALUE"""),65200.0)</f>
        <v>65200</v>
      </c>
      <c r="D2810" s="1">
        <f>IFERROR(__xludf.DUMMYFUNCTION("""COMPUTED_VALUE"""),64500.0)</f>
        <v>64500</v>
      </c>
      <c r="E2810" s="1">
        <f>IFERROR(__xludf.DUMMYFUNCTION("""COMPUTED_VALUE"""),65200.0)</f>
        <v>65200</v>
      </c>
      <c r="F2810" s="1">
        <f>IFERROR(__xludf.DUMMYFUNCTION("""COMPUTED_VALUE"""),2.5790725E7)</f>
        <v>25790725</v>
      </c>
    </row>
    <row r="2811">
      <c r="A2811" s="2">
        <f>IFERROR(__xludf.DUMMYFUNCTION("""COMPUTED_VALUE"""),44722.64583333333)</f>
        <v>44722.64583</v>
      </c>
      <c r="B2811" s="1">
        <f>IFERROR(__xludf.DUMMYFUNCTION("""COMPUTED_VALUE"""),64000.0)</f>
        <v>64000</v>
      </c>
      <c r="C2811" s="1">
        <f>IFERROR(__xludf.DUMMYFUNCTION("""COMPUTED_VALUE"""),64400.0)</f>
        <v>64400</v>
      </c>
      <c r="D2811" s="1">
        <f>IFERROR(__xludf.DUMMYFUNCTION("""COMPUTED_VALUE"""),63800.0)</f>
        <v>63800</v>
      </c>
      <c r="E2811" s="1">
        <f>IFERROR(__xludf.DUMMYFUNCTION("""COMPUTED_VALUE"""),63800.0)</f>
        <v>63800</v>
      </c>
      <c r="F2811" s="1">
        <f>IFERROR(__xludf.DUMMYFUNCTION("""COMPUTED_VALUE"""),2.2193552E7)</f>
        <v>22193552</v>
      </c>
    </row>
    <row r="2812">
      <c r="A2812" s="2">
        <f>IFERROR(__xludf.DUMMYFUNCTION("""COMPUTED_VALUE"""),44725.64583333333)</f>
        <v>44725.64583</v>
      </c>
      <c r="B2812" s="1">
        <f>IFERROR(__xludf.DUMMYFUNCTION("""COMPUTED_VALUE"""),62400.0)</f>
        <v>62400</v>
      </c>
      <c r="C2812" s="1">
        <f>IFERROR(__xludf.DUMMYFUNCTION("""COMPUTED_VALUE"""),62800.0)</f>
        <v>62800</v>
      </c>
      <c r="D2812" s="1">
        <f>IFERROR(__xludf.DUMMYFUNCTION("""COMPUTED_VALUE"""),62100.0)</f>
        <v>62100</v>
      </c>
      <c r="E2812" s="1">
        <f>IFERROR(__xludf.DUMMYFUNCTION("""COMPUTED_VALUE"""),62100.0)</f>
        <v>62100</v>
      </c>
      <c r="F2812" s="1">
        <f>IFERROR(__xludf.DUMMYFUNCTION("""COMPUTED_VALUE"""),2.2157816E7)</f>
        <v>22157816</v>
      </c>
    </row>
    <row r="2813">
      <c r="A2813" s="2">
        <f>IFERROR(__xludf.DUMMYFUNCTION("""COMPUTED_VALUE"""),44726.64583333333)</f>
        <v>44726.64583</v>
      </c>
      <c r="B2813" s="1">
        <f>IFERROR(__xludf.DUMMYFUNCTION("""COMPUTED_VALUE"""),61200.0)</f>
        <v>61200</v>
      </c>
      <c r="C2813" s="1">
        <f>IFERROR(__xludf.DUMMYFUNCTION("""COMPUTED_VALUE"""),62200.0)</f>
        <v>62200</v>
      </c>
      <c r="D2813" s="1">
        <f>IFERROR(__xludf.DUMMYFUNCTION("""COMPUTED_VALUE"""),61100.0)</f>
        <v>61100</v>
      </c>
      <c r="E2813" s="1">
        <f>IFERROR(__xludf.DUMMYFUNCTION("""COMPUTED_VALUE"""),61900.0)</f>
        <v>61900</v>
      </c>
      <c r="F2813" s="1">
        <f>IFERROR(__xludf.DUMMYFUNCTION("""COMPUTED_VALUE"""),2.4606419E7)</f>
        <v>24606419</v>
      </c>
    </row>
    <row r="2814">
      <c r="A2814" s="2">
        <f>IFERROR(__xludf.DUMMYFUNCTION("""COMPUTED_VALUE"""),44727.64583333333)</f>
        <v>44727.64583</v>
      </c>
      <c r="B2814" s="1">
        <f>IFERROR(__xludf.DUMMYFUNCTION("""COMPUTED_VALUE"""),61300.0)</f>
        <v>61300</v>
      </c>
      <c r="C2814" s="1">
        <f>IFERROR(__xludf.DUMMYFUNCTION("""COMPUTED_VALUE"""),61500.0)</f>
        <v>61500</v>
      </c>
      <c r="D2814" s="1">
        <f>IFERROR(__xludf.DUMMYFUNCTION("""COMPUTED_VALUE"""),60200.0)</f>
        <v>60200</v>
      </c>
      <c r="E2814" s="1">
        <f>IFERROR(__xludf.DUMMYFUNCTION("""COMPUTED_VALUE"""),60700.0)</f>
        <v>60700</v>
      </c>
      <c r="F2814" s="1">
        <f>IFERROR(__xludf.DUMMYFUNCTION("""COMPUTED_VALUE"""),2.6811224E7)</f>
        <v>26811224</v>
      </c>
    </row>
    <row r="2815">
      <c r="A2815" s="2">
        <f>IFERROR(__xludf.DUMMYFUNCTION("""COMPUTED_VALUE"""),44728.64583333333)</f>
        <v>44728.64583</v>
      </c>
      <c r="B2815" s="1">
        <f>IFERROR(__xludf.DUMMYFUNCTION("""COMPUTED_VALUE"""),61300.0)</f>
        <v>61300</v>
      </c>
      <c r="C2815" s="1">
        <f>IFERROR(__xludf.DUMMYFUNCTION("""COMPUTED_VALUE"""),61800.0)</f>
        <v>61800</v>
      </c>
      <c r="D2815" s="1">
        <f>IFERROR(__xludf.DUMMYFUNCTION("""COMPUTED_VALUE"""),60500.0)</f>
        <v>60500</v>
      </c>
      <c r="E2815" s="1">
        <f>IFERROR(__xludf.DUMMYFUNCTION("""COMPUTED_VALUE"""),60900.0)</f>
        <v>60900</v>
      </c>
      <c r="F2815" s="1">
        <f>IFERROR(__xludf.DUMMYFUNCTION("""COMPUTED_VALUE"""),2.3394895E7)</f>
        <v>23394895</v>
      </c>
    </row>
    <row r="2816">
      <c r="A2816" s="2">
        <f>IFERROR(__xludf.DUMMYFUNCTION("""COMPUTED_VALUE"""),44729.64583333333)</f>
        <v>44729.64583</v>
      </c>
      <c r="B2816" s="1">
        <f>IFERROR(__xludf.DUMMYFUNCTION("""COMPUTED_VALUE"""),59400.0)</f>
        <v>59400</v>
      </c>
      <c r="C2816" s="1">
        <f>IFERROR(__xludf.DUMMYFUNCTION("""COMPUTED_VALUE"""),59900.0)</f>
        <v>59900</v>
      </c>
      <c r="D2816" s="1">
        <f>IFERROR(__xludf.DUMMYFUNCTION("""COMPUTED_VALUE"""),59400.0)</f>
        <v>59400</v>
      </c>
      <c r="E2816" s="1">
        <f>IFERROR(__xludf.DUMMYFUNCTION("""COMPUTED_VALUE"""),59800.0)</f>
        <v>59800</v>
      </c>
      <c r="F2816" s="1">
        <f>IFERROR(__xludf.DUMMYFUNCTION("""COMPUTED_VALUE"""),2.905345E7)</f>
        <v>29053450</v>
      </c>
    </row>
    <row r="2817">
      <c r="A2817" s="2">
        <f>IFERROR(__xludf.DUMMYFUNCTION("""COMPUTED_VALUE"""),44732.64583333333)</f>
        <v>44732.64583</v>
      </c>
      <c r="B2817" s="1">
        <f>IFERROR(__xludf.DUMMYFUNCTION("""COMPUTED_VALUE"""),59800.0)</f>
        <v>59800</v>
      </c>
      <c r="C2817" s="1">
        <f>IFERROR(__xludf.DUMMYFUNCTION("""COMPUTED_VALUE"""),59900.0)</f>
        <v>59900</v>
      </c>
      <c r="D2817" s="1">
        <f>IFERROR(__xludf.DUMMYFUNCTION("""COMPUTED_VALUE"""),58100.0)</f>
        <v>58100</v>
      </c>
      <c r="E2817" s="1">
        <f>IFERROR(__xludf.DUMMYFUNCTION("""COMPUTED_VALUE"""),58700.0)</f>
        <v>58700</v>
      </c>
      <c r="F2817" s="1">
        <f>IFERROR(__xludf.DUMMYFUNCTION("""COMPUTED_VALUE"""),3.4111306E7)</f>
        <v>34111306</v>
      </c>
    </row>
    <row r="2818">
      <c r="A2818" s="2">
        <f>IFERROR(__xludf.DUMMYFUNCTION("""COMPUTED_VALUE"""),44733.64583333333)</f>
        <v>44733.64583</v>
      </c>
      <c r="B2818" s="1">
        <f>IFERROR(__xludf.DUMMYFUNCTION("""COMPUTED_VALUE"""),58700.0)</f>
        <v>58700</v>
      </c>
      <c r="C2818" s="1">
        <f>IFERROR(__xludf.DUMMYFUNCTION("""COMPUTED_VALUE"""),59200.0)</f>
        <v>59200</v>
      </c>
      <c r="D2818" s="1">
        <f>IFERROR(__xludf.DUMMYFUNCTION("""COMPUTED_VALUE"""),58200.0)</f>
        <v>58200</v>
      </c>
      <c r="E2818" s="1">
        <f>IFERROR(__xludf.DUMMYFUNCTION("""COMPUTED_VALUE"""),58500.0)</f>
        <v>58500</v>
      </c>
      <c r="F2818" s="1">
        <f>IFERROR(__xludf.DUMMYFUNCTION("""COMPUTED_VALUE"""),2.5148109E7)</f>
        <v>25148109</v>
      </c>
    </row>
    <row r="2819">
      <c r="A2819" s="2">
        <f>IFERROR(__xludf.DUMMYFUNCTION("""COMPUTED_VALUE"""),44734.64583333333)</f>
        <v>44734.64583</v>
      </c>
      <c r="B2819" s="1">
        <f>IFERROR(__xludf.DUMMYFUNCTION("""COMPUTED_VALUE"""),59000.0)</f>
        <v>59000</v>
      </c>
      <c r="C2819" s="1">
        <f>IFERROR(__xludf.DUMMYFUNCTION("""COMPUTED_VALUE"""),59100.0)</f>
        <v>59100</v>
      </c>
      <c r="D2819" s="1">
        <f>IFERROR(__xludf.DUMMYFUNCTION("""COMPUTED_VALUE"""),57600.0)</f>
        <v>57600</v>
      </c>
      <c r="E2819" s="1">
        <f>IFERROR(__xludf.DUMMYFUNCTION("""COMPUTED_VALUE"""),57600.0)</f>
        <v>57600</v>
      </c>
      <c r="F2819" s="1">
        <f>IFERROR(__xludf.DUMMYFUNCTION("""COMPUTED_VALUE"""),2.3334687E7)</f>
        <v>23334687</v>
      </c>
    </row>
    <row r="2820">
      <c r="A2820" s="2">
        <f>IFERROR(__xludf.DUMMYFUNCTION("""COMPUTED_VALUE"""),44735.64583333333)</f>
        <v>44735.64583</v>
      </c>
      <c r="B2820" s="1">
        <f>IFERROR(__xludf.DUMMYFUNCTION("""COMPUTED_VALUE"""),57700.0)</f>
        <v>57700</v>
      </c>
      <c r="C2820" s="1">
        <f>IFERROR(__xludf.DUMMYFUNCTION("""COMPUTED_VALUE"""),58000.0)</f>
        <v>58000</v>
      </c>
      <c r="D2820" s="1">
        <f>IFERROR(__xludf.DUMMYFUNCTION("""COMPUTED_VALUE"""),56800.0)</f>
        <v>56800</v>
      </c>
      <c r="E2820" s="1">
        <f>IFERROR(__xludf.DUMMYFUNCTION("""COMPUTED_VALUE"""),57400.0)</f>
        <v>57400</v>
      </c>
      <c r="F2820" s="1">
        <f>IFERROR(__xludf.DUMMYFUNCTION("""COMPUTED_VALUE"""),2.8338608E7)</f>
        <v>28338608</v>
      </c>
    </row>
    <row r="2821">
      <c r="A2821" s="2">
        <f>IFERROR(__xludf.DUMMYFUNCTION("""COMPUTED_VALUE"""),44736.64583333333)</f>
        <v>44736.64583</v>
      </c>
      <c r="B2821" s="1">
        <f>IFERROR(__xludf.DUMMYFUNCTION("""COMPUTED_VALUE"""),57900.0)</f>
        <v>57900</v>
      </c>
      <c r="C2821" s="1">
        <f>IFERROR(__xludf.DUMMYFUNCTION("""COMPUTED_VALUE"""),59100.0)</f>
        <v>59100</v>
      </c>
      <c r="D2821" s="1">
        <f>IFERROR(__xludf.DUMMYFUNCTION("""COMPUTED_VALUE"""),57700.0)</f>
        <v>57700</v>
      </c>
      <c r="E2821" s="1">
        <f>IFERROR(__xludf.DUMMYFUNCTION("""COMPUTED_VALUE"""),58400.0)</f>
        <v>58400</v>
      </c>
      <c r="F2821" s="1">
        <f>IFERROR(__xludf.DUMMYFUNCTION("""COMPUTED_VALUE"""),2.3256103E7)</f>
        <v>23256103</v>
      </c>
    </row>
    <row r="2822">
      <c r="A2822" s="2">
        <f>IFERROR(__xludf.DUMMYFUNCTION("""COMPUTED_VALUE"""),44739.64583333333)</f>
        <v>44739.64583</v>
      </c>
      <c r="B2822" s="1">
        <f>IFERROR(__xludf.DUMMYFUNCTION("""COMPUTED_VALUE"""),59000.0)</f>
        <v>59000</v>
      </c>
      <c r="C2822" s="1">
        <f>IFERROR(__xludf.DUMMYFUNCTION("""COMPUTED_VALUE"""),59900.0)</f>
        <v>59900</v>
      </c>
      <c r="D2822" s="1">
        <f>IFERROR(__xludf.DUMMYFUNCTION("""COMPUTED_VALUE"""),58300.0)</f>
        <v>58300</v>
      </c>
      <c r="E2822" s="1">
        <f>IFERROR(__xludf.DUMMYFUNCTION("""COMPUTED_VALUE"""),58800.0)</f>
        <v>58800</v>
      </c>
      <c r="F2822" s="1">
        <f>IFERROR(__xludf.DUMMYFUNCTION("""COMPUTED_VALUE"""),1.8122236E7)</f>
        <v>18122236</v>
      </c>
    </row>
    <row r="2823">
      <c r="A2823" s="2">
        <f>IFERROR(__xludf.DUMMYFUNCTION("""COMPUTED_VALUE"""),44740.64583333333)</f>
        <v>44740.64583</v>
      </c>
      <c r="B2823" s="1">
        <f>IFERROR(__xludf.DUMMYFUNCTION("""COMPUTED_VALUE"""),59200.0)</f>
        <v>59200</v>
      </c>
      <c r="C2823" s="1">
        <f>IFERROR(__xludf.DUMMYFUNCTION("""COMPUTED_VALUE"""),59500.0)</f>
        <v>59500</v>
      </c>
      <c r="D2823" s="1">
        <f>IFERROR(__xludf.DUMMYFUNCTION("""COMPUTED_VALUE"""),58700.0)</f>
        <v>58700</v>
      </c>
      <c r="E2823" s="1">
        <f>IFERROR(__xludf.DUMMYFUNCTION("""COMPUTED_VALUE"""),59400.0)</f>
        <v>59400</v>
      </c>
      <c r="F2823" s="1">
        <f>IFERROR(__xludf.DUMMYFUNCTION("""COMPUTED_VALUE"""),1.3540538E7)</f>
        <v>13540538</v>
      </c>
    </row>
    <row r="2824">
      <c r="A2824" s="2">
        <f>IFERROR(__xludf.DUMMYFUNCTION("""COMPUTED_VALUE"""),44741.64583333333)</f>
        <v>44741.64583</v>
      </c>
      <c r="B2824" s="1">
        <f>IFERROR(__xludf.DUMMYFUNCTION("""COMPUTED_VALUE"""),58500.0)</f>
        <v>58500</v>
      </c>
      <c r="C2824" s="1">
        <f>IFERROR(__xludf.DUMMYFUNCTION("""COMPUTED_VALUE"""),58800.0)</f>
        <v>58800</v>
      </c>
      <c r="D2824" s="1">
        <f>IFERROR(__xludf.DUMMYFUNCTION("""COMPUTED_VALUE"""),58000.0)</f>
        <v>58000</v>
      </c>
      <c r="E2824" s="1">
        <f>IFERROR(__xludf.DUMMYFUNCTION("""COMPUTED_VALUE"""),58000.0)</f>
        <v>58000</v>
      </c>
      <c r="F2824" s="1">
        <f>IFERROR(__xludf.DUMMYFUNCTION("""COMPUTED_VALUE"""),1.4677138E7)</f>
        <v>14677138</v>
      </c>
    </row>
    <row r="2825">
      <c r="A2825" s="2">
        <f>IFERROR(__xludf.DUMMYFUNCTION("""COMPUTED_VALUE"""),44742.64583333333)</f>
        <v>44742.64583</v>
      </c>
      <c r="B2825" s="1">
        <f>IFERROR(__xludf.DUMMYFUNCTION("""COMPUTED_VALUE"""),57200.0)</f>
        <v>57200</v>
      </c>
      <c r="C2825" s="1">
        <f>IFERROR(__xludf.DUMMYFUNCTION("""COMPUTED_VALUE"""),57600.0)</f>
        <v>57600</v>
      </c>
      <c r="D2825" s="1">
        <f>IFERROR(__xludf.DUMMYFUNCTION("""COMPUTED_VALUE"""),57000.0)</f>
        <v>57000</v>
      </c>
      <c r="E2825" s="1">
        <f>IFERROR(__xludf.DUMMYFUNCTION("""COMPUTED_VALUE"""),57000.0)</f>
        <v>57000</v>
      </c>
      <c r="F2825" s="1">
        <f>IFERROR(__xludf.DUMMYFUNCTION("""COMPUTED_VALUE"""),1.8915142E7)</f>
        <v>18915142</v>
      </c>
    </row>
    <row r="2826">
      <c r="A2826" s="2">
        <f>IFERROR(__xludf.DUMMYFUNCTION("""COMPUTED_VALUE"""),44743.64583333333)</f>
        <v>44743.64583</v>
      </c>
      <c r="B2826" s="1">
        <f>IFERROR(__xludf.DUMMYFUNCTION("""COMPUTED_VALUE"""),56900.0)</f>
        <v>56900</v>
      </c>
      <c r="C2826" s="1">
        <f>IFERROR(__xludf.DUMMYFUNCTION("""COMPUTED_VALUE"""),57500.0)</f>
        <v>57500</v>
      </c>
      <c r="D2826" s="1">
        <f>IFERROR(__xludf.DUMMYFUNCTION("""COMPUTED_VALUE"""),55900.0)</f>
        <v>55900</v>
      </c>
      <c r="E2826" s="1">
        <f>IFERROR(__xludf.DUMMYFUNCTION("""COMPUTED_VALUE"""),56200.0)</f>
        <v>56200</v>
      </c>
      <c r="F2826" s="1">
        <f>IFERROR(__xludf.DUMMYFUNCTION("""COMPUTED_VALUE"""),2.4982097E7)</f>
        <v>24982097</v>
      </c>
    </row>
    <row r="2827">
      <c r="A2827" s="2">
        <f>IFERROR(__xludf.DUMMYFUNCTION("""COMPUTED_VALUE"""),44746.64583333333)</f>
        <v>44746.64583</v>
      </c>
      <c r="B2827" s="1">
        <f>IFERROR(__xludf.DUMMYFUNCTION("""COMPUTED_VALUE"""),56100.0)</f>
        <v>56100</v>
      </c>
      <c r="C2827" s="1">
        <f>IFERROR(__xludf.DUMMYFUNCTION("""COMPUTED_VALUE"""),57400.0)</f>
        <v>57400</v>
      </c>
      <c r="D2827" s="1">
        <f>IFERROR(__xludf.DUMMYFUNCTION("""COMPUTED_VALUE"""),55700.0)</f>
        <v>55700</v>
      </c>
      <c r="E2827" s="1">
        <f>IFERROR(__xludf.DUMMYFUNCTION("""COMPUTED_VALUE"""),57100.0)</f>
        <v>57100</v>
      </c>
      <c r="F2827" s="1">
        <f>IFERROR(__xludf.DUMMYFUNCTION("""COMPUTED_VALUE"""),1.7807126E7)</f>
        <v>17807126</v>
      </c>
    </row>
    <row r="2828">
      <c r="A2828" s="2">
        <f>IFERROR(__xludf.DUMMYFUNCTION("""COMPUTED_VALUE"""),44747.64583333333)</f>
        <v>44747.64583</v>
      </c>
      <c r="B2828" s="1">
        <f>IFERROR(__xludf.DUMMYFUNCTION("""COMPUTED_VALUE"""),57600.0)</f>
        <v>57600</v>
      </c>
      <c r="C2828" s="1">
        <f>IFERROR(__xludf.DUMMYFUNCTION("""COMPUTED_VALUE"""),58200.0)</f>
        <v>58200</v>
      </c>
      <c r="D2828" s="1">
        <f>IFERROR(__xludf.DUMMYFUNCTION("""COMPUTED_VALUE"""),57200.0)</f>
        <v>57200</v>
      </c>
      <c r="E2828" s="1">
        <f>IFERROR(__xludf.DUMMYFUNCTION("""COMPUTED_VALUE"""),57200.0)</f>
        <v>57200</v>
      </c>
      <c r="F2828" s="1">
        <f>IFERROR(__xludf.DUMMYFUNCTION("""COMPUTED_VALUE"""),1.4216539E7)</f>
        <v>14216539</v>
      </c>
    </row>
    <row r="2829">
      <c r="A2829" s="2">
        <f>IFERROR(__xludf.DUMMYFUNCTION("""COMPUTED_VALUE"""),44748.64583333333)</f>
        <v>44748.64583</v>
      </c>
      <c r="B2829" s="1">
        <f>IFERROR(__xludf.DUMMYFUNCTION("""COMPUTED_VALUE"""),57300.0)</f>
        <v>57300</v>
      </c>
      <c r="C2829" s="1">
        <f>IFERROR(__xludf.DUMMYFUNCTION("""COMPUTED_VALUE"""),57300.0)</f>
        <v>57300</v>
      </c>
      <c r="D2829" s="1">
        <f>IFERROR(__xludf.DUMMYFUNCTION("""COMPUTED_VALUE"""),56400.0)</f>
        <v>56400</v>
      </c>
      <c r="E2829" s="1">
        <f>IFERROR(__xludf.DUMMYFUNCTION("""COMPUTED_VALUE"""),56400.0)</f>
        <v>56400</v>
      </c>
      <c r="F2829" s="1">
        <f>IFERROR(__xludf.DUMMYFUNCTION("""COMPUTED_VALUE"""),1.6820461E7)</f>
        <v>16820461</v>
      </c>
    </row>
    <row r="2830">
      <c r="A2830" s="2">
        <f>IFERROR(__xludf.DUMMYFUNCTION("""COMPUTED_VALUE"""),44749.64583333333)</f>
        <v>44749.64583</v>
      </c>
      <c r="B2830" s="1">
        <f>IFERROR(__xludf.DUMMYFUNCTION("""COMPUTED_VALUE"""),56400.0)</f>
        <v>56400</v>
      </c>
      <c r="C2830" s="1">
        <f>IFERROR(__xludf.DUMMYFUNCTION("""COMPUTED_VALUE"""),58700.0)</f>
        <v>58700</v>
      </c>
      <c r="D2830" s="1">
        <f>IFERROR(__xludf.DUMMYFUNCTION("""COMPUTED_VALUE"""),56300.0)</f>
        <v>56300</v>
      </c>
      <c r="E2830" s="1">
        <f>IFERROR(__xludf.DUMMYFUNCTION("""COMPUTED_VALUE"""),58200.0)</f>
        <v>58200</v>
      </c>
      <c r="F2830" s="1">
        <f>IFERROR(__xludf.DUMMYFUNCTION("""COMPUTED_VALUE"""),2.1322833E7)</f>
        <v>21322833</v>
      </c>
    </row>
    <row r="2831">
      <c r="A2831" s="2">
        <f>IFERROR(__xludf.DUMMYFUNCTION("""COMPUTED_VALUE"""),44750.64583333333)</f>
        <v>44750.64583</v>
      </c>
      <c r="B2831" s="1">
        <f>IFERROR(__xludf.DUMMYFUNCTION("""COMPUTED_VALUE"""),58600.0)</f>
        <v>58600</v>
      </c>
      <c r="C2831" s="1">
        <f>IFERROR(__xludf.DUMMYFUNCTION("""COMPUTED_VALUE"""),59300.0)</f>
        <v>59300</v>
      </c>
      <c r="D2831" s="1">
        <f>IFERROR(__xludf.DUMMYFUNCTION("""COMPUTED_VALUE"""),58200.0)</f>
        <v>58200</v>
      </c>
      <c r="E2831" s="1">
        <f>IFERROR(__xludf.DUMMYFUNCTION("""COMPUTED_VALUE"""),58700.0)</f>
        <v>58700</v>
      </c>
      <c r="F2831" s="1">
        <f>IFERROR(__xludf.DUMMYFUNCTION("""COMPUTED_VALUE"""),1.5339271E7)</f>
        <v>15339271</v>
      </c>
    </row>
    <row r="2832">
      <c r="A2832" s="2">
        <f>IFERROR(__xludf.DUMMYFUNCTION("""COMPUTED_VALUE"""),44753.64583333333)</f>
        <v>44753.64583</v>
      </c>
      <c r="B2832" s="1">
        <f>IFERROR(__xludf.DUMMYFUNCTION("""COMPUTED_VALUE"""),59300.0)</f>
        <v>59300</v>
      </c>
      <c r="C2832" s="1">
        <f>IFERROR(__xludf.DUMMYFUNCTION("""COMPUTED_VALUE"""),59600.0)</f>
        <v>59600</v>
      </c>
      <c r="D2832" s="1">
        <f>IFERROR(__xludf.DUMMYFUNCTION("""COMPUTED_VALUE"""),58700.0)</f>
        <v>58700</v>
      </c>
      <c r="E2832" s="1">
        <f>IFERROR(__xludf.DUMMYFUNCTION("""COMPUTED_VALUE"""),58800.0)</f>
        <v>58800</v>
      </c>
      <c r="F2832" s="1">
        <f>IFERROR(__xludf.DUMMYFUNCTION("""COMPUTED_VALUE"""),1.3042624E7)</f>
        <v>13042624</v>
      </c>
    </row>
    <row r="2833">
      <c r="A2833" s="2">
        <f>IFERROR(__xludf.DUMMYFUNCTION("""COMPUTED_VALUE"""),44754.64583333333)</f>
        <v>44754.64583</v>
      </c>
      <c r="B2833" s="1">
        <f>IFERROR(__xludf.DUMMYFUNCTION("""COMPUTED_VALUE"""),58600.0)</f>
        <v>58600</v>
      </c>
      <c r="C2833" s="1">
        <f>IFERROR(__xludf.DUMMYFUNCTION("""COMPUTED_VALUE"""),58700.0)</f>
        <v>58700</v>
      </c>
      <c r="D2833" s="1">
        <f>IFERROR(__xludf.DUMMYFUNCTION("""COMPUTED_VALUE"""),58100.0)</f>
        <v>58100</v>
      </c>
      <c r="E2833" s="1">
        <f>IFERROR(__xludf.DUMMYFUNCTION("""COMPUTED_VALUE"""),58100.0)</f>
        <v>58100</v>
      </c>
      <c r="F2833" s="1">
        <f>IFERROR(__xludf.DUMMYFUNCTION("""COMPUTED_VALUE"""),9336061.0)</f>
        <v>9336061</v>
      </c>
    </row>
    <row r="2834">
      <c r="A2834" s="2">
        <f>IFERROR(__xludf.DUMMYFUNCTION("""COMPUTED_VALUE"""),44755.64583333333)</f>
        <v>44755.64583</v>
      </c>
      <c r="B2834" s="1">
        <f>IFERROR(__xludf.DUMMYFUNCTION("""COMPUTED_VALUE"""),58300.0)</f>
        <v>58300</v>
      </c>
      <c r="C2834" s="1">
        <f>IFERROR(__xludf.DUMMYFUNCTION("""COMPUTED_VALUE"""),58600.0)</f>
        <v>58600</v>
      </c>
      <c r="D2834" s="1">
        <f>IFERROR(__xludf.DUMMYFUNCTION("""COMPUTED_VALUE"""),58000.0)</f>
        <v>58000</v>
      </c>
      <c r="E2834" s="1">
        <f>IFERROR(__xludf.DUMMYFUNCTION("""COMPUTED_VALUE"""),58000.0)</f>
        <v>58000</v>
      </c>
      <c r="F2834" s="1">
        <f>IFERROR(__xludf.DUMMYFUNCTION("""COMPUTED_VALUE"""),1.0841315E7)</f>
        <v>10841315</v>
      </c>
    </row>
    <row r="2835">
      <c r="A2835" s="2">
        <f>IFERROR(__xludf.DUMMYFUNCTION("""COMPUTED_VALUE"""),44756.64583333333)</f>
        <v>44756.64583</v>
      </c>
      <c r="B2835" s="1">
        <f>IFERROR(__xludf.DUMMYFUNCTION("""COMPUTED_VALUE"""),57500.0)</f>
        <v>57500</v>
      </c>
      <c r="C2835" s="1">
        <f>IFERROR(__xludf.DUMMYFUNCTION("""COMPUTED_VALUE"""),58200.0)</f>
        <v>58200</v>
      </c>
      <c r="D2835" s="1">
        <f>IFERROR(__xludf.DUMMYFUNCTION("""COMPUTED_VALUE"""),57400.0)</f>
        <v>57400</v>
      </c>
      <c r="E2835" s="1">
        <f>IFERROR(__xludf.DUMMYFUNCTION("""COMPUTED_VALUE"""),57500.0)</f>
        <v>57500</v>
      </c>
      <c r="F2835" s="1">
        <f>IFERROR(__xludf.DUMMYFUNCTION("""COMPUTED_VALUE"""),1.5067012E7)</f>
        <v>15067012</v>
      </c>
    </row>
    <row r="2836">
      <c r="A2836" s="2">
        <f>IFERROR(__xludf.DUMMYFUNCTION("""COMPUTED_VALUE"""),44757.64583333333)</f>
        <v>44757.64583</v>
      </c>
      <c r="B2836" s="1">
        <f>IFERROR(__xludf.DUMMYFUNCTION("""COMPUTED_VALUE"""),58400.0)</f>
        <v>58400</v>
      </c>
      <c r="C2836" s="1">
        <f>IFERROR(__xludf.DUMMYFUNCTION("""COMPUTED_VALUE"""),60000.0)</f>
        <v>60000</v>
      </c>
      <c r="D2836" s="1">
        <f>IFERROR(__xludf.DUMMYFUNCTION("""COMPUTED_VALUE"""),58100.0)</f>
        <v>58100</v>
      </c>
      <c r="E2836" s="1">
        <f>IFERROR(__xludf.DUMMYFUNCTION("""COMPUTED_VALUE"""),60000.0)</f>
        <v>60000</v>
      </c>
      <c r="F2836" s="1">
        <f>IFERROR(__xludf.DUMMYFUNCTION("""COMPUTED_VALUE"""),1.8685583E7)</f>
        <v>18685583</v>
      </c>
    </row>
    <row r="2837">
      <c r="A2837" s="2">
        <f>IFERROR(__xludf.DUMMYFUNCTION("""COMPUTED_VALUE"""),44760.64583333333)</f>
        <v>44760.64583</v>
      </c>
      <c r="B2837" s="1">
        <f>IFERROR(__xludf.DUMMYFUNCTION("""COMPUTED_VALUE"""),60600.0)</f>
        <v>60600</v>
      </c>
      <c r="C2837" s="1">
        <f>IFERROR(__xludf.DUMMYFUNCTION("""COMPUTED_VALUE"""),62000.0)</f>
        <v>62000</v>
      </c>
      <c r="D2837" s="1">
        <f>IFERROR(__xludf.DUMMYFUNCTION("""COMPUTED_VALUE"""),60500.0)</f>
        <v>60500</v>
      </c>
      <c r="E2837" s="1">
        <f>IFERROR(__xludf.DUMMYFUNCTION("""COMPUTED_VALUE"""),61900.0)</f>
        <v>61900</v>
      </c>
      <c r="F2837" s="1">
        <f>IFERROR(__xludf.DUMMYFUNCTION("""COMPUTED_VALUE"""),2.0832517E7)</f>
        <v>20832517</v>
      </c>
    </row>
    <row r="2838">
      <c r="A2838" s="2">
        <f>IFERROR(__xludf.DUMMYFUNCTION("""COMPUTED_VALUE"""),44761.64583333333)</f>
        <v>44761.64583</v>
      </c>
      <c r="B2838" s="1">
        <f>IFERROR(__xludf.DUMMYFUNCTION("""COMPUTED_VALUE"""),61400.0)</f>
        <v>61400</v>
      </c>
      <c r="C2838" s="1">
        <f>IFERROR(__xludf.DUMMYFUNCTION("""COMPUTED_VALUE"""),61500.0)</f>
        <v>61500</v>
      </c>
      <c r="D2838" s="1">
        <f>IFERROR(__xludf.DUMMYFUNCTION("""COMPUTED_VALUE"""),60200.0)</f>
        <v>60200</v>
      </c>
      <c r="E2838" s="1">
        <f>IFERROR(__xludf.DUMMYFUNCTION("""COMPUTED_VALUE"""),60900.0)</f>
        <v>60900</v>
      </c>
      <c r="F2838" s="1">
        <f>IFERROR(__xludf.DUMMYFUNCTION("""COMPUTED_VALUE"""),1.5248261E7)</f>
        <v>15248261</v>
      </c>
    </row>
    <row r="2839">
      <c r="A2839" s="2">
        <f>IFERROR(__xludf.DUMMYFUNCTION("""COMPUTED_VALUE"""),44762.64583333333)</f>
        <v>44762.64583</v>
      </c>
      <c r="B2839" s="1">
        <f>IFERROR(__xludf.DUMMYFUNCTION("""COMPUTED_VALUE"""),61800.0)</f>
        <v>61800</v>
      </c>
      <c r="C2839" s="1">
        <f>IFERROR(__xludf.DUMMYFUNCTION("""COMPUTED_VALUE"""),62100.0)</f>
        <v>62100</v>
      </c>
      <c r="D2839" s="1">
        <f>IFERROR(__xludf.DUMMYFUNCTION("""COMPUTED_VALUE"""),60500.0)</f>
        <v>60500</v>
      </c>
      <c r="E2839" s="1">
        <f>IFERROR(__xludf.DUMMYFUNCTION("""COMPUTED_VALUE"""),60500.0)</f>
        <v>60500</v>
      </c>
      <c r="F2839" s="1">
        <f>IFERROR(__xludf.DUMMYFUNCTION("""COMPUTED_VALUE"""),1.6782238E7)</f>
        <v>16782238</v>
      </c>
    </row>
    <row r="2840">
      <c r="A2840" s="2">
        <f>IFERROR(__xludf.DUMMYFUNCTION("""COMPUTED_VALUE"""),44763.64583333333)</f>
        <v>44763.64583</v>
      </c>
      <c r="B2840" s="1">
        <f>IFERROR(__xludf.DUMMYFUNCTION("""COMPUTED_VALUE"""),61100.0)</f>
        <v>61100</v>
      </c>
      <c r="C2840" s="1">
        <f>IFERROR(__xludf.DUMMYFUNCTION("""COMPUTED_VALUE"""),61900.0)</f>
        <v>61900</v>
      </c>
      <c r="D2840" s="1">
        <f>IFERROR(__xludf.DUMMYFUNCTION("""COMPUTED_VALUE"""),60700.0)</f>
        <v>60700</v>
      </c>
      <c r="E2840" s="1">
        <f>IFERROR(__xludf.DUMMYFUNCTION("""COMPUTED_VALUE"""),61800.0)</f>
        <v>61800</v>
      </c>
      <c r="F2840" s="1">
        <f>IFERROR(__xludf.DUMMYFUNCTION("""COMPUTED_VALUE"""),1.2291374E7)</f>
        <v>12291374</v>
      </c>
    </row>
    <row r="2841">
      <c r="A2841" s="2">
        <f>IFERROR(__xludf.DUMMYFUNCTION("""COMPUTED_VALUE"""),44764.64583333333)</f>
        <v>44764.64583</v>
      </c>
      <c r="B2841" s="1">
        <f>IFERROR(__xludf.DUMMYFUNCTION("""COMPUTED_VALUE"""),61800.0)</f>
        <v>61800</v>
      </c>
      <c r="C2841" s="1">
        <f>IFERROR(__xludf.DUMMYFUNCTION("""COMPUTED_VALUE"""),62200.0)</f>
        <v>62200</v>
      </c>
      <c r="D2841" s="1">
        <f>IFERROR(__xludf.DUMMYFUNCTION("""COMPUTED_VALUE"""),61200.0)</f>
        <v>61200</v>
      </c>
      <c r="E2841" s="1">
        <f>IFERROR(__xludf.DUMMYFUNCTION("""COMPUTED_VALUE"""),61300.0)</f>
        <v>61300</v>
      </c>
      <c r="F2841" s="1">
        <f>IFERROR(__xludf.DUMMYFUNCTION("""COMPUTED_VALUE"""),1.026131E7)</f>
        <v>10261310</v>
      </c>
    </row>
    <row r="2842">
      <c r="A2842" s="2">
        <f>IFERROR(__xludf.DUMMYFUNCTION("""COMPUTED_VALUE"""),44767.64583333333)</f>
        <v>44767.64583</v>
      </c>
      <c r="B2842" s="1">
        <f>IFERROR(__xludf.DUMMYFUNCTION("""COMPUTED_VALUE"""),60900.0)</f>
        <v>60900</v>
      </c>
      <c r="C2842" s="1">
        <f>IFERROR(__xludf.DUMMYFUNCTION("""COMPUTED_VALUE"""),61900.0)</f>
        <v>61900</v>
      </c>
      <c r="D2842" s="1">
        <f>IFERROR(__xludf.DUMMYFUNCTION("""COMPUTED_VALUE"""),60800.0)</f>
        <v>60800</v>
      </c>
      <c r="E2842" s="1">
        <f>IFERROR(__xludf.DUMMYFUNCTION("""COMPUTED_VALUE"""),61100.0)</f>
        <v>61100</v>
      </c>
      <c r="F2842" s="1">
        <f>IFERROR(__xludf.DUMMYFUNCTION("""COMPUTED_VALUE"""),9193681.0)</f>
        <v>9193681</v>
      </c>
    </row>
    <row r="2843">
      <c r="A2843" s="2">
        <f>IFERROR(__xludf.DUMMYFUNCTION("""COMPUTED_VALUE"""),44768.64583333333)</f>
        <v>44768.64583</v>
      </c>
      <c r="B2843" s="1">
        <f>IFERROR(__xludf.DUMMYFUNCTION("""COMPUTED_VALUE"""),60800.0)</f>
        <v>60800</v>
      </c>
      <c r="C2843" s="1">
        <f>IFERROR(__xludf.DUMMYFUNCTION("""COMPUTED_VALUE"""),61900.0)</f>
        <v>61900</v>
      </c>
      <c r="D2843" s="1">
        <f>IFERROR(__xludf.DUMMYFUNCTION("""COMPUTED_VALUE"""),60800.0)</f>
        <v>60800</v>
      </c>
      <c r="E2843" s="1">
        <f>IFERROR(__xludf.DUMMYFUNCTION("""COMPUTED_VALUE"""),61700.0)</f>
        <v>61700</v>
      </c>
      <c r="F2843" s="1">
        <f>IFERROR(__xludf.DUMMYFUNCTION("""COMPUTED_VALUE"""),6597211.0)</f>
        <v>6597211</v>
      </c>
    </row>
    <row r="2844">
      <c r="A2844" s="2">
        <f>IFERROR(__xludf.DUMMYFUNCTION("""COMPUTED_VALUE"""),44769.64583333333)</f>
        <v>44769.64583</v>
      </c>
      <c r="B2844" s="1">
        <f>IFERROR(__xludf.DUMMYFUNCTION("""COMPUTED_VALUE"""),61300.0)</f>
        <v>61300</v>
      </c>
      <c r="C2844" s="1">
        <f>IFERROR(__xludf.DUMMYFUNCTION("""COMPUTED_VALUE"""),61900.0)</f>
        <v>61900</v>
      </c>
      <c r="D2844" s="1">
        <f>IFERROR(__xludf.DUMMYFUNCTION("""COMPUTED_VALUE"""),61200.0)</f>
        <v>61200</v>
      </c>
      <c r="E2844" s="1">
        <f>IFERROR(__xludf.DUMMYFUNCTION("""COMPUTED_VALUE"""),61800.0)</f>
        <v>61800</v>
      </c>
      <c r="F2844" s="1">
        <f>IFERROR(__xludf.DUMMYFUNCTION("""COMPUTED_VALUE"""),7320997.0)</f>
        <v>7320997</v>
      </c>
    </row>
    <row r="2845">
      <c r="A2845" s="2">
        <f>IFERROR(__xludf.DUMMYFUNCTION("""COMPUTED_VALUE"""),44770.64583333333)</f>
        <v>44770.64583</v>
      </c>
      <c r="B2845" s="1">
        <f>IFERROR(__xludf.DUMMYFUNCTION("""COMPUTED_VALUE"""),62300.0)</f>
        <v>62300</v>
      </c>
      <c r="C2845" s="1">
        <f>IFERROR(__xludf.DUMMYFUNCTION("""COMPUTED_VALUE"""),62600.0)</f>
        <v>62600</v>
      </c>
      <c r="D2845" s="1">
        <f>IFERROR(__xludf.DUMMYFUNCTION("""COMPUTED_VALUE"""),61600.0)</f>
        <v>61600</v>
      </c>
      <c r="E2845" s="1">
        <f>IFERROR(__xludf.DUMMYFUNCTION("""COMPUTED_VALUE"""),61900.0)</f>
        <v>61900</v>
      </c>
      <c r="F2845" s="1">
        <f>IFERROR(__xludf.DUMMYFUNCTION("""COMPUTED_VALUE"""),1.0745302E7)</f>
        <v>10745302</v>
      </c>
    </row>
    <row r="2846">
      <c r="A2846" s="2">
        <f>IFERROR(__xludf.DUMMYFUNCTION("""COMPUTED_VALUE"""),44771.64583333333)</f>
        <v>44771.64583</v>
      </c>
      <c r="B2846" s="1">
        <f>IFERROR(__xludf.DUMMYFUNCTION("""COMPUTED_VALUE"""),62400.0)</f>
        <v>62400</v>
      </c>
      <c r="C2846" s="1">
        <f>IFERROR(__xludf.DUMMYFUNCTION("""COMPUTED_VALUE"""),62600.0)</f>
        <v>62600</v>
      </c>
      <c r="D2846" s="1">
        <f>IFERROR(__xludf.DUMMYFUNCTION("""COMPUTED_VALUE"""),61300.0)</f>
        <v>61300</v>
      </c>
      <c r="E2846" s="1">
        <f>IFERROR(__xludf.DUMMYFUNCTION("""COMPUTED_VALUE"""),61400.0)</f>
        <v>61400</v>
      </c>
      <c r="F2846" s="1">
        <f>IFERROR(__xludf.DUMMYFUNCTION("""COMPUTED_VALUE"""),1.509312E7)</f>
        <v>15093120</v>
      </c>
    </row>
    <row r="2847">
      <c r="A2847" s="2">
        <f>IFERROR(__xludf.DUMMYFUNCTION("""COMPUTED_VALUE"""),44774.64583333333)</f>
        <v>44774.64583</v>
      </c>
      <c r="B2847" s="1">
        <f>IFERROR(__xludf.DUMMYFUNCTION("""COMPUTED_VALUE"""),61000.0)</f>
        <v>61000</v>
      </c>
      <c r="C2847" s="1">
        <f>IFERROR(__xludf.DUMMYFUNCTION("""COMPUTED_VALUE"""),61700.0)</f>
        <v>61700</v>
      </c>
      <c r="D2847" s="1">
        <f>IFERROR(__xludf.DUMMYFUNCTION("""COMPUTED_VALUE"""),60300.0)</f>
        <v>60300</v>
      </c>
      <c r="E2847" s="1">
        <f>IFERROR(__xludf.DUMMYFUNCTION("""COMPUTED_VALUE"""),61300.0)</f>
        <v>61300</v>
      </c>
      <c r="F2847" s="1">
        <f>IFERROR(__xludf.DUMMYFUNCTION("""COMPUTED_VALUE"""),1.3154816E7)</f>
        <v>13154816</v>
      </c>
    </row>
    <row r="2848">
      <c r="A2848" s="2">
        <f>IFERROR(__xludf.DUMMYFUNCTION("""COMPUTED_VALUE"""),44775.64583333333)</f>
        <v>44775.64583</v>
      </c>
      <c r="B2848" s="1">
        <f>IFERROR(__xludf.DUMMYFUNCTION("""COMPUTED_VALUE"""),61200.0)</f>
        <v>61200</v>
      </c>
      <c r="C2848" s="1">
        <f>IFERROR(__xludf.DUMMYFUNCTION("""COMPUTED_VALUE"""),61900.0)</f>
        <v>61900</v>
      </c>
      <c r="D2848" s="1">
        <f>IFERROR(__xludf.DUMMYFUNCTION("""COMPUTED_VALUE"""),61000.0)</f>
        <v>61000</v>
      </c>
      <c r="E2848" s="1">
        <f>IFERROR(__xludf.DUMMYFUNCTION("""COMPUTED_VALUE"""),61700.0)</f>
        <v>61700</v>
      </c>
      <c r="F2848" s="1">
        <f>IFERROR(__xludf.DUMMYFUNCTION("""COMPUTED_VALUE"""),1.3614895E7)</f>
        <v>13614895</v>
      </c>
    </row>
    <row r="2849">
      <c r="A2849" s="2">
        <f>IFERROR(__xludf.DUMMYFUNCTION("""COMPUTED_VALUE"""),44776.64583333333)</f>
        <v>44776.64583</v>
      </c>
      <c r="B2849" s="1">
        <f>IFERROR(__xludf.DUMMYFUNCTION("""COMPUTED_VALUE"""),61600.0)</f>
        <v>61600</v>
      </c>
      <c r="C2849" s="1">
        <f>IFERROR(__xludf.DUMMYFUNCTION("""COMPUTED_VALUE"""),61600.0)</f>
        <v>61600</v>
      </c>
      <c r="D2849" s="1">
        <f>IFERROR(__xludf.DUMMYFUNCTION("""COMPUTED_VALUE"""),61000.0)</f>
        <v>61000</v>
      </c>
      <c r="E2849" s="1">
        <f>IFERROR(__xludf.DUMMYFUNCTION("""COMPUTED_VALUE"""),61300.0)</f>
        <v>61300</v>
      </c>
      <c r="F2849" s="1">
        <f>IFERROR(__xludf.DUMMYFUNCTION("""COMPUTED_VALUE"""),1.0053861E7)</f>
        <v>10053861</v>
      </c>
    </row>
    <row r="2850">
      <c r="A2850" s="2">
        <f>IFERROR(__xludf.DUMMYFUNCTION("""COMPUTED_VALUE"""),44777.64583333333)</f>
        <v>44777.64583</v>
      </c>
      <c r="B2850" s="1">
        <f>IFERROR(__xludf.DUMMYFUNCTION("""COMPUTED_VALUE"""),61700.0)</f>
        <v>61700</v>
      </c>
      <c r="C2850" s="1">
        <f>IFERROR(__xludf.DUMMYFUNCTION("""COMPUTED_VALUE"""),61800.0)</f>
        <v>61800</v>
      </c>
      <c r="D2850" s="1">
        <f>IFERROR(__xludf.DUMMYFUNCTION("""COMPUTED_VALUE"""),61200.0)</f>
        <v>61200</v>
      </c>
      <c r="E2850" s="1">
        <f>IFERROR(__xludf.DUMMYFUNCTION("""COMPUTED_VALUE"""),61500.0)</f>
        <v>61500</v>
      </c>
      <c r="F2850" s="1">
        <f>IFERROR(__xludf.DUMMYFUNCTION("""COMPUTED_VALUE"""),9125439.0)</f>
        <v>9125439</v>
      </c>
    </row>
    <row r="2851">
      <c r="A2851" s="2">
        <f>IFERROR(__xludf.DUMMYFUNCTION("""COMPUTED_VALUE"""),44778.64583333333)</f>
        <v>44778.64583</v>
      </c>
      <c r="B2851" s="1">
        <f>IFERROR(__xludf.DUMMYFUNCTION("""COMPUTED_VALUE"""),61700.0)</f>
        <v>61700</v>
      </c>
      <c r="C2851" s="1">
        <f>IFERROR(__xludf.DUMMYFUNCTION("""COMPUTED_VALUE"""),61900.0)</f>
        <v>61900</v>
      </c>
      <c r="D2851" s="1">
        <f>IFERROR(__xludf.DUMMYFUNCTION("""COMPUTED_VALUE"""),61200.0)</f>
        <v>61200</v>
      </c>
      <c r="E2851" s="1">
        <f>IFERROR(__xludf.DUMMYFUNCTION("""COMPUTED_VALUE"""),61500.0)</f>
        <v>61500</v>
      </c>
      <c r="F2851" s="1">
        <f>IFERROR(__xludf.DUMMYFUNCTION("""COMPUTED_VALUE"""),9567620.0)</f>
        <v>9567620</v>
      </c>
    </row>
    <row r="2852">
      <c r="A2852" s="2">
        <f>IFERROR(__xludf.DUMMYFUNCTION("""COMPUTED_VALUE"""),44781.64583333333)</f>
        <v>44781.64583</v>
      </c>
      <c r="B2852" s="1">
        <f>IFERROR(__xludf.DUMMYFUNCTION("""COMPUTED_VALUE"""),61400.0)</f>
        <v>61400</v>
      </c>
      <c r="C2852" s="1">
        <f>IFERROR(__xludf.DUMMYFUNCTION("""COMPUTED_VALUE"""),61400.0)</f>
        <v>61400</v>
      </c>
      <c r="D2852" s="1">
        <f>IFERROR(__xludf.DUMMYFUNCTION("""COMPUTED_VALUE"""),60600.0)</f>
        <v>60600</v>
      </c>
      <c r="E2852" s="1">
        <f>IFERROR(__xludf.DUMMYFUNCTION("""COMPUTED_VALUE"""),60800.0)</f>
        <v>60800</v>
      </c>
      <c r="F2852" s="1">
        <f>IFERROR(__xludf.DUMMYFUNCTION("""COMPUTED_VALUE"""),1.131315E7)</f>
        <v>11313150</v>
      </c>
    </row>
    <row r="2853">
      <c r="A2853" s="2">
        <f>IFERROR(__xludf.DUMMYFUNCTION("""COMPUTED_VALUE"""),44782.64583333333)</f>
        <v>44782.64583</v>
      </c>
      <c r="B2853" s="1">
        <f>IFERROR(__xludf.DUMMYFUNCTION("""COMPUTED_VALUE"""),60600.0)</f>
        <v>60600</v>
      </c>
      <c r="C2853" s="1">
        <f>IFERROR(__xludf.DUMMYFUNCTION("""COMPUTED_VALUE"""),60700.0)</f>
        <v>60700</v>
      </c>
      <c r="D2853" s="1">
        <f>IFERROR(__xludf.DUMMYFUNCTION("""COMPUTED_VALUE"""),59600.0)</f>
        <v>59600</v>
      </c>
      <c r="E2853" s="1">
        <f>IFERROR(__xludf.DUMMYFUNCTION("""COMPUTED_VALUE"""),60000.0)</f>
        <v>60000</v>
      </c>
      <c r="F2853" s="1">
        <f>IFERROR(__xludf.DUMMYFUNCTION("""COMPUTED_VALUE"""),1.825117E7)</f>
        <v>18251170</v>
      </c>
    </row>
    <row r="2854">
      <c r="A2854" s="2">
        <f>IFERROR(__xludf.DUMMYFUNCTION("""COMPUTED_VALUE"""),44783.64583333333)</f>
        <v>44783.64583</v>
      </c>
      <c r="B2854" s="1">
        <f>IFERROR(__xludf.DUMMYFUNCTION("""COMPUTED_VALUE"""),58900.0)</f>
        <v>58900</v>
      </c>
      <c r="C2854" s="1">
        <f>IFERROR(__xludf.DUMMYFUNCTION("""COMPUTED_VALUE"""),59200.0)</f>
        <v>59200</v>
      </c>
      <c r="D2854" s="1">
        <f>IFERROR(__xludf.DUMMYFUNCTION("""COMPUTED_VALUE"""),58600.0)</f>
        <v>58600</v>
      </c>
      <c r="E2854" s="1">
        <f>IFERROR(__xludf.DUMMYFUNCTION("""COMPUTED_VALUE"""),59100.0)</f>
        <v>59100</v>
      </c>
      <c r="F2854" s="1">
        <f>IFERROR(__xludf.DUMMYFUNCTION("""COMPUTED_VALUE"""),1.8084349E7)</f>
        <v>18084349</v>
      </c>
    </row>
    <row r="2855">
      <c r="A2855" s="2">
        <f>IFERROR(__xludf.DUMMYFUNCTION("""COMPUTED_VALUE"""),44784.64583333333)</f>
        <v>44784.64583</v>
      </c>
      <c r="B2855" s="1">
        <f>IFERROR(__xludf.DUMMYFUNCTION("""COMPUTED_VALUE"""),59600.0)</f>
        <v>59600</v>
      </c>
      <c r="C2855" s="1">
        <f>IFERROR(__xludf.DUMMYFUNCTION("""COMPUTED_VALUE"""),60000.0)</f>
        <v>60000</v>
      </c>
      <c r="D2855" s="1">
        <f>IFERROR(__xludf.DUMMYFUNCTION("""COMPUTED_VALUE"""),59300.0)</f>
        <v>59300</v>
      </c>
      <c r="E2855" s="1">
        <f>IFERROR(__xludf.DUMMYFUNCTION("""COMPUTED_VALUE"""),59900.0)</f>
        <v>59900</v>
      </c>
      <c r="F2855" s="1">
        <f>IFERROR(__xludf.DUMMYFUNCTION("""COMPUTED_VALUE"""),1.5141941E7)</f>
        <v>15141941</v>
      </c>
    </row>
    <row r="2856">
      <c r="A2856" s="2">
        <f>IFERROR(__xludf.DUMMYFUNCTION("""COMPUTED_VALUE"""),44785.64583333333)</f>
        <v>44785.64583</v>
      </c>
      <c r="B2856" s="1">
        <f>IFERROR(__xludf.DUMMYFUNCTION("""COMPUTED_VALUE"""),59500.0)</f>
        <v>59500</v>
      </c>
      <c r="C2856" s="1">
        <f>IFERROR(__xludf.DUMMYFUNCTION("""COMPUTED_VALUE"""),60700.0)</f>
        <v>60700</v>
      </c>
      <c r="D2856" s="1">
        <f>IFERROR(__xludf.DUMMYFUNCTION("""COMPUTED_VALUE"""),59400.0)</f>
        <v>59400</v>
      </c>
      <c r="E2856" s="1">
        <f>IFERROR(__xludf.DUMMYFUNCTION("""COMPUTED_VALUE"""),60200.0)</f>
        <v>60200</v>
      </c>
      <c r="F2856" s="1">
        <f>IFERROR(__xludf.DUMMYFUNCTION("""COMPUTED_VALUE"""),1.0786658E7)</f>
        <v>10786658</v>
      </c>
    </row>
    <row r="2857">
      <c r="A2857" s="2">
        <f>IFERROR(__xludf.DUMMYFUNCTION("""COMPUTED_VALUE"""),44789.64583333333)</f>
        <v>44789.64583</v>
      </c>
      <c r="B2857" s="1">
        <f>IFERROR(__xludf.DUMMYFUNCTION("""COMPUTED_VALUE"""),60500.0)</f>
        <v>60500</v>
      </c>
      <c r="C2857" s="1">
        <f>IFERROR(__xludf.DUMMYFUNCTION("""COMPUTED_VALUE"""),61600.0)</f>
        <v>61600</v>
      </c>
      <c r="D2857" s="1">
        <f>IFERROR(__xludf.DUMMYFUNCTION("""COMPUTED_VALUE"""),60300.0)</f>
        <v>60300</v>
      </c>
      <c r="E2857" s="1">
        <f>IFERROR(__xludf.DUMMYFUNCTION("""COMPUTED_VALUE"""),61000.0)</f>
        <v>61000</v>
      </c>
      <c r="F2857" s="1">
        <f>IFERROR(__xludf.DUMMYFUNCTION("""COMPUTED_VALUE"""),1.5036727E7)</f>
        <v>15036727</v>
      </c>
    </row>
    <row r="2858">
      <c r="A2858" s="2">
        <f>IFERROR(__xludf.DUMMYFUNCTION("""COMPUTED_VALUE"""),44790.64583333333)</f>
        <v>44790.64583</v>
      </c>
      <c r="B2858" s="1">
        <f>IFERROR(__xludf.DUMMYFUNCTION("""COMPUTED_VALUE"""),61100.0)</f>
        <v>61100</v>
      </c>
      <c r="C2858" s="1">
        <f>IFERROR(__xludf.DUMMYFUNCTION("""COMPUTED_VALUE"""),61200.0)</f>
        <v>61200</v>
      </c>
      <c r="D2858" s="1">
        <f>IFERROR(__xludf.DUMMYFUNCTION("""COMPUTED_VALUE"""),60300.0)</f>
        <v>60300</v>
      </c>
      <c r="E2858" s="1">
        <f>IFERROR(__xludf.DUMMYFUNCTION("""COMPUTED_VALUE"""),60400.0)</f>
        <v>60400</v>
      </c>
      <c r="F2858" s="1">
        <f>IFERROR(__xludf.DUMMYFUNCTION("""COMPUTED_VALUE"""),9061518.0)</f>
        <v>9061518</v>
      </c>
    </row>
    <row r="2859">
      <c r="A2859" s="2">
        <f>IFERROR(__xludf.DUMMYFUNCTION("""COMPUTED_VALUE"""),44791.64583333333)</f>
        <v>44791.64583</v>
      </c>
      <c r="B2859" s="1">
        <f>IFERROR(__xludf.DUMMYFUNCTION("""COMPUTED_VALUE"""),60300.0)</f>
        <v>60300</v>
      </c>
      <c r="C2859" s="1">
        <f>IFERROR(__xludf.DUMMYFUNCTION("""COMPUTED_VALUE"""),61900.0)</f>
        <v>61900</v>
      </c>
      <c r="D2859" s="1">
        <f>IFERROR(__xludf.DUMMYFUNCTION("""COMPUTED_VALUE"""),60000.0)</f>
        <v>60000</v>
      </c>
      <c r="E2859" s="1">
        <f>IFERROR(__xludf.DUMMYFUNCTION("""COMPUTED_VALUE"""),61500.0)</f>
        <v>61500</v>
      </c>
      <c r="F2859" s="1">
        <f>IFERROR(__xludf.DUMMYFUNCTION("""COMPUTED_VALUE"""),1.6372754E7)</f>
        <v>16372754</v>
      </c>
    </row>
    <row r="2860">
      <c r="A2860" s="2">
        <f>IFERROR(__xludf.DUMMYFUNCTION("""COMPUTED_VALUE"""),44792.64583333333)</f>
        <v>44792.64583</v>
      </c>
      <c r="B2860" s="1">
        <f>IFERROR(__xludf.DUMMYFUNCTION("""COMPUTED_VALUE"""),61400.0)</f>
        <v>61400</v>
      </c>
      <c r="C2860" s="1">
        <f>IFERROR(__xludf.DUMMYFUNCTION("""COMPUTED_VALUE"""),61600.0)</f>
        <v>61600</v>
      </c>
      <c r="D2860" s="1">
        <f>IFERROR(__xludf.DUMMYFUNCTION("""COMPUTED_VALUE"""),60600.0)</f>
        <v>60600</v>
      </c>
      <c r="E2860" s="1">
        <f>IFERROR(__xludf.DUMMYFUNCTION("""COMPUTED_VALUE"""),60900.0)</f>
        <v>60900</v>
      </c>
      <c r="F2860" s="1">
        <f>IFERROR(__xludf.DUMMYFUNCTION("""COMPUTED_VALUE"""),6923679.0)</f>
        <v>6923679</v>
      </c>
    </row>
    <row r="2861">
      <c r="A2861" s="2">
        <f>IFERROR(__xludf.DUMMYFUNCTION("""COMPUTED_VALUE"""),44795.64583333333)</f>
        <v>44795.64583</v>
      </c>
      <c r="B2861" s="1">
        <f>IFERROR(__xludf.DUMMYFUNCTION("""COMPUTED_VALUE"""),60300.0)</f>
        <v>60300</v>
      </c>
      <c r="C2861" s="1">
        <f>IFERROR(__xludf.DUMMYFUNCTION("""COMPUTED_VALUE"""),60400.0)</f>
        <v>60400</v>
      </c>
      <c r="D2861" s="1">
        <f>IFERROR(__xludf.DUMMYFUNCTION("""COMPUTED_VALUE"""),59800.0)</f>
        <v>59800</v>
      </c>
      <c r="E2861" s="1">
        <f>IFERROR(__xludf.DUMMYFUNCTION("""COMPUTED_VALUE"""),60000.0)</f>
        <v>60000</v>
      </c>
      <c r="F2861" s="1">
        <f>IFERROR(__xludf.DUMMYFUNCTION("""COMPUTED_VALUE"""),8259865.0)</f>
        <v>8259865</v>
      </c>
    </row>
    <row r="2862">
      <c r="A2862" s="2">
        <f>IFERROR(__xludf.DUMMYFUNCTION("""COMPUTED_VALUE"""),44796.64583333333)</f>
        <v>44796.64583</v>
      </c>
      <c r="B2862" s="1">
        <f>IFERROR(__xludf.DUMMYFUNCTION("""COMPUTED_VALUE"""),59000.0)</f>
        <v>59000</v>
      </c>
      <c r="C2862" s="1">
        <f>IFERROR(__xludf.DUMMYFUNCTION("""COMPUTED_VALUE"""),59600.0)</f>
        <v>59600</v>
      </c>
      <c r="D2862" s="1">
        <f>IFERROR(__xludf.DUMMYFUNCTION("""COMPUTED_VALUE"""),59000.0)</f>
        <v>59000</v>
      </c>
      <c r="E2862" s="1">
        <f>IFERROR(__xludf.DUMMYFUNCTION("""COMPUTED_VALUE"""),59100.0)</f>
        <v>59100</v>
      </c>
      <c r="F2862" s="1">
        <f>IFERROR(__xludf.DUMMYFUNCTION("""COMPUTED_VALUE"""),9041629.0)</f>
        <v>9041629</v>
      </c>
    </row>
    <row r="2863">
      <c r="A2863" s="2">
        <f>IFERROR(__xludf.DUMMYFUNCTION("""COMPUTED_VALUE"""),44797.64583333333)</f>
        <v>44797.64583</v>
      </c>
      <c r="B2863" s="1">
        <f>IFERROR(__xludf.DUMMYFUNCTION("""COMPUTED_VALUE"""),59200.0)</f>
        <v>59200</v>
      </c>
      <c r="C2863" s="1">
        <f>IFERROR(__xludf.DUMMYFUNCTION("""COMPUTED_VALUE"""),59500.0)</f>
        <v>59500</v>
      </c>
      <c r="D2863" s="1">
        <f>IFERROR(__xludf.DUMMYFUNCTION("""COMPUTED_VALUE"""),59000.0)</f>
        <v>59000</v>
      </c>
      <c r="E2863" s="1">
        <f>IFERROR(__xludf.DUMMYFUNCTION("""COMPUTED_VALUE"""),59000.0)</f>
        <v>59000</v>
      </c>
      <c r="F2863" s="1">
        <f>IFERROR(__xludf.DUMMYFUNCTION("""COMPUTED_VALUE"""),8888486.0)</f>
        <v>8888486</v>
      </c>
    </row>
    <row r="2864">
      <c r="A2864" s="2">
        <f>IFERROR(__xludf.DUMMYFUNCTION("""COMPUTED_VALUE"""),44798.64583333333)</f>
        <v>44798.64583</v>
      </c>
      <c r="B2864" s="1">
        <f>IFERROR(__xludf.DUMMYFUNCTION("""COMPUTED_VALUE"""),59200.0)</f>
        <v>59200</v>
      </c>
      <c r="C2864" s="1">
        <f>IFERROR(__xludf.DUMMYFUNCTION("""COMPUTED_VALUE"""),59700.0)</f>
        <v>59700</v>
      </c>
      <c r="D2864" s="1">
        <f>IFERROR(__xludf.DUMMYFUNCTION("""COMPUTED_VALUE"""),59000.0)</f>
        <v>59000</v>
      </c>
      <c r="E2864" s="1">
        <f>IFERROR(__xludf.DUMMYFUNCTION("""COMPUTED_VALUE"""),59700.0)</f>
        <v>59700</v>
      </c>
      <c r="F2864" s="1">
        <f>IFERROR(__xludf.DUMMYFUNCTION("""COMPUTED_VALUE"""),5767902.0)</f>
        <v>5767902</v>
      </c>
    </row>
    <row r="2865">
      <c r="A2865" s="2">
        <f>IFERROR(__xludf.DUMMYFUNCTION("""COMPUTED_VALUE"""),44799.64583333333)</f>
        <v>44799.64583</v>
      </c>
      <c r="B2865" s="1">
        <f>IFERROR(__xludf.DUMMYFUNCTION("""COMPUTED_VALUE"""),60300.0)</f>
        <v>60300</v>
      </c>
      <c r="C2865" s="1">
        <f>IFERROR(__xludf.DUMMYFUNCTION("""COMPUTED_VALUE"""),60900.0)</f>
        <v>60900</v>
      </c>
      <c r="D2865" s="1">
        <f>IFERROR(__xludf.DUMMYFUNCTION("""COMPUTED_VALUE"""),59900.0)</f>
        <v>59900</v>
      </c>
      <c r="E2865" s="1">
        <f>IFERROR(__xludf.DUMMYFUNCTION("""COMPUTED_VALUE"""),60000.0)</f>
        <v>60000</v>
      </c>
      <c r="F2865" s="1">
        <f>IFERROR(__xludf.DUMMYFUNCTION("""COMPUTED_VALUE"""),9499995.0)</f>
        <v>9499995</v>
      </c>
    </row>
    <row r="2866">
      <c r="A2866" s="2">
        <f>IFERROR(__xludf.DUMMYFUNCTION("""COMPUTED_VALUE"""),44802.64583333333)</f>
        <v>44802.64583</v>
      </c>
      <c r="B2866" s="1">
        <f>IFERROR(__xludf.DUMMYFUNCTION("""COMPUTED_VALUE"""),58700.0)</f>
        <v>58700</v>
      </c>
      <c r="C2866" s="1">
        <f>IFERROR(__xludf.DUMMYFUNCTION("""COMPUTED_VALUE"""),58900.0)</f>
        <v>58900</v>
      </c>
      <c r="D2866" s="1">
        <f>IFERROR(__xludf.DUMMYFUNCTION("""COMPUTED_VALUE"""),58600.0)</f>
        <v>58600</v>
      </c>
      <c r="E2866" s="1">
        <f>IFERROR(__xludf.DUMMYFUNCTION("""COMPUTED_VALUE"""),58600.0)</f>
        <v>58600</v>
      </c>
      <c r="F2866" s="1">
        <f>IFERROR(__xludf.DUMMYFUNCTION("""COMPUTED_VALUE"""),9841329.0)</f>
        <v>9841329</v>
      </c>
    </row>
    <row r="2867">
      <c r="A2867" s="2">
        <f>IFERROR(__xludf.DUMMYFUNCTION("""COMPUTED_VALUE"""),44803.64583333333)</f>
        <v>44803.64583</v>
      </c>
      <c r="B2867" s="1">
        <f>IFERROR(__xludf.DUMMYFUNCTION("""COMPUTED_VALUE"""),58700.0)</f>
        <v>58700</v>
      </c>
      <c r="C2867" s="1">
        <f>IFERROR(__xludf.DUMMYFUNCTION("""COMPUTED_VALUE"""),59000.0)</f>
        <v>59000</v>
      </c>
      <c r="D2867" s="1">
        <f>IFERROR(__xludf.DUMMYFUNCTION("""COMPUTED_VALUE"""),58300.0)</f>
        <v>58300</v>
      </c>
      <c r="E2867" s="1">
        <f>IFERROR(__xludf.DUMMYFUNCTION("""COMPUTED_VALUE"""),58800.0)</f>
        <v>58800</v>
      </c>
      <c r="F2867" s="1">
        <f>IFERROR(__xludf.DUMMYFUNCTION("""COMPUTED_VALUE"""),9690044.0)</f>
        <v>9690044</v>
      </c>
    </row>
    <row r="2868">
      <c r="A2868" s="2">
        <f>IFERROR(__xludf.DUMMYFUNCTION("""COMPUTED_VALUE"""),44804.64583333333)</f>
        <v>44804.64583</v>
      </c>
      <c r="B2868" s="1">
        <f>IFERROR(__xludf.DUMMYFUNCTION("""COMPUTED_VALUE"""),58200.0)</f>
        <v>58200</v>
      </c>
      <c r="C2868" s="1">
        <f>IFERROR(__xludf.DUMMYFUNCTION("""COMPUTED_VALUE"""),59900.0)</f>
        <v>59900</v>
      </c>
      <c r="D2868" s="1">
        <f>IFERROR(__xludf.DUMMYFUNCTION("""COMPUTED_VALUE"""),58200.0)</f>
        <v>58200</v>
      </c>
      <c r="E2868" s="1">
        <f>IFERROR(__xludf.DUMMYFUNCTION("""COMPUTED_VALUE"""),59700.0)</f>
        <v>59700</v>
      </c>
      <c r="F2868" s="1">
        <f>IFERROR(__xludf.DUMMYFUNCTION("""COMPUTED_VALUE"""),1.4203512E7)</f>
        <v>14203512</v>
      </c>
    </row>
    <row r="2869">
      <c r="A2869" s="2">
        <f>IFERROR(__xludf.DUMMYFUNCTION("""COMPUTED_VALUE"""),44805.64583333333)</f>
        <v>44805.64583</v>
      </c>
      <c r="B2869" s="1">
        <f>IFERROR(__xludf.DUMMYFUNCTION("""COMPUTED_VALUE"""),58700.0)</f>
        <v>58700</v>
      </c>
      <c r="C2869" s="1">
        <f>IFERROR(__xludf.DUMMYFUNCTION("""COMPUTED_VALUE"""),58900.0)</f>
        <v>58900</v>
      </c>
      <c r="D2869" s="1">
        <f>IFERROR(__xludf.DUMMYFUNCTION("""COMPUTED_VALUE"""),58300.0)</f>
        <v>58300</v>
      </c>
      <c r="E2869" s="1">
        <f>IFERROR(__xludf.DUMMYFUNCTION("""COMPUTED_VALUE"""),58400.0)</f>
        <v>58400</v>
      </c>
      <c r="F2869" s="1">
        <f>IFERROR(__xludf.DUMMYFUNCTION("""COMPUTED_VALUE"""),1.4905777E7)</f>
        <v>14905777</v>
      </c>
    </row>
    <row r="2870">
      <c r="A2870" s="2">
        <f>IFERROR(__xludf.DUMMYFUNCTION("""COMPUTED_VALUE"""),44806.64583333333)</f>
        <v>44806.64583</v>
      </c>
      <c r="B2870" s="1">
        <f>IFERROR(__xludf.DUMMYFUNCTION("""COMPUTED_VALUE"""),58300.0)</f>
        <v>58300</v>
      </c>
      <c r="C2870" s="1">
        <f>IFERROR(__xludf.DUMMYFUNCTION("""COMPUTED_VALUE"""),58600.0)</f>
        <v>58600</v>
      </c>
      <c r="D2870" s="1">
        <f>IFERROR(__xludf.DUMMYFUNCTION("""COMPUTED_VALUE"""),57500.0)</f>
        <v>57500</v>
      </c>
      <c r="E2870" s="1">
        <f>IFERROR(__xludf.DUMMYFUNCTION("""COMPUTED_VALUE"""),57500.0)</f>
        <v>57500</v>
      </c>
      <c r="F2870" s="1">
        <f>IFERROR(__xludf.DUMMYFUNCTION("""COMPUTED_VALUE"""),1.504031E7)</f>
        <v>15040310</v>
      </c>
    </row>
    <row r="2871">
      <c r="A2871" s="2">
        <f>IFERROR(__xludf.DUMMYFUNCTION("""COMPUTED_VALUE"""),44809.64583333333)</f>
        <v>44809.64583</v>
      </c>
      <c r="B2871" s="1">
        <f>IFERROR(__xludf.DUMMYFUNCTION("""COMPUTED_VALUE"""),57400.0)</f>
        <v>57400</v>
      </c>
      <c r="C2871" s="1">
        <f>IFERROR(__xludf.DUMMYFUNCTION("""COMPUTED_VALUE"""),57800.0)</f>
        <v>57800</v>
      </c>
      <c r="D2871" s="1">
        <f>IFERROR(__xludf.DUMMYFUNCTION("""COMPUTED_VALUE"""),56800.0)</f>
        <v>56800</v>
      </c>
      <c r="E2871" s="1">
        <f>IFERROR(__xludf.DUMMYFUNCTION("""COMPUTED_VALUE"""),57100.0)</f>
        <v>57100</v>
      </c>
      <c r="F2871" s="1">
        <f>IFERROR(__xludf.DUMMYFUNCTION("""COMPUTED_VALUE"""),1.1425977E7)</f>
        <v>11425977</v>
      </c>
    </row>
    <row r="2872">
      <c r="A2872" s="2">
        <f>IFERROR(__xludf.DUMMYFUNCTION("""COMPUTED_VALUE"""),44810.64583333333)</f>
        <v>44810.64583</v>
      </c>
      <c r="B2872" s="1">
        <f>IFERROR(__xludf.DUMMYFUNCTION("""COMPUTED_VALUE"""),57200.0)</f>
        <v>57200</v>
      </c>
      <c r="C2872" s="1">
        <f>IFERROR(__xludf.DUMMYFUNCTION("""COMPUTED_VALUE"""),57600.0)</f>
        <v>57600</v>
      </c>
      <c r="D2872" s="1">
        <f>IFERROR(__xludf.DUMMYFUNCTION("""COMPUTED_VALUE"""),56900.0)</f>
        <v>56900</v>
      </c>
      <c r="E2872" s="1">
        <f>IFERROR(__xludf.DUMMYFUNCTION("""COMPUTED_VALUE"""),57100.0)</f>
        <v>57100</v>
      </c>
      <c r="F2872" s="1">
        <f>IFERROR(__xludf.DUMMYFUNCTION("""COMPUTED_VALUE"""),7503086.0)</f>
        <v>7503086</v>
      </c>
    </row>
    <row r="2873">
      <c r="A2873" s="2">
        <f>IFERROR(__xludf.DUMMYFUNCTION("""COMPUTED_VALUE"""),44811.64583333333)</f>
        <v>44811.64583</v>
      </c>
      <c r="B2873" s="1">
        <f>IFERROR(__xludf.DUMMYFUNCTION("""COMPUTED_VALUE"""),56700.0)</f>
        <v>56700</v>
      </c>
      <c r="C2873" s="1">
        <f>IFERROR(__xludf.DUMMYFUNCTION("""COMPUTED_VALUE"""),56700.0)</f>
        <v>56700</v>
      </c>
      <c r="D2873" s="1">
        <f>IFERROR(__xludf.DUMMYFUNCTION("""COMPUTED_VALUE"""),55900.0)</f>
        <v>55900</v>
      </c>
      <c r="E2873" s="1">
        <f>IFERROR(__xludf.DUMMYFUNCTION("""COMPUTED_VALUE"""),56000.0)</f>
        <v>56000</v>
      </c>
      <c r="F2873" s="1">
        <f>IFERROR(__xludf.DUMMYFUNCTION("""COMPUTED_VALUE"""),1.7384854E7)</f>
        <v>17384854</v>
      </c>
    </row>
    <row r="2874">
      <c r="A2874" s="2">
        <f>IFERROR(__xludf.DUMMYFUNCTION("""COMPUTED_VALUE"""),44812.64583333333)</f>
        <v>44812.64583</v>
      </c>
      <c r="B2874" s="1">
        <f>IFERROR(__xludf.DUMMYFUNCTION("""COMPUTED_VALUE"""),56200.0)</f>
        <v>56200</v>
      </c>
      <c r="C2874" s="1">
        <f>IFERROR(__xludf.DUMMYFUNCTION("""COMPUTED_VALUE"""),56400.0)</f>
        <v>56400</v>
      </c>
      <c r="D2874" s="1">
        <f>IFERROR(__xludf.DUMMYFUNCTION("""COMPUTED_VALUE"""),55600.0)</f>
        <v>55600</v>
      </c>
      <c r="E2874" s="1">
        <f>IFERROR(__xludf.DUMMYFUNCTION("""COMPUTED_VALUE"""),55600.0)</f>
        <v>55600</v>
      </c>
      <c r="F2874" s="1">
        <f>IFERROR(__xludf.DUMMYFUNCTION("""COMPUTED_VALUE"""),1.8000016E7)</f>
        <v>18000016</v>
      </c>
    </row>
    <row r="2875">
      <c r="A2875" s="2">
        <f>IFERROR(__xludf.DUMMYFUNCTION("""COMPUTED_VALUE"""),44817.64583333333)</f>
        <v>44817.64583</v>
      </c>
      <c r="B2875" s="1">
        <f>IFERROR(__xludf.DUMMYFUNCTION("""COMPUTED_VALUE"""),57000.0)</f>
        <v>57000</v>
      </c>
      <c r="C2875" s="1">
        <f>IFERROR(__xludf.DUMMYFUNCTION("""COMPUTED_VALUE"""),58500.0)</f>
        <v>58500</v>
      </c>
      <c r="D2875" s="1">
        <f>IFERROR(__xludf.DUMMYFUNCTION("""COMPUTED_VALUE"""),56800.0)</f>
        <v>56800</v>
      </c>
      <c r="E2875" s="1">
        <f>IFERROR(__xludf.DUMMYFUNCTION("""COMPUTED_VALUE"""),58100.0)</f>
        <v>58100</v>
      </c>
      <c r="F2875" s="1">
        <f>IFERROR(__xludf.DUMMYFUNCTION("""COMPUTED_VALUE"""),1.7166581E7)</f>
        <v>17166581</v>
      </c>
    </row>
    <row r="2876">
      <c r="A2876" s="2">
        <f>IFERROR(__xludf.DUMMYFUNCTION("""COMPUTED_VALUE"""),44818.64583333333)</f>
        <v>44818.64583</v>
      </c>
      <c r="B2876" s="1">
        <f>IFERROR(__xludf.DUMMYFUNCTION("""COMPUTED_VALUE"""),56200.0)</f>
        <v>56200</v>
      </c>
      <c r="C2876" s="1">
        <f>IFERROR(__xludf.DUMMYFUNCTION("""COMPUTED_VALUE"""),57200.0)</f>
        <v>57200</v>
      </c>
      <c r="D2876" s="1">
        <f>IFERROR(__xludf.DUMMYFUNCTION("""COMPUTED_VALUE"""),56100.0)</f>
        <v>56100</v>
      </c>
      <c r="E2876" s="1">
        <f>IFERROR(__xludf.DUMMYFUNCTION("""COMPUTED_VALUE"""),56800.0)</f>
        <v>56800</v>
      </c>
      <c r="F2876" s="1">
        <f>IFERROR(__xludf.DUMMYFUNCTION("""COMPUTED_VALUE"""),1.2524961E7)</f>
        <v>12524961</v>
      </c>
    </row>
    <row r="2877">
      <c r="A2877" s="2">
        <f>IFERROR(__xludf.DUMMYFUNCTION("""COMPUTED_VALUE"""),44819.64583333333)</f>
        <v>44819.64583</v>
      </c>
      <c r="B2877" s="1">
        <f>IFERROR(__xludf.DUMMYFUNCTION("""COMPUTED_VALUE"""),57000.0)</f>
        <v>57000</v>
      </c>
      <c r="C2877" s="1">
        <f>IFERROR(__xludf.DUMMYFUNCTION("""COMPUTED_VALUE"""),57100.0)</f>
        <v>57100</v>
      </c>
      <c r="D2877" s="1">
        <f>IFERROR(__xludf.DUMMYFUNCTION("""COMPUTED_VALUE"""),56000.0)</f>
        <v>56000</v>
      </c>
      <c r="E2877" s="1">
        <f>IFERROR(__xludf.DUMMYFUNCTION("""COMPUTED_VALUE"""),56000.0)</f>
        <v>56000</v>
      </c>
      <c r="F2877" s="1">
        <f>IFERROR(__xludf.DUMMYFUNCTION("""COMPUTED_VALUE"""),1.1664819E7)</f>
        <v>11664819</v>
      </c>
    </row>
    <row r="2878">
      <c r="A2878" s="2">
        <f>IFERROR(__xludf.DUMMYFUNCTION("""COMPUTED_VALUE"""),44820.64583333333)</f>
        <v>44820.64583</v>
      </c>
      <c r="B2878" s="1">
        <f>IFERROR(__xludf.DUMMYFUNCTION("""COMPUTED_VALUE"""),55600.0)</f>
        <v>55600</v>
      </c>
      <c r="C2878" s="1">
        <f>IFERROR(__xludf.DUMMYFUNCTION("""COMPUTED_VALUE"""),56400.0)</f>
        <v>56400</v>
      </c>
      <c r="D2878" s="1">
        <f>IFERROR(__xludf.DUMMYFUNCTION("""COMPUTED_VALUE"""),55500.0)</f>
        <v>55500</v>
      </c>
      <c r="E2878" s="1">
        <f>IFERROR(__xludf.DUMMYFUNCTION("""COMPUTED_VALUE"""),56200.0)</f>
        <v>56200</v>
      </c>
      <c r="F2878" s="1">
        <f>IFERROR(__xludf.DUMMYFUNCTION("""COMPUTED_VALUE"""),1.3456503E7)</f>
        <v>13456503</v>
      </c>
    </row>
    <row r="2879">
      <c r="A2879" s="2">
        <f>IFERROR(__xludf.DUMMYFUNCTION("""COMPUTED_VALUE"""),44823.64583333333)</f>
        <v>44823.64583</v>
      </c>
      <c r="B2879" s="1">
        <f>IFERROR(__xludf.DUMMYFUNCTION("""COMPUTED_VALUE"""),56300.0)</f>
        <v>56300</v>
      </c>
      <c r="C2879" s="1">
        <f>IFERROR(__xludf.DUMMYFUNCTION("""COMPUTED_VALUE"""),57000.0)</f>
        <v>57000</v>
      </c>
      <c r="D2879" s="1">
        <f>IFERROR(__xludf.DUMMYFUNCTION("""COMPUTED_VALUE"""),56000.0)</f>
        <v>56000</v>
      </c>
      <c r="E2879" s="1">
        <f>IFERROR(__xludf.DUMMYFUNCTION("""COMPUTED_VALUE"""),56400.0)</f>
        <v>56400</v>
      </c>
      <c r="F2879" s="1">
        <f>IFERROR(__xludf.DUMMYFUNCTION("""COMPUTED_VALUE"""),1.2278653E7)</f>
        <v>12278653</v>
      </c>
    </row>
    <row r="2880">
      <c r="A2880" s="2">
        <f>IFERROR(__xludf.DUMMYFUNCTION("""COMPUTED_VALUE"""),44824.64583333333)</f>
        <v>44824.64583</v>
      </c>
      <c r="B2880" s="1">
        <f>IFERROR(__xludf.DUMMYFUNCTION("""COMPUTED_VALUE"""),56400.0)</f>
        <v>56400</v>
      </c>
      <c r="C2880" s="1">
        <f>IFERROR(__xludf.DUMMYFUNCTION("""COMPUTED_VALUE"""),57000.0)</f>
        <v>57000</v>
      </c>
      <c r="D2880" s="1">
        <f>IFERROR(__xludf.DUMMYFUNCTION("""COMPUTED_VALUE"""),55800.0)</f>
        <v>55800</v>
      </c>
      <c r="E2880" s="1">
        <f>IFERROR(__xludf.DUMMYFUNCTION("""COMPUTED_VALUE"""),55800.0)</f>
        <v>55800</v>
      </c>
      <c r="F2880" s="1">
        <f>IFERROR(__xludf.DUMMYFUNCTION("""COMPUTED_VALUE"""),1.4041465E7)</f>
        <v>14041465</v>
      </c>
    </row>
    <row r="2881">
      <c r="A2881" s="2">
        <f>IFERROR(__xludf.DUMMYFUNCTION("""COMPUTED_VALUE"""),44825.64583333333)</f>
        <v>44825.64583</v>
      </c>
      <c r="B2881" s="1">
        <f>IFERROR(__xludf.DUMMYFUNCTION("""COMPUTED_VALUE"""),55400.0)</f>
        <v>55400</v>
      </c>
      <c r="C2881" s="1">
        <f>IFERROR(__xludf.DUMMYFUNCTION("""COMPUTED_VALUE"""),55500.0)</f>
        <v>55500</v>
      </c>
      <c r="D2881" s="1">
        <f>IFERROR(__xludf.DUMMYFUNCTION("""COMPUTED_VALUE"""),55000.0)</f>
        <v>55000</v>
      </c>
      <c r="E2881" s="1">
        <f>IFERROR(__xludf.DUMMYFUNCTION("""COMPUTED_VALUE"""),55300.0)</f>
        <v>55300</v>
      </c>
      <c r="F2881" s="1">
        <f>IFERROR(__xludf.DUMMYFUNCTION("""COMPUTED_VALUE"""),1.18637E7)</f>
        <v>11863700</v>
      </c>
    </row>
    <row r="2882">
      <c r="A2882" s="2">
        <f>IFERROR(__xludf.DUMMYFUNCTION("""COMPUTED_VALUE"""),44826.64583333333)</f>
        <v>44826.64583</v>
      </c>
      <c r="B2882" s="1">
        <f>IFERROR(__xludf.DUMMYFUNCTION("""COMPUTED_VALUE"""),54600.0)</f>
        <v>54600</v>
      </c>
      <c r="C2882" s="1">
        <f>IFERROR(__xludf.DUMMYFUNCTION("""COMPUTED_VALUE"""),54700.0)</f>
        <v>54700</v>
      </c>
      <c r="D2882" s="1">
        <f>IFERROR(__xludf.DUMMYFUNCTION("""COMPUTED_VALUE"""),54300.0)</f>
        <v>54300</v>
      </c>
      <c r="E2882" s="1">
        <f>IFERROR(__xludf.DUMMYFUNCTION("""COMPUTED_VALUE"""),54400.0)</f>
        <v>54400</v>
      </c>
      <c r="F2882" s="1">
        <f>IFERROR(__xludf.DUMMYFUNCTION("""COMPUTED_VALUE"""),1.278651E7)</f>
        <v>12786510</v>
      </c>
    </row>
    <row r="2883">
      <c r="A2883" s="2">
        <f>IFERROR(__xludf.DUMMYFUNCTION("""COMPUTED_VALUE"""),44827.64583333333)</f>
        <v>44827.64583</v>
      </c>
      <c r="B2883" s="1">
        <f>IFERROR(__xludf.DUMMYFUNCTION("""COMPUTED_VALUE"""),54400.0)</f>
        <v>54400</v>
      </c>
      <c r="C2883" s="1">
        <f>IFERROR(__xludf.DUMMYFUNCTION("""COMPUTED_VALUE"""),54900.0)</f>
        <v>54900</v>
      </c>
      <c r="D2883" s="1">
        <f>IFERROR(__xludf.DUMMYFUNCTION("""COMPUTED_VALUE"""),54200.0)</f>
        <v>54200</v>
      </c>
      <c r="E2883" s="1">
        <f>IFERROR(__xludf.DUMMYFUNCTION("""COMPUTED_VALUE"""),54500.0)</f>
        <v>54500</v>
      </c>
      <c r="F2883" s="1">
        <f>IFERROR(__xludf.DUMMYFUNCTION("""COMPUTED_VALUE"""),1.0555964E7)</f>
        <v>10555964</v>
      </c>
    </row>
    <row r="2884">
      <c r="A2884" s="2">
        <f>IFERROR(__xludf.DUMMYFUNCTION("""COMPUTED_VALUE"""),44830.64583333333)</f>
        <v>44830.64583</v>
      </c>
      <c r="B2884" s="1">
        <f>IFERROR(__xludf.DUMMYFUNCTION("""COMPUTED_VALUE"""),53700.0)</f>
        <v>53700</v>
      </c>
      <c r="C2884" s="1">
        <f>IFERROR(__xludf.DUMMYFUNCTION("""COMPUTED_VALUE"""),54200.0)</f>
        <v>54200</v>
      </c>
      <c r="D2884" s="1">
        <f>IFERROR(__xludf.DUMMYFUNCTION("""COMPUTED_VALUE"""),53600.0)</f>
        <v>53600</v>
      </c>
      <c r="E2884" s="1">
        <f>IFERROR(__xludf.DUMMYFUNCTION("""COMPUTED_VALUE"""),53900.0)</f>
        <v>53900</v>
      </c>
      <c r="F2884" s="1">
        <f>IFERROR(__xludf.DUMMYFUNCTION("""COMPUTED_VALUE"""),1.5008449E7)</f>
        <v>15008449</v>
      </c>
    </row>
    <row r="2885">
      <c r="A2885" s="2">
        <f>IFERROR(__xludf.DUMMYFUNCTION("""COMPUTED_VALUE"""),44831.64583333333)</f>
        <v>44831.64583</v>
      </c>
      <c r="B2885" s="1">
        <f>IFERROR(__xludf.DUMMYFUNCTION("""COMPUTED_VALUE"""),53800.0)</f>
        <v>53800</v>
      </c>
      <c r="C2885" s="1">
        <f>IFERROR(__xludf.DUMMYFUNCTION("""COMPUTED_VALUE"""),54200.0)</f>
        <v>54200</v>
      </c>
      <c r="D2885" s="1">
        <f>IFERROR(__xludf.DUMMYFUNCTION("""COMPUTED_VALUE"""),53500.0)</f>
        <v>53500</v>
      </c>
      <c r="E2885" s="1">
        <f>IFERROR(__xludf.DUMMYFUNCTION("""COMPUTED_VALUE"""),54200.0)</f>
        <v>54200</v>
      </c>
      <c r="F2885" s="1">
        <f>IFERROR(__xludf.DUMMYFUNCTION("""COMPUTED_VALUE"""),1.6631289E7)</f>
        <v>16631289</v>
      </c>
    </row>
    <row r="2886">
      <c r="A2886" s="2">
        <f>IFERROR(__xludf.DUMMYFUNCTION("""COMPUTED_VALUE"""),44832.64583333333)</f>
        <v>44832.64583</v>
      </c>
      <c r="B2886" s="1">
        <f>IFERROR(__xludf.DUMMYFUNCTION("""COMPUTED_VALUE"""),53900.0)</f>
        <v>53900</v>
      </c>
      <c r="C2886" s="1">
        <f>IFERROR(__xludf.DUMMYFUNCTION("""COMPUTED_VALUE"""),54400.0)</f>
        <v>54400</v>
      </c>
      <c r="D2886" s="1">
        <f>IFERROR(__xludf.DUMMYFUNCTION("""COMPUTED_VALUE"""),52500.0)</f>
        <v>52500</v>
      </c>
      <c r="E2886" s="1">
        <f>IFERROR(__xludf.DUMMYFUNCTION("""COMPUTED_VALUE"""),52900.0)</f>
        <v>52900</v>
      </c>
      <c r="F2886" s="1">
        <f>IFERROR(__xludf.DUMMYFUNCTION("""COMPUTED_VALUE"""),1.9991129E7)</f>
        <v>19991129</v>
      </c>
    </row>
    <row r="2887">
      <c r="A2887" s="2">
        <f>IFERROR(__xludf.DUMMYFUNCTION("""COMPUTED_VALUE"""),44833.64583333333)</f>
        <v>44833.64583</v>
      </c>
      <c r="B2887" s="1">
        <f>IFERROR(__xludf.DUMMYFUNCTION("""COMPUTED_VALUE"""),53300.0)</f>
        <v>53300</v>
      </c>
      <c r="C2887" s="1">
        <f>IFERROR(__xludf.DUMMYFUNCTION("""COMPUTED_VALUE"""),53700.0)</f>
        <v>53700</v>
      </c>
      <c r="D2887" s="1">
        <f>IFERROR(__xludf.DUMMYFUNCTION("""COMPUTED_VALUE"""),52600.0)</f>
        <v>52600</v>
      </c>
      <c r="E2887" s="1">
        <f>IFERROR(__xludf.DUMMYFUNCTION("""COMPUTED_VALUE"""),52600.0)</f>
        <v>52600</v>
      </c>
      <c r="F2887" s="1">
        <f>IFERROR(__xludf.DUMMYFUNCTION("""COMPUTED_VALUE"""),1.388208E7)</f>
        <v>13882080</v>
      </c>
    </row>
    <row r="2888">
      <c r="A2888" s="2">
        <f>IFERROR(__xludf.DUMMYFUNCTION("""COMPUTED_VALUE"""),44834.64583333333)</f>
        <v>44834.64583</v>
      </c>
      <c r="B2888" s="1">
        <f>IFERROR(__xludf.DUMMYFUNCTION("""COMPUTED_VALUE"""),52300.0)</f>
        <v>52300</v>
      </c>
      <c r="C2888" s="1">
        <f>IFERROR(__xludf.DUMMYFUNCTION("""COMPUTED_VALUE"""),53600.0)</f>
        <v>53600</v>
      </c>
      <c r="D2888" s="1">
        <f>IFERROR(__xludf.DUMMYFUNCTION("""COMPUTED_VALUE"""),51800.0)</f>
        <v>51800</v>
      </c>
      <c r="E2888" s="1">
        <f>IFERROR(__xludf.DUMMYFUNCTION("""COMPUTED_VALUE"""),53100.0)</f>
        <v>53100</v>
      </c>
      <c r="F2888" s="1">
        <f>IFERROR(__xludf.DUMMYFUNCTION("""COMPUTED_VALUE"""),2.2503249E7)</f>
        <v>22503249</v>
      </c>
    </row>
    <row r="2889">
      <c r="A2889" s="2">
        <f>IFERROR(__xludf.DUMMYFUNCTION("""COMPUTED_VALUE"""),44838.64583333333)</f>
        <v>44838.64583</v>
      </c>
      <c r="B2889" s="1">
        <f>IFERROR(__xludf.DUMMYFUNCTION("""COMPUTED_VALUE"""),55300.0)</f>
        <v>55300</v>
      </c>
      <c r="C2889" s="1">
        <f>IFERROR(__xludf.DUMMYFUNCTION("""COMPUTED_VALUE"""),55400.0)</f>
        <v>55400</v>
      </c>
      <c r="D2889" s="1">
        <f>IFERROR(__xludf.DUMMYFUNCTION("""COMPUTED_VALUE"""),54500.0)</f>
        <v>54500</v>
      </c>
      <c r="E2889" s="1">
        <f>IFERROR(__xludf.DUMMYFUNCTION("""COMPUTED_VALUE"""),55200.0)</f>
        <v>55200</v>
      </c>
      <c r="F2889" s="1">
        <f>IFERROR(__xludf.DUMMYFUNCTION("""COMPUTED_VALUE"""),1.9148435E7)</f>
        <v>19148435</v>
      </c>
    </row>
    <row r="2890">
      <c r="A2890" s="2">
        <f>IFERROR(__xludf.DUMMYFUNCTION("""COMPUTED_VALUE"""),44839.64583333333)</f>
        <v>44839.64583</v>
      </c>
      <c r="B2890" s="1">
        <f>IFERROR(__xludf.DUMMYFUNCTION("""COMPUTED_VALUE"""),56900.0)</f>
        <v>56900</v>
      </c>
      <c r="C2890" s="1">
        <f>IFERROR(__xludf.DUMMYFUNCTION("""COMPUTED_VALUE"""),57200.0)</f>
        <v>57200</v>
      </c>
      <c r="D2890" s="1">
        <f>IFERROR(__xludf.DUMMYFUNCTION("""COMPUTED_VALUE"""),55400.0)</f>
        <v>55400</v>
      </c>
      <c r="E2890" s="1">
        <f>IFERROR(__xludf.DUMMYFUNCTION("""COMPUTED_VALUE"""),56000.0)</f>
        <v>56000</v>
      </c>
      <c r="F2890" s="1">
        <f>IFERROR(__xludf.DUMMYFUNCTION("""COMPUTED_VALUE"""),2.245897E7)</f>
        <v>22458970</v>
      </c>
    </row>
    <row r="2891">
      <c r="A2891" s="2">
        <f>IFERROR(__xludf.DUMMYFUNCTION("""COMPUTED_VALUE"""),44840.64583333333)</f>
        <v>44840.64583</v>
      </c>
      <c r="B2891" s="1">
        <f>IFERROR(__xludf.DUMMYFUNCTION("""COMPUTED_VALUE"""),56700.0)</f>
        <v>56700</v>
      </c>
      <c r="C2891" s="1">
        <f>IFERROR(__xludf.DUMMYFUNCTION("""COMPUTED_VALUE"""),57300.0)</f>
        <v>57300</v>
      </c>
      <c r="D2891" s="1">
        <f>IFERROR(__xludf.DUMMYFUNCTION("""COMPUTED_VALUE"""),56300.0)</f>
        <v>56300</v>
      </c>
      <c r="E2891" s="1">
        <f>IFERROR(__xludf.DUMMYFUNCTION("""COMPUTED_VALUE"""),56300.0)</f>
        <v>56300</v>
      </c>
      <c r="F2891" s="1">
        <f>IFERROR(__xludf.DUMMYFUNCTION("""COMPUTED_VALUE"""),1.4944446E7)</f>
        <v>14944446</v>
      </c>
    </row>
    <row r="2892">
      <c r="A2892" s="2">
        <f>IFERROR(__xludf.DUMMYFUNCTION("""COMPUTED_VALUE"""),44841.64583333333)</f>
        <v>44841.64583</v>
      </c>
      <c r="B2892" s="1">
        <f>IFERROR(__xludf.DUMMYFUNCTION("""COMPUTED_VALUE"""),55900.0)</f>
        <v>55900</v>
      </c>
      <c r="C2892" s="1">
        <f>IFERROR(__xludf.DUMMYFUNCTION("""COMPUTED_VALUE"""),56900.0)</f>
        <v>56900</v>
      </c>
      <c r="D2892" s="1">
        <f>IFERROR(__xludf.DUMMYFUNCTION("""COMPUTED_VALUE"""),55200.0)</f>
        <v>55200</v>
      </c>
      <c r="E2892" s="1">
        <f>IFERROR(__xludf.DUMMYFUNCTION("""COMPUTED_VALUE"""),56200.0)</f>
        <v>56200</v>
      </c>
      <c r="F2892" s="1">
        <f>IFERROR(__xludf.DUMMYFUNCTION("""COMPUTED_VALUE"""),1.6886813E7)</f>
        <v>16886813</v>
      </c>
    </row>
    <row r="2893">
      <c r="A2893" s="2">
        <f>IFERROR(__xludf.DUMMYFUNCTION("""COMPUTED_VALUE"""),44845.64583333333)</f>
        <v>44845.64583</v>
      </c>
      <c r="B2893" s="1">
        <f>IFERROR(__xludf.DUMMYFUNCTION("""COMPUTED_VALUE"""),54400.0)</f>
        <v>54400</v>
      </c>
      <c r="C2893" s="1">
        <f>IFERROR(__xludf.DUMMYFUNCTION("""COMPUTED_VALUE"""),55700.0)</f>
        <v>55700</v>
      </c>
      <c r="D2893" s="1">
        <f>IFERROR(__xludf.DUMMYFUNCTION("""COMPUTED_VALUE"""),54000.0)</f>
        <v>54000</v>
      </c>
      <c r="E2893" s="1">
        <f>IFERROR(__xludf.DUMMYFUNCTION("""COMPUTED_VALUE"""),55400.0)</f>
        <v>55400</v>
      </c>
      <c r="F2893" s="1">
        <f>IFERROR(__xludf.DUMMYFUNCTION("""COMPUTED_VALUE"""),2.1437877E7)</f>
        <v>21437877</v>
      </c>
    </row>
    <row r="2894">
      <c r="A2894" s="2">
        <f>IFERROR(__xludf.DUMMYFUNCTION("""COMPUTED_VALUE"""),44846.64583333333)</f>
        <v>44846.64583</v>
      </c>
      <c r="B2894" s="1">
        <f>IFERROR(__xludf.DUMMYFUNCTION("""COMPUTED_VALUE"""),55700.0)</f>
        <v>55700</v>
      </c>
      <c r="C2894" s="1">
        <f>IFERROR(__xludf.DUMMYFUNCTION("""COMPUTED_VALUE"""),57000.0)</f>
        <v>57000</v>
      </c>
      <c r="D2894" s="1">
        <f>IFERROR(__xludf.DUMMYFUNCTION("""COMPUTED_VALUE"""),55200.0)</f>
        <v>55200</v>
      </c>
      <c r="E2894" s="1">
        <f>IFERROR(__xludf.DUMMYFUNCTION("""COMPUTED_VALUE"""),55800.0)</f>
        <v>55800</v>
      </c>
      <c r="F2894" s="1">
        <f>IFERROR(__xludf.DUMMYFUNCTION("""COMPUTED_VALUE"""),1.840891E7)</f>
        <v>18408910</v>
      </c>
    </row>
    <row r="2895">
      <c r="A2895" s="2">
        <f>IFERROR(__xludf.DUMMYFUNCTION("""COMPUTED_VALUE"""),44847.64583333333)</f>
        <v>44847.64583</v>
      </c>
      <c r="B2895" s="1">
        <f>IFERROR(__xludf.DUMMYFUNCTION("""COMPUTED_VALUE"""),55400.0)</f>
        <v>55400</v>
      </c>
      <c r="C2895" s="1">
        <f>IFERROR(__xludf.DUMMYFUNCTION("""COMPUTED_VALUE"""),56100.0)</f>
        <v>56100</v>
      </c>
      <c r="D2895" s="1">
        <f>IFERROR(__xludf.DUMMYFUNCTION("""COMPUTED_VALUE"""),55200.0)</f>
        <v>55200</v>
      </c>
      <c r="E2895" s="1">
        <f>IFERROR(__xludf.DUMMYFUNCTION("""COMPUTED_VALUE"""),55200.0)</f>
        <v>55200</v>
      </c>
      <c r="F2895" s="1">
        <f>IFERROR(__xludf.DUMMYFUNCTION("""COMPUTED_VALUE"""),1.3784602E7)</f>
        <v>13784602</v>
      </c>
    </row>
    <row r="2896">
      <c r="A2896" s="2">
        <f>IFERROR(__xludf.DUMMYFUNCTION("""COMPUTED_VALUE"""),44848.64583333333)</f>
        <v>44848.64583</v>
      </c>
      <c r="B2896" s="1">
        <f>IFERROR(__xludf.DUMMYFUNCTION("""COMPUTED_VALUE"""),56200.0)</f>
        <v>56200</v>
      </c>
      <c r="C2896" s="1">
        <f>IFERROR(__xludf.DUMMYFUNCTION("""COMPUTED_VALUE"""),56500.0)</f>
        <v>56500</v>
      </c>
      <c r="D2896" s="1">
        <f>IFERROR(__xludf.DUMMYFUNCTION("""COMPUTED_VALUE"""),55800.0)</f>
        <v>55800</v>
      </c>
      <c r="E2896" s="1">
        <f>IFERROR(__xludf.DUMMYFUNCTION("""COMPUTED_VALUE"""),56300.0)</f>
        <v>56300</v>
      </c>
      <c r="F2896" s="1">
        <f>IFERROR(__xludf.DUMMYFUNCTION("""COMPUTED_VALUE"""),1.2924326E7)</f>
        <v>12924326</v>
      </c>
    </row>
    <row r="2897">
      <c r="A2897" s="2">
        <f>IFERROR(__xludf.DUMMYFUNCTION("""COMPUTED_VALUE"""),44851.64583333333)</f>
        <v>44851.64583</v>
      </c>
      <c r="B2897" s="1">
        <f>IFERROR(__xludf.DUMMYFUNCTION("""COMPUTED_VALUE"""),55800.0)</f>
        <v>55800</v>
      </c>
      <c r="C2897" s="1">
        <f>IFERROR(__xludf.DUMMYFUNCTION("""COMPUTED_VALUE"""),57000.0)</f>
        <v>57000</v>
      </c>
      <c r="D2897" s="1">
        <f>IFERROR(__xludf.DUMMYFUNCTION("""COMPUTED_VALUE"""),55700.0)</f>
        <v>55700</v>
      </c>
      <c r="E2897" s="1">
        <f>IFERROR(__xludf.DUMMYFUNCTION("""COMPUTED_VALUE"""),56600.0)</f>
        <v>56600</v>
      </c>
      <c r="F2897" s="1">
        <f>IFERROR(__xludf.DUMMYFUNCTION("""COMPUTED_VALUE"""),1.3641878E7)</f>
        <v>13641878</v>
      </c>
    </row>
    <row r="2898">
      <c r="A2898" s="2">
        <f>IFERROR(__xludf.DUMMYFUNCTION("""COMPUTED_VALUE"""),44852.64583333333)</f>
        <v>44852.64583</v>
      </c>
      <c r="B2898" s="1">
        <f>IFERROR(__xludf.DUMMYFUNCTION("""COMPUTED_VALUE"""),56700.0)</f>
        <v>56700</v>
      </c>
      <c r="C2898" s="1">
        <f>IFERROR(__xludf.DUMMYFUNCTION("""COMPUTED_VALUE"""),57100.0)</f>
        <v>57100</v>
      </c>
      <c r="D2898" s="1">
        <f>IFERROR(__xludf.DUMMYFUNCTION("""COMPUTED_VALUE"""),55800.0)</f>
        <v>55800</v>
      </c>
      <c r="E2898" s="1">
        <f>IFERROR(__xludf.DUMMYFUNCTION("""COMPUTED_VALUE"""),56500.0)</f>
        <v>56500</v>
      </c>
      <c r="F2898" s="1">
        <f>IFERROR(__xludf.DUMMYFUNCTION("""COMPUTED_VALUE"""),1.4820702E7)</f>
        <v>14820702</v>
      </c>
    </row>
    <row r="2899">
      <c r="A2899" s="2">
        <f>IFERROR(__xludf.DUMMYFUNCTION("""COMPUTED_VALUE"""),44853.64583333333)</f>
        <v>44853.64583</v>
      </c>
      <c r="B2899" s="1">
        <f>IFERROR(__xludf.DUMMYFUNCTION("""COMPUTED_VALUE"""),56700.0)</f>
        <v>56700</v>
      </c>
      <c r="C2899" s="1">
        <f>IFERROR(__xludf.DUMMYFUNCTION("""COMPUTED_VALUE"""),56900.0)</f>
        <v>56900</v>
      </c>
      <c r="D2899" s="1">
        <f>IFERROR(__xludf.DUMMYFUNCTION("""COMPUTED_VALUE"""),55700.0)</f>
        <v>55700</v>
      </c>
      <c r="E2899" s="1">
        <f>IFERROR(__xludf.DUMMYFUNCTION("""COMPUTED_VALUE"""),55800.0)</f>
        <v>55800</v>
      </c>
      <c r="F2899" s="1">
        <f>IFERROR(__xludf.DUMMYFUNCTION("""COMPUTED_VALUE"""),1.2660652E7)</f>
        <v>12660652</v>
      </c>
    </row>
    <row r="2900">
      <c r="A2900" s="2">
        <f>IFERROR(__xludf.DUMMYFUNCTION("""COMPUTED_VALUE"""),44854.64583333333)</f>
        <v>44854.64583</v>
      </c>
      <c r="B2900" s="1">
        <f>IFERROR(__xludf.DUMMYFUNCTION("""COMPUTED_VALUE"""),55200.0)</f>
        <v>55200</v>
      </c>
      <c r="C2900" s="1">
        <f>IFERROR(__xludf.DUMMYFUNCTION("""COMPUTED_VALUE"""),56000.0)</f>
        <v>56000</v>
      </c>
      <c r="D2900" s="1">
        <f>IFERROR(__xludf.DUMMYFUNCTION("""COMPUTED_VALUE"""),55100.0)</f>
        <v>55100</v>
      </c>
      <c r="E2900" s="1">
        <f>IFERROR(__xludf.DUMMYFUNCTION("""COMPUTED_VALUE"""),55500.0)</f>
        <v>55500</v>
      </c>
      <c r="F2900" s="1">
        <f>IFERROR(__xludf.DUMMYFUNCTION("""COMPUTED_VALUE"""),1.7107653E7)</f>
        <v>17107653</v>
      </c>
    </row>
    <row r="2901">
      <c r="A2901" s="2">
        <f>IFERROR(__xludf.DUMMYFUNCTION("""COMPUTED_VALUE"""),44855.64583333333)</f>
        <v>44855.64583</v>
      </c>
      <c r="B2901" s="1">
        <f>IFERROR(__xludf.DUMMYFUNCTION("""COMPUTED_VALUE"""),55100.0)</f>
        <v>55100</v>
      </c>
      <c r="C2901" s="1">
        <f>IFERROR(__xludf.DUMMYFUNCTION("""COMPUTED_VALUE"""),56300.0)</f>
        <v>56300</v>
      </c>
      <c r="D2901" s="1">
        <f>IFERROR(__xludf.DUMMYFUNCTION("""COMPUTED_VALUE"""),55100.0)</f>
        <v>55100</v>
      </c>
      <c r="E2901" s="1">
        <f>IFERROR(__xludf.DUMMYFUNCTION("""COMPUTED_VALUE"""),55900.0)</f>
        <v>55900</v>
      </c>
      <c r="F2901" s="1">
        <f>IFERROR(__xludf.DUMMYFUNCTION("""COMPUTED_VALUE"""),1.145606E7)</f>
        <v>11456060</v>
      </c>
    </row>
    <row r="2902">
      <c r="A2902" s="2">
        <f>IFERROR(__xludf.DUMMYFUNCTION("""COMPUTED_VALUE"""),44858.64583333333)</f>
        <v>44858.64583</v>
      </c>
      <c r="B2902" s="1">
        <f>IFERROR(__xludf.DUMMYFUNCTION("""COMPUTED_VALUE"""),57000.0)</f>
        <v>57000</v>
      </c>
      <c r="C2902" s="1">
        <f>IFERROR(__xludf.DUMMYFUNCTION("""COMPUTED_VALUE"""),57500.0)</f>
        <v>57500</v>
      </c>
      <c r="D2902" s="1">
        <f>IFERROR(__xludf.DUMMYFUNCTION("""COMPUTED_VALUE"""),56700.0)</f>
        <v>56700</v>
      </c>
      <c r="E2902" s="1">
        <f>IFERROR(__xludf.DUMMYFUNCTION("""COMPUTED_VALUE"""),57500.0)</f>
        <v>57500</v>
      </c>
      <c r="F2902" s="1">
        <f>IFERROR(__xludf.DUMMYFUNCTION("""COMPUTED_VALUE"""),1.6944503E7)</f>
        <v>16944503</v>
      </c>
    </row>
    <row r="2903">
      <c r="A2903" s="2">
        <f>IFERROR(__xludf.DUMMYFUNCTION("""COMPUTED_VALUE"""),44859.64583333333)</f>
        <v>44859.64583</v>
      </c>
      <c r="B2903" s="1">
        <f>IFERROR(__xludf.DUMMYFUNCTION("""COMPUTED_VALUE"""),57000.0)</f>
        <v>57000</v>
      </c>
      <c r="C2903" s="1">
        <f>IFERROR(__xludf.DUMMYFUNCTION("""COMPUTED_VALUE"""),58600.0)</f>
        <v>58600</v>
      </c>
      <c r="D2903" s="1">
        <f>IFERROR(__xludf.DUMMYFUNCTION("""COMPUTED_VALUE"""),57000.0)</f>
        <v>57000</v>
      </c>
      <c r="E2903" s="1">
        <f>IFERROR(__xludf.DUMMYFUNCTION("""COMPUTED_VALUE"""),57700.0)</f>
        <v>57700</v>
      </c>
      <c r="F2903" s="1">
        <f>IFERROR(__xludf.DUMMYFUNCTION("""COMPUTED_VALUE"""),1.7405678E7)</f>
        <v>17405678</v>
      </c>
    </row>
    <row r="2904">
      <c r="A2904" s="2">
        <f>IFERROR(__xludf.DUMMYFUNCTION("""COMPUTED_VALUE"""),44860.64583333333)</f>
        <v>44860.64583</v>
      </c>
      <c r="B2904" s="1">
        <f>IFERROR(__xludf.DUMMYFUNCTION("""COMPUTED_VALUE"""),58000.0)</f>
        <v>58000</v>
      </c>
      <c r="C2904" s="1">
        <f>IFERROR(__xludf.DUMMYFUNCTION("""COMPUTED_VALUE"""),59600.0)</f>
        <v>59600</v>
      </c>
      <c r="D2904" s="1">
        <f>IFERROR(__xludf.DUMMYFUNCTION("""COMPUTED_VALUE"""),57700.0)</f>
        <v>57700</v>
      </c>
      <c r="E2904" s="1">
        <f>IFERROR(__xludf.DUMMYFUNCTION("""COMPUTED_VALUE"""),59400.0)</f>
        <v>59400</v>
      </c>
      <c r="F2904" s="1">
        <f>IFERROR(__xludf.DUMMYFUNCTION("""COMPUTED_VALUE"""),2.0824967E7)</f>
        <v>20824967</v>
      </c>
    </row>
    <row r="2905">
      <c r="A2905" s="2">
        <f>IFERROR(__xludf.DUMMYFUNCTION("""COMPUTED_VALUE"""),44861.64583333333)</f>
        <v>44861.64583</v>
      </c>
      <c r="B2905" s="1">
        <f>IFERROR(__xludf.DUMMYFUNCTION("""COMPUTED_VALUE"""),59700.0)</f>
        <v>59700</v>
      </c>
      <c r="C2905" s="1">
        <f>IFERROR(__xludf.DUMMYFUNCTION("""COMPUTED_VALUE"""),60100.0)</f>
        <v>60100</v>
      </c>
      <c r="D2905" s="1">
        <f>IFERROR(__xludf.DUMMYFUNCTION("""COMPUTED_VALUE"""),58900.0)</f>
        <v>58900</v>
      </c>
      <c r="E2905" s="1">
        <f>IFERROR(__xludf.DUMMYFUNCTION("""COMPUTED_VALUE"""),59500.0)</f>
        <v>59500</v>
      </c>
      <c r="F2905" s="1">
        <f>IFERROR(__xludf.DUMMYFUNCTION("""COMPUTED_VALUE"""),2.1756712E7)</f>
        <v>21756712</v>
      </c>
    </row>
    <row r="2906">
      <c r="A2906" s="2">
        <f>IFERROR(__xludf.DUMMYFUNCTION("""COMPUTED_VALUE"""),44862.64583333333)</f>
        <v>44862.64583</v>
      </c>
      <c r="B2906" s="1">
        <f>IFERROR(__xludf.DUMMYFUNCTION("""COMPUTED_VALUE"""),58900.0)</f>
        <v>58900</v>
      </c>
      <c r="C2906" s="1">
        <f>IFERROR(__xludf.DUMMYFUNCTION("""COMPUTED_VALUE"""),59200.0)</f>
        <v>59200</v>
      </c>
      <c r="D2906" s="1">
        <f>IFERROR(__xludf.DUMMYFUNCTION("""COMPUTED_VALUE"""),57200.0)</f>
        <v>57200</v>
      </c>
      <c r="E2906" s="1">
        <f>IFERROR(__xludf.DUMMYFUNCTION("""COMPUTED_VALUE"""),57300.0)</f>
        <v>57300</v>
      </c>
      <c r="F2906" s="1">
        <f>IFERROR(__xludf.DUMMYFUNCTION("""COMPUTED_VALUE"""),2.0924937E7)</f>
        <v>20924937</v>
      </c>
    </row>
    <row r="2907">
      <c r="A2907" s="2">
        <f>IFERROR(__xludf.DUMMYFUNCTION("""COMPUTED_VALUE"""),44865.64583333333)</f>
        <v>44865.64583</v>
      </c>
      <c r="B2907" s="1">
        <f>IFERROR(__xludf.DUMMYFUNCTION("""COMPUTED_VALUE"""),58100.0)</f>
        <v>58100</v>
      </c>
      <c r="C2907" s="1">
        <f>IFERROR(__xludf.DUMMYFUNCTION("""COMPUTED_VALUE"""),59900.0)</f>
        <v>59900</v>
      </c>
      <c r="D2907" s="1">
        <f>IFERROR(__xludf.DUMMYFUNCTION("""COMPUTED_VALUE"""),58000.0)</f>
        <v>58000</v>
      </c>
      <c r="E2907" s="1">
        <f>IFERROR(__xludf.DUMMYFUNCTION("""COMPUTED_VALUE"""),59400.0)</f>
        <v>59400</v>
      </c>
      <c r="F2907" s="1">
        <f>IFERROR(__xludf.DUMMYFUNCTION("""COMPUTED_VALUE"""),1.8999514E7)</f>
        <v>18999514</v>
      </c>
    </row>
    <row r="2908">
      <c r="A2908" s="2">
        <f>IFERROR(__xludf.DUMMYFUNCTION("""COMPUTED_VALUE"""),44866.64583333333)</f>
        <v>44866.64583</v>
      </c>
      <c r="B2908" s="1">
        <f>IFERROR(__xludf.DUMMYFUNCTION("""COMPUTED_VALUE"""),59900.0)</f>
        <v>59900</v>
      </c>
      <c r="C2908" s="1">
        <f>IFERROR(__xludf.DUMMYFUNCTION("""COMPUTED_VALUE"""),60300.0)</f>
        <v>60300</v>
      </c>
      <c r="D2908" s="1">
        <f>IFERROR(__xludf.DUMMYFUNCTION("""COMPUTED_VALUE"""),59500.0)</f>
        <v>59500</v>
      </c>
      <c r="E2908" s="1">
        <f>IFERROR(__xludf.DUMMYFUNCTION("""COMPUTED_VALUE"""),60000.0)</f>
        <v>60000</v>
      </c>
      <c r="F2908" s="1">
        <f>IFERROR(__xludf.DUMMYFUNCTION("""COMPUTED_VALUE"""),1.7201647E7)</f>
        <v>17201647</v>
      </c>
    </row>
    <row r="2909">
      <c r="A2909" s="2">
        <f>IFERROR(__xludf.DUMMYFUNCTION("""COMPUTED_VALUE"""),44867.64583333333)</f>
        <v>44867.64583</v>
      </c>
      <c r="B2909" s="1">
        <f>IFERROR(__xludf.DUMMYFUNCTION("""COMPUTED_VALUE"""),59700.0)</f>
        <v>59700</v>
      </c>
      <c r="C2909" s="1">
        <f>IFERROR(__xludf.DUMMYFUNCTION("""COMPUTED_VALUE"""),60000.0)</f>
        <v>60000</v>
      </c>
      <c r="D2909" s="1">
        <f>IFERROR(__xludf.DUMMYFUNCTION("""COMPUTED_VALUE"""),59300.0)</f>
        <v>59300</v>
      </c>
      <c r="E2909" s="1">
        <f>IFERROR(__xludf.DUMMYFUNCTION("""COMPUTED_VALUE"""),59600.0)</f>
        <v>59600</v>
      </c>
      <c r="F2909" s="1">
        <f>IFERROR(__xludf.DUMMYFUNCTION("""COMPUTED_VALUE"""),1.3202919E7)</f>
        <v>13202919</v>
      </c>
    </row>
    <row r="2910">
      <c r="A2910" s="2">
        <f>IFERROR(__xludf.DUMMYFUNCTION("""COMPUTED_VALUE"""),44868.64583333333)</f>
        <v>44868.64583</v>
      </c>
      <c r="B2910" s="1">
        <f>IFERROR(__xludf.DUMMYFUNCTION("""COMPUTED_VALUE"""),58600.0)</f>
        <v>58600</v>
      </c>
      <c r="C2910" s="1">
        <f>IFERROR(__xludf.DUMMYFUNCTION("""COMPUTED_VALUE"""),59800.0)</f>
        <v>59800</v>
      </c>
      <c r="D2910" s="1">
        <f>IFERROR(__xludf.DUMMYFUNCTION("""COMPUTED_VALUE"""),58100.0)</f>
        <v>58100</v>
      </c>
      <c r="E2910" s="1">
        <f>IFERROR(__xludf.DUMMYFUNCTION("""COMPUTED_VALUE"""),59200.0)</f>
        <v>59200</v>
      </c>
      <c r="F2910" s="1">
        <f>IFERROR(__xludf.DUMMYFUNCTION("""COMPUTED_VALUE"""),1.7492162E7)</f>
        <v>17492162</v>
      </c>
    </row>
    <row r="2911">
      <c r="A2911" s="2">
        <f>IFERROR(__xludf.DUMMYFUNCTION("""COMPUTED_VALUE"""),44869.64583333333)</f>
        <v>44869.64583</v>
      </c>
      <c r="B2911" s="1">
        <f>IFERROR(__xludf.DUMMYFUNCTION("""COMPUTED_VALUE"""),59100.0)</f>
        <v>59100</v>
      </c>
      <c r="C2911" s="1">
        <f>IFERROR(__xludf.DUMMYFUNCTION("""COMPUTED_VALUE"""),59500.0)</f>
        <v>59500</v>
      </c>
      <c r="D2911" s="1">
        <f>IFERROR(__xludf.DUMMYFUNCTION("""COMPUTED_VALUE"""),58400.0)</f>
        <v>58400</v>
      </c>
      <c r="E2911" s="1">
        <f>IFERROR(__xludf.DUMMYFUNCTION("""COMPUTED_VALUE"""),59400.0)</f>
        <v>59400</v>
      </c>
      <c r="F2911" s="1">
        <f>IFERROR(__xludf.DUMMYFUNCTION("""COMPUTED_VALUE"""),1.2445841E7)</f>
        <v>12445841</v>
      </c>
    </row>
    <row r="2912">
      <c r="A2912" s="2">
        <f>IFERROR(__xludf.DUMMYFUNCTION("""COMPUTED_VALUE"""),44872.64583333333)</f>
        <v>44872.64583</v>
      </c>
      <c r="B2912" s="1">
        <f>IFERROR(__xludf.DUMMYFUNCTION("""COMPUTED_VALUE"""),59700.0)</f>
        <v>59700</v>
      </c>
      <c r="C2912" s="1">
        <f>IFERROR(__xludf.DUMMYFUNCTION("""COMPUTED_VALUE"""),60300.0)</f>
        <v>60300</v>
      </c>
      <c r="D2912" s="1">
        <f>IFERROR(__xludf.DUMMYFUNCTION("""COMPUTED_VALUE"""),59400.0)</f>
        <v>59400</v>
      </c>
      <c r="E2912" s="1">
        <f>IFERROR(__xludf.DUMMYFUNCTION("""COMPUTED_VALUE"""),60200.0)</f>
        <v>60200</v>
      </c>
      <c r="F2912" s="1">
        <f>IFERROR(__xludf.DUMMYFUNCTION("""COMPUTED_VALUE"""),1.2437246E7)</f>
        <v>12437246</v>
      </c>
    </row>
    <row r="2913">
      <c r="A2913" s="2">
        <f>IFERROR(__xludf.DUMMYFUNCTION("""COMPUTED_VALUE"""),44873.64583333333)</f>
        <v>44873.64583</v>
      </c>
      <c r="B2913" s="1">
        <f>IFERROR(__xludf.DUMMYFUNCTION("""COMPUTED_VALUE"""),60500.0)</f>
        <v>60500</v>
      </c>
      <c r="C2913" s="1">
        <f>IFERROR(__xludf.DUMMYFUNCTION("""COMPUTED_VALUE"""),61900.0)</f>
        <v>61900</v>
      </c>
      <c r="D2913" s="1">
        <f>IFERROR(__xludf.DUMMYFUNCTION("""COMPUTED_VALUE"""),60500.0)</f>
        <v>60500</v>
      </c>
      <c r="E2913" s="1">
        <f>IFERROR(__xludf.DUMMYFUNCTION("""COMPUTED_VALUE"""),61800.0)</f>
        <v>61800</v>
      </c>
      <c r="F2913" s="1">
        <f>IFERROR(__xludf.DUMMYFUNCTION("""COMPUTED_VALUE"""),1.8273898E7)</f>
        <v>18273898</v>
      </c>
    </row>
    <row r="2914">
      <c r="A2914" s="2">
        <f>IFERROR(__xludf.DUMMYFUNCTION("""COMPUTED_VALUE"""),44874.64583333333)</f>
        <v>44874.64583</v>
      </c>
      <c r="B2914" s="1">
        <f>IFERROR(__xludf.DUMMYFUNCTION("""COMPUTED_VALUE"""),62000.0)</f>
        <v>62000</v>
      </c>
      <c r="C2914" s="1">
        <f>IFERROR(__xludf.DUMMYFUNCTION("""COMPUTED_VALUE"""),62200.0)</f>
        <v>62200</v>
      </c>
      <c r="D2914" s="1">
        <f>IFERROR(__xludf.DUMMYFUNCTION("""COMPUTED_VALUE"""),61300.0)</f>
        <v>61300</v>
      </c>
      <c r="E2914" s="1">
        <f>IFERROR(__xludf.DUMMYFUNCTION("""COMPUTED_VALUE"""),62000.0)</f>
        <v>62000</v>
      </c>
      <c r="F2914" s="1">
        <f>IFERROR(__xludf.DUMMYFUNCTION("""COMPUTED_VALUE"""),1.4045592E7)</f>
        <v>14045592</v>
      </c>
    </row>
    <row r="2915">
      <c r="A2915" s="2">
        <f>IFERROR(__xludf.DUMMYFUNCTION("""COMPUTED_VALUE"""),44875.64583333333)</f>
        <v>44875.64583</v>
      </c>
      <c r="B2915" s="1">
        <f>IFERROR(__xludf.DUMMYFUNCTION("""COMPUTED_VALUE"""),61400.0)</f>
        <v>61400</v>
      </c>
      <c r="C2915" s="1">
        <f>IFERROR(__xludf.DUMMYFUNCTION("""COMPUTED_VALUE"""),61500.0)</f>
        <v>61500</v>
      </c>
      <c r="D2915" s="1">
        <f>IFERROR(__xludf.DUMMYFUNCTION("""COMPUTED_VALUE"""),60400.0)</f>
        <v>60400</v>
      </c>
      <c r="E2915" s="1">
        <f>IFERROR(__xludf.DUMMYFUNCTION("""COMPUTED_VALUE"""),60400.0)</f>
        <v>60400</v>
      </c>
      <c r="F2915" s="1">
        <f>IFERROR(__xludf.DUMMYFUNCTION("""COMPUTED_VALUE"""),2.1087633E7)</f>
        <v>21087633</v>
      </c>
    </row>
    <row r="2916">
      <c r="A2916" s="2">
        <f>IFERROR(__xludf.DUMMYFUNCTION("""COMPUTED_VALUE"""),44876.64583333333)</f>
        <v>44876.64583</v>
      </c>
      <c r="B2916" s="1">
        <f>IFERROR(__xludf.DUMMYFUNCTION("""COMPUTED_VALUE"""),63100.0)</f>
        <v>63100</v>
      </c>
      <c r="C2916" s="1">
        <f>IFERROR(__xludf.DUMMYFUNCTION("""COMPUTED_VALUE"""),63200.0)</f>
        <v>63200</v>
      </c>
      <c r="D2916" s="1">
        <f>IFERROR(__xludf.DUMMYFUNCTION("""COMPUTED_VALUE"""),62300.0)</f>
        <v>62300</v>
      </c>
      <c r="E2916" s="1">
        <f>IFERROR(__xludf.DUMMYFUNCTION("""COMPUTED_VALUE"""),62900.0)</f>
        <v>62900</v>
      </c>
      <c r="F2916" s="1">
        <f>IFERROR(__xludf.DUMMYFUNCTION("""COMPUTED_VALUE"""),2.0037163E7)</f>
        <v>20037163</v>
      </c>
    </row>
    <row r="2917">
      <c r="A2917" s="2">
        <f>IFERROR(__xludf.DUMMYFUNCTION("""COMPUTED_VALUE"""),44879.64583333333)</f>
        <v>44879.64583</v>
      </c>
      <c r="B2917" s="1">
        <f>IFERROR(__xludf.DUMMYFUNCTION("""COMPUTED_VALUE"""),62900.0)</f>
        <v>62900</v>
      </c>
      <c r="C2917" s="1">
        <f>IFERROR(__xludf.DUMMYFUNCTION("""COMPUTED_VALUE"""),62900.0)</f>
        <v>62900</v>
      </c>
      <c r="D2917" s="1">
        <f>IFERROR(__xludf.DUMMYFUNCTION("""COMPUTED_VALUE"""),61700.0)</f>
        <v>61700</v>
      </c>
      <c r="E2917" s="1">
        <f>IFERROR(__xludf.DUMMYFUNCTION("""COMPUTED_VALUE"""),61900.0)</f>
        <v>61900</v>
      </c>
      <c r="F2917" s="1">
        <f>IFERROR(__xludf.DUMMYFUNCTION("""COMPUTED_VALUE"""),1.5973416E7)</f>
        <v>15973416</v>
      </c>
    </row>
    <row r="2918">
      <c r="A2918" s="2">
        <f>IFERROR(__xludf.DUMMYFUNCTION("""COMPUTED_VALUE"""),44880.64583333333)</f>
        <v>44880.64583</v>
      </c>
      <c r="B2918" s="1">
        <f>IFERROR(__xludf.DUMMYFUNCTION("""COMPUTED_VALUE"""),62200.0)</f>
        <v>62200</v>
      </c>
      <c r="C2918" s="1">
        <f>IFERROR(__xludf.DUMMYFUNCTION("""COMPUTED_VALUE"""),62500.0)</f>
        <v>62500</v>
      </c>
      <c r="D2918" s="1">
        <f>IFERROR(__xludf.DUMMYFUNCTION("""COMPUTED_VALUE"""),61600.0)</f>
        <v>61600</v>
      </c>
      <c r="E2918" s="1">
        <f>IFERROR(__xludf.DUMMYFUNCTION("""COMPUTED_VALUE"""),62400.0)</f>
        <v>62400</v>
      </c>
      <c r="F2918" s="1">
        <f>IFERROR(__xludf.DUMMYFUNCTION("""COMPUTED_VALUE"""),1.2310986E7)</f>
        <v>12310986</v>
      </c>
    </row>
    <row r="2919">
      <c r="A2919" s="2">
        <f>IFERROR(__xludf.DUMMYFUNCTION("""COMPUTED_VALUE"""),44881.64583333333)</f>
        <v>44881.64583</v>
      </c>
      <c r="B2919" s="1">
        <f>IFERROR(__xludf.DUMMYFUNCTION("""COMPUTED_VALUE"""),62400.0)</f>
        <v>62400</v>
      </c>
      <c r="C2919" s="1">
        <f>IFERROR(__xludf.DUMMYFUNCTION("""COMPUTED_VALUE"""),62700.0)</f>
        <v>62700</v>
      </c>
      <c r="D2919" s="1">
        <f>IFERROR(__xludf.DUMMYFUNCTION("""COMPUTED_VALUE"""),61700.0)</f>
        <v>61700</v>
      </c>
      <c r="E2919" s="1">
        <f>IFERROR(__xludf.DUMMYFUNCTION("""COMPUTED_VALUE"""),62700.0)</f>
        <v>62700</v>
      </c>
      <c r="F2919" s="1">
        <f>IFERROR(__xludf.DUMMYFUNCTION("""COMPUTED_VALUE"""),1.290926E7)</f>
        <v>12909260</v>
      </c>
    </row>
    <row r="2920">
      <c r="A2920" s="2">
        <f>IFERROR(__xludf.DUMMYFUNCTION("""COMPUTED_VALUE"""),44882.64583333333)</f>
        <v>44882.64583</v>
      </c>
      <c r="B2920" s="1">
        <f>IFERROR(__xludf.DUMMYFUNCTION("""COMPUTED_VALUE"""),62000.0)</f>
        <v>62000</v>
      </c>
      <c r="C2920" s="1">
        <f>IFERROR(__xludf.DUMMYFUNCTION("""COMPUTED_VALUE"""),62000.0)</f>
        <v>62000</v>
      </c>
      <c r="D2920" s="1">
        <f>IFERROR(__xludf.DUMMYFUNCTION("""COMPUTED_VALUE"""),61300.0)</f>
        <v>61300</v>
      </c>
      <c r="E2920" s="1">
        <f>IFERROR(__xludf.DUMMYFUNCTION("""COMPUTED_VALUE"""),61400.0)</f>
        <v>61400</v>
      </c>
      <c r="F2920" s="1">
        <f>IFERROR(__xludf.DUMMYFUNCTION("""COMPUTED_VALUE"""),1.3298296E7)</f>
        <v>13298296</v>
      </c>
    </row>
    <row r="2921">
      <c r="A2921" s="2">
        <f>IFERROR(__xludf.DUMMYFUNCTION("""COMPUTED_VALUE"""),44883.64583333333)</f>
        <v>44883.64583</v>
      </c>
      <c r="B2921" s="1">
        <f>IFERROR(__xludf.DUMMYFUNCTION("""COMPUTED_VALUE"""),61800.0)</f>
        <v>61800</v>
      </c>
      <c r="C2921" s="1">
        <f>IFERROR(__xludf.DUMMYFUNCTION("""COMPUTED_VALUE"""),62400.0)</f>
        <v>62400</v>
      </c>
      <c r="D2921" s="1">
        <f>IFERROR(__xludf.DUMMYFUNCTION("""COMPUTED_VALUE"""),61400.0)</f>
        <v>61400</v>
      </c>
      <c r="E2921" s="1">
        <f>IFERROR(__xludf.DUMMYFUNCTION("""COMPUTED_VALUE"""),61800.0)</f>
        <v>61800</v>
      </c>
      <c r="F2921" s="1">
        <f>IFERROR(__xludf.DUMMYFUNCTION("""COMPUTED_VALUE"""),1.2236503E7)</f>
        <v>12236503</v>
      </c>
    </row>
    <row r="2922">
      <c r="A2922" s="2">
        <f>IFERROR(__xludf.DUMMYFUNCTION("""COMPUTED_VALUE"""),44886.64583333333)</f>
        <v>44886.64583</v>
      </c>
      <c r="B2922" s="1">
        <f>IFERROR(__xludf.DUMMYFUNCTION("""COMPUTED_VALUE"""),61400.0)</f>
        <v>61400</v>
      </c>
      <c r="C2922" s="1">
        <f>IFERROR(__xludf.DUMMYFUNCTION("""COMPUTED_VALUE"""),61800.0)</f>
        <v>61800</v>
      </c>
      <c r="D2922" s="1">
        <f>IFERROR(__xludf.DUMMYFUNCTION("""COMPUTED_VALUE"""),60800.0)</f>
        <v>60800</v>
      </c>
      <c r="E2922" s="1">
        <f>IFERROR(__xludf.DUMMYFUNCTION("""COMPUTED_VALUE"""),61400.0)</f>
        <v>61400</v>
      </c>
      <c r="F2922" s="1">
        <f>IFERROR(__xludf.DUMMYFUNCTION("""COMPUTED_VALUE"""),9378097.0)</f>
        <v>9378097</v>
      </c>
    </row>
    <row r="2923">
      <c r="A2923" s="2">
        <f>IFERROR(__xludf.DUMMYFUNCTION("""COMPUTED_VALUE"""),44887.64583333333)</f>
        <v>44887.64583</v>
      </c>
      <c r="B2923" s="1">
        <f>IFERROR(__xludf.DUMMYFUNCTION("""COMPUTED_VALUE"""),60900.0)</f>
        <v>60900</v>
      </c>
      <c r="C2923" s="1">
        <f>IFERROR(__xludf.DUMMYFUNCTION("""COMPUTED_VALUE"""),61200.0)</f>
        <v>61200</v>
      </c>
      <c r="D2923" s="1">
        <f>IFERROR(__xludf.DUMMYFUNCTION("""COMPUTED_VALUE"""),60300.0)</f>
        <v>60300</v>
      </c>
      <c r="E2923" s="1">
        <f>IFERROR(__xludf.DUMMYFUNCTION("""COMPUTED_VALUE"""),60600.0)</f>
        <v>60600</v>
      </c>
      <c r="F2923" s="1">
        <f>IFERROR(__xludf.DUMMYFUNCTION("""COMPUTED_VALUE"""),9411289.0)</f>
        <v>9411289</v>
      </c>
    </row>
    <row r="2924">
      <c r="A2924" s="2">
        <f>IFERROR(__xludf.DUMMYFUNCTION("""COMPUTED_VALUE"""),44888.64583333333)</f>
        <v>44888.64583</v>
      </c>
      <c r="B2924" s="1">
        <f>IFERROR(__xludf.DUMMYFUNCTION("""COMPUTED_VALUE"""),61200.0)</f>
        <v>61200</v>
      </c>
      <c r="C2924" s="1">
        <f>IFERROR(__xludf.DUMMYFUNCTION("""COMPUTED_VALUE"""),61300.0)</f>
        <v>61300</v>
      </c>
      <c r="D2924" s="1">
        <f>IFERROR(__xludf.DUMMYFUNCTION("""COMPUTED_VALUE"""),60700.0)</f>
        <v>60700</v>
      </c>
      <c r="E2924" s="1">
        <f>IFERROR(__xludf.DUMMYFUNCTION("""COMPUTED_VALUE"""),61000.0)</f>
        <v>61000</v>
      </c>
      <c r="F2924" s="1">
        <f>IFERROR(__xludf.DUMMYFUNCTION("""COMPUTED_VALUE"""),8765050.0)</f>
        <v>8765050</v>
      </c>
    </row>
    <row r="2925">
      <c r="A2925" s="2">
        <f>IFERROR(__xludf.DUMMYFUNCTION("""COMPUTED_VALUE"""),44889.64583333333)</f>
        <v>44889.64583</v>
      </c>
      <c r="B2925" s="1">
        <f>IFERROR(__xludf.DUMMYFUNCTION("""COMPUTED_VALUE"""),61200.0)</f>
        <v>61200</v>
      </c>
      <c r="C2925" s="1">
        <f>IFERROR(__xludf.DUMMYFUNCTION("""COMPUTED_VALUE"""),61700.0)</f>
        <v>61700</v>
      </c>
      <c r="D2925" s="1">
        <f>IFERROR(__xludf.DUMMYFUNCTION("""COMPUTED_VALUE"""),60900.0)</f>
        <v>60900</v>
      </c>
      <c r="E2925" s="1">
        <f>IFERROR(__xludf.DUMMYFUNCTION("""COMPUTED_VALUE"""),61400.0)</f>
        <v>61400</v>
      </c>
      <c r="F2925" s="1">
        <f>IFERROR(__xludf.DUMMYFUNCTION("""COMPUTED_VALUE"""),8125010.0)</f>
        <v>8125010</v>
      </c>
    </row>
    <row r="2926">
      <c r="A2926" s="2">
        <f>IFERROR(__xludf.DUMMYFUNCTION("""COMPUTED_VALUE"""),44890.64583333333)</f>
        <v>44890.64583</v>
      </c>
      <c r="B2926" s="1">
        <f>IFERROR(__xludf.DUMMYFUNCTION("""COMPUTED_VALUE"""),61400.0)</f>
        <v>61400</v>
      </c>
      <c r="C2926" s="1">
        <f>IFERROR(__xludf.DUMMYFUNCTION("""COMPUTED_VALUE"""),61700.0)</f>
        <v>61700</v>
      </c>
      <c r="D2926" s="1">
        <f>IFERROR(__xludf.DUMMYFUNCTION("""COMPUTED_VALUE"""),60800.0)</f>
        <v>60800</v>
      </c>
      <c r="E2926" s="1">
        <f>IFERROR(__xludf.DUMMYFUNCTION("""COMPUTED_VALUE"""),61000.0)</f>
        <v>61000</v>
      </c>
      <c r="F2926" s="1">
        <f>IFERROR(__xludf.DUMMYFUNCTION("""COMPUTED_VALUE"""),6677933.0)</f>
        <v>6677933</v>
      </c>
    </row>
    <row r="2927">
      <c r="A2927" s="2">
        <f>IFERROR(__xludf.DUMMYFUNCTION("""COMPUTED_VALUE"""),44893.64583333333)</f>
        <v>44893.64583</v>
      </c>
      <c r="B2927" s="1">
        <f>IFERROR(__xludf.DUMMYFUNCTION("""COMPUTED_VALUE"""),60500.0)</f>
        <v>60500</v>
      </c>
      <c r="C2927" s="1">
        <f>IFERROR(__xludf.DUMMYFUNCTION("""COMPUTED_VALUE"""),60500.0)</f>
        <v>60500</v>
      </c>
      <c r="D2927" s="1">
        <f>IFERROR(__xludf.DUMMYFUNCTION("""COMPUTED_VALUE"""),59800.0)</f>
        <v>59800</v>
      </c>
      <c r="E2927" s="1">
        <f>IFERROR(__xludf.DUMMYFUNCTION("""COMPUTED_VALUE"""),60100.0)</f>
        <v>60100</v>
      </c>
      <c r="F2927" s="1">
        <f>IFERROR(__xludf.DUMMYFUNCTION("""COMPUTED_VALUE"""),8589032.0)</f>
        <v>8589032</v>
      </c>
    </row>
    <row r="2928">
      <c r="A2928" s="2">
        <f>IFERROR(__xludf.DUMMYFUNCTION("""COMPUTED_VALUE"""),44894.64583333333)</f>
        <v>44894.64583</v>
      </c>
      <c r="B2928" s="1">
        <f>IFERROR(__xludf.DUMMYFUNCTION("""COMPUTED_VALUE"""),59900.0)</f>
        <v>59900</v>
      </c>
      <c r="C2928" s="1">
        <f>IFERROR(__xludf.DUMMYFUNCTION("""COMPUTED_VALUE"""),60600.0)</f>
        <v>60600</v>
      </c>
      <c r="D2928" s="1">
        <f>IFERROR(__xludf.DUMMYFUNCTION("""COMPUTED_VALUE"""),59800.0)</f>
        <v>59800</v>
      </c>
      <c r="E2928" s="1">
        <f>IFERROR(__xludf.DUMMYFUNCTION("""COMPUTED_VALUE"""),60600.0)</f>
        <v>60600</v>
      </c>
      <c r="F2928" s="1">
        <f>IFERROR(__xludf.DUMMYFUNCTION("""COMPUTED_VALUE"""),7014160.0)</f>
        <v>7014160</v>
      </c>
    </row>
    <row r="2929">
      <c r="A2929" s="2">
        <f>IFERROR(__xludf.DUMMYFUNCTION("""COMPUTED_VALUE"""),44895.64583333333)</f>
        <v>44895.64583</v>
      </c>
      <c r="B2929" s="1">
        <f>IFERROR(__xludf.DUMMYFUNCTION("""COMPUTED_VALUE"""),60400.0)</f>
        <v>60400</v>
      </c>
      <c r="C2929" s="1">
        <f>IFERROR(__xludf.DUMMYFUNCTION("""COMPUTED_VALUE"""),62200.0)</f>
        <v>62200</v>
      </c>
      <c r="D2929" s="1">
        <f>IFERROR(__xludf.DUMMYFUNCTION("""COMPUTED_VALUE"""),60200.0)</f>
        <v>60200</v>
      </c>
      <c r="E2929" s="1">
        <f>IFERROR(__xludf.DUMMYFUNCTION("""COMPUTED_VALUE"""),62200.0)</f>
        <v>62200</v>
      </c>
      <c r="F2929" s="1">
        <f>IFERROR(__xludf.DUMMYFUNCTION("""COMPUTED_VALUE"""),1.9768903E7)</f>
        <v>19768903</v>
      </c>
    </row>
    <row r="2930">
      <c r="A2930" s="2">
        <f>IFERROR(__xludf.DUMMYFUNCTION("""COMPUTED_VALUE"""),44896.64583333333)</f>
        <v>44896.64583</v>
      </c>
      <c r="B2930" s="1">
        <f>IFERROR(__xludf.DUMMYFUNCTION("""COMPUTED_VALUE"""),63100.0)</f>
        <v>63100</v>
      </c>
      <c r="C2930" s="1">
        <f>IFERROR(__xludf.DUMMYFUNCTION("""COMPUTED_VALUE"""),63200.0)</f>
        <v>63200</v>
      </c>
      <c r="D2930" s="1">
        <f>IFERROR(__xludf.DUMMYFUNCTION("""COMPUTED_VALUE"""),62300.0)</f>
        <v>62300</v>
      </c>
      <c r="E2930" s="1">
        <f>IFERROR(__xludf.DUMMYFUNCTION("""COMPUTED_VALUE"""),62600.0)</f>
        <v>62600</v>
      </c>
      <c r="F2930" s="1">
        <f>IFERROR(__xludf.DUMMYFUNCTION("""COMPUTED_VALUE"""),1.6631445E7)</f>
        <v>16631445</v>
      </c>
    </row>
    <row r="2931">
      <c r="A2931" s="2">
        <f>IFERROR(__xludf.DUMMYFUNCTION("""COMPUTED_VALUE"""),44897.64583333333)</f>
        <v>44897.64583</v>
      </c>
      <c r="B2931" s="1">
        <f>IFERROR(__xludf.DUMMYFUNCTION("""COMPUTED_VALUE"""),62500.0)</f>
        <v>62500</v>
      </c>
      <c r="C2931" s="1">
        <f>IFERROR(__xludf.DUMMYFUNCTION("""COMPUTED_VALUE"""),62500.0)</f>
        <v>62500</v>
      </c>
      <c r="D2931" s="1">
        <f>IFERROR(__xludf.DUMMYFUNCTION("""COMPUTED_VALUE"""),60400.0)</f>
        <v>60400</v>
      </c>
      <c r="E2931" s="1">
        <f>IFERROR(__xludf.DUMMYFUNCTION("""COMPUTED_VALUE"""),60400.0)</f>
        <v>60400</v>
      </c>
      <c r="F2931" s="1">
        <f>IFERROR(__xludf.DUMMYFUNCTION("""COMPUTED_VALUE"""),1.5331184E7)</f>
        <v>15331184</v>
      </c>
    </row>
    <row r="2932">
      <c r="A2932" s="2">
        <f>IFERROR(__xludf.DUMMYFUNCTION("""COMPUTED_VALUE"""),44900.64583333333)</f>
        <v>44900.64583</v>
      </c>
      <c r="B2932" s="1">
        <f>IFERROR(__xludf.DUMMYFUNCTION("""COMPUTED_VALUE"""),60900.0)</f>
        <v>60900</v>
      </c>
      <c r="C2932" s="1">
        <f>IFERROR(__xludf.DUMMYFUNCTION("""COMPUTED_VALUE"""),61100.0)</f>
        <v>61100</v>
      </c>
      <c r="D2932" s="1">
        <f>IFERROR(__xludf.DUMMYFUNCTION("""COMPUTED_VALUE"""),60000.0)</f>
        <v>60000</v>
      </c>
      <c r="E2932" s="1">
        <f>IFERROR(__xludf.DUMMYFUNCTION("""COMPUTED_VALUE"""),60300.0)</f>
        <v>60300</v>
      </c>
      <c r="F2932" s="1">
        <f>IFERROR(__xludf.DUMMYFUNCTION("""COMPUTED_VALUE"""),1.3767787E7)</f>
        <v>13767787</v>
      </c>
    </row>
    <row r="2933">
      <c r="A2933" s="2">
        <f>IFERROR(__xludf.DUMMYFUNCTION("""COMPUTED_VALUE"""),44901.64583333333)</f>
        <v>44901.64583</v>
      </c>
      <c r="B2933" s="1">
        <f>IFERROR(__xludf.DUMMYFUNCTION("""COMPUTED_VALUE"""),59800.0)</f>
        <v>59800</v>
      </c>
      <c r="C2933" s="1">
        <f>IFERROR(__xludf.DUMMYFUNCTION("""COMPUTED_VALUE"""),60100.0)</f>
        <v>60100</v>
      </c>
      <c r="D2933" s="1">
        <f>IFERROR(__xludf.DUMMYFUNCTION("""COMPUTED_VALUE"""),59200.0)</f>
        <v>59200</v>
      </c>
      <c r="E2933" s="1">
        <f>IFERROR(__xludf.DUMMYFUNCTION("""COMPUTED_VALUE"""),59200.0)</f>
        <v>59200</v>
      </c>
      <c r="F2933" s="1">
        <f>IFERROR(__xludf.DUMMYFUNCTION("""COMPUTED_VALUE"""),1.38883E7)</f>
        <v>13888300</v>
      </c>
    </row>
    <row r="2934">
      <c r="A2934" s="2">
        <f>IFERROR(__xludf.DUMMYFUNCTION("""COMPUTED_VALUE"""),44902.64583333333)</f>
        <v>44902.64583</v>
      </c>
      <c r="B2934" s="1">
        <f>IFERROR(__xludf.DUMMYFUNCTION("""COMPUTED_VALUE"""),58800.0)</f>
        <v>58800</v>
      </c>
      <c r="C2934" s="1">
        <f>IFERROR(__xludf.DUMMYFUNCTION("""COMPUTED_VALUE"""),59600.0)</f>
        <v>59600</v>
      </c>
      <c r="D2934" s="1">
        <f>IFERROR(__xludf.DUMMYFUNCTION("""COMPUTED_VALUE"""),58500.0)</f>
        <v>58500</v>
      </c>
      <c r="E2934" s="1">
        <f>IFERROR(__xludf.DUMMYFUNCTION("""COMPUTED_VALUE"""),58900.0)</f>
        <v>58900</v>
      </c>
      <c r="F2934" s="1">
        <f>IFERROR(__xludf.DUMMYFUNCTION("""COMPUTED_VALUE"""),1.2100662E7)</f>
        <v>12100662</v>
      </c>
    </row>
    <row r="2935">
      <c r="A2935" s="2">
        <f>IFERROR(__xludf.DUMMYFUNCTION("""COMPUTED_VALUE"""),44903.64583333333)</f>
        <v>44903.64583</v>
      </c>
      <c r="B2935" s="1">
        <f>IFERROR(__xludf.DUMMYFUNCTION("""COMPUTED_VALUE"""),58700.0)</f>
        <v>58700</v>
      </c>
      <c r="C2935" s="1">
        <f>IFERROR(__xludf.DUMMYFUNCTION("""COMPUTED_VALUE"""),59200.0)</f>
        <v>59200</v>
      </c>
      <c r="D2935" s="1">
        <f>IFERROR(__xludf.DUMMYFUNCTION("""COMPUTED_VALUE"""),58600.0)</f>
        <v>58600</v>
      </c>
      <c r="E2935" s="1">
        <f>IFERROR(__xludf.DUMMYFUNCTION("""COMPUTED_VALUE"""),59200.0)</f>
        <v>59200</v>
      </c>
      <c r="F2935" s="1">
        <f>IFERROR(__xludf.DUMMYFUNCTION("""COMPUTED_VALUE"""),1.2986815E7)</f>
        <v>12986815</v>
      </c>
    </row>
    <row r="2936">
      <c r="A2936" s="2">
        <f>IFERROR(__xludf.DUMMYFUNCTION("""COMPUTED_VALUE"""),44904.64583333333)</f>
        <v>44904.64583</v>
      </c>
      <c r="B2936" s="1">
        <f>IFERROR(__xludf.DUMMYFUNCTION("""COMPUTED_VALUE"""),59300.0)</f>
        <v>59300</v>
      </c>
      <c r="C2936" s="1">
        <f>IFERROR(__xludf.DUMMYFUNCTION("""COMPUTED_VALUE"""),60600.0)</f>
        <v>60600</v>
      </c>
      <c r="D2936" s="1">
        <f>IFERROR(__xludf.DUMMYFUNCTION("""COMPUTED_VALUE"""),59300.0)</f>
        <v>59300</v>
      </c>
      <c r="E2936" s="1">
        <f>IFERROR(__xludf.DUMMYFUNCTION("""COMPUTED_VALUE"""),60400.0)</f>
        <v>60400</v>
      </c>
      <c r="F2936" s="1">
        <f>IFERROR(__xludf.DUMMYFUNCTION("""COMPUTED_VALUE"""),1.0529632E7)</f>
        <v>10529632</v>
      </c>
    </row>
    <row r="2937">
      <c r="A2937" s="2">
        <f>IFERROR(__xludf.DUMMYFUNCTION("""COMPUTED_VALUE"""),44907.64583333333)</f>
        <v>44907.64583</v>
      </c>
      <c r="B2937" s="1">
        <f>IFERROR(__xludf.DUMMYFUNCTION("""COMPUTED_VALUE"""),59900.0)</f>
        <v>59900</v>
      </c>
      <c r="C2937" s="1">
        <f>IFERROR(__xludf.DUMMYFUNCTION("""COMPUTED_VALUE"""),60000.0)</f>
        <v>60000</v>
      </c>
      <c r="D2937" s="1">
        <f>IFERROR(__xludf.DUMMYFUNCTION("""COMPUTED_VALUE"""),59400.0)</f>
        <v>59400</v>
      </c>
      <c r="E2937" s="1">
        <f>IFERROR(__xludf.DUMMYFUNCTION("""COMPUTED_VALUE"""),59500.0)</f>
        <v>59500</v>
      </c>
      <c r="F2937" s="1">
        <f>IFERROR(__xludf.DUMMYFUNCTION("""COMPUTED_VALUE"""),9036472.0)</f>
        <v>9036472</v>
      </c>
    </row>
    <row r="2938">
      <c r="A2938" s="2">
        <f>IFERROR(__xludf.DUMMYFUNCTION("""COMPUTED_VALUE"""),44908.64583333333)</f>
        <v>44908.64583</v>
      </c>
      <c r="B2938" s="1">
        <f>IFERROR(__xludf.DUMMYFUNCTION("""COMPUTED_VALUE"""),59600.0)</f>
        <v>59600</v>
      </c>
      <c r="C2938" s="1">
        <f>IFERROR(__xludf.DUMMYFUNCTION("""COMPUTED_VALUE"""),60300.0)</f>
        <v>60300</v>
      </c>
      <c r="D2938" s="1">
        <f>IFERROR(__xludf.DUMMYFUNCTION("""COMPUTED_VALUE"""),59400.0)</f>
        <v>59400</v>
      </c>
      <c r="E2938" s="1">
        <f>IFERROR(__xludf.DUMMYFUNCTION("""COMPUTED_VALUE"""),59700.0)</f>
        <v>59700</v>
      </c>
      <c r="F2938" s="1">
        <f>IFERROR(__xludf.DUMMYFUNCTION("""COMPUTED_VALUE"""),9040873.0)</f>
        <v>9040873</v>
      </c>
    </row>
    <row r="2939">
      <c r="A2939" s="2">
        <f>IFERROR(__xludf.DUMMYFUNCTION("""COMPUTED_VALUE"""),44909.64583333333)</f>
        <v>44909.64583</v>
      </c>
      <c r="B2939" s="1">
        <f>IFERROR(__xludf.DUMMYFUNCTION("""COMPUTED_VALUE"""),59800.0)</f>
        <v>59800</v>
      </c>
      <c r="C2939" s="1">
        <f>IFERROR(__xludf.DUMMYFUNCTION("""COMPUTED_VALUE"""),60600.0)</f>
        <v>60600</v>
      </c>
      <c r="D2939" s="1">
        <f>IFERROR(__xludf.DUMMYFUNCTION("""COMPUTED_VALUE"""),59800.0)</f>
        <v>59800</v>
      </c>
      <c r="E2939" s="1">
        <f>IFERROR(__xludf.DUMMYFUNCTION("""COMPUTED_VALUE"""),60500.0)</f>
        <v>60500</v>
      </c>
      <c r="F2939" s="1">
        <f>IFERROR(__xludf.DUMMYFUNCTION("""COMPUTED_VALUE"""),8207485.0)</f>
        <v>8207485</v>
      </c>
    </row>
    <row r="2940">
      <c r="A2940" s="2">
        <f>IFERROR(__xludf.DUMMYFUNCTION("""COMPUTED_VALUE"""),44910.64583333333)</f>
        <v>44910.64583</v>
      </c>
      <c r="B2940" s="1">
        <f>IFERROR(__xludf.DUMMYFUNCTION("""COMPUTED_VALUE"""),59800.0)</f>
        <v>59800</v>
      </c>
      <c r="C2940" s="1">
        <f>IFERROR(__xludf.DUMMYFUNCTION("""COMPUTED_VALUE"""),60200.0)</f>
        <v>60200</v>
      </c>
      <c r="D2940" s="1">
        <f>IFERROR(__xludf.DUMMYFUNCTION("""COMPUTED_VALUE"""),59300.0)</f>
        <v>59300</v>
      </c>
      <c r="E2940" s="1">
        <f>IFERROR(__xludf.DUMMYFUNCTION("""COMPUTED_VALUE"""),59300.0)</f>
        <v>59300</v>
      </c>
      <c r="F2940" s="1">
        <f>IFERROR(__xludf.DUMMYFUNCTION("""COMPUTED_VALUE"""),8716039.0)</f>
        <v>8716039</v>
      </c>
    </row>
    <row r="2941">
      <c r="A2941" s="2">
        <f>IFERROR(__xludf.DUMMYFUNCTION("""COMPUTED_VALUE"""),44911.64583333333)</f>
        <v>44911.64583</v>
      </c>
      <c r="B2941" s="1">
        <f>IFERROR(__xludf.DUMMYFUNCTION("""COMPUTED_VALUE"""),58300.0)</f>
        <v>58300</v>
      </c>
      <c r="C2941" s="1">
        <f>IFERROR(__xludf.DUMMYFUNCTION("""COMPUTED_VALUE"""),59500.0)</f>
        <v>59500</v>
      </c>
      <c r="D2941" s="1">
        <f>IFERROR(__xludf.DUMMYFUNCTION("""COMPUTED_VALUE"""),58300.0)</f>
        <v>58300</v>
      </c>
      <c r="E2941" s="1">
        <f>IFERROR(__xludf.DUMMYFUNCTION("""COMPUTED_VALUE"""),59500.0)</f>
        <v>59500</v>
      </c>
      <c r="F2941" s="1">
        <f>IFERROR(__xludf.DUMMYFUNCTION("""COMPUTED_VALUE"""),1.3033596E7)</f>
        <v>13033596</v>
      </c>
    </row>
    <row r="2942">
      <c r="A2942" s="2">
        <f>IFERROR(__xludf.DUMMYFUNCTION("""COMPUTED_VALUE"""),44914.64583333333)</f>
        <v>44914.64583</v>
      </c>
      <c r="B2942" s="1">
        <f>IFERROR(__xludf.DUMMYFUNCTION("""COMPUTED_VALUE"""),59500.0)</f>
        <v>59500</v>
      </c>
      <c r="C2942" s="1">
        <f>IFERROR(__xludf.DUMMYFUNCTION("""COMPUTED_VALUE"""),59900.0)</f>
        <v>59900</v>
      </c>
      <c r="D2942" s="1">
        <f>IFERROR(__xludf.DUMMYFUNCTION("""COMPUTED_VALUE"""),59100.0)</f>
        <v>59100</v>
      </c>
      <c r="E2942" s="1">
        <f>IFERROR(__xludf.DUMMYFUNCTION("""COMPUTED_VALUE"""),59500.0)</f>
        <v>59500</v>
      </c>
      <c r="F2942" s="1">
        <f>IFERROR(__xludf.DUMMYFUNCTION("""COMPUTED_VALUE"""),7696187.0)</f>
        <v>7696187</v>
      </c>
    </row>
    <row r="2943">
      <c r="A2943" s="2">
        <f>IFERROR(__xludf.DUMMYFUNCTION("""COMPUTED_VALUE"""),44915.64583333333)</f>
        <v>44915.64583</v>
      </c>
      <c r="B2943" s="1">
        <f>IFERROR(__xludf.DUMMYFUNCTION("""COMPUTED_VALUE"""),59000.0)</f>
        <v>59000</v>
      </c>
      <c r="C2943" s="1">
        <f>IFERROR(__xludf.DUMMYFUNCTION("""COMPUTED_VALUE"""),59100.0)</f>
        <v>59100</v>
      </c>
      <c r="D2943" s="1">
        <f>IFERROR(__xludf.DUMMYFUNCTION("""COMPUTED_VALUE"""),58500.0)</f>
        <v>58500</v>
      </c>
      <c r="E2943" s="1">
        <f>IFERROR(__xludf.DUMMYFUNCTION("""COMPUTED_VALUE"""),58600.0)</f>
        <v>58600</v>
      </c>
      <c r="F2943" s="1">
        <f>IFERROR(__xludf.DUMMYFUNCTION("""COMPUTED_VALUE"""),9284761.0)</f>
        <v>9284761</v>
      </c>
    </row>
    <row r="2944">
      <c r="A2944" s="2">
        <f>IFERROR(__xludf.DUMMYFUNCTION("""COMPUTED_VALUE"""),44916.64583333333)</f>
        <v>44916.64583</v>
      </c>
      <c r="B2944" s="1">
        <f>IFERROR(__xludf.DUMMYFUNCTION("""COMPUTED_VALUE"""),58700.0)</f>
        <v>58700</v>
      </c>
      <c r="C2944" s="1">
        <f>IFERROR(__xludf.DUMMYFUNCTION("""COMPUTED_VALUE"""),59100.0)</f>
        <v>59100</v>
      </c>
      <c r="D2944" s="1">
        <f>IFERROR(__xludf.DUMMYFUNCTION("""COMPUTED_VALUE"""),58000.0)</f>
        <v>58000</v>
      </c>
      <c r="E2944" s="1">
        <f>IFERROR(__xludf.DUMMYFUNCTION("""COMPUTED_VALUE"""),58000.0)</f>
        <v>58000</v>
      </c>
      <c r="F2944" s="1">
        <f>IFERROR(__xludf.DUMMYFUNCTION("""COMPUTED_VALUE"""),1.0356971E7)</f>
        <v>10356971</v>
      </c>
    </row>
    <row r="2945">
      <c r="A2945" s="2">
        <f>IFERROR(__xludf.DUMMYFUNCTION("""COMPUTED_VALUE"""),44917.64583333333)</f>
        <v>44917.64583</v>
      </c>
      <c r="B2945" s="1">
        <f>IFERROR(__xludf.DUMMYFUNCTION("""COMPUTED_VALUE"""),58100.0)</f>
        <v>58100</v>
      </c>
      <c r="C2945" s="1">
        <f>IFERROR(__xludf.DUMMYFUNCTION("""COMPUTED_VALUE"""),59100.0)</f>
        <v>59100</v>
      </c>
      <c r="D2945" s="1">
        <f>IFERROR(__xludf.DUMMYFUNCTION("""COMPUTED_VALUE"""),58100.0)</f>
        <v>58100</v>
      </c>
      <c r="E2945" s="1">
        <f>IFERROR(__xludf.DUMMYFUNCTION("""COMPUTED_VALUE"""),59100.0)</f>
        <v>59100</v>
      </c>
      <c r="F2945" s="1">
        <f>IFERROR(__xludf.DUMMYFUNCTION("""COMPUTED_VALUE"""),1.072063E7)</f>
        <v>10720630</v>
      </c>
    </row>
    <row r="2946">
      <c r="A2946" s="2">
        <f>IFERROR(__xludf.DUMMYFUNCTION("""COMPUTED_VALUE"""),44918.64583333333)</f>
        <v>44918.64583</v>
      </c>
      <c r="B2946" s="1">
        <f>IFERROR(__xludf.DUMMYFUNCTION("""COMPUTED_VALUE"""),58200.0)</f>
        <v>58200</v>
      </c>
      <c r="C2946" s="1">
        <f>IFERROR(__xludf.DUMMYFUNCTION("""COMPUTED_VALUE"""),58400.0)</f>
        <v>58400</v>
      </c>
      <c r="D2946" s="1">
        <f>IFERROR(__xludf.DUMMYFUNCTION("""COMPUTED_VALUE"""),57700.0)</f>
        <v>57700</v>
      </c>
      <c r="E2946" s="1">
        <f>IFERROR(__xludf.DUMMYFUNCTION("""COMPUTED_VALUE"""),58100.0)</f>
        <v>58100</v>
      </c>
      <c r="F2946" s="1">
        <f>IFERROR(__xludf.DUMMYFUNCTION("""COMPUTED_VALUE"""),9829407.0)</f>
        <v>9829407</v>
      </c>
    </row>
    <row r="2947">
      <c r="A2947" s="2">
        <f>IFERROR(__xludf.DUMMYFUNCTION("""COMPUTED_VALUE"""),44921.64583333333)</f>
        <v>44921.64583</v>
      </c>
      <c r="B2947" s="1">
        <f>IFERROR(__xludf.DUMMYFUNCTION("""COMPUTED_VALUE"""),58000.0)</f>
        <v>58000</v>
      </c>
      <c r="C2947" s="1">
        <f>IFERROR(__xludf.DUMMYFUNCTION("""COMPUTED_VALUE"""),58100.0)</f>
        <v>58100</v>
      </c>
      <c r="D2947" s="1">
        <f>IFERROR(__xludf.DUMMYFUNCTION("""COMPUTED_VALUE"""),57700.0)</f>
        <v>57700</v>
      </c>
      <c r="E2947" s="1">
        <f>IFERROR(__xludf.DUMMYFUNCTION("""COMPUTED_VALUE"""),57900.0)</f>
        <v>57900</v>
      </c>
      <c r="F2947" s="1">
        <f>IFERROR(__xludf.DUMMYFUNCTION("""COMPUTED_VALUE"""),6756411.0)</f>
        <v>6756411</v>
      </c>
    </row>
    <row r="2948">
      <c r="A2948" s="2">
        <f>IFERROR(__xludf.DUMMYFUNCTION("""COMPUTED_VALUE"""),44922.64583333333)</f>
        <v>44922.64583</v>
      </c>
      <c r="B2948" s="1">
        <f>IFERROR(__xludf.DUMMYFUNCTION("""COMPUTED_VALUE"""),58000.0)</f>
        <v>58000</v>
      </c>
      <c r="C2948" s="1">
        <f>IFERROR(__xludf.DUMMYFUNCTION("""COMPUTED_VALUE"""),58400.0)</f>
        <v>58400</v>
      </c>
      <c r="D2948" s="1">
        <f>IFERROR(__xludf.DUMMYFUNCTION("""COMPUTED_VALUE"""),57900.0)</f>
        <v>57900</v>
      </c>
      <c r="E2948" s="1">
        <f>IFERROR(__xludf.DUMMYFUNCTION("""COMPUTED_VALUE"""),58100.0)</f>
        <v>58100</v>
      </c>
      <c r="F2948" s="1">
        <f>IFERROR(__xludf.DUMMYFUNCTION("""COMPUTED_VALUE"""),1.0667027E7)</f>
        <v>10667027</v>
      </c>
    </row>
    <row r="2949">
      <c r="A2949" s="2">
        <f>IFERROR(__xludf.DUMMYFUNCTION("""COMPUTED_VALUE"""),44923.64583333333)</f>
        <v>44923.64583</v>
      </c>
      <c r="B2949" s="1">
        <f>IFERROR(__xludf.DUMMYFUNCTION("""COMPUTED_VALUE"""),57600.0)</f>
        <v>57600</v>
      </c>
      <c r="C2949" s="1">
        <f>IFERROR(__xludf.DUMMYFUNCTION("""COMPUTED_VALUE"""),57600.0)</f>
        <v>57600</v>
      </c>
      <c r="D2949" s="1">
        <f>IFERROR(__xludf.DUMMYFUNCTION("""COMPUTED_VALUE"""),56400.0)</f>
        <v>56400</v>
      </c>
      <c r="E2949" s="1">
        <f>IFERROR(__xludf.DUMMYFUNCTION("""COMPUTED_VALUE"""),56600.0)</f>
        <v>56600</v>
      </c>
      <c r="F2949" s="1">
        <f>IFERROR(__xludf.DUMMYFUNCTION("""COMPUTED_VALUE"""),1.466541E7)</f>
        <v>14665410</v>
      </c>
    </row>
    <row r="2950">
      <c r="A2950" s="2">
        <f>IFERROR(__xludf.DUMMYFUNCTION("""COMPUTED_VALUE"""),44924.64583333333)</f>
        <v>44924.64583</v>
      </c>
      <c r="B2950" s="1">
        <f>IFERROR(__xludf.DUMMYFUNCTION("""COMPUTED_VALUE"""),56000.0)</f>
        <v>56000</v>
      </c>
      <c r="C2950" s="1">
        <f>IFERROR(__xludf.DUMMYFUNCTION("""COMPUTED_VALUE"""),56200.0)</f>
        <v>56200</v>
      </c>
      <c r="D2950" s="1">
        <f>IFERROR(__xludf.DUMMYFUNCTION("""COMPUTED_VALUE"""),55300.0)</f>
        <v>55300</v>
      </c>
      <c r="E2950" s="1">
        <f>IFERROR(__xludf.DUMMYFUNCTION("""COMPUTED_VALUE"""),55300.0)</f>
        <v>55300</v>
      </c>
      <c r="F2950" s="1">
        <f>IFERROR(__xludf.DUMMYFUNCTION("""COMPUTED_VALUE"""),1.1295935E7)</f>
        <v>11295935</v>
      </c>
    </row>
    <row r="2951">
      <c r="A2951" s="2">
        <f>IFERROR(__xludf.DUMMYFUNCTION("""COMPUTED_VALUE"""),44928.64583333333)</f>
        <v>44928.64583</v>
      </c>
      <c r="B2951" s="1">
        <f>IFERROR(__xludf.DUMMYFUNCTION("""COMPUTED_VALUE"""),55500.0)</f>
        <v>55500</v>
      </c>
      <c r="C2951" s="1">
        <f>IFERROR(__xludf.DUMMYFUNCTION("""COMPUTED_VALUE"""),56100.0)</f>
        <v>56100</v>
      </c>
      <c r="D2951" s="1">
        <f>IFERROR(__xludf.DUMMYFUNCTION("""COMPUTED_VALUE"""),55200.0)</f>
        <v>55200</v>
      </c>
      <c r="E2951" s="1">
        <f>IFERROR(__xludf.DUMMYFUNCTION("""COMPUTED_VALUE"""),55500.0)</f>
        <v>55500</v>
      </c>
      <c r="F2951" s="1">
        <f>IFERROR(__xludf.DUMMYFUNCTION("""COMPUTED_VALUE"""),1.0031448E7)</f>
        <v>10031448</v>
      </c>
    </row>
    <row r="2952">
      <c r="A2952" s="2">
        <f>IFERROR(__xludf.DUMMYFUNCTION("""COMPUTED_VALUE"""),44929.64583333333)</f>
        <v>44929.64583</v>
      </c>
      <c r="B2952" s="1">
        <f>IFERROR(__xludf.DUMMYFUNCTION("""COMPUTED_VALUE"""),55400.0)</f>
        <v>55400</v>
      </c>
      <c r="C2952" s="1">
        <f>IFERROR(__xludf.DUMMYFUNCTION("""COMPUTED_VALUE"""),56000.0)</f>
        <v>56000</v>
      </c>
      <c r="D2952" s="1">
        <f>IFERROR(__xludf.DUMMYFUNCTION("""COMPUTED_VALUE"""),54500.0)</f>
        <v>54500</v>
      </c>
      <c r="E2952" s="1">
        <f>IFERROR(__xludf.DUMMYFUNCTION("""COMPUTED_VALUE"""),55400.0)</f>
        <v>55400</v>
      </c>
      <c r="F2952" s="1">
        <f>IFERROR(__xludf.DUMMYFUNCTION("""COMPUTED_VALUE"""),1.354703E7)</f>
        <v>13547030</v>
      </c>
    </row>
    <row r="2953">
      <c r="A2953" s="2">
        <f>IFERROR(__xludf.DUMMYFUNCTION("""COMPUTED_VALUE"""),44930.64583333333)</f>
        <v>44930.64583</v>
      </c>
      <c r="B2953" s="1">
        <f>IFERROR(__xludf.DUMMYFUNCTION("""COMPUTED_VALUE"""),55700.0)</f>
        <v>55700</v>
      </c>
      <c r="C2953" s="1">
        <f>IFERROR(__xludf.DUMMYFUNCTION("""COMPUTED_VALUE"""),58000.0)</f>
        <v>58000</v>
      </c>
      <c r="D2953" s="1">
        <f>IFERROR(__xludf.DUMMYFUNCTION("""COMPUTED_VALUE"""),55600.0)</f>
        <v>55600</v>
      </c>
      <c r="E2953" s="1">
        <f>IFERROR(__xludf.DUMMYFUNCTION("""COMPUTED_VALUE"""),57800.0)</f>
        <v>57800</v>
      </c>
      <c r="F2953" s="1">
        <f>IFERROR(__xludf.DUMMYFUNCTION("""COMPUTED_VALUE"""),2.0188071E7)</f>
        <v>20188071</v>
      </c>
    </row>
    <row r="2954">
      <c r="A2954" s="2">
        <f>IFERROR(__xludf.DUMMYFUNCTION("""COMPUTED_VALUE"""),44931.64583333333)</f>
        <v>44931.64583</v>
      </c>
      <c r="B2954" s="1">
        <f>IFERROR(__xludf.DUMMYFUNCTION("""COMPUTED_VALUE"""),58200.0)</f>
        <v>58200</v>
      </c>
      <c r="C2954" s="1">
        <f>IFERROR(__xludf.DUMMYFUNCTION("""COMPUTED_VALUE"""),58800.0)</f>
        <v>58800</v>
      </c>
      <c r="D2954" s="1">
        <f>IFERROR(__xludf.DUMMYFUNCTION("""COMPUTED_VALUE"""),57600.0)</f>
        <v>57600</v>
      </c>
      <c r="E2954" s="1">
        <f>IFERROR(__xludf.DUMMYFUNCTION("""COMPUTED_VALUE"""),58200.0)</f>
        <v>58200</v>
      </c>
      <c r="F2954" s="1">
        <f>IFERROR(__xludf.DUMMYFUNCTION("""COMPUTED_VALUE"""),1.5682826E7)</f>
        <v>15682826</v>
      </c>
    </row>
    <row r="2955">
      <c r="A2955" s="2">
        <f>IFERROR(__xludf.DUMMYFUNCTION("""COMPUTED_VALUE"""),44932.64583333333)</f>
        <v>44932.64583</v>
      </c>
      <c r="B2955" s="1">
        <f>IFERROR(__xludf.DUMMYFUNCTION("""COMPUTED_VALUE"""),58300.0)</f>
        <v>58300</v>
      </c>
      <c r="C2955" s="1">
        <f>IFERROR(__xludf.DUMMYFUNCTION("""COMPUTED_VALUE"""),59400.0)</f>
        <v>59400</v>
      </c>
      <c r="D2955" s="1">
        <f>IFERROR(__xludf.DUMMYFUNCTION("""COMPUTED_VALUE"""),57900.0)</f>
        <v>57900</v>
      </c>
      <c r="E2955" s="1">
        <f>IFERROR(__xludf.DUMMYFUNCTION("""COMPUTED_VALUE"""),59000.0)</f>
        <v>59000</v>
      </c>
      <c r="F2955" s="1">
        <f>IFERROR(__xludf.DUMMYFUNCTION("""COMPUTED_VALUE"""),1.7334989E7)</f>
        <v>17334989</v>
      </c>
    </row>
    <row r="2956">
      <c r="A2956" s="2">
        <f>IFERROR(__xludf.DUMMYFUNCTION("""COMPUTED_VALUE"""),44935.64583333333)</f>
        <v>44935.64583</v>
      </c>
      <c r="B2956" s="1">
        <f>IFERROR(__xludf.DUMMYFUNCTION("""COMPUTED_VALUE"""),59700.0)</f>
        <v>59700</v>
      </c>
      <c r="C2956" s="1">
        <f>IFERROR(__xludf.DUMMYFUNCTION("""COMPUTED_VALUE"""),60700.0)</f>
        <v>60700</v>
      </c>
      <c r="D2956" s="1">
        <f>IFERROR(__xludf.DUMMYFUNCTION("""COMPUTED_VALUE"""),59600.0)</f>
        <v>59600</v>
      </c>
      <c r="E2956" s="1">
        <f>IFERROR(__xludf.DUMMYFUNCTION("""COMPUTED_VALUE"""),60700.0)</f>
        <v>60700</v>
      </c>
      <c r="F2956" s="1">
        <f>IFERROR(__xludf.DUMMYFUNCTION("""COMPUTED_VALUE"""),1.8640107E7)</f>
        <v>18640107</v>
      </c>
    </row>
    <row r="2957">
      <c r="A2957" s="2">
        <f>IFERROR(__xludf.DUMMYFUNCTION("""COMPUTED_VALUE"""),44936.64583333333)</f>
        <v>44936.64583</v>
      </c>
      <c r="B2957" s="1">
        <f>IFERROR(__xludf.DUMMYFUNCTION("""COMPUTED_VALUE"""),60200.0)</f>
        <v>60200</v>
      </c>
      <c r="C2957" s="1">
        <f>IFERROR(__xludf.DUMMYFUNCTION("""COMPUTED_VALUE"""),61100.0)</f>
        <v>61100</v>
      </c>
      <c r="D2957" s="1">
        <f>IFERROR(__xludf.DUMMYFUNCTION("""COMPUTED_VALUE"""),59900.0)</f>
        <v>59900</v>
      </c>
      <c r="E2957" s="1">
        <f>IFERROR(__xludf.DUMMYFUNCTION("""COMPUTED_VALUE"""),60400.0)</f>
        <v>60400</v>
      </c>
      <c r="F2957" s="1">
        <f>IFERROR(__xludf.DUMMYFUNCTION("""COMPUTED_VALUE"""),1.4859797E7)</f>
        <v>14859797</v>
      </c>
    </row>
    <row r="2958">
      <c r="A2958" s="2">
        <f>IFERROR(__xludf.DUMMYFUNCTION("""COMPUTED_VALUE"""),44937.64583333333)</f>
        <v>44937.64583</v>
      </c>
      <c r="B2958" s="1">
        <f>IFERROR(__xludf.DUMMYFUNCTION("""COMPUTED_VALUE"""),61000.0)</f>
        <v>61000</v>
      </c>
      <c r="C2958" s="1">
        <f>IFERROR(__xludf.DUMMYFUNCTION("""COMPUTED_VALUE"""),61200.0)</f>
        <v>61200</v>
      </c>
      <c r="D2958" s="1">
        <f>IFERROR(__xludf.DUMMYFUNCTION("""COMPUTED_VALUE"""),60300.0)</f>
        <v>60300</v>
      </c>
      <c r="E2958" s="1">
        <f>IFERROR(__xludf.DUMMYFUNCTION("""COMPUTED_VALUE"""),60500.0)</f>
        <v>60500</v>
      </c>
      <c r="F2958" s="1">
        <f>IFERROR(__xludf.DUMMYFUNCTION("""COMPUTED_VALUE"""),1.2310751E7)</f>
        <v>12310751</v>
      </c>
    </row>
    <row r="2959">
      <c r="A2959" s="2">
        <f>IFERROR(__xludf.DUMMYFUNCTION("""COMPUTED_VALUE"""),44938.64583333333)</f>
        <v>44938.64583</v>
      </c>
      <c r="B2959" s="1">
        <f>IFERROR(__xludf.DUMMYFUNCTION("""COMPUTED_VALUE"""),61100.0)</f>
        <v>61100</v>
      </c>
      <c r="C2959" s="1">
        <f>IFERROR(__xludf.DUMMYFUNCTION("""COMPUTED_VALUE"""),61200.0)</f>
        <v>61200</v>
      </c>
      <c r="D2959" s="1">
        <f>IFERROR(__xludf.DUMMYFUNCTION("""COMPUTED_VALUE"""),59900.0)</f>
        <v>59900</v>
      </c>
      <c r="E2959" s="1">
        <f>IFERROR(__xludf.DUMMYFUNCTION("""COMPUTED_VALUE"""),60500.0)</f>
        <v>60500</v>
      </c>
      <c r="F2959" s="1">
        <f>IFERROR(__xludf.DUMMYFUNCTION("""COMPUTED_VALUE"""),1.6102561E7)</f>
        <v>16102561</v>
      </c>
    </row>
    <row r="2960">
      <c r="A2960" s="2">
        <f>IFERROR(__xludf.DUMMYFUNCTION("""COMPUTED_VALUE"""),44939.64583333333)</f>
        <v>44939.64583</v>
      </c>
      <c r="B2960" s="1">
        <f>IFERROR(__xludf.DUMMYFUNCTION("""COMPUTED_VALUE"""),60500.0)</f>
        <v>60500</v>
      </c>
      <c r="C2960" s="1">
        <f>IFERROR(__xludf.DUMMYFUNCTION("""COMPUTED_VALUE"""),61200.0)</f>
        <v>61200</v>
      </c>
      <c r="D2960" s="1">
        <f>IFERROR(__xludf.DUMMYFUNCTION("""COMPUTED_VALUE"""),60400.0)</f>
        <v>60400</v>
      </c>
      <c r="E2960" s="1">
        <f>IFERROR(__xludf.DUMMYFUNCTION("""COMPUTED_VALUE"""),60800.0)</f>
        <v>60800</v>
      </c>
      <c r="F2960" s="1">
        <f>IFERROR(__xludf.DUMMYFUNCTION("""COMPUTED_VALUE"""),1.2510328E7)</f>
        <v>12510328</v>
      </c>
    </row>
    <row r="2961">
      <c r="A2961" s="2">
        <f>IFERROR(__xludf.DUMMYFUNCTION("""COMPUTED_VALUE"""),44942.64583333333)</f>
        <v>44942.64583</v>
      </c>
      <c r="B2961" s="1">
        <f>IFERROR(__xludf.DUMMYFUNCTION("""COMPUTED_VALUE"""),61300.0)</f>
        <v>61300</v>
      </c>
      <c r="C2961" s="1">
        <f>IFERROR(__xludf.DUMMYFUNCTION("""COMPUTED_VALUE"""),61600.0)</f>
        <v>61600</v>
      </c>
      <c r="D2961" s="1">
        <f>IFERROR(__xludf.DUMMYFUNCTION("""COMPUTED_VALUE"""),60800.0)</f>
        <v>60800</v>
      </c>
      <c r="E2961" s="1">
        <f>IFERROR(__xludf.DUMMYFUNCTION("""COMPUTED_VALUE"""),61100.0)</f>
        <v>61100</v>
      </c>
      <c r="F2961" s="1">
        <f>IFERROR(__xludf.DUMMYFUNCTION("""COMPUTED_VALUE"""),1.0039972E7)</f>
        <v>10039972</v>
      </c>
    </row>
    <row r="2962">
      <c r="A2962" s="2">
        <f>IFERROR(__xludf.DUMMYFUNCTION("""COMPUTED_VALUE"""),44943.64583333333)</f>
        <v>44943.64583</v>
      </c>
      <c r="B2962" s="1">
        <f>IFERROR(__xludf.DUMMYFUNCTION("""COMPUTED_VALUE"""),61200.0)</f>
        <v>61200</v>
      </c>
      <c r="C2962" s="1">
        <f>IFERROR(__xludf.DUMMYFUNCTION("""COMPUTED_VALUE"""),61500.0)</f>
        <v>61500</v>
      </c>
      <c r="D2962" s="1">
        <f>IFERROR(__xludf.DUMMYFUNCTION("""COMPUTED_VALUE"""),60600.0)</f>
        <v>60600</v>
      </c>
      <c r="E2962" s="1">
        <f>IFERROR(__xludf.DUMMYFUNCTION("""COMPUTED_VALUE"""),61000.0)</f>
        <v>61000</v>
      </c>
      <c r="F2962" s="1">
        <f>IFERROR(__xludf.DUMMYFUNCTION("""COMPUTED_VALUE"""),9831456.0)</f>
        <v>9831456</v>
      </c>
    </row>
    <row r="2963">
      <c r="A2963" s="2">
        <f>IFERROR(__xludf.DUMMYFUNCTION("""COMPUTED_VALUE"""),44944.64583333333)</f>
        <v>44944.64583</v>
      </c>
      <c r="B2963" s="1">
        <f>IFERROR(__xludf.DUMMYFUNCTION("""COMPUTED_VALUE"""),60700.0)</f>
        <v>60700</v>
      </c>
      <c r="C2963" s="1">
        <f>IFERROR(__xludf.DUMMYFUNCTION("""COMPUTED_VALUE"""),61000.0)</f>
        <v>61000</v>
      </c>
      <c r="D2963" s="1">
        <f>IFERROR(__xludf.DUMMYFUNCTION("""COMPUTED_VALUE"""),59900.0)</f>
        <v>59900</v>
      </c>
      <c r="E2963" s="1">
        <f>IFERROR(__xludf.DUMMYFUNCTION("""COMPUTED_VALUE"""),60400.0)</f>
        <v>60400</v>
      </c>
      <c r="F2963" s="1">
        <f>IFERROR(__xludf.DUMMYFUNCTION("""COMPUTED_VALUE"""),1.1584041E7)</f>
        <v>11584041</v>
      </c>
    </row>
    <row r="2964">
      <c r="A2964" s="2">
        <f>IFERROR(__xludf.DUMMYFUNCTION("""COMPUTED_VALUE"""),44945.64583333333)</f>
        <v>44945.64583</v>
      </c>
      <c r="B2964" s="1">
        <f>IFERROR(__xludf.DUMMYFUNCTION("""COMPUTED_VALUE"""),60500.0)</f>
        <v>60500</v>
      </c>
      <c r="C2964" s="1">
        <f>IFERROR(__xludf.DUMMYFUNCTION("""COMPUTED_VALUE"""),61500.0)</f>
        <v>61500</v>
      </c>
      <c r="D2964" s="1">
        <f>IFERROR(__xludf.DUMMYFUNCTION("""COMPUTED_VALUE"""),60400.0)</f>
        <v>60400</v>
      </c>
      <c r="E2964" s="1">
        <f>IFERROR(__xludf.DUMMYFUNCTION("""COMPUTED_VALUE"""),61500.0)</f>
        <v>61500</v>
      </c>
      <c r="F2964" s="1">
        <f>IFERROR(__xludf.DUMMYFUNCTION("""COMPUTED_VALUE"""),1.280849E7)</f>
        <v>12808490</v>
      </c>
    </row>
    <row r="2965">
      <c r="A2965" s="2">
        <f>IFERROR(__xludf.DUMMYFUNCTION("""COMPUTED_VALUE"""),44946.64583333333)</f>
        <v>44946.64583</v>
      </c>
      <c r="B2965" s="1">
        <f>IFERROR(__xludf.DUMMYFUNCTION("""COMPUTED_VALUE"""),62100.0)</f>
        <v>62100</v>
      </c>
      <c r="C2965" s="1">
        <f>IFERROR(__xludf.DUMMYFUNCTION("""COMPUTED_VALUE"""),62300.0)</f>
        <v>62300</v>
      </c>
      <c r="D2965" s="1">
        <f>IFERROR(__xludf.DUMMYFUNCTION("""COMPUTED_VALUE"""),61100.0)</f>
        <v>61100</v>
      </c>
      <c r="E2965" s="1">
        <f>IFERROR(__xludf.DUMMYFUNCTION("""COMPUTED_VALUE"""),61800.0)</f>
        <v>61800</v>
      </c>
      <c r="F2965" s="1">
        <f>IFERROR(__xludf.DUMMYFUNCTION("""COMPUTED_VALUE"""),9646327.0)</f>
        <v>9646327</v>
      </c>
    </row>
    <row r="2966">
      <c r="A2966" s="2">
        <f>IFERROR(__xludf.DUMMYFUNCTION("""COMPUTED_VALUE"""),44951.64583333333)</f>
        <v>44951.64583</v>
      </c>
      <c r="B2966" s="1">
        <f>IFERROR(__xludf.DUMMYFUNCTION("""COMPUTED_VALUE"""),63500.0)</f>
        <v>63500</v>
      </c>
      <c r="C2966" s="1">
        <f>IFERROR(__xludf.DUMMYFUNCTION("""COMPUTED_VALUE"""),63700.0)</f>
        <v>63700</v>
      </c>
      <c r="D2966" s="1">
        <f>IFERROR(__xludf.DUMMYFUNCTION("""COMPUTED_VALUE"""),63000.0)</f>
        <v>63000</v>
      </c>
      <c r="E2966" s="1">
        <f>IFERROR(__xludf.DUMMYFUNCTION("""COMPUTED_VALUE"""),63400.0)</f>
        <v>63400</v>
      </c>
      <c r="F2966" s="1">
        <f>IFERROR(__xludf.DUMMYFUNCTION("""COMPUTED_VALUE"""),1.682271E7)</f>
        <v>16822710</v>
      </c>
    </row>
    <row r="2967">
      <c r="A2967" s="2">
        <f>IFERROR(__xludf.DUMMYFUNCTION("""COMPUTED_VALUE"""),44952.64583333333)</f>
        <v>44952.64583</v>
      </c>
      <c r="B2967" s="1">
        <f>IFERROR(__xludf.DUMMYFUNCTION("""COMPUTED_VALUE"""),63800.0)</f>
        <v>63800</v>
      </c>
      <c r="C2967" s="1">
        <f>IFERROR(__xludf.DUMMYFUNCTION("""COMPUTED_VALUE"""),63900.0)</f>
        <v>63900</v>
      </c>
      <c r="D2967" s="1">
        <f>IFERROR(__xludf.DUMMYFUNCTION("""COMPUTED_VALUE"""),63300.0)</f>
        <v>63300</v>
      </c>
      <c r="E2967" s="1">
        <f>IFERROR(__xludf.DUMMYFUNCTION("""COMPUTED_VALUE"""),63900.0)</f>
        <v>63900</v>
      </c>
      <c r="F2967" s="1">
        <f>IFERROR(__xludf.DUMMYFUNCTION("""COMPUTED_VALUE"""),1.3278277E7)</f>
        <v>13278277</v>
      </c>
    </row>
    <row r="2968">
      <c r="A2968" s="2">
        <f>IFERROR(__xludf.DUMMYFUNCTION("""COMPUTED_VALUE"""),44953.64583333333)</f>
        <v>44953.64583</v>
      </c>
      <c r="B2968" s="1">
        <f>IFERROR(__xludf.DUMMYFUNCTION("""COMPUTED_VALUE"""),64400.0)</f>
        <v>64400</v>
      </c>
      <c r="C2968" s="1">
        <f>IFERROR(__xludf.DUMMYFUNCTION("""COMPUTED_VALUE"""),65000.0)</f>
        <v>65000</v>
      </c>
      <c r="D2968" s="1">
        <f>IFERROR(__xludf.DUMMYFUNCTION("""COMPUTED_VALUE"""),63900.0)</f>
        <v>63900</v>
      </c>
      <c r="E2968" s="1">
        <f>IFERROR(__xludf.DUMMYFUNCTION("""COMPUTED_VALUE"""),64600.0)</f>
        <v>64600</v>
      </c>
      <c r="F2968" s="1">
        <f>IFERROR(__xludf.DUMMYFUNCTION("""COMPUTED_VALUE"""),1.8760182E7)</f>
        <v>18760182</v>
      </c>
    </row>
    <row r="2969">
      <c r="A2969" s="2">
        <f>IFERROR(__xludf.DUMMYFUNCTION("""COMPUTED_VALUE"""),44956.64583333333)</f>
        <v>44956.64583</v>
      </c>
      <c r="B2969" s="1">
        <f>IFERROR(__xludf.DUMMYFUNCTION("""COMPUTED_VALUE"""),64900.0)</f>
        <v>64900</v>
      </c>
      <c r="C2969" s="1">
        <f>IFERROR(__xludf.DUMMYFUNCTION("""COMPUTED_VALUE"""),64900.0)</f>
        <v>64900</v>
      </c>
      <c r="D2969" s="1">
        <f>IFERROR(__xludf.DUMMYFUNCTION("""COMPUTED_VALUE"""),63100.0)</f>
        <v>63100</v>
      </c>
      <c r="E2969" s="1">
        <f>IFERROR(__xludf.DUMMYFUNCTION("""COMPUTED_VALUE"""),63300.0)</f>
        <v>63300</v>
      </c>
      <c r="F2969" s="1">
        <f>IFERROR(__xludf.DUMMYFUNCTION("""COMPUTED_VALUE"""),2.0995234E7)</f>
        <v>20995234</v>
      </c>
    </row>
    <row r="2970">
      <c r="A2970" s="2">
        <f>IFERROR(__xludf.DUMMYFUNCTION("""COMPUTED_VALUE"""),44957.64583333333)</f>
        <v>44957.64583</v>
      </c>
      <c r="B2970" s="1">
        <f>IFERROR(__xludf.DUMMYFUNCTION("""COMPUTED_VALUE"""),63500.0)</f>
        <v>63500</v>
      </c>
      <c r="C2970" s="1">
        <f>IFERROR(__xludf.DUMMYFUNCTION("""COMPUTED_VALUE"""),63700.0)</f>
        <v>63700</v>
      </c>
      <c r="D2970" s="1">
        <f>IFERROR(__xludf.DUMMYFUNCTION("""COMPUTED_VALUE"""),61000.0)</f>
        <v>61000</v>
      </c>
      <c r="E2970" s="1">
        <f>IFERROR(__xludf.DUMMYFUNCTION("""COMPUTED_VALUE"""),61000.0)</f>
        <v>61000</v>
      </c>
      <c r="F2970" s="1">
        <f>IFERROR(__xludf.DUMMYFUNCTION("""COMPUTED_VALUE"""),2.9746731E7)</f>
        <v>29746731</v>
      </c>
    </row>
    <row r="2971">
      <c r="A2971" s="2">
        <f>IFERROR(__xludf.DUMMYFUNCTION("""COMPUTED_VALUE"""),44958.64583333333)</f>
        <v>44958.64583</v>
      </c>
      <c r="B2971" s="1">
        <f>IFERROR(__xludf.DUMMYFUNCTION("""COMPUTED_VALUE"""),62600.0)</f>
        <v>62600</v>
      </c>
      <c r="C2971" s="1">
        <f>IFERROR(__xludf.DUMMYFUNCTION("""COMPUTED_VALUE"""),62700.0)</f>
        <v>62700</v>
      </c>
      <c r="D2971" s="1">
        <f>IFERROR(__xludf.DUMMYFUNCTION("""COMPUTED_VALUE"""),61000.0)</f>
        <v>61000</v>
      </c>
      <c r="E2971" s="1">
        <f>IFERROR(__xludf.DUMMYFUNCTION("""COMPUTED_VALUE"""),61800.0)</f>
        <v>61800</v>
      </c>
      <c r="F2971" s="1">
        <f>IFERROR(__xludf.DUMMYFUNCTION("""COMPUTED_VALUE"""),1.8570133E7)</f>
        <v>18570133</v>
      </c>
    </row>
    <row r="2972">
      <c r="A2972" s="2">
        <f>IFERROR(__xludf.DUMMYFUNCTION("""COMPUTED_VALUE"""),44959.64583333333)</f>
        <v>44959.64583</v>
      </c>
      <c r="B2972" s="1">
        <f>IFERROR(__xludf.DUMMYFUNCTION("""COMPUTED_VALUE"""),63200.0)</f>
        <v>63200</v>
      </c>
      <c r="C2972" s="1">
        <f>IFERROR(__xludf.DUMMYFUNCTION("""COMPUTED_VALUE"""),63900.0)</f>
        <v>63900</v>
      </c>
      <c r="D2972" s="1">
        <f>IFERROR(__xludf.DUMMYFUNCTION("""COMPUTED_VALUE"""),62600.0)</f>
        <v>62600</v>
      </c>
      <c r="E2972" s="1">
        <f>IFERROR(__xludf.DUMMYFUNCTION("""COMPUTED_VALUE"""),63500.0)</f>
        <v>63500</v>
      </c>
      <c r="F2972" s="1">
        <f>IFERROR(__xludf.DUMMYFUNCTION("""COMPUTED_VALUE"""),2.3285983E7)</f>
        <v>23285983</v>
      </c>
    </row>
    <row r="2973">
      <c r="A2973" s="2">
        <f>IFERROR(__xludf.DUMMYFUNCTION("""COMPUTED_VALUE"""),44960.64583333333)</f>
        <v>44960.64583</v>
      </c>
      <c r="B2973" s="1">
        <f>IFERROR(__xludf.DUMMYFUNCTION("""COMPUTED_VALUE"""),63900.0)</f>
        <v>63900</v>
      </c>
      <c r="C2973" s="1">
        <f>IFERROR(__xludf.DUMMYFUNCTION("""COMPUTED_VALUE"""),64000.0)</f>
        <v>64000</v>
      </c>
      <c r="D2973" s="1">
        <f>IFERROR(__xludf.DUMMYFUNCTION("""COMPUTED_VALUE"""),63000.0)</f>
        <v>63000</v>
      </c>
      <c r="E2973" s="1">
        <f>IFERROR(__xludf.DUMMYFUNCTION("""COMPUTED_VALUE"""),63800.0)</f>
        <v>63800</v>
      </c>
      <c r="F2973" s="1">
        <f>IFERROR(__xludf.DUMMYFUNCTION("""COMPUTED_VALUE"""),1.5194598E7)</f>
        <v>15194598</v>
      </c>
    </row>
    <row r="2974">
      <c r="A2974" s="2">
        <f>IFERROR(__xludf.DUMMYFUNCTION("""COMPUTED_VALUE"""),44963.64583333333)</f>
        <v>44963.64583</v>
      </c>
      <c r="B2974" s="1">
        <f>IFERROR(__xludf.DUMMYFUNCTION("""COMPUTED_VALUE"""),62800.0)</f>
        <v>62800</v>
      </c>
      <c r="C2974" s="1">
        <f>IFERROR(__xludf.DUMMYFUNCTION("""COMPUTED_VALUE"""),63000.0)</f>
        <v>63000</v>
      </c>
      <c r="D2974" s="1">
        <f>IFERROR(__xludf.DUMMYFUNCTION("""COMPUTED_VALUE"""),61600.0)</f>
        <v>61600</v>
      </c>
      <c r="E2974" s="1">
        <f>IFERROR(__xludf.DUMMYFUNCTION("""COMPUTED_VALUE"""),61600.0)</f>
        <v>61600</v>
      </c>
      <c r="F2974" s="1">
        <f>IFERROR(__xludf.DUMMYFUNCTION("""COMPUTED_VALUE"""),1.5529356E7)</f>
        <v>15529356</v>
      </c>
    </row>
    <row r="2975">
      <c r="A2975" s="2">
        <f>IFERROR(__xludf.DUMMYFUNCTION("""COMPUTED_VALUE"""),44964.64583333333)</f>
        <v>44964.64583</v>
      </c>
      <c r="B2975" s="1">
        <f>IFERROR(__xludf.DUMMYFUNCTION("""COMPUTED_VALUE"""),61900.0)</f>
        <v>61900</v>
      </c>
      <c r="C2975" s="1">
        <f>IFERROR(__xludf.DUMMYFUNCTION("""COMPUTED_VALUE"""),62500.0)</f>
        <v>62500</v>
      </c>
      <c r="D2975" s="1">
        <f>IFERROR(__xludf.DUMMYFUNCTION("""COMPUTED_VALUE"""),61600.0)</f>
        <v>61600</v>
      </c>
      <c r="E2975" s="1">
        <f>IFERROR(__xludf.DUMMYFUNCTION("""COMPUTED_VALUE"""),61900.0)</f>
        <v>61900</v>
      </c>
      <c r="F2975" s="1">
        <f>IFERROR(__xludf.DUMMYFUNCTION("""COMPUTED_VALUE"""),1.4491039E7)</f>
        <v>14491039</v>
      </c>
    </row>
    <row r="2976">
      <c r="A2976" s="2">
        <f>IFERROR(__xludf.DUMMYFUNCTION("""COMPUTED_VALUE"""),44965.64583333333)</f>
        <v>44965.64583</v>
      </c>
      <c r="B2976" s="1">
        <f>IFERROR(__xludf.DUMMYFUNCTION("""COMPUTED_VALUE"""),62800.0)</f>
        <v>62800</v>
      </c>
      <c r="C2976" s="1">
        <f>IFERROR(__xludf.DUMMYFUNCTION("""COMPUTED_VALUE"""),63300.0)</f>
        <v>63300</v>
      </c>
      <c r="D2976" s="1">
        <f>IFERROR(__xludf.DUMMYFUNCTION("""COMPUTED_VALUE"""),62400.0)</f>
        <v>62400</v>
      </c>
      <c r="E2976" s="1">
        <f>IFERROR(__xludf.DUMMYFUNCTION("""COMPUTED_VALUE"""),63100.0)</f>
        <v>63100</v>
      </c>
      <c r="F2976" s="1">
        <f>IFERROR(__xludf.DUMMYFUNCTION("""COMPUTED_VALUE"""),1.2243125E7)</f>
        <v>12243125</v>
      </c>
    </row>
    <row r="2977">
      <c r="A2977" s="2">
        <f>IFERROR(__xludf.DUMMYFUNCTION("""COMPUTED_VALUE"""),44966.64583333333)</f>
        <v>44966.64583</v>
      </c>
      <c r="B2977" s="1">
        <f>IFERROR(__xludf.DUMMYFUNCTION("""COMPUTED_VALUE"""),63000.0)</f>
        <v>63000</v>
      </c>
      <c r="C2977" s="1">
        <f>IFERROR(__xludf.DUMMYFUNCTION("""COMPUTED_VALUE"""),63300.0)</f>
        <v>63300</v>
      </c>
      <c r="D2977" s="1">
        <f>IFERROR(__xludf.DUMMYFUNCTION("""COMPUTED_VALUE"""),62300.0)</f>
        <v>62300</v>
      </c>
      <c r="E2977" s="1">
        <f>IFERROR(__xludf.DUMMYFUNCTION("""COMPUTED_VALUE"""),63000.0)</f>
        <v>63000</v>
      </c>
      <c r="F2977" s="1">
        <f>IFERROR(__xludf.DUMMYFUNCTION("""COMPUTED_VALUE"""),1.2164865E7)</f>
        <v>12164865</v>
      </c>
    </row>
    <row r="2978">
      <c r="A2978" s="2">
        <f>IFERROR(__xludf.DUMMYFUNCTION("""COMPUTED_VALUE"""),44967.64583333333)</f>
        <v>44967.64583</v>
      </c>
      <c r="B2978" s="1">
        <f>IFERROR(__xludf.DUMMYFUNCTION("""COMPUTED_VALUE"""),62600.0)</f>
        <v>62600</v>
      </c>
      <c r="C2978" s="1">
        <f>IFERROR(__xludf.DUMMYFUNCTION("""COMPUTED_VALUE"""),63000.0)</f>
        <v>63000</v>
      </c>
      <c r="D2978" s="1">
        <f>IFERROR(__xludf.DUMMYFUNCTION("""COMPUTED_VALUE"""),62400.0)</f>
        <v>62400</v>
      </c>
      <c r="E2978" s="1">
        <f>IFERROR(__xludf.DUMMYFUNCTION("""COMPUTED_VALUE"""),62800.0)</f>
        <v>62800</v>
      </c>
      <c r="F2978" s="1">
        <f>IFERROR(__xludf.DUMMYFUNCTION("""COMPUTED_VALUE"""),9382576.0)</f>
        <v>9382576</v>
      </c>
    </row>
    <row r="2979">
      <c r="A2979" s="2">
        <f>IFERROR(__xludf.DUMMYFUNCTION("""COMPUTED_VALUE"""),44970.64583333333)</f>
        <v>44970.64583</v>
      </c>
      <c r="B2979" s="1">
        <f>IFERROR(__xludf.DUMMYFUNCTION("""COMPUTED_VALUE"""),62900.0)</f>
        <v>62900</v>
      </c>
      <c r="C2979" s="1">
        <f>IFERROR(__xludf.DUMMYFUNCTION("""COMPUTED_VALUE"""),63000.0)</f>
        <v>63000</v>
      </c>
      <c r="D2979" s="1">
        <f>IFERROR(__xludf.DUMMYFUNCTION("""COMPUTED_VALUE"""),62300.0)</f>
        <v>62300</v>
      </c>
      <c r="E2979" s="1">
        <f>IFERROR(__xludf.DUMMYFUNCTION("""COMPUTED_VALUE"""),62900.0)</f>
        <v>62900</v>
      </c>
      <c r="F2979" s="1">
        <f>IFERROR(__xludf.DUMMYFUNCTION("""COMPUTED_VALUE"""),1.0730362E7)</f>
        <v>10730362</v>
      </c>
    </row>
    <row r="2980">
      <c r="A2980" s="2">
        <f>IFERROR(__xludf.DUMMYFUNCTION("""COMPUTED_VALUE"""),44971.64583333333)</f>
        <v>44971.64583</v>
      </c>
      <c r="B2980" s="1">
        <f>IFERROR(__xludf.DUMMYFUNCTION("""COMPUTED_VALUE"""),63600.0)</f>
        <v>63600</v>
      </c>
      <c r="C2980" s="1">
        <f>IFERROR(__xludf.DUMMYFUNCTION("""COMPUTED_VALUE"""),63900.0)</f>
        <v>63900</v>
      </c>
      <c r="D2980" s="1">
        <f>IFERROR(__xludf.DUMMYFUNCTION("""COMPUTED_VALUE"""),63200.0)</f>
        <v>63200</v>
      </c>
      <c r="E2980" s="1">
        <f>IFERROR(__xludf.DUMMYFUNCTION("""COMPUTED_VALUE"""),63200.0)</f>
        <v>63200</v>
      </c>
      <c r="F2980" s="1">
        <f>IFERROR(__xludf.DUMMYFUNCTION("""COMPUTED_VALUE"""),9126664.0)</f>
        <v>9126664</v>
      </c>
    </row>
    <row r="2981">
      <c r="A2981" s="2">
        <f>IFERROR(__xludf.DUMMYFUNCTION("""COMPUTED_VALUE"""),44972.64583333333)</f>
        <v>44972.64583</v>
      </c>
      <c r="B2981" s="1">
        <f>IFERROR(__xludf.DUMMYFUNCTION("""COMPUTED_VALUE"""),63900.0)</f>
        <v>63900</v>
      </c>
      <c r="C2981" s="1">
        <f>IFERROR(__xludf.DUMMYFUNCTION("""COMPUTED_VALUE"""),63900.0)</f>
        <v>63900</v>
      </c>
      <c r="D2981" s="1">
        <f>IFERROR(__xludf.DUMMYFUNCTION("""COMPUTED_VALUE"""),62000.0)</f>
        <v>62000</v>
      </c>
      <c r="E2981" s="1">
        <f>IFERROR(__xludf.DUMMYFUNCTION("""COMPUTED_VALUE"""),62200.0)</f>
        <v>62200</v>
      </c>
      <c r="F2981" s="1">
        <f>IFERROR(__xludf.DUMMYFUNCTION("""COMPUTED_VALUE"""),1.3208103E7)</f>
        <v>13208103</v>
      </c>
    </row>
    <row r="2982">
      <c r="A2982" s="2">
        <f>IFERROR(__xludf.DUMMYFUNCTION("""COMPUTED_VALUE"""),44973.64583333333)</f>
        <v>44973.64583</v>
      </c>
      <c r="B2982" s="1">
        <f>IFERROR(__xludf.DUMMYFUNCTION("""COMPUTED_VALUE"""),62500.0)</f>
        <v>62500</v>
      </c>
      <c r="C2982" s="1">
        <f>IFERROR(__xludf.DUMMYFUNCTION("""COMPUTED_VALUE"""),63700.0)</f>
        <v>63700</v>
      </c>
      <c r="D2982" s="1">
        <f>IFERROR(__xludf.DUMMYFUNCTION("""COMPUTED_VALUE"""),62400.0)</f>
        <v>62400</v>
      </c>
      <c r="E2982" s="1">
        <f>IFERROR(__xludf.DUMMYFUNCTION("""COMPUTED_VALUE"""),63700.0)</f>
        <v>63700</v>
      </c>
      <c r="F2982" s="1">
        <f>IFERROR(__xludf.DUMMYFUNCTION("""COMPUTED_VALUE"""),1.3798831E7)</f>
        <v>13798831</v>
      </c>
    </row>
    <row r="2983">
      <c r="A2983" s="2">
        <f>IFERROR(__xludf.DUMMYFUNCTION("""COMPUTED_VALUE"""),44974.64583333333)</f>
        <v>44974.64583</v>
      </c>
      <c r="B2983" s="1">
        <f>IFERROR(__xludf.DUMMYFUNCTION("""COMPUTED_VALUE"""),62900.0)</f>
        <v>62900</v>
      </c>
      <c r="C2983" s="1">
        <f>IFERROR(__xludf.DUMMYFUNCTION("""COMPUTED_VALUE"""),63300.0)</f>
        <v>63300</v>
      </c>
      <c r="D2983" s="1">
        <f>IFERROR(__xludf.DUMMYFUNCTION("""COMPUTED_VALUE"""),62400.0)</f>
        <v>62400</v>
      </c>
      <c r="E2983" s="1">
        <f>IFERROR(__xludf.DUMMYFUNCTION("""COMPUTED_VALUE"""),62600.0)</f>
        <v>62600</v>
      </c>
      <c r="F2983" s="1">
        <f>IFERROR(__xludf.DUMMYFUNCTION("""COMPUTED_VALUE"""),1.0791265E7)</f>
        <v>10791265</v>
      </c>
    </row>
    <row r="2984">
      <c r="A2984" s="2">
        <f>IFERROR(__xludf.DUMMYFUNCTION("""COMPUTED_VALUE"""),44977.64583333333)</f>
        <v>44977.64583</v>
      </c>
      <c r="B2984" s="1">
        <f>IFERROR(__xludf.DUMMYFUNCTION("""COMPUTED_VALUE"""),62900.0)</f>
        <v>62900</v>
      </c>
      <c r="C2984" s="1">
        <f>IFERROR(__xludf.DUMMYFUNCTION("""COMPUTED_VALUE"""),63000.0)</f>
        <v>63000</v>
      </c>
      <c r="D2984" s="1">
        <f>IFERROR(__xludf.DUMMYFUNCTION("""COMPUTED_VALUE"""),61800.0)</f>
        <v>61800</v>
      </c>
      <c r="E2984" s="1">
        <f>IFERROR(__xludf.DUMMYFUNCTION("""COMPUTED_VALUE"""),62700.0)</f>
        <v>62700</v>
      </c>
      <c r="F2984" s="1">
        <f>IFERROR(__xludf.DUMMYFUNCTION("""COMPUTED_VALUE"""),1.2908073E7)</f>
        <v>12908073</v>
      </c>
    </row>
    <row r="2985">
      <c r="A2985" s="2">
        <f>IFERROR(__xludf.DUMMYFUNCTION("""COMPUTED_VALUE"""),44978.64583333333)</f>
        <v>44978.64583</v>
      </c>
      <c r="B2985" s="1">
        <f>IFERROR(__xludf.DUMMYFUNCTION("""COMPUTED_VALUE"""),62700.0)</f>
        <v>62700</v>
      </c>
      <c r="C2985" s="1">
        <f>IFERROR(__xludf.DUMMYFUNCTION("""COMPUTED_VALUE"""),62800.0)</f>
        <v>62800</v>
      </c>
      <c r="D2985" s="1">
        <f>IFERROR(__xludf.DUMMYFUNCTION("""COMPUTED_VALUE"""),62000.0)</f>
        <v>62000</v>
      </c>
      <c r="E2985" s="1">
        <f>IFERROR(__xludf.DUMMYFUNCTION("""COMPUTED_VALUE"""),62100.0)</f>
        <v>62100</v>
      </c>
      <c r="F2985" s="1">
        <f>IFERROR(__xludf.DUMMYFUNCTION("""COMPUTED_VALUE"""),7665046.0)</f>
        <v>7665046</v>
      </c>
    </row>
    <row r="2986">
      <c r="A2986" s="2">
        <f>IFERROR(__xludf.DUMMYFUNCTION("""COMPUTED_VALUE"""),44979.64583333333)</f>
        <v>44979.64583</v>
      </c>
      <c r="B2986" s="1">
        <f>IFERROR(__xludf.DUMMYFUNCTION("""COMPUTED_VALUE"""),61500.0)</f>
        <v>61500</v>
      </c>
      <c r="C2986" s="1">
        <f>IFERROR(__xludf.DUMMYFUNCTION("""COMPUTED_VALUE"""),61800.0)</f>
        <v>61800</v>
      </c>
      <c r="D2986" s="1">
        <f>IFERROR(__xludf.DUMMYFUNCTION("""COMPUTED_VALUE"""),61000.0)</f>
        <v>61000</v>
      </c>
      <c r="E2986" s="1">
        <f>IFERROR(__xludf.DUMMYFUNCTION("""COMPUTED_VALUE"""),61100.0)</f>
        <v>61100</v>
      </c>
      <c r="F2986" s="1">
        <f>IFERROR(__xludf.DUMMYFUNCTION("""COMPUTED_VALUE"""),1.1959088E7)</f>
        <v>11959088</v>
      </c>
    </row>
    <row r="2987">
      <c r="A2987" s="2">
        <f>IFERROR(__xludf.DUMMYFUNCTION("""COMPUTED_VALUE"""),44980.64583333333)</f>
        <v>44980.64583</v>
      </c>
      <c r="B2987" s="1">
        <f>IFERROR(__xludf.DUMMYFUNCTION("""COMPUTED_VALUE"""),61700.0)</f>
        <v>61700</v>
      </c>
      <c r="C2987" s="1">
        <f>IFERROR(__xludf.DUMMYFUNCTION("""COMPUTED_VALUE"""),62500.0)</f>
        <v>62500</v>
      </c>
      <c r="D2987" s="1">
        <f>IFERROR(__xludf.DUMMYFUNCTION("""COMPUTED_VALUE"""),61500.0)</f>
        <v>61500</v>
      </c>
      <c r="E2987" s="1">
        <f>IFERROR(__xludf.DUMMYFUNCTION("""COMPUTED_VALUE"""),62000.0)</f>
        <v>62000</v>
      </c>
      <c r="F2987" s="1">
        <f>IFERROR(__xludf.DUMMYFUNCTION("""COMPUTED_VALUE"""),1.3047099E7)</f>
        <v>13047099</v>
      </c>
    </row>
    <row r="2988">
      <c r="A2988" s="2">
        <f>IFERROR(__xludf.DUMMYFUNCTION("""COMPUTED_VALUE"""),44981.64583333333)</f>
        <v>44981.64583</v>
      </c>
      <c r="B2988" s="1">
        <f>IFERROR(__xludf.DUMMYFUNCTION("""COMPUTED_VALUE"""),62300.0)</f>
        <v>62300</v>
      </c>
      <c r="C2988" s="1">
        <f>IFERROR(__xludf.DUMMYFUNCTION("""COMPUTED_VALUE"""),62600.0)</f>
        <v>62600</v>
      </c>
      <c r="D2988" s="1">
        <f>IFERROR(__xludf.DUMMYFUNCTION("""COMPUTED_VALUE"""),61300.0)</f>
        <v>61300</v>
      </c>
      <c r="E2988" s="1">
        <f>IFERROR(__xludf.DUMMYFUNCTION("""COMPUTED_VALUE"""),61300.0)</f>
        <v>61300</v>
      </c>
      <c r="F2988" s="1">
        <f>IFERROR(__xludf.DUMMYFUNCTION("""COMPUTED_VALUE"""),1.0308143E7)</f>
        <v>10308143</v>
      </c>
    </row>
    <row r="2989">
      <c r="A2989" s="2">
        <f>IFERROR(__xludf.DUMMYFUNCTION("""COMPUTED_VALUE"""),44984.64583333333)</f>
        <v>44984.64583</v>
      </c>
      <c r="B2989" s="1">
        <f>IFERROR(__xludf.DUMMYFUNCTION("""COMPUTED_VALUE"""),60800.0)</f>
        <v>60800</v>
      </c>
      <c r="C2989" s="1">
        <f>IFERROR(__xludf.DUMMYFUNCTION("""COMPUTED_VALUE"""),60800.0)</f>
        <v>60800</v>
      </c>
      <c r="D2989" s="1">
        <f>IFERROR(__xludf.DUMMYFUNCTION("""COMPUTED_VALUE"""),60200.0)</f>
        <v>60200</v>
      </c>
      <c r="E2989" s="1">
        <f>IFERROR(__xludf.DUMMYFUNCTION("""COMPUTED_VALUE"""),60500.0)</f>
        <v>60500</v>
      </c>
      <c r="F2989" s="1">
        <f>IFERROR(__xludf.DUMMYFUNCTION("""COMPUTED_VALUE"""),1.1155697E7)</f>
        <v>11155697</v>
      </c>
    </row>
    <row r="2990">
      <c r="A2990" s="2">
        <f>IFERROR(__xludf.DUMMYFUNCTION("""COMPUTED_VALUE"""),44985.64583333333)</f>
        <v>44985.64583</v>
      </c>
      <c r="B2990" s="1">
        <f>IFERROR(__xludf.DUMMYFUNCTION("""COMPUTED_VALUE"""),60800.0)</f>
        <v>60800</v>
      </c>
      <c r="C2990" s="1">
        <f>IFERROR(__xludf.DUMMYFUNCTION("""COMPUTED_VALUE"""),61400.0)</f>
        <v>61400</v>
      </c>
      <c r="D2990" s="1">
        <f>IFERROR(__xludf.DUMMYFUNCTION("""COMPUTED_VALUE"""),60500.0)</f>
        <v>60500</v>
      </c>
      <c r="E2990" s="1">
        <f>IFERROR(__xludf.DUMMYFUNCTION("""COMPUTED_VALUE"""),60600.0)</f>
        <v>60600</v>
      </c>
      <c r="F2990" s="1">
        <f>IFERROR(__xludf.DUMMYFUNCTION("""COMPUTED_VALUE"""),1.3715861E7)</f>
        <v>13715861</v>
      </c>
    </row>
    <row r="2991">
      <c r="A2991" s="2">
        <f>IFERROR(__xludf.DUMMYFUNCTION("""COMPUTED_VALUE"""),44987.64583333333)</f>
        <v>44987.64583</v>
      </c>
      <c r="B2991" s="1">
        <f>IFERROR(__xludf.DUMMYFUNCTION("""COMPUTED_VALUE"""),60900.0)</f>
        <v>60900</v>
      </c>
      <c r="C2991" s="1">
        <f>IFERROR(__xludf.DUMMYFUNCTION("""COMPUTED_VALUE"""),61800.0)</f>
        <v>61800</v>
      </c>
      <c r="D2991" s="1">
        <f>IFERROR(__xludf.DUMMYFUNCTION("""COMPUTED_VALUE"""),60500.0)</f>
        <v>60500</v>
      </c>
      <c r="E2991" s="1">
        <f>IFERROR(__xludf.DUMMYFUNCTION("""COMPUTED_VALUE"""),60800.0)</f>
        <v>60800</v>
      </c>
      <c r="F2991" s="1">
        <f>IFERROR(__xludf.DUMMYFUNCTION("""COMPUTED_VALUE"""),1.3095682E7)</f>
        <v>13095682</v>
      </c>
    </row>
    <row r="2992">
      <c r="A2992" s="2">
        <f>IFERROR(__xludf.DUMMYFUNCTION("""COMPUTED_VALUE"""),44988.64583333333)</f>
        <v>44988.64583</v>
      </c>
      <c r="B2992" s="1">
        <f>IFERROR(__xludf.DUMMYFUNCTION("""COMPUTED_VALUE"""),61000.0)</f>
        <v>61000</v>
      </c>
      <c r="C2992" s="1">
        <f>IFERROR(__xludf.DUMMYFUNCTION("""COMPUTED_VALUE"""),61200.0)</f>
        <v>61200</v>
      </c>
      <c r="D2992" s="1">
        <f>IFERROR(__xludf.DUMMYFUNCTION("""COMPUTED_VALUE"""),60500.0)</f>
        <v>60500</v>
      </c>
      <c r="E2992" s="1">
        <f>IFERROR(__xludf.DUMMYFUNCTION("""COMPUTED_VALUE"""),60500.0)</f>
        <v>60500</v>
      </c>
      <c r="F2992" s="1">
        <f>IFERROR(__xludf.DUMMYFUNCTION("""COMPUTED_VALUE"""),1.0711405E7)</f>
        <v>10711405</v>
      </c>
    </row>
    <row r="2993">
      <c r="A2993" s="2">
        <f>IFERROR(__xludf.DUMMYFUNCTION("""COMPUTED_VALUE"""),44991.64583333333)</f>
        <v>44991.64583</v>
      </c>
      <c r="B2993" s="1">
        <f>IFERROR(__xludf.DUMMYFUNCTION("""COMPUTED_VALUE"""),61100.0)</f>
        <v>61100</v>
      </c>
      <c r="C2993" s="1">
        <f>IFERROR(__xludf.DUMMYFUNCTION("""COMPUTED_VALUE"""),61600.0)</f>
        <v>61600</v>
      </c>
      <c r="D2993" s="1">
        <f>IFERROR(__xludf.DUMMYFUNCTION("""COMPUTED_VALUE"""),60800.0)</f>
        <v>60800</v>
      </c>
      <c r="E2993" s="1">
        <f>IFERROR(__xludf.DUMMYFUNCTION("""COMPUTED_VALUE"""),61500.0)</f>
        <v>61500</v>
      </c>
      <c r="F2993" s="1">
        <f>IFERROR(__xludf.DUMMYFUNCTION("""COMPUTED_VALUE"""),1.3630602E7)</f>
        <v>13630602</v>
      </c>
    </row>
    <row r="2994">
      <c r="A2994" s="2">
        <f>IFERROR(__xludf.DUMMYFUNCTION("""COMPUTED_VALUE"""),44992.64583333333)</f>
        <v>44992.64583</v>
      </c>
      <c r="B2994" s="1">
        <f>IFERROR(__xludf.DUMMYFUNCTION("""COMPUTED_VALUE"""),61400.0)</f>
        <v>61400</v>
      </c>
      <c r="C2994" s="1">
        <f>IFERROR(__xludf.DUMMYFUNCTION("""COMPUTED_VALUE"""),61400.0)</f>
        <v>61400</v>
      </c>
      <c r="D2994" s="1">
        <f>IFERROR(__xludf.DUMMYFUNCTION("""COMPUTED_VALUE"""),60700.0)</f>
        <v>60700</v>
      </c>
      <c r="E2994" s="1">
        <f>IFERROR(__xludf.DUMMYFUNCTION("""COMPUTED_VALUE"""),60700.0)</f>
        <v>60700</v>
      </c>
      <c r="F2994" s="1">
        <f>IFERROR(__xludf.DUMMYFUNCTION("""COMPUTED_VALUE"""),1.147328E7)</f>
        <v>11473280</v>
      </c>
    </row>
    <row r="2995">
      <c r="A2995" s="2">
        <f>IFERROR(__xludf.DUMMYFUNCTION("""COMPUTED_VALUE"""),44993.64583333333)</f>
        <v>44993.64583</v>
      </c>
      <c r="B2995" s="1">
        <f>IFERROR(__xludf.DUMMYFUNCTION("""COMPUTED_VALUE"""),60100.0)</f>
        <v>60100</v>
      </c>
      <c r="C2995" s="1">
        <f>IFERROR(__xludf.DUMMYFUNCTION("""COMPUTED_VALUE"""),60500.0)</f>
        <v>60500</v>
      </c>
      <c r="D2995" s="1">
        <f>IFERROR(__xludf.DUMMYFUNCTION("""COMPUTED_VALUE"""),59900.0)</f>
        <v>59900</v>
      </c>
      <c r="E2995" s="1">
        <f>IFERROR(__xludf.DUMMYFUNCTION("""COMPUTED_VALUE"""),60300.0)</f>
        <v>60300</v>
      </c>
      <c r="F2995" s="1">
        <f>IFERROR(__xludf.DUMMYFUNCTION("""COMPUTED_VALUE"""),1.4161857E7)</f>
        <v>14161857</v>
      </c>
    </row>
    <row r="2996">
      <c r="A2996" s="2">
        <f>IFERROR(__xludf.DUMMYFUNCTION("""COMPUTED_VALUE"""),44994.64583333333)</f>
        <v>44994.64583</v>
      </c>
      <c r="B2996" s="1">
        <f>IFERROR(__xludf.DUMMYFUNCTION("""COMPUTED_VALUE"""),60500.0)</f>
        <v>60500</v>
      </c>
      <c r="C2996" s="1">
        <f>IFERROR(__xludf.DUMMYFUNCTION("""COMPUTED_VALUE"""),60800.0)</f>
        <v>60800</v>
      </c>
      <c r="D2996" s="1">
        <f>IFERROR(__xludf.DUMMYFUNCTION("""COMPUTED_VALUE"""),59900.0)</f>
        <v>59900</v>
      </c>
      <c r="E2996" s="1">
        <f>IFERROR(__xludf.DUMMYFUNCTION("""COMPUTED_VALUE"""),60100.0)</f>
        <v>60100</v>
      </c>
      <c r="F2996" s="1">
        <f>IFERROR(__xludf.DUMMYFUNCTION("""COMPUTED_VALUE"""),1.4334499E7)</f>
        <v>14334499</v>
      </c>
    </row>
    <row r="2997">
      <c r="A2997" s="2">
        <f>IFERROR(__xludf.DUMMYFUNCTION("""COMPUTED_VALUE"""),44995.64583333333)</f>
        <v>44995.64583</v>
      </c>
      <c r="B2997" s="1">
        <f>IFERROR(__xludf.DUMMYFUNCTION("""COMPUTED_VALUE"""),59500.0)</f>
        <v>59500</v>
      </c>
      <c r="C2997" s="1">
        <f>IFERROR(__xludf.DUMMYFUNCTION("""COMPUTED_VALUE"""),59700.0)</f>
        <v>59700</v>
      </c>
      <c r="D2997" s="1">
        <f>IFERROR(__xludf.DUMMYFUNCTION("""COMPUTED_VALUE"""),59100.0)</f>
        <v>59100</v>
      </c>
      <c r="E2997" s="1">
        <f>IFERROR(__xludf.DUMMYFUNCTION("""COMPUTED_VALUE"""),59500.0)</f>
        <v>59500</v>
      </c>
      <c r="F2997" s="1">
        <f>IFERROR(__xludf.DUMMYFUNCTION("""COMPUTED_VALUE"""),1.1902471E7)</f>
        <v>11902471</v>
      </c>
    </row>
    <row r="2998">
      <c r="A2998" s="2">
        <f>IFERROR(__xludf.DUMMYFUNCTION("""COMPUTED_VALUE"""),44998.64583333333)</f>
        <v>44998.64583</v>
      </c>
      <c r="B2998" s="1">
        <f>IFERROR(__xludf.DUMMYFUNCTION("""COMPUTED_VALUE"""),59900.0)</f>
        <v>59900</v>
      </c>
      <c r="C2998" s="1">
        <f>IFERROR(__xludf.DUMMYFUNCTION("""COMPUTED_VALUE"""),60200.0)</f>
        <v>60200</v>
      </c>
      <c r="D2998" s="1">
        <f>IFERROR(__xludf.DUMMYFUNCTION("""COMPUTED_VALUE"""),59300.0)</f>
        <v>59300</v>
      </c>
      <c r="E2998" s="1">
        <f>IFERROR(__xludf.DUMMYFUNCTION("""COMPUTED_VALUE"""),60000.0)</f>
        <v>60000</v>
      </c>
      <c r="F2998" s="1">
        <f>IFERROR(__xludf.DUMMYFUNCTION("""COMPUTED_VALUE"""),1.2779724E7)</f>
        <v>12779724</v>
      </c>
    </row>
    <row r="2999">
      <c r="A2999" s="2">
        <f>IFERROR(__xludf.DUMMYFUNCTION("""COMPUTED_VALUE"""),44999.64583333333)</f>
        <v>44999.64583</v>
      </c>
      <c r="B2999" s="1">
        <f>IFERROR(__xludf.DUMMYFUNCTION("""COMPUTED_VALUE"""),59400.0)</f>
        <v>59400</v>
      </c>
      <c r="C2999" s="1">
        <f>IFERROR(__xludf.DUMMYFUNCTION("""COMPUTED_VALUE"""),59500.0)</f>
        <v>59500</v>
      </c>
      <c r="D2999" s="1">
        <f>IFERROR(__xludf.DUMMYFUNCTION("""COMPUTED_VALUE"""),59000.0)</f>
        <v>59000</v>
      </c>
      <c r="E2999" s="1">
        <f>IFERROR(__xludf.DUMMYFUNCTION("""COMPUTED_VALUE"""),59000.0)</f>
        <v>59000</v>
      </c>
      <c r="F2999" s="1">
        <f>IFERROR(__xludf.DUMMYFUNCTION("""COMPUTED_VALUE"""),1.2147346E7)</f>
        <v>12147346</v>
      </c>
    </row>
    <row r="3000">
      <c r="A3000" s="2">
        <f>IFERROR(__xludf.DUMMYFUNCTION("""COMPUTED_VALUE"""),45000.64583333333)</f>
        <v>45000.64583</v>
      </c>
      <c r="B3000" s="1">
        <f>IFERROR(__xludf.DUMMYFUNCTION("""COMPUTED_VALUE"""),60000.0)</f>
        <v>60000</v>
      </c>
      <c r="C3000" s="1">
        <f>IFERROR(__xludf.DUMMYFUNCTION("""COMPUTED_VALUE"""),60300.0)</f>
        <v>60300</v>
      </c>
      <c r="D3000" s="1">
        <f>IFERROR(__xludf.DUMMYFUNCTION("""COMPUTED_VALUE"""),59600.0)</f>
        <v>59600</v>
      </c>
      <c r="E3000" s="1">
        <f>IFERROR(__xludf.DUMMYFUNCTION("""COMPUTED_VALUE"""),59800.0)</f>
        <v>59800</v>
      </c>
      <c r="F3000" s="1">
        <f>IFERROR(__xludf.DUMMYFUNCTION("""COMPUTED_VALUE"""),1.0482149E7)</f>
        <v>10482149</v>
      </c>
    </row>
    <row r="3001">
      <c r="A3001" s="2">
        <f>IFERROR(__xludf.DUMMYFUNCTION("""COMPUTED_VALUE"""),45001.64583333333)</f>
        <v>45001.64583</v>
      </c>
      <c r="B3001" s="1">
        <f>IFERROR(__xludf.DUMMYFUNCTION("""COMPUTED_VALUE"""),59200.0)</f>
        <v>59200</v>
      </c>
      <c r="C3001" s="1">
        <f>IFERROR(__xludf.DUMMYFUNCTION("""COMPUTED_VALUE"""),60200.0)</f>
        <v>60200</v>
      </c>
      <c r="D3001" s="1">
        <f>IFERROR(__xludf.DUMMYFUNCTION("""COMPUTED_VALUE"""),59100.0)</f>
        <v>59100</v>
      </c>
      <c r="E3001" s="1">
        <f>IFERROR(__xludf.DUMMYFUNCTION("""COMPUTED_VALUE"""),59900.0)</f>
        <v>59900</v>
      </c>
      <c r="F3001" s="1">
        <f>IFERROR(__xludf.DUMMYFUNCTION("""COMPUTED_VALUE"""),1.0611939E7)</f>
        <v>10611939</v>
      </c>
    </row>
    <row r="3002">
      <c r="A3002" s="2">
        <f>IFERROR(__xludf.DUMMYFUNCTION("""COMPUTED_VALUE"""),45002.64583333333)</f>
        <v>45002.64583</v>
      </c>
      <c r="B3002" s="1">
        <f>IFERROR(__xludf.DUMMYFUNCTION("""COMPUTED_VALUE"""),60800.0)</f>
        <v>60800</v>
      </c>
      <c r="C3002" s="1">
        <f>IFERROR(__xludf.DUMMYFUNCTION("""COMPUTED_VALUE"""),61300.0)</f>
        <v>61300</v>
      </c>
      <c r="D3002" s="1">
        <f>IFERROR(__xludf.DUMMYFUNCTION("""COMPUTED_VALUE"""),60600.0)</f>
        <v>60600</v>
      </c>
      <c r="E3002" s="1">
        <f>IFERROR(__xludf.DUMMYFUNCTION("""COMPUTED_VALUE"""),61300.0)</f>
        <v>61300</v>
      </c>
      <c r="F3002" s="1">
        <f>IFERROR(__xludf.DUMMYFUNCTION("""COMPUTED_VALUE"""),1.409011E7)</f>
        <v>14090110</v>
      </c>
    </row>
    <row r="3003">
      <c r="A3003" s="2">
        <f>IFERROR(__xludf.DUMMYFUNCTION("""COMPUTED_VALUE"""),45005.64583333333)</f>
        <v>45005.64583</v>
      </c>
      <c r="B3003" s="1">
        <f>IFERROR(__xludf.DUMMYFUNCTION("""COMPUTED_VALUE"""),61100.0)</f>
        <v>61100</v>
      </c>
      <c r="C3003" s="1">
        <f>IFERROR(__xludf.DUMMYFUNCTION("""COMPUTED_VALUE"""),61200.0)</f>
        <v>61200</v>
      </c>
      <c r="D3003" s="1">
        <f>IFERROR(__xludf.DUMMYFUNCTION("""COMPUTED_VALUE"""),60200.0)</f>
        <v>60200</v>
      </c>
      <c r="E3003" s="1">
        <f>IFERROR(__xludf.DUMMYFUNCTION("""COMPUTED_VALUE"""),60200.0)</f>
        <v>60200</v>
      </c>
      <c r="F3003" s="1">
        <f>IFERROR(__xludf.DUMMYFUNCTION("""COMPUTED_VALUE"""),9618009.0)</f>
        <v>9618009</v>
      </c>
    </row>
    <row r="3004">
      <c r="A3004" s="2">
        <f>IFERROR(__xludf.DUMMYFUNCTION("""COMPUTED_VALUE"""),45006.64583333333)</f>
        <v>45006.64583</v>
      </c>
      <c r="B3004" s="1">
        <f>IFERROR(__xludf.DUMMYFUNCTION("""COMPUTED_VALUE"""),60500.0)</f>
        <v>60500</v>
      </c>
      <c r="C3004" s="1">
        <f>IFERROR(__xludf.DUMMYFUNCTION("""COMPUTED_VALUE"""),60700.0)</f>
        <v>60700</v>
      </c>
      <c r="D3004" s="1">
        <f>IFERROR(__xludf.DUMMYFUNCTION("""COMPUTED_VALUE"""),60100.0)</f>
        <v>60100</v>
      </c>
      <c r="E3004" s="1">
        <f>IFERROR(__xludf.DUMMYFUNCTION("""COMPUTED_VALUE"""),60300.0)</f>
        <v>60300</v>
      </c>
      <c r="F3004" s="1">
        <f>IFERROR(__xludf.DUMMYFUNCTION("""COMPUTED_VALUE"""),8318514.0)</f>
        <v>8318514</v>
      </c>
    </row>
    <row r="3005">
      <c r="A3005" s="2">
        <f>IFERROR(__xludf.DUMMYFUNCTION("""COMPUTED_VALUE"""),45007.64583333333)</f>
        <v>45007.64583</v>
      </c>
      <c r="B3005" s="1">
        <f>IFERROR(__xludf.DUMMYFUNCTION("""COMPUTED_VALUE"""),61000.0)</f>
        <v>61000</v>
      </c>
      <c r="C3005" s="1">
        <f>IFERROR(__xludf.DUMMYFUNCTION("""COMPUTED_VALUE"""),61200.0)</f>
        <v>61200</v>
      </c>
      <c r="D3005" s="1">
        <f>IFERROR(__xludf.DUMMYFUNCTION("""COMPUTED_VALUE"""),60500.0)</f>
        <v>60500</v>
      </c>
      <c r="E3005" s="1">
        <f>IFERROR(__xludf.DUMMYFUNCTION("""COMPUTED_VALUE"""),61100.0)</f>
        <v>61100</v>
      </c>
      <c r="F3005" s="1">
        <f>IFERROR(__xludf.DUMMYFUNCTION("""COMPUTED_VALUE"""),8978591.0)</f>
        <v>8978591</v>
      </c>
    </row>
    <row r="3006">
      <c r="A3006" s="2">
        <f>IFERROR(__xludf.DUMMYFUNCTION("""COMPUTED_VALUE"""),45008.64583333333)</f>
        <v>45008.64583</v>
      </c>
      <c r="B3006" s="1">
        <f>IFERROR(__xludf.DUMMYFUNCTION("""COMPUTED_VALUE"""),60600.0)</f>
        <v>60600</v>
      </c>
      <c r="C3006" s="1">
        <f>IFERROR(__xludf.DUMMYFUNCTION("""COMPUTED_VALUE"""),62300.0)</f>
        <v>62300</v>
      </c>
      <c r="D3006" s="1">
        <f>IFERROR(__xludf.DUMMYFUNCTION("""COMPUTED_VALUE"""),60600.0)</f>
        <v>60600</v>
      </c>
      <c r="E3006" s="1">
        <f>IFERROR(__xludf.DUMMYFUNCTION("""COMPUTED_VALUE"""),62300.0)</f>
        <v>62300</v>
      </c>
      <c r="F3006" s="1">
        <f>IFERROR(__xludf.DUMMYFUNCTION("""COMPUTED_VALUE"""),1.5381057E7)</f>
        <v>15381057</v>
      </c>
    </row>
    <row r="3007">
      <c r="A3007" s="2">
        <f>IFERROR(__xludf.DUMMYFUNCTION("""COMPUTED_VALUE"""),45009.64583333333)</f>
        <v>45009.64583</v>
      </c>
      <c r="B3007" s="1">
        <f>IFERROR(__xludf.DUMMYFUNCTION("""COMPUTED_VALUE"""),62700.0)</f>
        <v>62700</v>
      </c>
      <c r="C3007" s="1">
        <f>IFERROR(__xludf.DUMMYFUNCTION("""COMPUTED_VALUE"""),63300.0)</f>
        <v>63300</v>
      </c>
      <c r="D3007" s="1">
        <f>IFERROR(__xludf.DUMMYFUNCTION("""COMPUTED_VALUE"""),62300.0)</f>
        <v>62300</v>
      </c>
      <c r="E3007" s="1">
        <f>IFERROR(__xludf.DUMMYFUNCTION("""COMPUTED_VALUE"""),63000.0)</f>
        <v>63000</v>
      </c>
      <c r="F3007" s="1">
        <f>IFERROR(__xludf.DUMMYFUNCTION("""COMPUTED_VALUE"""),1.8278602E7)</f>
        <v>18278602</v>
      </c>
    </row>
    <row r="3008">
      <c r="A3008" s="2">
        <f>IFERROR(__xludf.DUMMYFUNCTION("""COMPUTED_VALUE"""),45012.64583333333)</f>
        <v>45012.64583</v>
      </c>
      <c r="B3008" s="1">
        <f>IFERROR(__xludf.DUMMYFUNCTION("""COMPUTED_VALUE"""),62600.0)</f>
        <v>62600</v>
      </c>
      <c r="C3008" s="1">
        <f>IFERROR(__xludf.DUMMYFUNCTION("""COMPUTED_VALUE"""),62800.0)</f>
        <v>62800</v>
      </c>
      <c r="D3008" s="1">
        <f>IFERROR(__xludf.DUMMYFUNCTION("""COMPUTED_VALUE"""),62000.0)</f>
        <v>62000</v>
      </c>
      <c r="E3008" s="1">
        <f>IFERROR(__xludf.DUMMYFUNCTION("""COMPUTED_VALUE"""),62100.0)</f>
        <v>62100</v>
      </c>
      <c r="F3008" s="1">
        <f>IFERROR(__xludf.DUMMYFUNCTION("""COMPUTED_VALUE"""),1.1039331E7)</f>
        <v>11039331</v>
      </c>
    </row>
    <row r="3009">
      <c r="A3009" s="2">
        <f>IFERROR(__xludf.DUMMYFUNCTION("""COMPUTED_VALUE"""),45013.64583333333)</f>
        <v>45013.64583</v>
      </c>
      <c r="B3009" s="1">
        <f>IFERROR(__xludf.DUMMYFUNCTION("""COMPUTED_VALUE"""),62400.0)</f>
        <v>62400</v>
      </c>
      <c r="C3009" s="1">
        <f>IFERROR(__xludf.DUMMYFUNCTION("""COMPUTED_VALUE"""),62900.0)</f>
        <v>62900</v>
      </c>
      <c r="D3009" s="1">
        <f>IFERROR(__xludf.DUMMYFUNCTION("""COMPUTED_VALUE"""),62100.0)</f>
        <v>62100</v>
      </c>
      <c r="E3009" s="1">
        <f>IFERROR(__xludf.DUMMYFUNCTION("""COMPUTED_VALUE"""),62900.0)</f>
        <v>62900</v>
      </c>
      <c r="F3009" s="1">
        <f>IFERROR(__xludf.DUMMYFUNCTION("""COMPUTED_VALUE"""),1.1614118E7)</f>
        <v>11614118</v>
      </c>
    </row>
    <row r="3010">
      <c r="A3010" s="2">
        <f>IFERROR(__xludf.DUMMYFUNCTION("""COMPUTED_VALUE"""),45014.64583333333)</f>
        <v>45014.64583</v>
      </c>
      <c r="B3010" s="1">
        <f>IFERROR(__xludf.DUMMYFUNCTION("""COMPUTED_VALUE"""),62500.0)</f>
        <v>62500</v>
      </c>
      <c r="C3010" s="1">
        <f>IFERROR(__xludf.DUMMYFUNCTION("""COMPUTED_VALUE"""),62700.0)</f>
        <v>62700</v>
      </c>
      <c r="D3010" s="1">
        <f>IFERROR(__xludf.DUMMYFUNCTION("""COMPUTED_VALUE"""),62200.0)</f>
        <v>62200</v>
      </c>
      <c r="E3010" s="1">
        <f>IFERROR(__xludf.DUMMYFUNCTION("""COMPUTED_VALUE"""),62700.0)</f>
        <v>62700</v>
      </c>
      <c r="F3010" s="1">
        <f>IFERROR(__xludf.DUMMYFUNCTION("""COMPUTED_VALUE"""),1.1216008E7)</f>
        <v>11216008</v>
      </c>
    </row>
    <row r="3011">
      <c r="A3011" s="2">
        <f>IFERROR(__xludf.DUMMYFUNCTION("""COMPUTED_VALUE"""),45015.64583333333)</f>
        <v>45015.64583</v>
      </c>
      <c r="B3011" s="1">
        <f>IFERROR(__xludf.DUMMYFUNCTION("""COMPUTED_VALUE"""),63700.0)</f>
        <v>63700</v>
      </c>
      <c r="C3011" s="1">
        <f>IFERROR(__xludf.DUMMYFUNCTION("""COMPUTED_VALUE"""),63700.0)</f>
        <v>63700</v>
      </c>
      <c r="D3011" s="1">
        <f>IFERROR(__xludf.DUMMYFUNCTION("""COMPUTED_VALUE"""),63100.0)</f>
        <v>63100</v>
      </c>
      <c r="E3011" s="1">
        <f>IFERROR(__xludf.DUMMYFUNCTION("""COMPUTED_VALUE"""),63200.0)</f>
        <v>63200</v>
      </c>
      <c r="F3011" s="1">
        <f>IFERROR(__xludf.DUMMYFUNCTION("""COMPUTED_VALUE"""),1.5684377E7)</f>
        <v>15684377</v>
      </c>
    </row>
    <row r="3012">
      <c r="A3012" s="2">
        <f>IFERROR(__xludf.DUMMYFUNCTION("""COMPUTED_VALUE"""),45016.64583333333)</f>
        <v>45016.64583</v>
      </c>
      <c r="B3012" s="1">
        <f>IFERROR(__xludf.DUMMYFUNCTION("""COMPUTED_VALUE"""),64000.0)</f>
        <v>64000</v>
      </c>
      <c r="C3012" s="1">
        <f>IFERROR(__xludf.DUMMYFUNCTION("""COMPUTED_VALUE"""),64000.0)</f>
        <v>64000</v>
      </c>
      <c r="D3012" s="1">
        <f>IFERROR(__xludf.DUMMYFUNCTION("""COMPUTED_VALUE"""),63700.0)</f>
        <v>63700</v>
      </c>
      <c r="E3012" s="1">
        <f>IFERROR(__xludf.DUMMYFUNCTION("""COMPUTED_VALUE"""),64000.0)</f>
        <v>64000</v>
      </c>
      <c r="F3012" s="1">
        <f>IFERROR(__xludf.DUMMYFUNCTION("""COMPUTED_VALUE"""),1.4094479E7)</f>
        <v>14094479</v>
      </c>
    </row>
    <row r="3013">
      <c r="A3013" s="2">
        <f>IFERROR(__xludf.DUMMYFUNCTION("""COMPUTED_VALUE"""),45019.64583333333)</f>
        <v>45019.64583</v>
      </c>
      <c r="B3013" s="1">
        <f>IFERROR(__xludf.DUMMYFUNCTION("""COMPUTED_VALUE"""),64000.0)</f>
        <v>64000</v>
      </c>
      <c r="C3013" s="1">
        <f>IFERROR(__xludf.DUMMYFUNCTION("""COMPUTED_VALUE"""),64000.0)</f>
        <v>64000</v>
      </c>
      <c r="D3013" s="1">
        <f>IFERROR(__xludf.DUMMYFUNCTION("""COMPUTED_VALUE"""),63000.0)</f>
        <v>63000</v>
      </c>
      <c r="E3013" s="1">
        <f>IFERROR(__xludf.DUMMYFUNCTION("""COMPUTED_VALUE"""),63100.0)</f>
        <v>63100</v>
      </c>
      <c r="F3013" s="1">
        <f>IFERROR(__xludf.DUMMYFUNCTION("""COMPUTED_VALUE"""),1.1973133E7)</f>
        <v>11973133</v>
      </c>
    </row>
    <row r="3014">
      <c r="A3014" s="2">
        <f>IFERROR(__xludf.DUMMYFUNCTION("""COMPUTED_VALUE"""),45020.64583333333)</f>
        <v>45020.64583</v>
      </c>
      <c r="B3014" s="1">
        <f>IFERROR(__xludf.DUMMYFUNCTION("""COMPUTED_VALUE"""),63400.0)</f>
        <v>63400</v>
      </c>
      <c r="C3014" s="1">
        <f>IFERROR(__xludf.DUMMYFUNCTION("""COMPUTED_VALUE"""),63800.0)</f>
        <v>63800</v>
      </c>
      <c r="D3014" s="1">
        <f>IFERROR(__xludf.DUMMYFUNCTION("""COMPUTED_VALUE"""),62800.0)</f>
        <v>62800</v>
      </c>
      <c r="E3014" s="1">
        <f>IFERROR(__xludf.DUMMYFUNCTION("""COMPUTED_VALUE"""),63600.0)</f>
        <v>63600</v>
      </c>
      <c r="F3014" s="1">
        <f>IFERROR(__xludf.DUMMYFUNCTION("""COMPUTED_VALUE"""),1.1120514E7)</f>
        <v>11120514</v>
      </c>
    </row>
    <row r="3015">
      <c r="A3015" s="2">
        <f>IFERROR(__xludf.DUMMYFUNCTION("""COMPUTED_VALUE"""),45021.64583333333)</f>
        <v>45021.64583</v>
      </c>
      <c r="B3015" s="1">
        <f>IFERROR(__xludf.DUMMYFUNCTION("""COMPUTED_VALUE"""),63700.0)</f>
        <v>63700</v>
      </c>
      <c r="C3015" s="1">
        <f>IFERROR(__xludf.DUMMYFUNCTION("""COMPUTED_VALUE"""),64000.0)</f>
        <v>64000</v>
      </c>
      <c r="D3015" s="1">
        <f>IFERROR(__xludf.DUMMYFUNCTION("""COMPUTED_VALUE"""),63400.0)</f>
        <v>63400</v>
      </c>
      <c r="E3015" s="1">
        <f>IFERROR(__xludf.DUMMYFUNCTION("""COMPUTED_VALUE"""),63900.0)</f>
        <v>63900</v>
      </c>
      <c r="F3015" s="1">
        <f>IFERROR(__xludf.DUMMYFUNCTION("""COMPUTED_VALUE"""),9176149.0)</f>
        <v>9176149</v>
      </c>
    </row>
    <row r="3016">
      <c r="A3016" s="2">
        <f>IFERROR(__xludf.DUMMYFUNCTION("""COMPUTED_VALUE"""),45022.64583333333)</f>
        <v>45022.64583</v>
      </c>
      <c r="B3016" s="1">
        <f>IFERROR(__xludf.DUMMYFUNCTION("""COMPUTED_VALUE"""),63500.0)</f>
        <v>63500</v>
      </c>
      <c r="C3016" s="1">
        <f>IFERROR(__xludf.DUMMYFUNCTION("""COMPUTED_VALUE"""),63600.0)</f>
        <v>63600</v>
      </c>
      <c r="D3016" s="1">
        <f>IFERROR(__xludf.DUMMYFUNCTION("""COMPUTED_VALUE"""),62300.0)</f>
        <v>62300</v>
      </c>
      <c r="E3016" s="1">
        <f>IFERROR(__xludf.DUMMYFUNCTION("""COMPUTED_VALUE"""),62300.0)</f>
        <v>62300</v>
      </c>
      <c r="F3016" s="1">
        <f>IFERROR(__xludf.DUMMYFUNCTION("""COMPUTED_VALUE"""),1.4992747E7)</f>
        <v>14992747</v>
      </c>
    </row>
    <row r="3017">
      <c r="A3017" s="2">
        <f>IFERROR(__xludf.DUMMYFUNCTION("""COMPUTED_VALUE"""),45023.64583333333)</f>
        <v>45023.64583</v>
      </c>
      <c r="B3017" s="1">
        <f>IFERROR(__xludf.DUMMYFUNCTION("""COMPUTED_VALUE"""),63800.0)</f>
        <v>63800</v>
      </c>
      <c r="C3017" s="1">
        <f>IFERROR(__xludf.DUMMYFUNCTION("""COMPUTED_VALUE"""),65200.0)</f>
        <v>65200</v>
      </c>
      <c r="D3017" s="1">
        <f>IFERROR(__xludf.DUMMYFUNCTION("""COMPUTED_VALUE"""),63800.0)</f>
        <v>63800</v>
      </c>
      <c r="E3017" s="1">
        <f>IFERROR(__xludf.DUMMYFUNCTION("""COMPUTED_VALUE"""),65000.0)</f>
        <v>65000</v>
      </c>
      <c r="F3017" s="1">
        <f>IFERROR(__xludf.DUMMYFUNCTION("""COMPUTED_VALUE"""),2.747612E7)</f>
        <v>27476120</v>
      </c>
    </row>
    <row r="3018">
      <c r="A3018" s="2">
        <f>IFERROR(__xludf.DUMMYFUNCTION("""COMPUTED_VALUE"""),45026.64583333333)</f>
        <v>45026.64583</v>
      </c>
      <c r="B3018" s="1">
        <f>IFERROR(__xludf.DUMMYFUNCTION("""COMPUTED_VALUE"""),64800.0)</f>
        <v>64800</v>
      </c>
      <c r="C3018" s="1">
        <f>IFERROR(__xludf.DUMMYFUNCTION("""COMPUTED_VALUE"""),66300.0)</f>
        <v>66300</v>
      </c>
      <c r="D3018" s="1">
        <f>IFERROR(__xludf.DUMMYFUNCTION("""COMPUTED_VALUE"""),64700.0)</f>
        <v>64700</v>
      </c>
      <c r="E3018" s="1">
        <f>IFERROR(__xludf.DUMMYFUNCTION("""COMPUTED_VALUE"""),65700.0)</f>
        <v>65700</v>
      </c>
      <c r="F3018" s="1">
        <f>IFERROR(__xludf.DUMMYFUNCTION("""COMPUTED_VALUE"""),1.8777166E7)</f>
        <v>18777166</v>
      </c>
    </row>
    <row r="3019">
      <c r="A3019" s="2">
        <f>IFERROR(__xludf.DUMMYFUNCTION("""COMPUTED_VALUE"""),45027.64583333333)</f>
        <v>45027.64583</v>
      </c>
      <c r="B3019" s="1">
        <f>IFERROR(__xludf.DUMMYFUNCTION("""COMPUTED_VALUE"""),66200.0)</f>
        <v>66200</v>
      </c>
      <c r="C3019" s="1">
        <f>IFERROR(__xludf.DUMMYFUNCTION("""COMPUTED_VALUE"""),66200.0)</f>
        <v>66200</v>
      </c>
      <c r="D3019" s="1">
        <f>IFERROR(__xludf.DUMMYFUNCTION("""COMPUTED_VALUE"""),65400.0)</f>
        <v>65400</v>
      </c>
      <c r="E3019" s="1">
        <f>IFERROR(__xludf.DUMMYFUNCTION("""COMPUTED_VALUE"""),65900.0)</f>
        <v>65900</v>
      </c>
      <c r="F3019" s="1">
        <f>IFERROR(__xludf.DUMMYFUNCTION("""COMPUTED_VALUE"""),1.6323183E7)</f>
        <v>16323183</v>
      </c>
    </row>
    <row r="3020">
      <c r="A3020" s="2">
        <f>IFERROR(__xludf.DUMMYFUNCTION("""COMPUTED_VALUE"""),45028.64583333333)</f>
        <v>45028.64583</v>
      </c>
      <c r="B3020" s="1">
        <f>IFERROR(__xludf.DUMMYFUNCTION("""COMPUTED_VALUE"""),65800.0)</f>
        <v>65800</v>
      </c>
      <c r="C3020" s="1">
        <f>IFERROR(__xludf.DUMMYFUNCTION("""COMPUTED_VALUE"""),66200.0)</f>
        <v>66200</v>
      </c>
      <c r="D3020" s="1">
        <f>IFERROR(__xludf.DUMMYFUNCTION("""COMPUTED_VALUE"""),65300.0)</f>
        <v>65300</v>
      </c>
      <c r="E3020" s="1">
        <f>IFERROR(__xludf.DUMMYFUNCTION("""COMPUTED_VALUE"""),66000.0)</f>
        <v>66000</v>
      </c>
      <c r="F3020" s="1">
        <f>IFERROR(__xludf.DUMMYFUNCTION("""COMPUTED_VALUE"""),1.5021313E7)</f>
        <v>15021313</v>
      </c>
    </row>
    <row r="3021">
      <c r="A3021" s="2">
        <f>IFERROR(__xludf.DUMMYFUNCTION("""COMPUTED_VALUE"""),45029.64583333333)</f>
        <v>45029.64583</v>
      </c>
      <c r="B3021" s="1">
        <f>IFERROR(__xludf.DUMMYFUNCTION("""COMPUTED_VALUE"""),65600.0)</f>
        <v>65600</v>
      </c>
      <c r="C3021" s="1">
        <f>IFERROR(__xludf.DUMMYFUNCTION("""COMPUTED_VALUE"""),66100.0)</f>
        <v>66100</v>
      </c>
      <c r="D3021" s="1">
        <f>IFERROR(__xludf.DUMMYFUNCTION("""COMPUTED_VALUE"""),65400.0)</f>
        <v>65400</v>
      </c>
      <c r="E3021" s="1">
        <f>IFERROR(__xludf.DUMMYFUNCTION("""COMPUTED_VALUE"""),66100.0)</f>
        <v>66100</v>
      </c>
      <c r="F3021" s="1">
        <f>IFERROR(__xludf.DUMMYFUNCTION("""COMPUTED_VALUE"""),1.5091022E7)</f>
        <v>15091022</v>
      </c>
    </row>
    <row r="3022">
      <c r="A3022" s="2">
        <f>IFERROR(__xludf.DUMMYFUNCTION("""COMPUTED_VALUE"""),45030.64583333333)</f>
        <v>45030.64583</v>
      </c>
      <c r="B3022" s="1">
        <f>IFERROR(__xludf.DUMMYFUNCTION("""COMPUTED_VALUE"""),66600.0)</f>
        <v>66600</v>
      </c>
      <c r="C3022" s="1">
        <f>IFERROR(__xludf.DUMMYFUNCTION("""COMPUTED_VALUE"""),66600.0)</f>
        <v>66600</v>
      </c>
      <c r="D3022" s="1">
        <f>IFERROR(__xludf.DUMMYFUNCTION("""COMPUTED_VALUE"""),65000.0)</f>
        <v>65000</v>
      </c>
      <c r="E3022" s="1">
        <f>IFERROR(__xludf.DUMMYFUNCTION("""COMPUTED_VALUE"""),65100.0)</f>
        <v>65100</v>
      </c>
      <c r="F3022" s="1">
        <f>IFERROR(__xludf.DUMMYFUNCTION("""COMPUTED_VALUE"""),1.617649E7)</f>
        <v>16176490</v>
      </c>
    </row>
    <row r="3023">
      <c r="A3023" s="2">
        <f>IFERROR(__xludf.DUMMYFUNCTION("""COMPUTED_VALUE"""),45033.64583333333)</f>
        <v>45033.64583</v>
      </c>
      <c r="B3023" s="1">
        <f>IFERROR(__xludf.DUMMYFUNCTION("""COMPUTED_VALUE"""),65000.0)</f>
        <v>65000</v>
      </c>
      <c r="C3023" s="1">
        <f>IFERROR(__xludf.DUMMYFUNCTION("""COMPUTED_VALUE"""),65600.0)</f>
        <v>65600</v>
      </c>
      <c r="D3023" s="1">
        <f>IFERROR(__xludf.DUMMYFUNCTION("""COMPUTED_VALUE"""),64700.0)</f>
        <v>64700</v>
      </c>
      <c r="E3023" s="1">
        <f>IFERROR(__xludf.DUMMYFUNCTION("""COMPUTED_VALUE"""),65300.0)</f>
        <v>65300</v>
      </c>
      <c r="F3023" s="1">
        <f>IFERROR(__xludf.DUMMYFUNCTION("""COMPUTED_VALUE"""),1.3486618E7)</f>
        <v>13486618</v>
      </c>
    </row>
    <row r="3024">
      <c r="A3024" s="2">
        <f>IFERROR(__xludf.DUMMYFUNCTION("""COMPUTED_VALUE"""),45034.64583333333)</f>
        <v>45034.64583</v>
      </c>
      <c r="B3024" s="1">
        <f>IFERROR(__xludf.DUMMYFUNCTION("""COMPUTED_VALUE"""),65900.0)</f>
        <v>65900</v>
      </c>
      <c r="C3024" s="1">
        <f>IFERROR(__xludf.DUMMYFUNCTION("""COMPUTED_VALUE"""),66000.0)</f>
        <v>66000</v>
      </c>
      <c r="D3024" s="1">
        <f>IFERROR(__xludf.DUMMYFUNCTION("""COMPUTED_VALUE"""),64800.0)</f>
        <v>64800</v>
      </c>
      <c r="E3024" s="1">
        <f>IFERROR(__xludf.DUMMYFUNCTION("""COMPUTED_VALUE"""),65600.0)</f>
        <v>65600</v>
      </c>
      <c r="F3024" s="1">
        <f>IFERROR(__xludf.DUMMYFUNCTION("""COMPUTED_VALUE"""),1.480206E7)</f>
        <v>14802060</v>
      </c>
    </row>
    <row r="3025">
      <c r="A3025" s="2">
        <f>IFERROR(__xludf.DUMMYFUNCTION("""COMPUTED_VALUE"""),45035.64583333333)</f>
        <v>45035.64583</v>
      </c>
      <c r="B3025" s="1">
        <f>IFERROR(__xludf.DUMMYFUNCTION("""COMPUTED_VALUE"""),65500.0)</f>
        <v>65500</v>
      </c>
      <c r="C3025" s="1">
        <f>IFERROR(__xludf.DUMMYFUNCTION("""COMPUTED_VALUE"""),65800.0)</f>
        <v>65800</v>
      </c>
      <c r="D3025" s="1">
        <f>IFERROR(__xludf.DUMMYFUNCTION("""COMPUTED_VALUE"""),65300.0)</f>
        <v>65300</v>
      </c>
      <c r="E3025" s="1">
        <f>IFERROR(__xludf.DUMMYFUNCTION("""COMPUTED_VALUE"""),65500.0)</f>
        <v>65500</v>
      </c>
      <c r="F3025" s="1">
        <f>IFERROR(__xludf.DUMMYFUNCTION("""COMPUTED_VALUE"""),1.0255985E7)</f>
        <v>10255985</v>
      </c>
    </row>
    <row r="3026">
      <c r="A3026" s="2">
        <f>IFERROR(__xludf.DUMMYFUNCTION("""COMPUTED_VALUE"""),45036.64583333333)</f>
        <v>45036.64583</v>
      </c>
      <c r="B3026" s="1">
        <f>IFERROR(__xludf.DUMMYFUNCTION("""COMPUTED_VALUE"""),65100.0)</f>
        <v>65100</v>
      </c>
      <c r="C3026" s="1">
        <f>IFERROR(__xludf.DUMMYFUNCTION("""COMPUTED_VALUE"""),65300.0)</f>
        <v>65300</v>
      </c>
      <c r="D3026" s="1">
        <f>IFERROR(__xludf.DUMMYFUNCTION("""COMPUTED_VALUE"""),64600.0)</f>
        <v>64600</v>
      </c>
      <c r="E3026" s="1">
        <f>IFERROR(__xludf.DUMMYFUNCTION("""COMPUTED_VALUE"""),65300.0)</f>
        <v>65300</v>
      </c>
      <c r="F3026" s="1">
        <f>IFERROR(__xludf.DUMMYFUNCTION("""COMPUTED_VALUE"""),9501169.0)</f>
        <v>9501169</v>
      </c>
    </row>
    <row r="3027">
      <c r="A3027" s="2">
        <f>IFERROR(__xludf.DUMMYFUNCTION("""COMPUTED_VALUE"""),45037.64583333333)</f>
        <v>45037.64583</v>
      </c>
      <c r="B3027" s="1">
        <f>IFERROR(__xludf.DUMMYFUNCTION("""COMPUTED_VALUE"""),65800.0)</f>
        <v>65800</v>
      </c>
      <c r="C3027" s="1">
        <f>IFERROR(__xludf.DUMMYFUNCTION("""COMPUTED_VALUE"""),65900.0)</f>
        <v>65900</v>
      </c>
      <c r="D3027" s="1">
        <f>IFERROR(__xludf.DUMMYFUNCTION("""COMPUTED_VALUE"""),65400.0)</f>
        <v>65400</v>
      </c>
      <c r="E3027" s="1">
        <f>IFERROR(__xludf.DUMMYFUNCTION("""COMPUTED_VALUE"""),65700.0)</f>
        <v>65700</v>
      </c>
      <c r="F3027" s="1">
        <f>IFERROR(__xludf.DUMMYFUNCTION("""COMPUTED_VALUE"""),1.0538622E7)</f>
        <v>10538622</v>
      </c>
    </row>
    <row r="3028">
      <c r="A3028" s="2">
        <f>IFERROR(__xludf.DUMMYFUNCTION("""COMPUTED_VALUE"""),45040.64583333333)</f>
        <v>45040.64583</v>
      </c>
      <c r="B3028" s="1">
        <f>IFERROR(__xludf.DUMMYFUNCTION("""COMPUTED_VALUE"""),65300.0)</f>
        <v>65300</v>
      </c>
      <c r="C3028" s="1">
        <f>IFERROR(__xludf.DUMMYFUNCTION("""COMPUTED_VALUE"""),65700.0)</f>
        <v>65700</v>
      </c>
      <c r="D3028" s="1">
        <f>IFERROR(__xludf.DUMMYFUNCTION("""COMPUTED_VALUE"""),64800.0)</f>
        <v>64800</v>
      </c>
      <c r="E3028" s="1">
        <f>IFERROR(__xludf.DUMMYFUNCTION("""COMPUTED_VALUE"""),65200.0)</f>
        <v>65200</v>
      </c>
      <c r="F3028" s="1">
        <f>IFERROR(__xludf.DUMMYFUNCTION("""COMPUTED_VALUE"""),1.2986581E7)</f>
        <v>12986581</v>
      </c>
    </row>
    <row r="3029">
      <c r="A3029" s="2">
        <f>IFERROR(__xludf.DUMMYFUNCTION("""COMPUTED_VALUE"""),45041.64583333333)</f>
        <v>45041.64583</v>
      </c>
      <c r="B3029" s="1">
        <f>IFERROR(__xludf.DUMMYFUNCTION("""COMPUTED_VALUE"""),65300.0)</f>
        <v>65300</v>
      </c>
      <c r="C3029" s="1">
        <f>IFERROR(__xludf.DUMMYFUNCTION("""COMPUTED_VALUE"""),65400.0)</f>
        <v>65400</v>
      </c>
      <c r="D3029" s="1">
        <f>IFERROR(__xludf.DUMMYFUNCTION("""COMPUTED_VALUE"""),63400.0)</f>
        <v>63400</v>
      </c>
      <c r="E3029" s="1">
        <f>IFERROR(__xludf.DUMMYFUNCTION("""COMPUTED_VALUE"""),63600.0)</f>
        <v>63600</v>
      </c>
      <c r="F3029" s="1">
        <f>IFERROR(__xludf.DUMMYFUNCTION("""COMPUTED_VALUE"""),1.6193271E7)</f>
        <v>16193271</v>
      </c>
    </row>
    <row r="3030">
      <c r="A3030" s="2">
        <f>IFERROR(__xludf.DUMMYFUNCTION("""COMPUTED_VALUE"""),45042.64583333333)</f>
        <v>45042.64583</v>
      </c>
      <c r="B3030" s="1">
        <f>IFERROR(__xludf.DUMMYFUNCTION("""COMPUTED_VALUE"""),63600.0)</f>
        <v>63600</v>
      </c>
      <c r="C3030" s="1">
        <f>IFERROR(__xludf.DUMMYFUNCTION("""COMPUTED_VALUE"""),64300.0)</f>
        <v>64300</v>
      </c>
      <c r="D3030" s="1">
        <f>IFERROR(__xludf.DUMMYFUNCTION("""COMPUTED_VALUE"""),63300.0)</f>
        <v>63300</v>
      </c>
      <c r="E3030" s="1">
        <f>IFERROR(__xludf.DUMMYFUNCTION("""COMPUTED_VALUE"""),64100.0)</f>
        <v>64100</v>
      </c>
      <c r="F3030" s="1">
        <f>IFERROR(__xludf.DUMMYFUNCTION("""COMPUTED_VALUE"""),1.2664541E7)</f>
        <v>12664541</v>
      </c>
    </row>
    <row r="3031">
      <c r="A3031" s="2">
        <f>IFERROR(__xludf.DUMMYFUNCTION("""COMPUTED_VALUE"""),45043.64583333333)</f>
        <v>45043.64583</v>
      </c>
      <c r="B3031" s="1">
        <f>IFERROR(__xludf.DUMMYFUNCTION("""COMPUTED_VALUE"""),64100.0)</f>
        <v>64100</v>
      </c>
      <c r="C3031" s="1">
        <f>IFERROR(__xludf.DUMMYFUNCTION("""COMPUTED_VALUE"""),65000.0)</f>
        <v>65000</v>
      </c>
      <c r="D3031" s="1">
        <f>IFERROR(__xludf.DUMMYFUNCTION("""COMPUTED_VALUE"""),63300.0)</f>
        <v>63300</v>
      </c>
      <c r="E3031" s="1">
        <f>IFERROR(__xludf.DUMMYFUNCTION("""COMPUTED_VALUE"""),64600.0)</f>
        <v>64600</v>
      </c>
      <c r="F3031" s="1">
        <f>IFERROR(__xludf.DUMMYFUNCTION("""COMPUTED_VALUE"""),1.4779601E7)</f>
        <v>14779601</v>
      </c>
    </row>
    <row r="3032">
      <c r="A3032" s="2">
        <f>IFERROR(__xludf.DUMMYFUNCTION("""COMPUTED_VALUE"""),45044.64583333333)</f>
        <v>45044.64583</v>
      </c>
      <c r="B3032" s="1">
        <f>IFERROR(__xludf.DUMMYFUNCTION("""COMPUTED_VALUE"""),65200.0)</f>
        <v>65200</v>
      </c>
      <c r="C3032" s="1">
        <f>IFERROR(__xludf.DUMMYFUNCTION("""COMPUTED_VALUE"""),65900.0)</f>
        <v>65900</v>
      </c>
      <c r="D3032" s="1">
        <f>IFERROR(__xludf.DUMMYFUNCTION("""COMPUTED_VALUE"""),65000.0)</f>
        <v>65000</v>
      </c>
      <c r="E3032" s="1">
        <f>IFERROR(__xludf.DUMMYFUNCTION("""COMPUTED_VALUE"""),65500.0)</f>
        <v>65500</v>
      </c>
      <c r="F3032" s="1">
        <f>IFERROR(__xludf.DUMMYFUNCTION("""COMPUTED_VALUE"""),1.9699481E7)</f>
        <v>19699481</v>
      </c>
    </row>
    <row r="3033">
      <c r="A3033" s="2">
        <f>IFERROR(__xludf.DUMMYFUNCTION("""COMPUTED_VALUE"""),45048.64583333333)</f>
        <v>45048.64583</v>
      </c>
      <c r="B3033" s="1">
        <f>IFERROR(__xludf.DUMMYFUNCTION("""COMPUTED_VALUE"""),66000.0)</f>
        <v>66000</v>
      </c>
      <c r="C3033" s="1">
        <f>IFERROR(__xludf.DUMMYFUNCTION("""COMPUTED_VALUE"""),66300.0)</f>
        <v>66300</v>
      </c>
      <c r="D3033" s="1">
        <f>IFERROR(__xludf.DUMMYFUNCTION("""COMPUTED_VALUE"""),65100.0)</f>
        <v>65100</v>
      </c>
      <c r="E3033" s="1">
        <f>IFERROR(__xludf.DUMMYFUNCTION("""COMPUTED_VALUE"""),65700.0)</f>
        <v>65700</v>
      </c>
      <c r="F3033" s="1">
        <f>IFERROR(__xludf.DUMMYFUNCTION("""COMPUTED_VALUE"""),1.4396948E7)</f>
        <v>14396948</v>
      </c>
    </row>
    <row r="3034">
      <c r="A3034" s="2">
        <f>IFERROR(__xludf.DUMMYFUNCTION("""COMPUTED_VALUE"""),45049.64583333333)</f>
        <v>45049.64583</v>
      </c>
      <c r="B3034" s="1">
        <f>IFERROR(__xludf.DUMMYFUNCTION("""COMPUTED_VALUE"""),65100.0)</f>
        <v>65100</v>
      </c>
      <c r="C3034" s="1">
        <f>IFERROR(__xludf.DUMMYFUNCTION("""COMPUTED_VALUE"""),65600.0)</f>
        <v>65600</v>
      </c>
      <c r="D3034" s="1">
        <f>IFERROR(__xludf.DUMMYFUNCTION("""COMPUTED_VALUE"""),64900.0)</f>
        <v>64900</v>
      </c>
      <c r="E3034" s="1">
        <f>IFERROR(__xludf.DUMMYFUNCTION("""COMPUTED_VALUE"""),65400.0)</f>
        <v>65400</v>
      </c>
      <c r="F3034" s="1">
        <f>IFERROR(__xludf.DUMMYFUNCTION("""COMPUTED_VALUE"""),8876749.0)</f>
        <v>8876749</v>
      </c>
    </row>
    <row r="3035">
      <c r="A3035" s="2">
        <f>IFERROR(__xludf.DUMMYFUNCTION("""COMPUTED_VALUE"""),45050.64583333333)</f>
        <v>45050.64583</v>
      </c>
      <c r="B3035" s="1">
        <f>IFERROR(__xludf.DUMMYFUNCTION("""COMPUTED_VALUE"""),65600.0)</f>
        <v>65600</v>
      </c>
      <c r="C3035" s="1">
        <f>IFERROR(__xludf.DUMMYFUNCTION("""COMPUTED_VALUE"""),65700.0)</f>
        <v>65700</v>
      </c>
      <c r="D3035" s="1">
        <f>IFERROR(__xludf.DUMMYFUNCTION("""COMPUTED_VALUE"""),64700.0)</f>
        <v>64700</v>
      </c>
      <c r="E3035" s="1">
        <f>IFERROR(__xludf.DUMMYFUNCTION("""COMPUTED_VALUE"""),65100.0)</f>
        <v>65100</v>
      </c>
      <c r="F3035" s="1">
        <f>IFERROR(__xludf.DUMMYFUNCTION("""COMPUTED_VALUE"""),9791064.0)</f>
        <v>9791064</v>
      </c>
    </row>
    <row r="3036">
      <c r="A3036" s="2">
        <f>IFERROR(__xludf.DUMMYFUNCTION("""COMPUTED_VALUE"""),45054.64583333333)</f>
        <v>45054.64583</v>
      </c>
      <c r="B3036" s="1">
        <f>IFERROR(__xludf.DUMMYFUNCTION("""COMPUTED_VALUE"""),66300.0)</f>
        <v>66300</v>
      </c>
      <c r="C3036" s="1">
        <f>IFERROR(__xludf.DUMMYFUNCTION("""COMPUTED_VALUE"""),66300.0)</f>
        <v>66300</v>
      </c>
      <c r="D3036" s="1">
        <f>IFERROR(__xludf.DUMMYFUNCTION("""COMPUTED_VALUE"""),65400.0)</f>
        <v>65400</v>
      </c>
      <c r="E3036" s="1">
        <f>IFERROR(__xludf.DUMMYFUNCTION("""COMPUTED_VALUE"""),65900.0)</f>
        <v>65900</v>
      </c>
      <c r="F3036" s="1">
        <f>IFERROR(__xludf.DUMMYFUNCTION("""COMPUTED_VALUE"""),9405365.0)</f>
        <v>9405365</v>
      </c>
    </row>
    <row r="3037">
      <c r="A3037" s="2">
        <f>IFERROR(__xludf.DUMMYFUNCTION("""COMPUTED_VALUE"""),45055.64583333333)</f>
        <v>45055.64583</v>
      </c>
      <c r="B3037" s="1">
        <f>IFERROR(__xludf.DUMMYFUNCTION("""COMPUTED_VALUE"""),65800.0)</f>
        <v>65800</v>
      </c>
      <c r="C3037" s="1">
        <f>IFERROR(__xludf.DUMMYFUNCTION("""COMPUTED_VALUE"""),65800.0)</f>
        <v>65800</v>
      </c>
      <c r="D3037" s="1">
        <f>IFERROR(__xludf.DUMMYFUNCTION("""COMPUTED_VALUE"""),65100.0)</f>
        <v>65100</v>
      </c>
      <c r="E3037" s="1">
        <f>IFERROR(__xludf.DUMMYFUNCTION("""COMPUTED_VALUE"""),65300.0)</f>
        <v>65300</v>
      </c>
      <c r="F3037" s="1">
        <f>IFERROR(__xludf.DUMMYFUNCTION("""COMPUTED_VALUE"""),9366861.0)</f>
        <v>9366861</v>
      </c>
    </row>
    <row r="3038">
      <c r="A3038" s="2">
        <f>IFERROR(__xludf.DUMMYFUNCTION("""COMPUTED_VALUE"""),45056.64583333333)</f>
        <v>45056.64583</v>
      </c>
      <c r="B3038" s="1">
        <f>IFERROR(__xludf.DUMMYFUNCTION("""COMPUTED_VALUE"""),65500.0)</f>
        <v>65500</v>
      </c>
      <c r="C3038" s="1">
        <f>IFERROR(__xludf.DUMMYFUNCTION("""COMPUTED_VALUE"""),65500.0)</f>
        <v>65500</v>
      </c>
      <c r="D3038" s="1">
        <f>IFERROR(__xludf.DUMMYFUNCTION("""COMPUTED_VALUE"""),64300.0)</f>
        <v>64300</v>
      </c>
      <c r="E3038" s="1">
        <f>IFERROR(__xludf.DUMMYFUNCTION("""COMPUTED_VALUE"""),64600.0)</f>
        <v>64600</v>
      </c>
      <c r="F3038" s="1">
        <f>IFERROR(__xludf.DUMMYFUNCTION("""COMPUTED_VALUE"""),1.3057727E7)</f>
        <v>13057727</v>
      </c>
    </row>
    <row r="3039">
      <c r="A3039" s="2">
        <f>IFERROR(__xludf.DUMMYFUNCTION("""COMPUTED_VALUE"""),45057.64583333333)</f>
        <v>45057.64583</v>
      </c>
      <c r="B3039" s="1">
        <f>IFERROR(__xludf.DUMMYFUNCTION("""COMPUTED_VALUE"""),64700.0)</f>
        <v>64700</v>
      </c>
      <c r="C3039" s="1">
        <f>IFERROR(__xludf.DUMMYFUNCTION("""COMPUTED_VALUE"""),65100.0)</f>
        <v>65100</v>
      </c>
      <c r="D3039" s="1">
        <f>IFERROR(__xludf.DUMMYFUNCTION("""COMPUTED_VALUE"""),64200.0)</f>
        <v>64200</v>
      </c>
      <c r="E3039" s="1">
        <f>IFERROR(__xludf.DUMMYFUNCTION("""COMPUTED_VALUE"""),64200.0)</f>
        <v>64200</v>
      </c>
      <c r="F3039" s="1">
        <f>IFERROR(__xludf.DUMMYFUNCTION("""COMPUTED_VALUE"""),1.1648905E7)</f>
        <v>11648905</v>
      </c>
    </row>
    <row r="3040">
      <c r="A3040" s="2">
        <f>IFERROR(__xludf.DUMMYFUNCTION("""COMPUTED_VALUE"""),45058.64583333333)</f>
        <v>45058.64583</v>
      </c>
      <c r="B3040" s="1">
        <f>IFERROR(__xludf.DUMMYFUNCTION("""COMPUTED_VALUE"""),63700.0)</f>
        <v>63700</v>
      </c>
      <c r="C3040" s="1">
        <f>IFERROR(__xludf.DUMMYFUNCTION("""COMPUTED_VALUE"""),64600.0)</f>
        <v>64600</v>
      </c>
      <c r="D3040" s="1">
        <f>IFERROR(__xludf.DUMMYFUNCTION("""COMPUTED_VALUE"""),63600.0)</f>
        <v>63600</v>
      </c>
      <c r="E3040" s="1">
        <f>IFERROR(__xludf.DUMMYFUNCTION("""COMPUTED_VALUE"""),64100.0)</f>
        <v>64100</v>
      </c>
      <c r="F3040" s="1">
        <f>IFERROR(__xludf.DUMMYFUNCTION("""COMPUTED_VALUE"""),8693913.0)</f>
        <v>8693913</v>
      </c>
    </row>
    <row r="3041">
      <c r="A3041" s="2">
        <f>IFERROR(__xludf.DUMMYFUNCTION("""COMPUTED_VALUE"""),45061.64583333333)</f>
        <v>45061.64583</v>
      </c>
      <c r="B3041" s="1">
        <f>IFERROR(__xludf.DUMMYFUNCTION("""COMPUTED_VALUE"""),64100.0)</f>
        <v>64100</v>
      </c>
      <c r="C3041" s="1">
        <f>IFERROR(__xludf.DUMMYFUNCTION("""COMPUTED_VALUE"""),64600.0)</f>
        <v>64600</v>
      </c>
      <c r="D3041" s="1">
        <f>IFERROR(__xludf.DUMMYFUNCTION("""COMPUTED_VALUE"""),63900.0)</f>
        <v>63900</v>
      </c>
      <c r="E3041" s="1">
        <f>IFERROR(__xludf.DUMMYFUNCTION("""COMPUTED_VALUE"""),64500.0)</f>
        <v>64500</v>
      </c>
      <c r="F3041" s="1">
        <f>IFERROR(__xludf.DUMMYFUNCTION("""COMPUTED_VALUE"""),8172021.0)</f>
        <v>8172021</v>
      </c>
    </row>
    <row r="3042">
      <c r="A3042" s="2">
        <f>IFERROR(__xludf.DUMMYFUNCTION("""COMPUTED_VALUE"""),45062.64583333333)</f>
        <v>45062.64583</v>
      </c>
      <c r="B3042" s="1">
        <f>IFERROR(__xludf.DUMMYFUNCTION("""COMPUTED_VALUE"""),65800.0)</f>
        <v>65800</v>
      </c>
      <c r="C3042" s="1">
        <f>IFERROR(__xludf.DUMMYFUNCTION("""COMPUTED_VALUE"""),65900.0)</f>
        <v>65900</v>
      </c>
      <c r="D3042" s="1">
        <f>IFERROR(__xludf.DUMMYFUNCTION("""COMPUTED_VALUE"""),65300.0)</f>
        <v>65300</v>
      </c>
      <c r="E3042" s="1">
        <f>IFERROR(__xludf.DUMMYFUNCTION("""COMPUTED_VALUE"""),65400.0)</f>
        <v>65400</v>
      </c>
      <c r="F3042" s="1">
        <f>IFERROR(__xludf.DUMMYFUNCTION("""COMPUTED_VALUE"""),1.2334657E7)</f>
        <v>12334657</v>
      </c>
    </row>
    <row r="3043">
      <c r="A3043" s="2">
        <f>IFERROR(__xludf.DUMMYFUNCTION("""COMPUTED_VALUE"""),45063.64583333333)</f>
        <v>45063.64583</v>
      </c>
      <c r="B3043" s="1">
        <f>IFERROR(__xludf.DUMMYFUNCTION("""COMPUTED_VALUE"""),65900.0)</f>
        <v>65900</v>
      </c>
      <c r="C3043" s="1">
        <f>IFERROR(__xludf.DUMMYFUNCTION("""COMPUTED_VALUE"""),65900.0)</f>
        <v>65900</v>
      </c>
      <c r="D3043" s="1">
        <f>IFERROR(__xludf.DUMMYFUNCTION("""COMPUTED_VALUE"""),64800.0)</f>
        <v>64800</v>
      </c>
      <c r="E3043" s="1">
        <f>IFERROR(__xludf.DUMMYFUNCTION("""COMPUTED_VALUE"""),65000.0)</f>
        <v>65000</v>
      </c>
      <c r="F3043" s="1">
        <f>IFERROR(__xludf.DUMMYFUNCTION("""COMPUTED_VALUE"""),1.0745504E7)</f>
        <v>10745504</v>
      </c>
    </row>
    <row r="3044">
      <c r="A3044" s="2">
        <f>IFERROR(__xludf.DUMMYFUNCTION("""COMPUTED_VALUE"""),45064.64583333333)</f>
        <v>45064.64583</v>
      </c>
      <c r="B3044" s="1">
        <f>IFERROR(__xludf.DUMMYFUNCTION("""COMPUTED_VALUE"""),66000.0)</f>
        <v>66000</v>
      </c>
      <c r="C3044" s="1">
        <f>IFERROR(__xludf.DUMMYFUNCTION("""COMPUTED_VALUE"""),66200.0)</f>
        <v>66200</v>
      </c>
      <c r="D3044" s="1">
        <f>IFERROR(__xludf.DUMMYFUNCTION("""COMPUTED_VALUE"""),65700.0)</f>
        <v>65700</v>
      </c>
      <c r="E3044" s="1">
        <f>IFERROR(__xludf.DUMMYFUNCTION("""COMPUTED_VALUE"""),66200.0)</f>
        <v>66200</v>
      </c>
      <c r="F3044" s="1">
        <f>IFERROR(__xludf.DUMMYFUNCTION("""COMPUTED_VALUE"""),1.4431704E7)</f>
        <v>14431704</v>
      </c>
    </row>
    <row r="3045">
      <c r="A3045" s="2">
        <f>IFERROR(__xludf.DUMMYFUNCTION("""COMPUTED_VALUE"""),45065.64583333333)</f>
        <v>45065.64583</v>
      </c>
      <c r="B3045" s="1">
        <f>IFERROR(__xludf.DUMMYFUNCTION("""COMPUTED_VALUE"""),67800.0)</f>
        <v>67800</v>
      </c>
      <c r="C3045" s="1">
        <f>IFERROR(__xludf.DUMMYFUNCTION("""COMPUTED_VALUE"""),68400.0)</f>
        <v>68400</v>
      </c>
      <c r="D3045" s="1">
        <f>IFERROR(__xludf.DUMMYFUNCTION("""COMPUTED_VALUE"""),67500.0)</f>
        <v>67500</v>
      </c>
      <c r="E3045" s="1">
        <f>IFERROR(__xludf.DUMMYFUNCTION("""COMPUTED_VALUE"""),68400.0)</f>
        <v>68400</v>
      </c>
      <c r="F3045" s="1">
        <f>IFERROR(__xludf.DUMMYFUNCTION("""COMPUTED_VALUE"""),2.0349345E7)</f>
        <v>20349345</v>
      </c>
    </row>
    <row r="3046">
      <c r="A3046" s="2">
        <f>IFERROR(__xludf.DUMMYFUNCTION("""COMPUTED_VALUE"""),45068.64583333333)</f>
        <v>45068.64583</v>
      </c>
      <c r="B3046" s="1">
        <f>IFERROR(__xludf.DUMMYFUNCTION("""COMPUTED_VALUE"""),68400.0)</f>
        <v>68400</v>
      </c>
      <c r="C3046" s="1">
        <f>IFERROR(__xludf.DUMMYFUNCTION("""COMPUTED_VALUE"""),69000.0)</f>
        <v>69000</v>
      </c>
      <c r="D3046" s="1">
        <f>IFERROR(__xludf.DUMMYFUNCTION("""COMPUTED_VALUE"""),68000.0)</f>
        <v>68000</v>
      </c>
      <c r="E3046" s="1">
        <f>IFERROR(__xludf.DUMMYFUNCTION("""COMPUTED_VALUE"""),68500.0)</f>
        <v>68500</v>
      </c>
      <c r="F3046" s="1">
        <f>IFERROR(__xludf.DUMMYFUNCTION("""COMPUTED_VALUE"""),1.4470308E7)</f>
        <v>14470308</v>
      </c>
    </row>
    <row r="3047">
      <c r="A3047" s="2">
        <f>IFERROR(__xludf.DUMMYFUNCTION("""COMPUTED_VALUE"""),45069.64583333333)</f>
        <v>45069.64583</v>
      </c>
      <c r="B3047" s="1">
        <f>IFERROR(__xludf.DUMMYFUNCTION("""COMPUTED_VALUE"""),68500.0)</f>
        <v>68500</v>
      </c>
      <c r="C3047" s="1">
        <f>IFERROR(__xludf.DUMMYFUNCTION("""COMPUTED_VALUE"""),68700.0)</f>
        <v>68700</v>
      </c>
      <c r="D3047" s="1">
        <f>IFERROR(__xludf.DUMMYFUNCTION("""COMPUTED_VALUE"""),68100.0)</f>
        <v>68100</v>
      </c>
      <c r="E3047" s="1">
        <f>IFERROR(__xludf.DUMMYFUNCTION("""COMPUTED_VALUE"""),68400.0)</f>
        <v>68400</v>
      </c>
      <c r="F3047" s="1">
        <f>IFERROR(__xludf.DUMMYFUNCTION("""COMPUTED_VALUE"""),8561643.0)</f>
        <v>8561643</v>
      </c>
    </row>
    <row r="3048">
      <c r="A3048" s="2">
        <f>IFERROR(__xludf.DUMMYFUNCTION("""COMPUTED_VALUE"""),45070.64583333333)</f>
        <v>45070.64583</v>
      </c>
      <c r="B3048" s="1">
        <f>IFERROR(__xludf.DUMMYFUNCTION("""COMPUTED_VALUE"""),68100.0)</f>
        <v>68100</v>
      </c>
      <c r="C3048" s="1">
        <f>IFERROR(__xludf.DUMMYFUNCTION("""COMPUTED_VALUE"""),68700.0)</f>
        <v>68700</v>
      </c>
      <c r="D3048" s="1">
        <f>IFERROR(__xludf.DUMMYFUNCTION("""COMPUTED_VALUE"""),68000.0)</f>
        <v>68000</v>
      </c>
      <c r="E3048" s="1">
        <f>IFERROR(__xludf.DUMMYFUNCTION("""COMPUTED_VALUE"""),68500.0)</f>
        <v>68500</v>
      </c>
      <c r="F3048" s="1">
        <f>IFERROR(__xludf.DUMMYFUNCTION("""COMPUTED_VALUE"""),8192896.0)</f>
        <v>8192896</v>
      </c>
    </row>
    <row r="3049">
      <c r="A3049" s="2">
        <f>IFERROR(__xludf.DUMMYFUNCTION("""COMPUTED_VALUE"""),45071.64583333333)</f>
        <v>45071.64583</v>
      </c>
      <c r="B3049" s="1">
        <f>IFERROR(__xludf.DUMMYFUNCTION("""COMPUTED_VALUE"""),69900.0)</f>
        <v>69900</v>
      </c>
      <c r="C3049" s="1">
        <f>IFERROR(__xludf.DUMMYFUNCTION("""COMPUTED_VALUE"""),70000.0)</f>
        <v>70000</v>
      </c>
      <c r="D3049" s="1">
        <f>IFERROR(__xludf.DUMMYFUNCTION("""COMPUTED_VALUE"""),68700.0)</f>
        <v>68700</v>
      </c>
      <c r="E3049" s="1">
        <f>IFERROR(__xludf.DUMMYFUNCTION("""COMPUTED_VALUE"""),68800.0)</f>
        <v>68800</v>
      </c>
      <c r="F3049" s="1">
        <f>IFERROR(__xludf.DUMMYFUNCTION("""COMPUTED_VALUE"""),1.423116E7)</f>
        <v>14231160</v>
      </c>
    </row>
    <row r="3050">
      <c r="A3050" s="2">
        <f>IFERROR(__xludf.DUMMYFUNCTION("""COMPUTED_VALUE"""),45072.64583333333)</f>
        <v>45072.64583</v>
      </c>
      <c r="B3050" s="1">
        <f>IFERROR(__xludf.DUMMYFUNCTION("""COMPUTED_VALUE"""),69800.0)</f>
        <v>69800</v>
      </c>
      <c r="C3050" s="1">
        <f>IFERROR(__xludf.DUMMYFUNCTION("""COMPUTED_VALUE"""),70400.0)</f>
        <v>70400</v>
      </c>
      <c r="D3050" s="1">
        <f>IFERROR(__xludf.DUMMYFUNCTION("""COMPUTED_VALUE"""),69500.0)</f>
        <v>69500</v>
      </c>
      <c r="E3050" s="1">
        <f>IFERROR(__xludf.DUMMYFUNCTION("""COMPUTED_VALUE"""),70300.0)</f>
        <v>70300</v>
      </c>
      <c r="F3050" s="1">
        <f>IFERROR(__xludf.DUMMYFUNCTION("""COMPUTED_VALUE"""),1.9549511E7)</f>
        <v>19549511</v>
      </c>
    </row>
    <row r="3051">
      <c r="A3051" s="2">
        <f>IFERROR(__xludf.DUMMYFUNCTION("""COMPUTED_VALUE"""),45076.64583333333)</f>
        <v>45076.64583</v>
      </c>
      <c r="B3051" s="1">
        <f>IFERROR(__xludf.DUMMYFUNCTION("""COMPUTED_VALUE"""),71300.0)</f>
        <v>71300</v>
      </c>
      <c r="C3051" s="1">
        <f>IFERROR(__xludf.DUMMYFUNCTION("""COMPUTED_VALUE"""),72300.0)</f>
        <v>72300</v>
      </c>
      <c r="D3051" s="1">
        <f>IFERROR(__xludf.DUMMYFUNCTION("""COMPUTED_VALUE"""),71200.0)</f>
        <v>71200</v>
      </c>
      <c r="E3051" s="1">
        <f>IFERROR(__xludf.DUMMYFUNCTION("""COMPUTED_VALUE"""),72300.0)</f>
        <v>72300</v>
      </c>
      <c r="F3051" s="1">
        <f>IFERROR(__xludf.DUMMYFUNCTION("""COMPUTED_VALUE"""),2.7476897E7)</f>
        <v>27476897</v>
      </c>
    </row>
    <row r="3052">
      <c r="A3052" s="2">
        <f>IFERROR(__xludf.DUMMYFUNCTION("""COMPUTED_VALUE"""),45077.64583333333)</f>
        <v>45077.64583</v>
      </c>
      <c r="B3052" s="1">
        <f>IFERROR(__xludf.DUMMYFUNCTION("""COMPUTED_VALUE"""),72400.0)</f>
        <v>72400</v>
      </c>
      <c r="C3052" s="1">
        <f>IFERROR(__xludf.DUMMYFUNCTION("""COMPUTED_VALUE"""),72500.0)</f>
        <v>72500</v>
      </c>
      <c r="D3052" s="1">
        <f>IFERROR(__xludf.DUMMYFUNCTION("""COMPUTED_VALUE"""),71000.0)</f>
        <v>71000</v>
      </c>
      <c r="E3052" s="1">
        <f>IFERROR(__xludf.DUMMYFUNCTION("""COMPUTED_VALUE"""),71400.0)</f>
        <v>71400</v>
      </c>
      <c r="F3052" s="1">
        <f>IFERROR(__xludf.DUMMYFUNCTION("""COMPUTED_VALUE"""),2.5666087E7)</f>
        <v>25666087</v>
      </c>
    </row>
    <row r="3053">
      <c r="A3053" s="2">
        <f>IFERROR(__xludf.DUMMYFUNCTION("""COMPUTED_VALUE"""),45078.64583333333)</f>
        <v>45078.64583</v>
      </c>
      <c r="B3053" s="1">
        <f>IFERROR(__xludf.DUMMYFUNCTION("""COMPUTED_VALUE"""),70900.0)</f>
        <v>70900</v>
      </c>
      <c r="C3053" s="1">
        <f>IFERROR(__xludf.DUMMYFUNCTION("""COMPUTED_VALUE"""),71600.0)</f>
        <v>71600</v>
      </c>
      <c r="D3053" s="1">
        <f>IFERROR(__xludf.DUMMYFUNCTION("""COMPUTED_VALUE"""),70600.0)</f>
        <v>70600</v>
      </c>
      <c r="E3053" s="1">
        <f>IFERROR(__xludf.DUMMYFUNCTION("""COMPUTED_VALUE"""),70900.0)</f>
        <v>70900</v>
      </c>
      <c r="F3053" s="1">
        <f>IFERROR(__xludf.DUMMYFUNCTION("""COMPUTED_VALUE"""),1.4669296E7)</f>
        <v>14669296</v>
      </c>
    </row>
    <row r="3054">
      <c r="A3054" s="2">
        <f>IFERROR(__xludf.DUMMYFUNCTION("""COMPUTED_VALUE"""),45079.64583333333)</f>
        <v>45079.64583</v>
      </c>
      <c r="B3054" s="1">
        <f>IFERROR(__xludf.DUMMYFUNCTION("""COMPUTED_VALUE"""),71700.0)</f>
        <v>71700</v>
      </c>
      <c r="C3054" s="1">
        <f>IFERROR(__xludf.DUMMYFUNCTION("""COMPUTED_VALUE"""),72200.0)</f>
        <v>72200</v>
      </c>
      <c r="D3054" s="1">
        <f>IFERROR(__xludf.DUMMYFUNCTION("""COMPUTED_VALUE"""),71600.0)</f>
        <v>71600</v>
      </c>
      <c r="E3054" s="1">
        <f>IFERROR(__xludf.DUMMYFUNCTION("""COMPUTED_VALUE"""),72200.0)</f>
        <v>72200</v>
      </c>
      <c r="F3054" s="1">
        <f>IFERROR(__xludf.DUMMYFUNCTION("""COMPUTED_VALUE"""),1.2161798E7)</f>
        <v>12161798</v>
      </c>
    </row>
    <row r="3055">
      <c r="A3055" s="2">
        <f>IFERROR(__xludf.DUMMYFUNCTION("""COMPUTED_VALUE"""),45082.64583333333)</f>
        <v>45082.64583</v>
      </c>
      <c r="B3055" s="1">
        <f>IFERROR(__xludf.DUMMYFUNCTION("""COMPUTED_VALUE"""),72700.0)</f>
        <v>72700</v>
      </c>
      <c r="C3055" s="1">
        <f>IFERROR(__xludf.DUMMYFUNCTION("""COMPUTED_VALUE"""),72700.0)</f>
        <v>72700</v>
      </c>
      <c r="D3055" s="1">
        <f>IFERROR(__xludf.DUMMYFUNCTION("""COMPUTED_VALUE"""),71400.0)</f>
        <v>71400</v>
      </c>
      <c r="E3055" s="1">
        <f>IFERROR(__xludf.DUMMYFUNCTION("""COMPUTED_VALUE"""),71700.0)</f>
        <v>71700</v>
      </c>
      <c r="F3055" s="1">
        <f>IFERROR(__xludf.DUMMYFUNCTION("""COMPUTED_VALUE"""),1.2686829E7)</f>
        <v>12686829</v>
      </c>
    </row>
    <row r="3056">
      <c r="A3056" s="2">
        <f>IFERROR(__xludf.DUMMYFUNCTION("""COMPUTED_VALUE"""),45084.64583333333)</f>
        <v>45084.64583</v>
      </c>
      <c r="B3056" s="1">
        <f>IFERROR(__xludf.DUMMYFUNCTION("""COMPUTED_VALUE"""),71300.0)</f>
        <v>71300</v>
      </c>
      <c r="C3056" s="1">
        <f>IFERROR(__xludf.DUMMYFUNCTION("""COMPUTED_VALUE"""),71600.0)</f>
        <v>71600</v>
      </c>
      <c r="D3056" s="1">
        <f>IFERROR(__xludf.DUMMYFUNCTION("""COMPUTED_VALUE"""),70800.0)</f>
        <v>70800</v>
      </c>
      <c r="E3056" s="1">
        <f>IFERROR(__xludf.DUMMYFUNCTION("""COMPUTED_VALUE"""),71000.0)</f>
        <v>71000</v>
      </c>
      <c r="F3056" s="1">
        <f>IFERROR(__xludf.DUMMYFUNCTION("""COMPUTED_VALUE"""),1.4796613E7)</f>
        <v>14796613</v>
      </c>
    </row>
    <row r="3057">
      <c r="A3057" s="2">
        <f>IFERROR(__xludf.DUMMYFUNCTION("""COMPUTED_VALUE"""),45085.64583333333)</f>
        <v>45085.64583</v>
      </c>
      <c r="B3057" s="1">
        <f>IFERROR(__xludf.DUMMYFUNCTION("""COMPUTED_VALUE"""),70400.0)</f>
        <v>70400</v>
      </c>
      <c r="C3057" s="1">
        <f>IFERROR(__xludf.DUMMYFUNCTION("""COMPUTED_VALUE"""),70900.0)</f>
        <v>70900</v>
      </c>
      <c r="D3057" s="1">
        <f>IFERROR(__xludf.DUMMYFUNCTION("""COMPUTED_VALUE"""),70000.0)</f>
        <v>70000</v>
      </c>
      <c r="E3057" s="1">
        <f>IFERROR(__xludf.DUMMYFUNCTION("""COMPUTED_VALUE"""),70900.0)</f>
        <v>70900</v>
      </c>
      <c r="F3057" s="1">
        <f>IFERROR(__xludf.DUMMYFUNCTION("""COMPUTED_VALUE"""),1.9165568E7)</f>
        <v>19165568</v>
      </c>
    </row>
    <row r="3058">
      <c r="A3058" s="2">
        <f>IFERROR(__xludf.DUMMYFUNCTION("""COMPUTED_VALUE"""),45086.64583333333)</f>
        <v>45086.64583</v>
      </c>
      <c r="B3058" s="1">
        <f>IFERROR(__xludf.DUMMYFUNCTION("""COMPUTED_VALUE"""),71100.0)</f>
        <v>71100</v>
      </c>
      <c r="C3058" s="1">
        <f>IFERROR(__xludf.DUMMYFUNCTION("""COMPUTED_VALUE"""),72300.0)</f>
        <v>72300</v>
      </c>
      <c r="D3058" s="1">
        <f>IFERROR(__xludf.DUMMYFUNCTION("""COMPUTED_VALUE"""),70800.0)</f>
        <v>70800</v>
      </c>
      <c r="E3058" s="1">
        <f>IFERROR(__xludf.DUMMYFUNCTION("""COMPUTED_VALUE"""),72000.0)</f>
        <v>72000</v>
      </c>
      <c r="F3058" s="1">
        <f>IFERROR(__xludf.DUMMYFUNCTION("""COMPUTED_VALUE"""),1.5050209E7)</f>
        <v>15050209</v>
      </c>
    </row>
    <row r="3059">
      <c r="A3059" s="2">
        <f>IFERROR(__xludf.DUMMYFUNCTION("""COMPUTED_VALUE"""),45089.64583333333)</f>
        <v>45089.64583</v>
      </c>
      <c r="B3059" s="1">
        <f>IFERROR(__xludf.DUMMYFUNCTION("""COMPUTED_VALUE"""),72100.0)</f>
        <v>72100</v>
      </c>
      <c r="C3059" s="1">
        <f>IFERROR(__xludf.DUMMYFUNCTION("""COMPUTED_VALUE"""),72400.0)</f>
        <v>72400</v>
      </c>
      <c r="D3059" s="1">
        <f>IFERROR(__xludf.DUMMYFUNCTION("""COMPUTED_VALUE"""),70800.0)</f>
        <v>70800</v>
      </c>
      <c r="E3059" s="1">
        <f>IFERROR(__xludf.DUMMYFUNCTION("""COMPUTED_VALUE"""),71000.0)</f>
        <v>71000</v>
      </c>
      <c r="F3059" s="1">
        <f>IFERROR(__xludf.DUMMYFUNCTION("""COMPUTED_VALUE"""),1.2064287E7)</f>
        <v>12064287</v>
      </c>
    </row>
    <row r="3060">
      <c r="A3060" s="2">
        <f>IFERROR(__xludf.DUMMYFUNCTION("""COMPUTED_VALUE"""),45090.64583333333)</f>
        <v>45090.64583</v>
      </c>
      <c r="B3060" s="1">
        <f>IFERROR(__xludf.DUMMYFUNCTION("""COMPUTED_VALUE"""),71700.0)</f>
        <v>71700</v>
      </c>
      <c r="C3060" s="1">
        <f>IFERROR(__xludf.DUMMYFUNCTION("""COMPUTED_VALUE"""),72200.0)</f>
        <v>72200</v>
      </c>
      <c r="D3060" s="1">
        <f>IFERROR(__xludf.DUMMYFUNCTION("""COMPUTED_VALUE"""),71600.0)</f>
        <v>71600</v>
      </c>
      <c r="E3060" s="1">
        <f>IFERROR(__xludf.DUMMYFUNCTION("""COMPUTED_VALUE"""),72000.0)</f>
        <v>72000</v>
      </c>
      <c r="F3060" s="1">
        <f>IFERROR(__xludf.DUMMYFUNCTION("""COMPUTED_VALUE"""),1.3227285E7)</f>
        <v>13227285</v>
      </c>
    </row>
    <row r="3061">
      <c r="A3061" s="2">
        <f>IFERROR(__xludf.DUMMYFUNCTION("""COMPUTED_VALUE"""),45091.64583333333)</f>
        <v>45091.64583</v>
      </c>
      <c r="B3061" s="1">
        <f>IFERROR(__xludf.DUMMYFUNCTION("""COMPUTED_VALUE"""),72100.0)</f>
        <v>72100</v>
      </c>
      <c r="C3061" s="1">
        <f>IFERROR(__xludf.DUMMYFUNCTION("""COMPUTED_VALUE"""),72200.0)</f>
        <v>72200</v>
      </c>
      <c r="D3061" s="1">
        <f>IFERROR(__xludf.DUMMYFUNCTION("""COMPUTED_VALUE"""),71100.0)</f>
        <v>71100</v>
      </c>
      <c r="E3061" s="1">
        <f>IFERROR(__xludf.DUMMYFUNCTION("""COMPUTED_VALUE"""),71900.0)</f>
        <v>71900</v>
      </c>
      <c r="F3061" s="1">
        <f>IFERROR(__xludf.DUMMYFUNCTION("""COMPUTED_VALUE"""),1.2541046E7)</f>
        <v>12541046</v>
      </c>
    </row>
    <row r="3062">
      <c r="A3062" s="2">
        <f>IFERROR(__xludf.DUMMYFUNCTION("""COMPUTED_VALUE"""),45092.64583333333)</f>
        <v>45092.64583</v>
      </c>
      <c r="B3062" s="1">
        <f>IFERROR(__xludf.DUMMYFUNCTION("""COMPUTED_VALUE"""),72100.0)</f>
        <v>72100</v>
      </c>
      <c r="C3062" s="1">
        <f>IFERROR(__xludf.DUMMYFUNCTION("""COMPUTED_VALUE"""),72300.0)</f>
        <v>72300</v>
      </c>
      <c r="D3062" s="1">
        <f>IFERROR(__xludf.DUMMYFUNCTION("""COMPUTED_VALUE"""),71300.0)</f>
        <v>71300</v>
      </c>
      <c r="E3062" s="1">
        <f>IFERROR(__xludf.DUMMYFUNCTION("""COMPUTED_VALUE"""),71500.0)</f>
        <v>71500</v>
      </c>
      <c r="F3062" s="1">
        <f>IFERROR(__xludf.DUMMYFUNCTION("""COMPUTED_VALUE"""),1.3614994E7)</f>
        <v>13614994</v>
      </c>
    </row>
    <row r="3063">
      <c r="A3063" s="2">
        <f>IFERROR(__xludf.DUMMYFUNCTION("""COMPUTED_VALUE"""),45093.64583333333)</f>
        <v>45093.64583</v>
      </c>
      <c r="B3063" s="1">
        <f>IFERROR(__xludf.DUMMYFUNCTION("""COMPUTED_VALUE"""),71800.0)</f>
        <v>71800</v>
      </c>
      <c r="C3063" s="1">
        <f>IFERROR(__xludf.DUMMYFUNCTION("""COMPUTED_VALUE"""),71900.0)</f>
        <v>71900</v>
      </c>
      <c r="D3063" s="1">
        <f>IFERROR(__xludf.DUMMYFUNCTION("""COMPUTED_VALUE"""),70900.0)</f>
        <v>70900</v>
      </c>
      <c r="E3063" s="1">
        <f>IFERROR(__xludf.DUMMYFUNCTION("""COMPUTED_VALUE"""),71800.0)</f>
        <v>71800</v>
      </c>
      <c r="F3063" s="1">
        <f>IFERROR(__xludf.DUMMYFUNCTION("""COMPUTED_VALUE"""),1.5373696E7)</f>
        <v>15373696</v>
      </c>
    </row>
    <row r="3064">
      <c r="A3064" s="2">
        <f>IFERROR(__xludf.DUMMYFUNCTION("""COMPUTED_VALUE"""),45096.64583333333)</f>
        <v>45096.64583</v>
      </c>
      <c r="B3064" s="1">
        <f>IFERROR(__xludf.DUMMYFUNCTION("""COMPUTED_VALUE"""),71300.0)</f>
        <v>71300</v>
      </c>
      <c r="C3064" s="1">
        <f>IFERROR(__xludf.DUMMYFUNCTION("""COMPUTED_VALUE"""),71700.0)</f>
        <v>71700</v>
      </c>
      <c r="D3064" s="1">
        <f>IFERROR(__xludf.DUMMYFUNCTION("""COMPUTED_VALUE"""),70900.0)</f>
        <v>70900</v>
      </c>
      <c r="E3064" s="1">
        <f>IFERROR(__xludf.DUMMYFUNCTION("""COMPUTED_VALUE"""),71200.0)</f>
        <v>71200</v>
      </c>
      <c r="F3064" s="1">
        <f>IFERROR(__xludf.DUMMYFUNCTION("""COMPUTED_VALUE"""),1.1100887E7)</f>
        <v>11100887</v>
      </c>
    </row>
    <row r="3065">
      <c r="A3065" s="2">
        <f>IFERROR(__xludf.DUMMYFUNCTION("""COMPUTED_VALUE"""),45097.64583333333)</f>
        <v>45097.64583</v>
      </c>
      <c r="B3065" s="1">
        <f>IFERROR(__xludf.DUMMYFUNCTION("""COMPUTED_VALUE"""),70700.0)</f>
        <v>70700</v>
      </c>
      <c r="C3065" s="1">
        <f>IFERROR(__xludf.DUMMYFUNCTION("""COMPUTED_VALUE"""),71400.0)</f>
        <v>71400</v>
      </c>
      <c r="D3065" s="1">
        <f>IFERROR(__xludf.DUMMYFUNCTION("""COMPUTED_VALUE"""),70400.0)</f>
        <v>70400</v>
      </c>
      <c r="E3065" s="1">
        <f>IFERROR(__xludf.DUMMYFUNCTION("""COMPUTED_VALUE"""),71400.0)</f>
        <v>71400</v>
      </c>
      <c r="F3065" s="1">
        <f>IFERROR(__xludf.DUMMYFUNCTION("""COMPUTED_VALUE"""),1.1557883E7)</f>
        <v>11557883</v>
      </c>
    </row>
    <row r="3066">
      <c r="A3066" s="2">
        <f>IFERROR(__xludf.DUMMYFUNCTION("""COMPUTED_VALUE"""),45098.64583333333)</f>
        <v>45098.64583</v>
      </c>
      <c r="B3066" s="1">
        <f>IFERROR(__xludf.DUMMYFUNCTION("""COMPUTED_VALUE"""),70700.0)</f>
        <v>70700</v>
      </c>
      <c r="C3066" s="1">
        <f>IFERROR(__xludf.DUMMYFUNCTION("""COMPUTED_VALUE"""),71200.0)</f>
        <v>71200</v>
      </c>
      <c r="D3066" s="1">
        <f>IFERROR(__xludf.DUMMYFUNCTION("""COMPUTED_VALUE"""),70400.0)</f>
        <v>70400</v>
      </c>
      <c r="E3066" s="1">
        <f>IFERROR(__xludf.DUMMYFUNCTION("""COMPUTED_VALUE"""),70500.0)</f>
        <v>70500</v>
      </c>
      <c r="F3066" s="1">
        <f>IFERROR(__xludf.DUMMYFUNCTION("""COMPUTED_VALUE"""),1.0626603E7)</f>
        <v>10626603</v>
      </c>
    </row>
    <row r="3067">
      <c r="A3067" s="2">
        <f>IFERROR(__xludf.DUMMYFUNCTION("""COMPUTED_VALUE"""),45099.64583333333)</f>
        <v>45099.64583</v>
      </c>
      <c r="B3067" s="1">
        <f>IFERROR(__xludf.DUMMYFUNCTION("""COMPUTED_VALUE"""),70200.0)</f>
        <v>70200</v>
      </c>
      <c r="C3067" s="1">
        <f>IFERROR(__xludf.DUMMYFUNCTION("""COMPUTED_VALUE"""),71500.0)</f>
        <v>71500</v>
      </c>
      <c r="D3067" s="1">
        <f>IFERROR(__xludf.DUMMYFUNCTION("""COMPUTED_VALUE"""),70100.0)</f>
        <v>70100</v>
      </c>
      <c r="E3067" s="1">
        <f>IFERROR(__xludf.DUMMYFUNCTION("""COMPUTED_VALUE"""),71300.0)</f>
        <v>71300</v>
      </c>
      <c r="F3067" s="1">
        <f>IFERROR(__xludf.DUMMYFUNCTION("""COMPUTED_VALUE"""),1.1411007E7)</f>
        <v>11411007</v>
      </c>
    </row>
    <row r="3068">
      <c r="A3068" s="2">
        <f>IFERROR(__xludf.DUMMYFUNCTION("""COMPUTED_VALUE"""),45100.64583333333)</f>
        <v>45100.64583</v>
      </c>
      <c r="B3068" s="1">
        <f>IFERROR(__xludf.DUMMYFUNCTION("""COMPUTED_VALUE"""),72000.0)</f>
        <v>72000</v>
      </c>
      <c r="C3068" s="1">
        <f>IFERROR(__xludf.DUMMYFUNCTION("""COMPUTED_VALUE"""),72200.0)</f>
        <v>72200</v>
      </c>
      <c r="D3068" s="1">
        <f>IFERROR(__xludf.DUMMYFUNCTION("""COMPUTED_VALUE"""),71600.0)</f>
        <v>71600</v>
      </c>
      <c r="E3068" s="1">
        <f>IFERROR(__xludf.DUMMYFUNCTION("""COMPUTED_VALUE"""),71600.0)</f>
        <v>71600</v>
      </c>
      <c r="F3068" s="1">
        <f>IFERROR(__xludf.DUMMYFUNCTION("""COMPUTED_VALUE"""),1.2329484E7)</f>
        <v>12329484</v>
      </c>
    </row>
    <row r="3069">
      <c r="A3069" s="2">
        <f>IFERROR(__xludf.DUMMYFUNCTION("""COMPUTED_VALUE"""),45103.64583333333)</f>
        <v>45103.64583</v>
      </c>
      <c r="B3069" s="1">
        <f>IFERROR(__xludf.DUMMYFUNCTION("""COMPUTED_VALUE"""),71700.0)</f>
        <v>71700</v>
      </c>
      <c r="C3069" s="1">
        <f>IFERROR(__xludf.DUMMYFUNCTION("""COMPUTED_VALUE"""),72500.0)</f>
        <v>72500</v>
      </c>
      <c r="D3069" s="1">
        <f>IFERROR(__xludf.DUMMYFUNCTION("""COMPUTED_VALUE"""),71500.0)</f>
        <v>71500</v>
      </c>
      <c r="E3069" s="1">
        <f>IFERROR(__xludf.DUMMYFUNCTION("""COMPUTED_VALUE"""),72400.0)</f>
        <v>72400</v>
      </c>
      <c r="F3069" s="1">
        <f>IFERROR(__xludf.DUMMYFUNCTION("""COMPUTED_VALUE"""),1.0541901E7)</f>
        <v>10541901</v>
      </c>
    </row>
    <row r="3070">
      <c r="A3070" s="2">
        <f>IFERROR(__xludf.DUMMYFUNCTION("""COMPUTED_VALUE"""),45104.64583333333)</f>
        <v>45104.64583</v>
      </c>
      <c r="B3070" s="1">
        <f>IFERROR(__xludf.DUMMYFUNCTION("""COMPUTED_VALUE"""),72500.0)</f>
        <v>72500</v>
      </c>
      <c r="C3070" s="1">
        <f>IFERROR(__xludf.DUMMYFUNCTION("""COMPUTED_VALUE"""),72600.0)</f>
        <v>72600</v>
      </c>
      <c r="D3070" s="1">
        <f>IFERROR(__xludf.DUMMYFUNCTION("""COMPUTED_VALUE"""),72000.0)</f>
        <v>72000</v>
      </c>
      <c r="E3070" s="1">
        <f>IFERROR(__xludf.DUMMYFUNCTION("""COMPUTED_VALUE"""),72600.0)</f>
        <v>72600</v>
      </c>
      <c r="F3070" s="1">
        <f>IFERROR(__xludf.DUMMYFUNCTION("""COMPUTED_VALUE"""),9442997.0)</f>
        <v>9442997</v>
      </c>
    </row>
    <row r="3071">
      <c r="A3071" s="2">
        <f>IFERROR(__xludf.DUMMYFUNCTION("""COMPUTED_VALUE"""),45105.64583333333)</f>
        <v>45105.64583</v>
      </c>
      <c r="B3071" s="1">
        <f>IFERROR(__xludf.DUMMYFUNCTION("""COMPUTED_VALUE"""),72600.0)</f>
        <v>72600</v>
      </c>
      <c r="C3071" s="1">
        <f>IFERROR(__xludf.DUMMYFUNCTION("""COMPUTED_VALUE"""),72700.0)</f>
        <v>72700</v>
      </c>
      <c r="D3071" s="1">
        <f>IFERROR(__xludf.DUMMYFUNCTION("""COMPUTED_VALUE"""),72000.0)</f>
        <v>72000</v>
      </c>
      <c r="E3071" s="1">
        <f>IFERROR(__xludf.DUMMYFUNCTION("""COMPUTED_VALUE"""),72700.0)</f>
        <v>72700</v>
      </c>
      <c r="F3071" s="1">
        <f>IFERROR(__xludf.DUMMYFUNCTION("""COMPUTED_VALUE"""),8783093.0)</f>
        <v>8783093</v>
      </c>
    </row>
    <row r="3072">
      <c r="A3072" s="2">
        <f>IFERROR(__xludf.DUMMYFUNCTION("""COMPUTED_VALUE"""),45106.64583333333)</f>
        <v>45106.64583</v>
      </c>
      <c r="B3072" s="1">
        <f>IFERROR(__xludf.DUMMYFUNCTION("""COMPUTED_VALUE"""),73100.0)</f>
        <v>73100</v>
      </c>
      <c r="C3072" s="1">
        <f>IFERROR(__xludf.DUMMYFUNCTION("""COMPUTED_VALUE"""),73400.0)</f>
        <v>73400</v>
      </c>
      <c r="D3072" s="1">
        <f>IFERROR(__xludf.DUMMYFUNCTION("""COMPUTED_VALUE"""),72400.0)</f>
        <v>72400</v>
      </c>
      <c r="E3072" s="1">
        <f>IFERROR(__xludf.DUMMYFUNCTION("""COMPUTED_VALUE"""),72400.0)</f>
        <v>72400</v>
      </c>
      <c r="F3072" s="1">
        <f>IFERROR(__xludf.DUMMYFUNCTION("""COMPUTED_VALUE"""),1.2229967E7)</f>
        <v>12229967</v>
      </c>
    </row>
    <row r="3073">
      <c r="A3073" s="2">
        <f>IFERROR(__xludf.DUMMYFUNCTION("""COMPUTED_VALUE"""),45107.64583333333)</f>
        <v>45107.64583</v>
      </c>
      <c r="B3073" s="1">
        <f>IFERROR(__xludf.DUMMYFUNCTION("""COMPUTED_VALUE"""),72500.0)</f>
        <v>72500</v>
      </c>
      <c r="C3073" s="1">
        <f>IFERROR(__xludf.DUMMYFUNCTION("""COMPUTED_VALUE"""),72700.0)</f>
        <v>72700</v>
      </c>
      <c r="D3073" s="1">
        <f>IFERROR(__xludf.DUMMYFUNCTION("""COMPUTED_VALUE"""),71700.0)</f>
        <v>71700</v>
      </c>
      <c r="E3073" s="1">
        <f>IFERROR(__xludf.DUMMYFUNCTION("""COMPUTED_VALUE"""),72200.0)</f>
        <v>72200</v>
      </c>
      <c r="F3073" s="1">
        <f>IFERROR(__xludf.DUMMYFUNCTION("""COMPUTED_VALUE"""),1.1694765E7)</f>
        <v>11694765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IFERROR(__xludf.DUMMYFUNCTION("IMPORTHTML(""https://finance.naver.com/item/frgn.naver?code=005930"",""table"",3)"),"날짜")</f>
        <v>날짜</v>
      </c>
      <c r="B1" s="1" t="str">
        <f>IFERROR(__xludf.DUMMYFUNCTION("""COMPUTED_VALUE"""),"종가")</f>
        <v>종가</v>
      </c>
      <c r="C1" s="1" t="str">
        <f>IFERROR(__xludf.DUMMYFUNCTION("""COMPUTED_VALUE"""),"전일비")</f>
        <v>전일비</v>
      </c>
      <c r="D1" s="1" t="str">
        <f>IFERROR(__xludf.DUMMYFUNCTION("""COMPUTED_VALUE"""),"등락률")</f>
        <v>등락률</v>
      </c>
      <c r="E1" s="1" t="str">
        <f>IFERROR(__xludf.DUMMYFUNCTION("""COMPUTED_VALUE"""),"거래량")</f>
        <v>거래량</v>
      </c>
      <c r="F1" s="1" t="str">
        <f>IFERROR(__xludf.DUMMYFUNCTION("""COMPUTED_VALUE"""),"기관")</f>
        <v>기관</v>
      </c>
      <c r="G1" s="1" t="str">
        <f>IFERROR(__xludf.DUMMYFUNCTION("""COMPUTED_VALUE"""),"외국인")</f>
        <v>외국인</v>
      </c>
      <c r="H1" s="1"/>
      <c r="I1" s="1"/>
    </row>
    <row r="2">
      <c r="A2" s="1"/>
      <c r="B2" s="1"/>
      <c r="C2" s="1"/>
      <c r="D2" s="1"/>
      <c r="E2" s="1"/>
      <c r="F2" s="1" t="str">
        <f>IFERROR(__xludf.DUMMYFUNCTION("""COMPUTED_VALUE"""),"순매매량")</f>
        <v>순매매량</v>
      </c>
      <c r="G2" s="1" t="str">
        <f>IFERROR(__xludf.DUMMYFUNCTION("""COMPUTED_VALUE"""),"순매매량")</f>
        <v>순매매량</v>
      </c>
      <c r="H2" s="1" t="str">
        <f>IFERROR(__xludf.DUMMYFUNCTION("""COMPUTED_VALUE"""),"보유주수")</f>
        <v>보유주수</v>
      </c>
      <c r="I2" s="1" t="str">
        <f>IFERROR(__xludf.DUMMYFUNCTION("""COMPUTED_VALUE"""),"보유율")</f>
        <v>보유율</v>
      </c>
    </row>
    <row r="3">
      <c r="A3" s="1"/>
      <c r="B3" s="1"/>
      <c r="C3" s="1"/>
      <c r="D3" s="1"/>
      <c r="E3" s="1"/>
      <c r="F3" s="1"/>
      <c r="G3" s="1"/>
      <c r="H3" s="1"/>
      <c r="I3" s="1"/>
    </row>
    <row r="4">
      <c r="A4" s="1" t="str">
        <f>IFERROR(__xludf.DUMMYFUNCTION("""COMPUTED_VALUE"""),"2023.06.30")</f>
        <v>2023.06.30</v>
      </c>
      <c r="B4" s="3">
        <f>IFERROR(__xludf.DUMMYFUNCTION("""COMPUTED_VALUE"""),72200.0)</f>
        <v>72200</v>
      </c>
      <c r="C4" s="1">
        <f>IFERROR(__xludf.DUMMYFUNCTION("""COMPUTED_VALUE"""),200.0)</f>
        <v>200</v>
      </c>
      <c r="D4" s="4">
        <f>IFERROR(__xludf.DUMMYFUNCTION("""COMPUTED_VALUE"""),-0.0028)</f>
        <v>-0.0028</v>
      </c>
      <c r="E4" s="3">
        <f>IFERROR(__xludf.DUMMYFUNCTION("""COMPUTED_VALUE"""),1.1318932E7)</f>
        <v>11318932</v>
      </c>
      <c r="F4" s="3">
        <f>IFERROR(__xludf.DUMMYFUNCTION("""COMPUTED_VALUE"""),-254295.0)</f>
        <v>-254295</v>
      </c>
      <c r="G4" s="1" t="str">
        <f>IFERROR(__xludf.DUMMYFUNCTION("""COMPUTED_VALUE"""),"+573,998")</f>
        <v>+573,998</v>
      </c>
      <c r="H4" s="3">
        <f>IFERROR(__xludf.DUMMYFUNCTION("""COMPUTED_VALUE"""),3.151881694E9)</f>
        <v>3151881694</v>
      </c>
      <c r="I4" s="4">
        <f>IFERROR(__xludf.DUMMYFUNCTION("""COMPUTED_VALUE"""),0.528)</f>
        <v>0.528</v>
      </c>
    </row>
    <row r="5">
      <c r="A5" s="1" t="str">
        <f>IFERROR(__xludf.DUMMYFUNCTION("""COMPUTED_VALUE"""),"2023.06.29")</f>
        <v>2023.06.29</v>
      </c>
      <c r="B5" s="3">
        <f>IFERROR(__xludf.DUMMYFUNCTION("""COMPUTED_VALUE"""),72400.0)</f>
        <v>72400</v>
      </c>
      <c r="C5" s="1">
        <f>IFERROR(__xludf.DUMMYFUNCTION("""COMPUTED_VALUE"""),300.0)</f>
        <v>300</v>
      </c>
      <c r="D5" s="4">
        <f>IFERROR(__xludf.DUMMYFUNCTION("""COMPUTED_VALUE"""),-0.0041)</f>
        <v>-0.0041</v>
      </c>
      <c r="E5" s="3">
        <f>IFERROR(__xludf.DUMMYFUNCTION("""COMPUTED_VALUE"""),1.2229967E7)</f>
        <v>12229967</v>
      </c>
      <c r="F5" s="3">
        <f>IFERROR(__xludf.DUMMYFUNCTION("""COMPUTED_VALUE"""),-819326.0)</f>
        <v>-819326</v>
      </c>
      <c r="G5" s="1" t="str">
        <f>IFERROR(__xludf.DUMMYFUNCTION("""COMPUTED_VALUE"""),"+2,156,634")</f>
        <v>+2,156,634</v>
      </c>
      <c r="H5" s="3">
        <f>IFERROR(__xludf.DUMMYFUNCTION("""COMPUTED_VALUE"""),3.151307696E9)</f>
        <v>3151307696</v>
      </c>
      <c r="I5" s="4">
        <f>IFERROR(__xludf.DUMMYFUNCTION("""COMPUTED_VALUE"""),0.5279)</f>
        <v>0.5279</v>
      </c>
    </row>
    <row r="6">
      <c r="A6" s="1" t="str">
        <f>IFERROR(__xludf.DUMMYFUNCTION("""COMPUTED_VALUE"""),"2023.06.28")</f>
        <v>2023.06.28</v>
      </c>
      <c r="B6" s="3">
        <f>IFERROR(__xludf.DUMMYFUNCTION("""COMPUTED_VALUE"""),72700.0)</f>
        <v>72700</v>
      </c>
      <c r="C6" s="1">
        <f>IFERROR(__xludf.DUMMYFUNCTION("""COMPUTED_VALUE"""),100.0)</f>
        <v>100</v>
      </c>
      <c r="D6" s="1" t="str">
        <f>IFERROR(__xludf.DUMMYFUNCTION("""COMPUTED_VALUE"""),"+0.14%")</f>
        <v>+0.14%</v>
      </c>
      <c r="E6" s="3">
        <f>IFERROR(__xludf.DUMMYFUNCTION("""COMPUTED_VALUE"""),8783093.0)</f>
        <v>8783093</v>
      </c>
      <c r="F6" s="1" t="str">
        <f>IFERROR(__xludf.DUMMYFUNCTION("""COMPUTED_VALUE"""),"+60,251")</f>
        <v>+60,251</v>
      </c>
      <c r="G6" s="1" t="str">
        <f>IFERROR(__xludf.DUMMYFUNCTION("""COMPUTED_VALUE"""),"+846,001")</f>
        <v>+846,001</v>
      </c>
      <c r="H6" s="3">
        <f>IFERROR(__xludf.DUMMYFUNCTION("""COMPUTED_VALUE"""),3.149128846E9)</f>
        <v>3149128846</v>
      </c>
      <c r="I6" s="4">
        <f>IFERROR(__xludf.DUMMYFUNCTION("""COMPUTED_VALUE"""),0.5275)</f>
        <v>0.5275</v>
      </c>
    </row>
    <row r="7">
      <c r="A7" s="1" t="str">
        <f>IFERROR(__xludf.DUMMYFUNCTION("""COMPUTED_VALUE"""),"2023.06.27")</f>
        <v>2023.06.27</v>
      </c>
      <c r="B7" s="3">
        <f>IFERROR(__xludf.DUMMYFUNCTION("""COMPUTED_VALUE"""),72600.0)</f>
        <v>72600</v>
      </c>
      <c r="C7" s="1">
        <f>IFERROR(__xludf.DUMMYFUNCTION("""COMPUTED_VALUE"""),200.0)</f>
        <v>200</v>
      </c>
      <c r="D7" s="1" t="str">
        <f>IFERROR(__xludf.DUMMYFUNCTION("""COMPUTED_VALUE"""),"+0.28%")</f>
        <v>+0.28%</v>
      </c>
      <c r="E7" s="3">
        <f>IFERROR(__xludf.DUMMYFUNCTION("""COMPUTED_VALUE"""),9442997.0)</f>
        <v>9442997</v>
      </c>
      <c r="F7" s="3">
        <f>IFERROR(__xludf.DUMMYFUNCTION("""COMPUTED_VALUE"""),-417828.0)</f>
        <v>-417828</v>
      </c>
      <c r="G7" s="1" t="str">
        <f>IFERROR(__xludf.DUMMYFUNCTION("""COMPUTED_VALUE"""),"+2,271,513")</f>
        <v>+2,271,513</v>
      </c>
      <c r="H7" s="3">
        <f>IFERROR(__xludf.DUMMYFUNCTION("""COMPUTED_VALUE"""),3.150393963E9)</f>
        <v>3150393963</v>
      </c>
      <c r="I7" s="4">
        <f>IFERROR(__xludf.DUMMYFUNCTION("""COMPUTED_VALUE"""),0.5277)</f>
        <v>0.5277</v>
      </c>
    </row>
    <row r="8">
      <c r="A8" s="1" t="str">
        <f>IFERROR(__xludf.DUMMYFUNCTION("""COMPUTED_VALUE"""),"2023.06.26")</f>
        <v>2023.06.26</v>
      </c>
      <c r="B8" s="3">
        <f>IFERROR(__xludf.DUMMYFUNCTION("""COMPUTED_VALUE"""),72400.0)</f>
        <v>72400</v>
      </c>
      <c r="C8" s="1">
        <f>IFERROR(__xludf.DUMMYFUNCTION("""COMPUTED_VALUE"""),800.0)</f>
        <v>800</v>
      </c>
      <c r="D8" s="1" t="str">
        <f>IFERROR(__xludf.DUMMYFUNCTION("""COMPUTED_VALUE"""),"+1.12%")</f>
        <v>+1.12%</v>
      </c>
      <c r="E8" s="3">
        <f>IFERROR(__xludf.DUMMYFUNCTION("""COMPUTED_VALUE"""),1.0541901E7)</f>
        <v>10541901</v>
      </c>
      <c r="F8" s="1" t="str">
        <f>IFERROR(__xludf.DUMMYFUNCTION("""COMPUTED_VALUE"""),"+899,067")</f>
        <v>+899,067</v>
      </c>
      <c r="G8" s="1" t="str">
        <f>IFERROR(__xludf.DUMMYFUNCTION("""COMPUTED_VALUE"""),"+3,444,069")</f>
        <v>+3,444,069</v>
      </c>
      <c r="H8" s="3">
        <f>IFERROR(__xludf.DUMMYFUNCTION("""COMPUTED_VALUE"""),3.147924486E9)</f>
        <v>3147924486</v>
      </c>
      <c r="I8" s="4">
        <f>IFERROR(__xludf.DUMMYFUNCTION("""COMPUTED_VALUE"""),0.5273)</f>
        <v>0.5273</v>
      </c>
    </row>
    <row r="9">
      <c r="A9" s="1"/>
      <c r="B9" s="1"/>
      <c r="C9" s="1"/>
      <c r="D9" s="1"/>
      <c r="E9" s="1"/>
      <c r="F9" s="1"/>
      <c r="G9" s="1"/>
      <c r="H9" s="1"/>
      <c r="I9" s="1"/>
    </row>
    <row r="10">
      <c r="A10" s="1"/>
      <c r="B10" s="1"/>
      <c r="C10" s="1"/>
      <c r="D10" s="1"/>
      <c r="E10" s="1"/>
      <c r="F10" s="1"/>
      <c r="G10" s="1"/>
      <c r="H10" s="1"/>
      <c r="I10" s="1"/>
    </row>
    <row r="11">
      <c r="A11" s="1"/>
      <c r="B11" s="1"/>
      <c r="C11" s="1"/>
      <c r="D11" s="1"/>
      <c r="E11" s="1"/>
      <c r="F11" s="1"/>
      <c r="G11" s="1"/>
      <c r="H11" s="1"/>
      <c r="I11" s="1"/>
    </row>
    <row r="12">
      <c r="A12" s="1" t="str">
        <f>IFERROR(__xludf.DUMMYFUNCTION("""COMPUTED_VALUE"""),"2023.06.23")</f>
        <v>2023.06.23</v>
      </c>
      <c r="B12" s="3">
        <f>IFERROR(__xludf.DUMMYFUNCTION("""COMPUTED_VALUE"""),71600.0)</f>
        <v>71600</v>
      </c>
      <c r="C12" s="1">
        <f>IFERROR(__xludf.DUMMYFUNCTION("""COMPUTED_VALUE"""),300.0)</f>
        <v>300</v>
      </c>
      <c r="D12" s="1" t="str">
        <f>IFERROR(__xludf.DUMMYFUNCTION("""COMPUTED_VALUE"""),"+0.42%")</f>
        <v>+0.42%</v>
      </c>
      <c r="E12" s="3">
        <f>IFERROR(__xludf.DUMMYFUNCTION("""COMPUTED_VALUE"""),1.2329484E7)</f>
        <v>12329484</v>
      </c>
      <c r="F12" s="3">
        <f>IFERROR(__xludf.DUMMYFUNCTION("""COMPUTED_VALUE"""),-1572987.0)</f>
        <v>-1572987</v>
      </c>
      <c r="G12" s="1" t="str">
        <f>IFERROR(__xludf.DUMMYFUNCTION("""COMPUTED_VALUE"""),"+4,379,946")</f>
        <v>+4,379,946</v>
      </c>
      <c r="H12" s="3">
        <f>IFERROR(__xludf.DUMMYFUNCTION("""COMPUTED_VALUE"""),3.144334417E9)</f>
        <v>3144334417</v>
      </c>
      <c r="I12" s="4">
        <f>IFERROR(__xludf.DUMMYFUNCTION("""COMPUTED_VALUE"""),0.5267)</f>
        <v>0.5267</v>
      </c>
    </row>
    <row r="13">
      <c r="A13" s="1" t="str">
        <f>IFERROR(__xludf.DUMMYFUNCTION("""COMPUTED_VALUE"""),"2023.06.22")</f>
        <v>2023.06.22</v>
      </c>
      <c r="B13" s="3">
        <f>IFERROR(__xludf.DUMMYFUNCTION("""COMPUTED_VALUE"""),71300.0)</f>
        <v>71300</v>
      </c>
      <c r="C13" s="1">
        <f>IFERROR(__xludf.DUMMYFUNCTION("""COMPUTED_VALUE"""),800.0)</f>
        <v>800</v>
      </c>
      <c r="D13" s="1" t="str">
        <f>IFERROR(__xludf.DUMMYFUNCTION("""COMPUTED_VALUE"""),"+1.13%")</f>
        <v>+1.13%</v>
      </c>
      <c r="E13" s="3">
        <f>IFERROR(__xludf.DUMMYFUNCTION("""COMPUTED_VALUE"""),1.1411007E7)</f>
        <v>11411007</v>
      </c>
      <c r="F13" s="1" t="str">
        <f>IFERROR(__xludf.DUMMYFUNCTION("""COMPUTED_VALUE"""),"+323,039")</f>
        <v>+323,039</v>
      </c>
      <c r="G13" s="1" t="str">
        <f>IFERROR(__xludf.DUMMYFUNCTION("""COMPUTED_VALUE"""),"+2,003,689")</f>
        <v>+2,003,689</v>
      </c>
      <c r="H13" s="3">
        <f>IFERROR(__xludf.DUMMYFUNCTION("""COMPUTED_VALUE"""),3.139538222E9)</f>
        <v>3139538222</v>
      </c>
      <c r="I13" s="4">
        <f>IFERROR(__xludf.DUMMYFUNCTION("""COMPUTED_VALUE"""),0.5259)</f>
        <v>0.5259</v>
      </c>
    </row>
    <row r="14">
      <c r="A14" s="1" t="str">
        <f>IFERROR(__xludf.DUMMYFUNCTION("""COMPUTED_VALUE"""),"2023.06.21")</f>
        <v>2023.06.21</v>
      </c>
      <c r="B14" s="3">
        <f>IFERROR(__xludf.DUMMYFUNCTION("""COMPUTED_VALUE"""),70500.0)</f>
        <v>70500</v>
      </c>
      <c r="C14" s="1">
        <f>IFERROR(__xludf.DUMMYFUNCTION("""COMPUTED_VALUE"""),900.0)</f>
        <v>900</v>
      </c>
      <c r="D14" s="4">
        <f>IFERROR(__xludf.DUMMYFUNCTION("""COMPUTED_VALUE"""),-0.0126)</f>
        <v>-0.0126</v>
      </c>
      <c r="E14" s="3">
        <f>IFERROR(__xludf.DUMMYFUNCTION("""COMPUTED_VALUE"""),1.0626603E7)</f>
        <v>10626603</v>
      </c>
      <c r="F14" s="3">
        <f>IFERROR(__xludf.DUMMYFUNCTION("""COMPUTED_VALUE"""),-370281.0)</f>
        <v>-370281</v>
      </c>
      <c r="G14" s="3">
        <f>IFERROR(__xludf.DUMMYFUNCTION("""COMPUTED_VALUE"""),-530260.0)</f>
        <v>-530260</v>
      </c>
      <c r="H14" s="3">
        <f>IFERROR(__xludf.DUMMYFUNCTION("""COMPUTED_VALUE"""),3.138521456E9)</f>
        <v>3138521456</v>
      </c>
      <c r="I14" s="4">
        <f>IFERROR(__xludf.DUMMYFUNCTION("""COMPUTED_VALUE"""),0.5257)</f>
        <v>0.5257</v>
      </c>
    </row>
    <row r="15">
      <c r="A15" s="1" t="str">
        <f>IFERROR(__xludf.DUMMYFUNCTION("""COMPUTED_VALUE"""),"2023.06.20")</f>
        <v>2023.06.20</v>
      </c>
      <c r="B15" s="3">
        <f>IFERROR(__xludf.DUMMYFUNCTION("""COMPUTED_VALUE"""),71400.0)</f>
        <v>71400</v>
      </c>
      <c r="C15" s="1">
        <f>IFERROR(__xludf.DUMMYFUNCTION("""COMPUTED_VALUE"""),200.0)</f>
        <v>200</v>
      </c>
      <c r="D15" s="1" t="str">
        <f>IFERROR(__xludf.DUMMYFUNCTION("""COMPUTED_VALUE"""),"+0.28%")</f>
        <v>+0.28%</v>
      </c>
      <c r="E15" s="3">
        <f>IFERROR(__xludf.DUMMYFUNCTION("""COMPUTED_VALUE"""),1.1557883E7)</f>
        <v>11557883</v>
      </c>
      <c r="F15" s="3">
        <f>IFERROR(__xludf.DUMMYFUNCTION("""COMPUTED_VALUE"""),-425787.0)</f>
        <v>-425787</v>
      </c>
      <c r="G15" s="1" t="str">
        <f>IFERROR(__xludf.DUMMYFUNCTION("""COMPUTED_VALUE"""),"+942,063")</f>
        <v>+942,063</v>
      </c>
      <c r="H15" s="3">
        <f>IFERROR(__xludf.DUMMYFUNCTION("""COMPUTED_VALUE"""),3.13927394E9)</f>
        <v>3139273940</v>
      </c>
      <c r="I15" s="4">
        <f>IFERROR(__xludf.DUMMYFUNCTION("""COMPUTED_VALUE"""),0.5259)</f>
        <v>0.5259</v>
      </c>
    </row>
    <row r="16">
      <c r="A16" s="1" t="str">
        <f>IFERROR(__xludf.DUMMYFUNCTION("""COMPUTED_VALUE"""),"2023.06.19")</f>
        <v>2023.06.19</v>
      </c>
      <c r="B16" s="3">
        <f>IFERROR(__xludf.DUMMYFUNCTION("""COMPUTED_VALUE"""),71200.0)</f>
        <v>71200</v>
      </c>
      <c r="C16" s="1">
        <f>IFERROR(__xludf.DUMMYFUNCTION("""COMPUTED_VALUE"""),600.0)</f>
        <v>600</v>
      </c>
      <c r="D16" s="4">
        <f>IFERROR(__xludf.DUMMYFUNCTION("""COMPUTED_VALUE"""),-0.0084)</f>
        <v>-0.0084</v>
      </c>
      <c r="E16" s="3">
        <f>IFERROR(__xludf.DUMMYFUNCTION("""COMPUTED_VALUE"""),1.1100887E7)</f>
        <v>11100887</v>
      </c>
      <c r="F16" s="3">
        <f>IFERROR(__xludf.DUMMYFUNCTION("""COMPUTED_VALUE"""),-553174.0)</f>
        <v>-553174</v>
      </c>
      <c r="G16" s="1" t="str">
        <f>IFERROR(__xludf.DUMMYFUNCTION("""COMPUTED_VALUE"""),"+382,902")</f>
        <v>+382,902</v>
      </c>
      <c r="H16" s="3">
        <f>IFERROR(__xludf.DUMMYFUNCTION("""COMPUTED_VALUE"""),3.138114632E9)</f>
        <v>3138114632</v>
      </c>
      <c r="I16" s="4">
        <f>IFERROR(__xludf.DUMMYFUNCTION("""COMPUTED_VALUE"""),0.5257)</f>
        <v>0.5257</v>
      </c>
    </row>
    <row r="17">
      <c r="A17" s="1"/>
      <c r="B17" s="1"/>
      <c r="C17" s="1"/>
      <c r="D17" s="1"/>
      <c r="E17" s="1"/>
      <c r="F17" s="1"/>
      <c r="G17" s="1"/>
      <c r="H17" s="1"/>
      <c r="I17" s="1"/>
    </row>
    <row r="18">
      <c r="A18" s="1"/>
      <c r="B18" s="1"/>
      <c r="C18" s="1"/>
      <c r="D18" s="1"/>
      <c r="E18" s="1"/>
      <c r="F18" s="1"/>
      <c r="G18" s="1"/>
      <c r="H18" s="1"/>
      <c r="I18" s="1"/>
    </row>
    <row r="19">
      <c r="A19" s="1"/>
      <c r="B19" s="1"/>
      <c r="C19" s="1"/>
      <c r="D19" s="1"/>
      <c r="E19" s="1"/>
      <c r="F19" s="1"/>
      <c r="G19" s="1"/>
      <c r="H19" s="1"/>
      <c r="I19" s="1"/>
    </row>
    <row r="20">
      <c r="A20" s="1" t="str">
        <f>IFERROR(__xludf.DUMMYFUNCTION("""COMPUTED_VALUE"""),"2023.06.16")</f>
        <v>2023.06.16</v>
      </c>
      <c r="B20" s="3">
        <f>IFERROR(__xludf.DUMMYFUNCTION("""COMPUTED_VALUE"""),71800.0)</f>
        <v>71800</v>
      </c>
      <c r="C20" s="1">
        <f>IFERROR(__xludf.DUMMYFUNCTION("""COMPUTED_VALUE"""),300.0)</f>
        <v>300</v>
      </c>
      <c r="D20" s="1" t="str">
        <f>IFERROR(__xludf.DUMMYFUNCTION("""COMPUTED_VALUE"""),"+0.42%")</f>
        <v>+0.42%</v>
      </c>
      <c r="E20" s="3">
        <f>IFERROR(__xludf.DUMMYFUNCTION("""COMPUTED_VALUE"""),1.5373696E7)</f>
        <v>15373696</v>
      </c>
      <c r="F20" s="3">
        <f>IFERROR(__xludf.DUMMYFUNCTION("""COMPUTED_VALUE"""),-1663586.0)</f>
        <v>-1663586</v>
      </c>
      <c r="G20" s="1" t="str">
        <f>IFERROR(__xludf.DUMMYFUNCTION("""COMPUTED_VALUE"""),"+1,511,328")</f>
        <v>+1,511,328</v>
      </c>
      <c r="H20" s="3">
        <f>IFERROR(__xludf.DUMMYFUNCTION("""COMPUTED_VALUE"""),3.137906162E9)</f>
        <v>3137906162</v>
      </c>
      <c r="I20" s="4">
        <f>IFERROR(__xludf.DUMMYFUNCTION("""COMPUTED_VALUE"""),0.5256)</f>
        <v>0.5256</v>
      </c>
    </row>
    <row r="21">
      <c r="A21" s="1" t="str">
        <f>IFERROR(__xludf.DUMMYFUNCTION("""COMPUTED_VALUE"""),"2023.06.15")</f>
        <v>2023.06.15</v>
      </c>
      <c r="B21" s="3">
        <f>IFERROR(__xludf.DUMMYFUNCTION("""COMPUTED_VALUE"""),71500.0)</f>
        <v>71500</v>
      </c>
      <c r="C21" s="1">
        <f>IFERROR(__xludf.DUMMYFUNCTION("""COMPUTED_VALUE"""),400.0)</f>
        <v>400</v>
      </c>
      <c r="D21" s="4">
        <f>IFERROR(__xludf.DUMMYFUNCTION("""COMPUTED_VALUE"""),-0.0056)</f>
        <v>-0.0056</v>
      </c>
      <c r="E21" s="3">
        <f>IFERROR(__xludf.DUMMYFUNCTION("""COMPUTED_VALUE"""),1.3614994E7)</f>
        <v>13614994</v>
      </c>
      <c r="F21" s="3">
        <f>IFERROR(__xludf.DUMMYFUNCTION("""COMPUTED_VALUE"""),-340974.0)</f>
        <v>-340974</v>
      </c>
      <c r="G21" s="1" t="str">
        <f>IFERROR(__xludf.DUMMYFUNCTION("""COMPUTED_VALUE"""),"+693,146")</f>
        <v>+693,146</v>
      </c>
      <c r="H21" s="3">
        <f>IFERROR(__xludf.DUMMYFUNCTION("""COMPUTED_VALUE"""),3.136133435E9)</f>
        <v>3136133435</v>
      </c>
      <c r="I21" s="4">
        <f>IFERROR(__xludf.DUMMYFUNCTION("""COMPUTED_VALUE"""),0.5253)</f>
        <v>0.5253</v>
      </c>
    </row>
    <row r="22">
      <c r="A22" s="1" t="str">
        <f>IFERROR(__xludf.DUMMYFUNCTION("""COMPUTED_VALUE"""),"2023.06.14")</f>
        <v>2023.06.14</v>
      </c>
      <c r="B22" s="3">
        <f>IFERROR(__xludf.DUMMYFUNCTION("""COMPUTED_VALUE"""),71900.0)</f>
        <v>71900</v>
      </c>
      <c r="C22" s="1">
        <f>IFERROR(__xludf.DUMMYFUNCTION("""COMPUTED_VALUE"""),100.0)</f>
        <v>100</v>
      </c>
      <c r="D22" s="4">
        <f>IFERROR(__xludf.DUMMYFUNCTION("""COMPUTED_VALUE"""),-0.0014)</f>
        <v>-0.0014</v>
      </c>
      <c r="E22" s="3">
        <f>IFERROR(__xludf.DUMMYFUNCTION("""COMPUTED_VALUE"""),1.2541046E7)</f>
        <v>12541046</v>
      </c>
      <c r="F22" s="3">
        <f>IFERROR(__xludf.DUMMYFUNCTION("""COMPUTED_VALUE"""),-447189.0)</f>
        <v>-447189</v>
      </c>
      <c r="G22" s="1" t="str">
        <f>IFERROR(__xludf.DUMMYFUNCTION("""COMPUTED_VALUE"""),"+713,658")</f>
        <v>+713,658</v>
      </c>
      <c r="H22" s="3">
        <f>IFERROR(__xludf.DUMMYFUNCTION("""COMPUTED_VALUE"""),3.136959357E9)</f>
        <v>3136959357</v>
      </c>
      <c r="I22" s="4">
        <f>IFERROR(__xludf.DUMMYFUNCTION("""COMPUTED_VALUE"""),0.5255)</f>
        <v>0.5255</v>
      </c>
    </row>
    <row r="23">
      <c r="A23" s="1" t="str">
        <f>IFERROR(__xludf.DUMMYFUNCTION("""COMPUTED_VALUE"""),"2023.06.13")</f>
        <v>2023.06.13</v>
      </c>
      <c r="B23" s="3">
        <f>IFERROR(__xludf.DUMMYFUNCTION("""COMPUTED_VALUE"""),72000.0)</f>
        <v>72000</v>
      </c>
      <c r="C23" s="3">
        <f>IFERROR(__xludf.DUMMYFUNCTION("""COMPUTED_VALUE"""),1000.0)</f>
        <v>1000</v>
      </c>
      <c r="D23" s="1" t="str">
        <f>IFERROR(__xludf.DUMMYFUNCTION("""COMPUTED_VALUE"""),"+1.41%")</f>
        <v>+1.41%</v>
      </c>
      <c r="E23" s="3">
        <f>IFERROR(__xludf.DUMMYFUNCTION("""COMPUTED_VALUE"""),1.3227285E7)</f>
        <v>13227285</v>
      </c>
      <c r="F23" s="1" t="str">
        <f>IFERROR(__xludf.DUMMYFUNCTION("""COMPUTED_VALUE"""),"+974,733")</f>
        <v>+974,733</v>
      </c>
      <c r="G23" s="1" t="str">
        <f>IFERROR(__xludf.DUMMYFUNCTION("""COMPUTED_VALUE"""),"+1,844,776")</f>
        <v>+1,844,776</v>
      </c>
      <c r="H23" s="3">
        <f>IFERROR(__xludf.DUMMYFUNCTION("""COMPUTED_VALUE"""),3.136646047E9)</f>
        <v>3136646047</v>
      </c>
      <c r="I23" s="4">
        <f>IFERROR(__xludf.DUMMYFUNCTION("""COMPUTED_VALUE"""),0.5254)</f>
        <v>0.5254</v>
      </c>
    </row>
    <row r="24">
      <c r="A24" s="1" t="str">
        <f>IFERROR(__xludf.DUMMYFUNCTION("""COMPUTED_VALUE"""),"2023.06.12")</f>
        <v>2023.06.12</v>
      </c>
      <c r="B24" s="3">
        <f>IFERROR(__xludf.DUMMYFUNCTION("""COMPUTED_VALUE"""),71000.0)</f>
        <v>71000</v>
      </c>
      <c r="C24" s="3">
        <f>IFERROR(__xludf.DUMMYFUNCTION("""COMPUTED_VALUE"""),1000.0)</f>
        <v>1000</v>
      </c>
      <c r="D24" s="4">
        <f>IFERROR(__xludf.DUMMYFUNCTION("""COMPUTED_VALUE"""),-0.0139)</f>
        <v>-0.0139</v>
      </c>
      <c r="E24" s="3">
        <f>IFERROR(__xludf.DUMMYFUNCTION("""COMPUTED_VALUE"""),1.2064287E7)</f>
        <v>12064287</v>
      </c>
      <c r="F24" s="1" t="str">
        <f>IFERROR(__xludf.DUMMYFUNCTION("""COMPUTED_VALUE"""),"+481,420")</f>
        <v>+481,420</v>
      </c>
      <c r="G24" s="3">
        <f>IFERROR(__xludf.DUMMYFUNCTION("""COMPUTED_VALUE"""),-1752966.0)</f>
        <v>-1752966</v>
      </c>
      <c r="H24" s="3">
        <f>IFERROR(__xludf.DUMMYFUNCTION("""COMPUTED_VALUE"""),3.135405516E9)</f>
        <v>3135405516</v>
      </c>
      <c r="I24" s="4">
        <f>IFERROR(__xludf.DUMMYFUNCTION("""COMPUTED_VALUE"""),0.5252)</f>
        <v>0.5252</v>
      </c>
    </row>
    <row r="25">
      <c r="A25" s="1"/>
      <c r="B25" s="1"/>
      <c r="C25" s="1"/>
      <c r="D25" s="1"/>
      <c r="E25" s="1"/>
      <c r="F25" s="1"/>
      <c r="G25" s="1"/>
      <c r="H25" s="1"/>
      <c r="I25" s="1"/>
    </row>
    <row r="26">
      <c r="A26" s="1"/>
      <c r="B26" s="1"/>
      <c r="C26" s="1"/>
      <c r="D26" s="1"/>
      <c r="E26" s="1"/>
      <c r="F26" s="1"/>
      <c r="G26" s="1"/>
      <c r="H26" s="1"/>
      <c r="I26" s="1"/>
    </row>
    <row r="27">
      <c r="A27" s="1"/>
      <c r="B27" s="1"/>
      <c r="C27" s="1"/>
      <c r="D27" s="1"/>
      <c r="E27" s="1"/>
      <c r="F27" s="1"/>
      <c r="G27" s="1"/>
      <c r="H27" s="1"/>
      <c r="I27" s="1"/>
    </row>
    <row r="28">
      <c r="A28" s="1" t="str">
        <f>IFERROR(__xludf.DUMMYFUNCTION("""COMPUTED_VALUE"""),"2023.06.09")</f>
        <v>2023.06.09</v>
      </c>
      <c r="B28" s="3">
        <f>IFERROR(__xludf.DUMMYFUNCTION("""COMPUTED_VALUE"""),72000.0)</f>
        <v>72000</v>
      </c>
      <c r="C28" s="3">
        <f>IFERROR(__xludf.DUMMYFUNCTION("""COMPUTED_VALUE"""),1100.0)</f>
        <v>1100</v>
      </c>
      <c r="D28" s="1" t="str">
        <f>IFERROR(__xludf.DUMMYFUNCTION("""COMPUTED_VALUE"""),"+1.55%")</f>
        <v>+1.55%</v>
      </c>
      <c r="E28" s="3">
        <f>IFERROR(__xludf.DUMMYFUNCTION("""COMPUTED_VALUE"""),1.5050209E7)</f>
        <v>15050209</v>
      </c>
      <c r="F28" s="1" t="str">
        <f>IFERROR(__xludf.DUMMYFUNCTION("""COMPUTED_VALUE"""),"+1,426,900")</f>
        <v>+1,426,900</v>
      </c>
      <c r="G28" s="1" t="str">
        <f>IFERROR(__xludf.DUMMYFUNCTION("""COMPUTED_VALUE"""),"+2,472,423")</f>
        <v>+2,472,423</v>
      </c>
      <c r="H28" s="3">
        <f>IFERROR(__xludf.DUMMYFUNCTION("""COMPUTED_VALUE"""),3.138211482E9)</f>
        <v>3138211482</v>
      </c>
      <c r="I28" s="4">
        <f>IFERROR(__xludf.DUMMYFUNCTION("""COMPUTED_VALUE"""),0.5257)</f>
        <v>0.5257</v>
      </c>
    </row>
    <row r="29">
      <c r="A29" s="1" t="str">
        <f>IFERROR(__xludf.DUMMYFUNCTION("""COMPUTED_VALUE"""),"2023.06.08")</f>
        <v>2023.06.08</v>
      </c>
      <c r="B29" s="3">
        <f>IFERROR(__xludf.DUMMYFUNCTION("""COMPUTED_VALUE"""),70900.0)</f>
        <v>70900</v>
      </c>
      <c r="C29" s="1">
        <f>IFERROR(__xludf.DUMMYFUNCTION("""COMPUTED_VALUE"""),100.0)</f>
        <v>100</v>
      </c>
      <c r="D29" s="4">
        <f>IFERROR(__xludf.DUMMYFUNCTION("""COMPUTED_VALUE"""),-0.0014)</f>
        <v>-0.0014</v>
      </c>
      <c r="E29" s="3">
        <f>IFERROR(__xludf.DUMMYFUNCTION("""COMPUTED_VALUE"""),1.9165568E7)</f>
        <v>19165568</v>
      </c>
      <c r="F29" s="1" t="str">
        <f>IFERROR(__xludf.DUMMYFUNCTION("""COMPUTED_VALUE"""),"+459,385")</f>
        <v>+459,385</v>
      </c>
      <c r="G29" s="1" t="str">
        <f>IFERROR(__xludf.DUMMYFUNCTION("""COMPUTED_VALUE"""),"+228,333")</f>
        <v>+228,333</v>
      </c>
      <c r="H29" s="3">
        <f>IFERROR(__xludf.DUMMYFUNCTION("""COMPUTED_VALUE"""),3.135396459E9)</f>
        <v>3135396459</v>
      </c>
      <c r="I29" s="4">
        <f>IFERROR(__xludf.DUMMYFUNCTION("""COMPUTED_VALUE"""),0.5252)</f>
        <v>0.5252</v>
      </c>
    </row>
    <row r="30">
      <c r="A30" s="1" t="str">
        <f>IFERROR(__xludf.DUMMYFUNCTION("""COMPUTED_VALUE"""),"2023.06.07")</f>
        <v>2023.06.07</v>
      </c>
      <c r="B30" s="3">
        <f>IFERROR(__xludf.DUMMYFUNCTION("""COMPUTED_VALUE"""),71000.0)</f>
        <v>71000</v>
      </c>
      <c r="C30" s="1">
        <f>IFERROR(__xludf.DUMMYFUNCTION("""COMPUTED_VALUE"""),700.0)</f>
        <v>700</v>
      </c>
      <c r="D30" s="4">
        <f>IFERROR(__xludf.DUMMYFUNCTION("""COMPUTED_VALUE"""),-0.0098)</f>
        <v>-0.0098</v>
      </c>
      <c r="E30" s="3">
        <f>IFERROR(__xludf.DUMMYFUNCTION("""COMPUTED_VALUE"""),1.4796613E7)</f>
        <v>14796613</v>
      </c>
      <c r="F30" s="1" t="str">
        <f>IFERROR(__xludf.DUMMYFUNCTION("""COMPUTED_VALUE"""),"+1,544,774")</f>
        <v>+1,544,774</v>
      </c>
      <c r="G30" s="3">
        <f>IFERROR(__xludf.DUMMYFUNCTION("""COMPUTED_VALUE"""),-1263306.0)</f>
        <v>-1263306</v>
      </c>
      <c r="H30" s="3">
        <f>IFERROR(__xludf.DUMMYFUNCTION("""COMPUTED_VALUE"""),3.135548226E9)</f>
        <v>3135548226</v>
      </c>
      <c r="I30" s="4">
        <f>IFERROR(__xludf.DUMMYFUNCTION("""COMPUTED_VALUE"""),0.5252)</f>
        <v>0.5252</v>
      </c>
    </row>
    <row r="31">
      <c r="A31" s="1" t="str">
        <f>IFERROR(__xludf.DUMMYFUNCTION("""COMPUTED_VALUE"""),"2023.06.05")</f>
        <v>2023.06.05</v>
      </c>
      <c r="B31" s="3">
        <f>IFERROR(__xludf.DUMMYFUNCTION("""COMPUTED_VALUE"""),71700.0)</f>
        <v>71700</v>
      </c>
      <c r="C31" s="1">
        <f>IFERROR(__xludf.DUMMYFUNCTION("""COMPUTED_VALUE"""),500.0)</f>
        <v>500</v>
      </c>
      <c r="D31" s="4">
        <f>IFERROR(__xludf.DUMMYFUNCTION("""COMPUTED_VALUE"""),-0.0069)</f>
        <v>-0.0069</v>
      </c>
      <c r="E31" s="3">
        <f>IFERROR(__xludf.DUMMYFUNCTION("""COMPUTED_VALUE"""),1.2686829E7)</f>
        <v>12686829</v>
      </c>
      <c r="F31" s="1" t="str">
        <f>IFERROR(__xludf.DUMMYFUNCTION("""COMPUTED_VALUE"""),"+987,758")</f>
        <v>+987,758</v>
      </c>
      <c r="G31" s="3">
        <f>IFERROR(__xludf.DUMMYFUNCTION("""COMPUTED_VALUE"""),-1425055.0)</f>
        <v>-1425055</v>
      </c>
      <c r="H31" s="3">
        <f>IFERROR(__xludf.DUMMYFUNCTION("""COMPUTED_VALUE"""),3.136445332E9)</f>
        <v>3136445332</v>
      </c>
      <c r="I31" s="4">
        <f>IFERROR(__xludf.DUMMYFUNCTION("""COMPUTED_VALUE"""),0.5254)</f>
        <v>0.5254</v>
      </c>
    </row>
    <row r="32">
      <c r="A32" s="1" t="str">
        <f>IFERROR(__xludf.DUMMYFUNCTION("""COMPUTED_VALUE"""),"2023.06.02")</f>
        <v>2023.06.02</v>
      </c>
      <c r="B32" s="3">
        <f>IFERROR(__xludf.DUMMYFUNCTION("""COMPUTED_VALUE"""),72200.0)</f>
        <v>72200</v>
      </c>
      <c r="C32" s="3">
        <f>IFERROR(__xludf.DUMMYFUNCTION("""COMPUTED_VALUE"""),1300.0)</f>
        <v>1300</v>
      </c>
      <c r="D32" s="1" t="str">
        <f>IFERROR(__xludf.DUMMYFUNCTION("""COMPUTED_VALUE"""),"+1.83%")</f>
        <v>+1.83%</v>
      </c>
      <c r="E32" s="3">
        <f>IFERROR(__xludf.DUMMYFUNCTION("""COMPUTED_VALUE"""),1.2161798E7)</f>
        <v>12161798</v>
      </c>
      <c r="F32" s="1" t="str">
        <f>IFERROR(__xludf.DUMMYFUNCTION("""COMPUTED_VALUE"""),"+31,590")</f>
        <v>+31,590</v>
      </c>
      <c r="G32" s="1" t="str">
        <f>IFERROR(__xludf.DUMMYFUNCTION("""COMPUTED_VALUE"""),"+2,448,145")</f>
        <v>+2,448,145</v>
      </c>
      <c r="H32" s="3">
        <f>IFERROR(__xludf.DUMMYFUNCTION("""COMPUTED_VALUE"""),3.136730023E9)</f>
        <v>3136730023</v>
      </c>
      <c r="I32" s="4">
        <f>IFERROR(__xludf.DUMMYFUNCTION("""COMPUTED_VALUE"""),0.5254)</f>
        <v>0.5254</v>
      </c>
    </row>
    <row r="33">
      <c r="A33" s="1"/>
      <c r="B33" s="1"/>
      <c r="C33" s="1"/>
      <c r="D33" s="1"/>
      <c r="E33" s="1"/>
      <c r="F33" s="1"/>
      <c r="G33" s="1"/>
      <c r="H33" s="1"/>
      <c r="I33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IFERROR(__xludf.DUMMYFUNCTION("IMPORTHTML(""https://finance.naver.com/item/frgn.naver?code=005930&amp;page=2"",""table"",3)"),"날짜")</f>
        <v>날짜</v>
      </c>
      <c r="B1" s="1" t="str">
        <f>IFERROR(__xludf.DUMMYFUNCTION("""COMPUTED_VALUE"""),"종가")</f>
        <v>종가</v>
      </c>
      <c r="C1" s="1" t="str">
        <f>IFERROR(__xludf.DUMMYFUNCTION("""COMPUTED_VALUE"""),"전일비")</f>
        <v>전일비</v>
      </c>
      <c r="D1" s="1" t="str">
        <f>IFERROR(__xludf.DUMMYFUNCTION("""COMPUTED_VALUE"""),"등락률")</f>
        <v>등락률</v>
      </c>
      <c r="E1" s="1" t="str">
        <f>IFERROR(__xludf.DUMMYFUNCTION("""COMPUTED_VALUE"""),"거래량")</f>
        <v>거래량</v>
      </c>
      <c r="F1" s="1" t="str">
        <f>IFERROR(__xludf.DUMMYFUNCTION("""COMPUTED_VALUE"""),"기관")</f>
        <v>기관</v>
      </c>
      <c r="G1" s="1" t="str">
        <f>IFERROR(__xludf.DUMMYFUNCTION("""COMPUTED_VALUE"""),"외국인")</f>
        <v>외국인</v>
      </c>
      <c r="H1" s="1"/>
      <c r="I1" s="1"/>
    </row>
    <row r="2">
      <c r="A2" s="1"/>
      <c r="B2" s="1"/>
      <c r="C2" s="1"/>
      <c r="D2" s="1"/>
      <c r="E2" s="1"/>
      <c r="F2" s="1" t="str">
        <f>IFERROR(__xludf.DUMMYFUNCTION("""COMPUTED_VALUE"""),"순매매량")</f>
        <v>순매매량</v>
      </c>
      <c r="G2" s="1" t="str">
        <f>IFERROR(__xludf.DUMMYFUNCTION("""COMPUTED_VALUE"""),"순매매량")</f>
        <v>순매매량</v>
      </c>
      <c r="H2" s="1" t="str">
        <f>IFERROR(__xludf.DUMMYFUNCTION("""COMPUTED_VALUE"""),"보유주수")</f>
        <v>보유주수</v>
      </c>
      <c r="I2" s="1" t="str">
        <f>IFERROR(__xludf.DUMMYFUNCTION("""COMPUTED_VALUE"""),"보유율")</f>
        <v>보유율</v>
      </c>
    </row>
    <row r="3">
      <c r="A3" s="1"/>
      <c r="B3" s="1"/>
      <c r="C3" s="1"/>
      <c r="D3" s="1"/>
      <c r="E3" s="1"/>
      <c r="F3" s="1"/>
      <c r="G3" s="1"/>
      <c r="H3" s="1"/>
      <c r="I3" s="1"/>
    </row>
    <row r="4">
      <c r="A4" s="1" t="str">
        <f>IFERROR(__xludf.DUMMYFUNCTION("""COMPUTED_VALUE"""),"2023.06.01")</f>
        <v>2023.06.01</v>
      </c>
      <c r="B4" s="3">
        <f>IFERROR(__xludf.DUMMYFUNCTION("""COMPUTED_VALUE"""),70900.0)</f>
        <v>70900</v>
      </c>
      <c r="C4" s="1">
        <f>IFERROR(__xludf.DUMMYFUNCTION("""COMPUTED_VALUE"""),500.0)</f>
        <v>500</v>
      </c>
      <c r="D4" s="4">
        <f>IFERROR(__xludf.DUMMYFUNCTION("""COMPUTED_VALUE"""),-0.007)</f>
        <v>-0.007</v>
      </c>
      <c r="E4" s="3">
        <f>IFERROR(__xludf.DUMMYFUNCTION("""COMPUTED_VALUE"""),1.4669296E7)</f>
        <v>14669296</v>
      </c>
      <c r="F4" s="3">
        <f>IFERROR(__xludf.DUMMYFUNCTION("""COMPUTED_VALUE"""),-1474724.0)</f>
        <v>-1474724</v>
      </c>
      <c r="G4" s="1" t="str">
        <f>IFERROR(__xludf.DUMMYFUNCTION("""COMPUTED_VALUE"""),"+1,245,478")</f>
        <v>+1,245,478</v>
      </c>
      <c r="H4" s="3">
        <f>IFERROR(__xludf.DUMMYFUNCTION("""COMPUTED_VALUE"""),3.13380825E9)</f>
        <v>3133808250</v>
      </c>
      <c r="I4" s="4">
        <f>IFERROR(__xludf.DUMMYFUNCTION("""COMPUTED_VALUE"""),0.5249)</f>
        <v>0.5249</v>
      </c>
    </row>
    <row r="5">
      <c r="A5" s="1" t="str">
        <f>IFERROR(__xludf.DUMMYFUNCTION("""COMPUTED_VALUE"""),"2023.05.31")</f>
        <v>2023.05.31</v>
      </c>
      <c r="B5" s="3">
        <f>IFERROR(__xludf.DUMMYFUNCTION("""COMPUTED_VALUE"""),71400.0)</f>
        <v>71400</v>
      </c>
      <c r="C5" s="1">
        <f>IFERROR(__xludf.DUMMYFUNCTION("""COMPUTED_VALUE"""),900.0)</f>
        <v>900</v>
      </c>
      <c r="D5" s="4">
        <f>IFERROR(__xludf.DUMMYFUNCTION("""COMPUTED_VALUE"""),-0.0124)</f>
        <v>-0.0124</v>
      </c>
      <c r="E5" s="3">
        <f>IFERROR(__xludf.DUMMYFUNCTION("""COMPUTED_VALUE"""),2.5666087E7)</f>
        <v>25666087</v>
      </c>
      <c r="F5" s="3">
        <f>IFERROR(__xludf.DUMMYFUNCTION("""COMPUTED_VALUE"""),-712038.0)</f>
        <v>-712038</v>
      </c>
      <c r="G5" s="1" t="str">
        <f>IFERROR(__xludf.DUMMYFUNCTION("""COMPUTED_VALUE"""),"+1,994,889")</f>
        <v>+1,994,889</v>
      </c>
      <c r="H5" s="3">
        <f>IFERROR(__xludf.DUMMYFUNCTION("""COMPUTED_VALUE"""),3.132707672E9)</f>
        <v>3132707672</v>
      </c>
      <c r="I5" s="4">
        <f>IFERROR(__xludf.DUMMYFUNCTION("""COMPUTED_VALUE"""),0.5248)</f>
        <v>0.5248</v>
      </c>
    </row>
    <row r="6">
      <c r="A6" s="1" t="str">
        <f>IFERROR(__xludf.DUMMYFUNCTION("""COMPUTED_VALUE"""),"2023.05.30")</f>
        <v>2023.05.30</v>
      </c>
      <c r="B6" s="3">
        <f>IFERROR(__xludf.DUMMYFUNCTION("""COMPUTED_VALUE"""),72300.0)</f>
        <v>72300</v>
      </c>
      <c r="C6" s="3">
        <f>IFERROR(__xludf.DUMMYFUNCTION("""COMPUTED_VALUE"""),2000.0)</f>
        <v>2000</v>
      </c>
      <c r="D6" s="1" t="str">
        <f>IFERROR(__xludf.DUMMYFUNCTION("""COMPUTED_VALUE"""),"+2.84%")</f>
        <v>+2.84%</v>
      </c>
      <c r="E6" s="3">
        <f>IFERROR(__xludf.DUMMYFUNCTION("""COMPUTED_VALUE"""),2.7476897E7)</f>
        <v>27476897</v>
      </c>
      <c r="F6" s="3">
        <f>IFERROR(__xludf.DUMMYFUNCTION("""COMPUTED_VALUE"""),-895952.0)</f>
        <v>-895952</v>
      </c>
      <c r="G6" s="1" t="str">
        <f>IFERROR(__xludf.DUMMYFUNCTION("""COMPUTED_VALUE"""),"+6,218,517")</f>
        <v>+6,218,517</v>
      </c>
      <c r="H6" s="3">
        <f>IFERROR(__xludf.DUMMYFUNCTION("""COMPUTED_VALUE"""),3.130869289E9)</f>
        <v>3130869289</v>
      </c>
      <c r="I6" s="4">
        <f>IFERROR(__xludf.DUMMYFUNCTION("""COMPUTED_VALUE"""),0.5245)</f>
        <v>0.5245</v>
      </c>
    </row>
    <row r="7">
      <c r="A7" s="1" t="str">
        <f>IFERROR(__xludf.DUMMYFUNCTION("""COMPUTED_VALUE"""),"2023.05.26")</f>
        <v>2023.05.26</v>
      </c>
      <c r="B7" s="3">
        <f>IFERROR(__xludf.DUMMYFUNCTION("""COMPUTED_VALUE"""),70300.0)</f>
        <v>70300</v>
      </c>
      <c r="C7" s="3">
        <f>IFERROR(__xludf.DUMMYFUNCTION("""COMPUTED_VALUE"""),1500.0)</f>
        <v>1500</v>
      </c>
      <c r="D7" s="1" t="str">
        <f>IFERROR(__xludf.DUMMYFUNCTION("""COMPUTED_VALUE"""),"+2.18%")</f>
        <v>+2.18%</v>
      </c>
      <c r="E7" s="3">
        <f>IFERROR(__xludf.DUMMYFUNCTION("""COMPUTED_VALUE"""),1.9549511E7)</f>
        <v>19549511</v>
      </c>
      <c r="F7" s="3">
        <f>IFERROR(__xludf.DUMMYFUNCTION("""COMPUTED_VALUE"""),-1128616.0)</f>
        <v>-1128616</v>
      </c>
      <c r="G7" s="1" t="str">
        <f>IFERROR(__xludf.DUMMYFUNCTION("""COMPUTED_VALUE"""),"+7,692,840")</f>
        <v>+7,692,840</v>
      </c>
      <c r="H7" s="3">
        <f>IFERROR(__xludf.DUMMYFUNCTION("""COMPUTED_VALUE"""),3.124516695E9)</f>
        <v>3124516695</v>
      </c>
      <c r="I7" s="4">
        <f>IFERROR(__xludf.DUMMYFUNCTION("""COMPUTED_VALUE"""),0.5234)</f>
        <v>0.5234</v>
      </c>
    </row>
    <row r="8">
      <c r="A8" s="1" t="str">
        <f>IFERROR(__xludf.DUMMYFUNCTION("""COMPUTED_VALUE"""),"2023.05.25")</f>
        <v>2023.05.25</v>
      </c>
      <c r="B8" s="3">
        <f>IFERROR(__xludf.DUMMYFUNCTION("""COMPUTED_VALUE"""),68800.0)</f>
        <v>68800</v>
      </c>
      <c r="C8" s="1">
        <f>IFERROR(__xludf.DUMMYFUNCTION("""COMPUTED_VALUE"""),300.0)</f>
        <v>300</v>
      </c>
      <c r="D8" s="1" t="str">
        <f>IFERROR(__xludf.DUMMYFUNCTION("""COMPUTED_VALUE"""),"+0.44%")</f>
        <v>+0.44%</v>
      </c>
      <c r="E8" s="3">
        <f>IFERROR(__xludf.DUMMYFUNCTION("""COMPUTED_VALUE"""),1.423116E7)</f>
        <v>14231160</v>
      </c>
      <c r="F8" s="3">
        <f>IFERROR(__xludf.DUMMYFUNCTION("""COMPUTED_VALUE"""),-725012.0)</f>
        <v>-725012</v>
      </c>
      <c r="G8" s="1" t="str">
        <f>IFERROR(__xludf.DUMMYFUNCTION("""COMPUTED_VALUE"""),"+1,115,225")</f>
        <v>+1,115,225</v>
      </c>
      <c r="H8" s="3">
        <f>IFERROR(__xludf.DUMMYFUNCTION("""COMPUTED_VALUE"""),3.116542289E9)</f>
        <v>3116542289</v>
      </c>
      <c r="I8" s="4">
        <f>IFERROR(__xludf.DUMMYFUNCTION("""COMPUTED_VALUE"""),0.5221)</f>
        <v>0.5221</v>
      </c>
    </row>
    <row r="9">
      <c r="A9" s="1"/>
      <c r="B9" s="1"/>
      <c r="C9" s="1"/>
      <c r="D9" s="1"/>
      <c r="E9" s="1"/>
      <c r="F9" s="1"/>
      <c r="G9" s="1"/>
      <c r="H9" s="1"/>
      <c r="I9" s="1"/>
    </row>
    <row r="10">
      <c r="A10" s="1"/>
      <c r="B10" s="1"/>
      <c r="C10" s="1"/>
      <c r="D10" s="1"/>
      <c r="E10" s="1"/>
      <c r="F10" s="1"/>
      <c r="G10" s="1"/>
      <c r="H10" s="1"/>
      <c r="I10" s="1"/>
    </row>
    <row r="11">
      <c r="A11" s="1"/>
      <c r="B11" s="1"/>
      <c r="C11" s="1"/>
      <c r="D11" s="1"/>
      <c r="E11" s="1"/>
      <c r="F11" s="1"/>
      <c r="G11" s="1"/>
      <c r="H11" s="1"/>
      <c r="I11" s="1"/>
    </row>
    <row r="12">
      <c r="A12" s="1" t="str">
        <f>IFERROR(__xludf.DUMMYFUNCTION("""COMPUTED_VALUE"""),"2023.05.24")</f>
        <v>2023.05.24</v>
      </c>
      <c r="B12" s="3">
        <f>IFERROR(__xludf.DUMMYFUNCTION("""COMPUTED_VALUE"""),68500.0)</f>
        <v>68500</v>
      </c>
      <c r="C12" s="1">
        <f>IFERROR(__xludf.DUMMYFUNCTION("""COMPUTED_VALUE"""),100.0)</f>
        <v>100</v>
      </c>
      <c r="D12" s="1" t="str">
        <f>IFERROR(__xludf.DUMMYFUNCTION("""COMPUTED_VALUE"""),"+0.15%")</f>
        <v>+0.15%</v>
      </c>
      <c r="E12" s="3">
        <f>IFERROR(__xludf.DUMMYFUNCTION("""COMPUTED_VALUE"""),8192896.0)</f>
        <v>8192896</v>
      </c>
      <c r="F12" s="3">
        <f>IFERROR(__xludf.DUMMYFUNCTION("""COMPUTED_VALUE"""),-620835.0)</f>
        <v>-620835</v>
      </c>
      <c r="G12" s="1" t="str">
        <f>IFERROR(__xludf.DUMMYFUNCTION("""COMPUTED_VALUE"""),"+1,378,755")</f>
        <v>+1,378,755</v>
      </c>
      <c r="H12" s="3">
        <f>IFERROR(__xludf.DUMMYFUNCTION("""COMPUTED_VALUE"""),3.116148965E9)</f>
        <v>3116148965</v>
      </c>
      <c r="I12" s="4">
        <f>IFERROR(__xludf.DUMMYFUNCTION("""COMPUTED_VALUE"""),0.522)</f>
        <v>0.522</v>
      </c>
    </row>
    <row r="13">
      <c r="A13" s="1" t="str">
        <f>IFERROR(__xludf.DUMMYFUNCTION("""COMPUTED_VALUE"""),"2023.05.23")</f>
        <v>2023.05.23</v>
      </c>
      <c r="B13" s="3">
        <f>IFERROR(__xludf.DUMMYFUNCTION("""COMPUTED_VALUE"""),68400.0)</f>
        <v>68400</v>
      </c>
      <c r="C13" s="1">
        <f>IFERROR(__xludf.DUMMYFUNCTION("""COMPUTED_VALUE"""),100.0)</f>
        <v>100</v>
      </c>
      <c r="D13" s="4">
        <f>IFERROR(__xludf.DUMMYFUNCTION("""COMPUTED_VALUE"""),-0.0015)</f>
        <v>-0.0015</v>
      </c>
      <c r="E13" s="3">
        <f>IFERROR(__xludf.DUMMYFUNCTION("""COMPUTED_VALUE"""),8561643.0)</f>
        <v>8561643</v>
      </c>
      <c r="F13" s="1" t="str">
        <f>IFERROR(__xludf.DUMMYFUNCTION("""COMPUTED_VALUE"""),"+1,082,890")</f>
        <v>+1,082,890</v>
      </c>
      <c r="G13" s="3">
        <f>IFERROR(__xludf.DUMMYFUNCTION("""COMPUTED_VALUE"""),-538614.0)</f>
        <v>-538614</v>
      </c>
      <c r="H13" s="3">
        <f>IFERROR(__xludf.DUMMYFUNCTION("""COMPUTED_VALUE"""),3.11488561E9)</f>
        <v>3114885610</v>
      </c>
      <c r="I13" s="4">
        <f>IFERROR(__xludf.DUMMYFUNCTION("""COMPUTED_VALUE"""),0.5218)</f>
        <v>0.5218</v>
      </c>
    </row>
    <row r="14">
      <c r="A14" s="1" t="str">
        <f>IFERROR(__xludf.DUMMYFUNCTION("""COMPUTED_VALUE"""),"2023.05.22")</f>
        <v>2023.05.22</v>
      </c>
      <c r="B14" s="3">
        <f>IFERROR(__xludf.DUMMYFUNCTION("""COMPUTED_VALUE"""),68500.0)</f>
        <v>68500</v>
      </c>
      <c r="C14" s="1">
        <f>IFERROR(__xludf.DUMMYFUNCTION("""COMPUTED_VALUE"""),100.0)</f>
        <v>100</v>
      </c>
      <c r="D14" s="1" t="str">
        <f>IFERROR(__xludf.DUMMYFUNCTION("""COMPUTED_VALUE"""),"+0.15%")</f>
        <v>+0.15%</v>
      </c>
      <c r="E14" s="3">
        <f>IFERROR(__xludf.DUMMYFUNCTION("""COMPUTED_VALUE"""),1.4470308E7)</f>
        <v>14470308</v>
      </c>
      <c r="F14" s="1" t="str">
        <f>IFERROR(__xludf.DUMMYFUNCTION("""COMPUTED_VALUE"""),"+2,428,859")</f>
        <v>+2,428,859</v>
      </c>
      <c r="G14" s="1" t="str">
        <f>IFERROR(__xludf.DUMMYFUNCTION("""COMPUTED_VALUE"""),"+67,441")</f>
        <v>+67,441</v>
      </c>
      <c r="H14" s="3">
        <f>IFERROR(__xludf.DUMMYFUNCTION("""COMPUTED_VALUE"""),3.11564694E9)</f>
        <v>3115646940</v>
      </c>
      <c r="I14" s="4">
        <f>IFERROR(__xludf.DUMMYFUNCTION("""COMPUTED_VALUE"""),0.5219)</f>
        <v>0.5219</v>
      </c>
    </row>
    <row r="15">
      <c r="A15" s="1" t="str">
        <f>IFERROR(__xludf.DUMMYFUNCTION("""COMPUTED_VALUE"""),"2023.05.19")</f>
        <v>2023.05.19</v>
      </c>
      <c r="B15" s="3">
        <f>IFERROR(__xludf.DUMMYFUNCTION("""COMPUTED_VALUE"""),68400.0)</f>
        <v>68400</v>
      </c>
      <c r="C15" s="3">
        <f>IFERROR(__xludf.DUMMYFUNCTION("""COMPUTED_VALUE"""),2200.0)</f>
        <v>2200</v>
      </c>
      <c r="D15" s="1" t="str">
        <f>IFERROR(__xludf.DUMMYFUNCTION("""COMPUTED_VALUE"""),"+3.32%")</f>
        <v>+3.32%</v>
      </c>
      <c r="E15" s="3">
        <f>IFERROR(__xludf.DUMMYFUNCTION("""COMPUTED_VALUE"""),2.0349345E7)</f>
        <v>20349345</v>
      </c>
      <c r="F15" s="1" t="str">
        <f>IFERROR(__xludf.DUMMYFUNCTION("""COMPUTED_VALUE"""),"+2,843,195")</f>
        <v>+2,843,195</v>
      </c>
      <c r="G15" s="1" t="str">
        <f>IFERROR(__xludf.DUMMYFUNCTION("""COMPUTED_VALUE"""),"+7,781,863")</f>
        <v>+7,781,863</v>
      </c>
      <c r="H15" s="3">
        <f>IFERROR(__xludf.DUMMYFUNCTION("""COMPUTED_VALUE"""),3.115896617E9)</f>
        <v>3115896617</v>
      </c>
      <c r="I15" s="4">
        <f>IFERROR(__xludf.DUMMYFUNCTION("""COMPUTED_VALUE"""),0.5219)</f>
        <v>0.5219</v>
      </c>
    </row>
    <row r="16">
      <c r="A16" s="1" t="str">
        <f>IFERROR(__xludf.DUMMYFUNCTION("""COMPUTED_VALUE"""),"2023.05.18")</f>
        <v>2023.05.18</v>
      </c>
      <c r="B16" s="3">
        <f>IFERROR(__xludf.DUMMYFUNCTION("""COMPUTED_VALUE"""),66200.0)</f>
        <v>66200</v>
      </c>
      <c r="C16" s="3">
        <f>IFERROR(__xludf.DUMMYFUNCTION("""COMPUTED_VALUE"""),1200.0)</f>
        <v>1200</v>
      </c>
      <c r="D16" s="1" t="str">
        <f>IFERROR(__xludf.DUMMYFUNCTION("""COMPUTED_VALUE"""),"+1.85%")</f>
        <v>+1.85%</v>
      </c>
      <c r="E16" s="3">
        <f>IFERROR(__xludf.DUMMYFUNCTION("""COMPUTED_VALUE"""),1.4431704E7)</f>
        <v>14431704</v>
      </c>
      <c r="F16" s="3">
        <f>IFERROR(__xludf.DUMMYFUNCTION("""COMPUTED_VALUE"""),-973556.0)</f>
        <v>-973556</v>
      </c>
      <c r="G16" s="1" t="str">
        <f>IFERROR(__xludf.DUMMYFUNCTION("""COMPUTED_VALUE"""),"+5,498,025")</f>
        <v>+5,498,025</v>
      </c>
      <c r="H16" s="3">
        <f>IFERROR(__xludf.DUMMYFUNCTION("""COMPUTED_VALUE"""),3.10916E9)</f>
        <v>3109160000</v>
      </c>
      <c r="I16" s="4">
        <f>IFERROR(__xludf.DUMMYFUNCTION("""COMPUTED_VALUE"""),0.5208)</f>
        <v>0.5208</v>
      </c>
    </row>
    <row r="17">
      <c r="A17" s="1"/>
      <c r="B17" s="1"/>
      <c r="C17" s="1"/>
      <c r="D17" s="1"/>
      <c r="E17" s="1"/>
      <c r="F17" s="1"/>
      <c r="G17" s="1"/>
      <c r="H17" s="1"/>
      <c r="I17" s="1"/>
    </row>
    <row r="18">
      <c r="A18" s="1"/>
      <c r="B18" s="1"/>
      <c r="C18" s="1"/>
      <c r="D18" s="1"/>
      <c r="E18" s="1"/>
      <c r="F18" s="1"/>
      <c r="G18" s="1"/>
      <c r="H18" s="1"/>
      <c r="I18" s="1"/>
    </row>
    <row r="19">
      <c r="A19" s="1"/>
      <c r="B19" s="1"/>
      <c r="C19" s="1"/>
      <c r="D19" s="1"/>
      <c r="E19" s="1"/>
      <c r="F19" s="1"/>
      <c r="G19" s="1"/>
      <c r="H19" s="1"/>
      <c r="I19" s="1"/>
    </row>
    <row r="20">
      <c r="A20" s="1" t="str">
        <f>IFERROR(__xludf.DUMMYFUNCTION("""COMPUTED_VALUE"""),"2023.05.17")</f>
        <v>2023.05.17</v>
      </c>
      <c r="B20" s="3">
        <f>IFERROR(__xludf.DUMMYFUNCTION("""COMPUTED_VALUE"""),65000.0)</f>
        <v>65000</v>
      </c>
      <c r="C20" s="1">
        <f>IFERROR(__xludf.DUMMYFUNCTION("""COMPUTED_VALUE"""),400.0)</f>
        <v>400</v>
      </c>
      <c r="D20" s="4">
        <f>IFERROR(__xludf.DUMMYFUNCTION("""COMPUTED_VALUE"""),-0.0061)</f>
        <v>-0.0061</v>
      </c>
      <c r="E20" s="3">
        <f>IFERROR(__xludf.DUMMYFUNCTION("""COMPUTED_VALUE"""),1.0745504E7)</f>
        <v>10745504</v>
      </c>
      <c r="F20" s="3">
        <f>IFERROR(__xludf.DUMMYFUNCTION("""COMPUTED_VALUE"""),-33694.0)</f>
        <v>-33694</v>
      </c>
      <c r="G20" s="3">
        <f>IFERROR(__xludf.DUMMYFUNCTION("""COMPUTED_VALUE"""),-475307.0)</f>
        <v>-475307</v>
      </c>
      <c r="H20" s="3">
        <f>IFERROR(__xludf.DUMMYFUNCTION("""COMPUTED_VALUE"""),3.103603817E9)</f>
        <v>3103603817</v>
      </c>
      <c r="I20" s="4">
        <f>IFERROR(__xludf.DUMMYFUNCTION("""COMPUTED_VALUE"""),0.5199)</f>
        <v>0.5199</v>
      </c>
    </row>
    <row r="21">
      <c r="A21" s="1" t="str">
        <f>IFERROR(__xludf.DUMMYFUNCTION("""COMPUTED_VALUE"""),"2023.05.16")</f>
        <v>2023.05.16</v>
      </c>
      <c r="B21" s="3">
        <f>IFERROR(__xludf.DUMMYFUNCTION("""COMPUTED_VALUE"""),65400.0)</f>
        <v>65400</v>
      </c>
      <c r="C21" s="1">
        <f>IFERROR(__xludf.DUMMYFUNCTION("""COMPUTED_VALUE"""),900.0)</f>
        <v>900</v>
      </c>
      <c r="D21" s="1" t="str">
        <f>IFERROR(__xludf.DUMMYFUNCTION("""COMPUTED_VALUE"""),"+1.40%")</f>
        <v>+1.40%</v>
      </c>
      <c r="E21" s="3">
        <f>IFERROR(__xludf.DUMMYFUNCTION("""COMPUTED_VALUE"""),1.2334657E7)</f>
        <v>12334657</v>
      </c>
      <c r="F21" s="1" t="str">
        <f>IFERROR(__xludf.DUMMYFUNCTION("""COMPUTED_VALUE"""),"+56,097")</f>
        <v>+56,097</v>
      </c>
      <c r="G21" s="1" t="str">
        <f>IFERROR(__xludf.DUMMYFUNCTION("""COMPUTED_VALUE"""),"+3,230,572")</f>
        <v>+3,230,572</v>
      </c>
      <c r="H21" s="3">
        <f>IFERROR(__xludf.DUMMYFUNCTION("""COMPUTED_VALUE"""),3.103605816E9)</f>
        <v>3103605816</v>
      </c>
      <c r="I21" s="4">
        <f>IFERROR(__xludf.DUMMYFUNCTION("""COMPUTED_VALUE"""),0.5199)</f>
        <v>0.5199</v>
      </c>
    </row>
    <row r="22">
      <c r="A22" s="1" t="str">
        <f>IFERROR(__xludf.DUMMYFUNCTION("""COMPUTED_VALUE"""),"2023.05.15")</f>
        <v>2023.05.15</v>
      </c>
      <c r="B22" s="3">
        <f>IFERROR(__xludf.DUMMYFUNCTION("""COMPUTED_VALUE"""),64500.0)</f>
        <v>64500</v>
      </c>
      <c r="C22" s="1">
        <f>IFERROR(__xludf.DUMMYFUNCTION("""COMPUTED_VALUE"""),400.0)</f>
        <v>400</v>
      </c>
      <c r="D22" s="1" t="str">
        <f>IFERROR(__xludf.DUMMYFUNCTION("""COMPUTED_VALUE"""),"+0.62%")</f>
        <v>+0.62%</v>
      </c>
      <c r="E22" s="3">
        <f>IFERROR(__xludf.DUMMYFUNCTION("""COMPUTED_VALUE"""),8172021.0)</f>
        <v>8172021</v>
      </c>
      <c r="F22" s="1" t="str">
        <f>IFERROR(__xludf.DUMMYFUNCTION("""COMPUTED_VALUE"""),"+191,469")</f>
        <v>+191,469</v>
      </c>
      <c r="G22" s="1" t="str">
        <f>IFERROR(__xludf.DUMMYFUNCTION("""COMPUTED_VALUE"""),"+287,750")</f>
        <v>+287,750</v>
      </c>
      <c r="H22" s="3">
        <f>IFERROR(__xludf.DUMMYFUNCTION("""COMPUTED_VALUE"""),3.100906224E9)</f>
        <v>3100906224</v>
      </c>
      <c r="I22" s="4">
        <f>IFERROR(__xludf.DUMMYFUNCTION("""COMPUTED_VALUE"""),0.5194)</f>
        <v>0.5194</v>
      </c>
    </row>
    <row r="23">
      <c r="A23" s="1" t="str">
        <f>IFERROR(__xludf.DUMMYFUNCTION("""COMPUTED_VALUE"""),"2023.05.12")</f>
        <v>2023.05.12</v>
      </c>
      <c r="B23" s="3">
        <f>IFERROR(__xludf.DUMMYFUNCTION("""COMPUTED_VALUE"""),64100.0)</f>
        <v>64100</v>
      </c>
      <c r="C23" s="1">
        <f>IFERROR(__xludf.DUMMYFUNCTION("""COMPUTED_VALUE"""),100.0)</f>
        <v>100</v>
      </c>
      <c r="D23" s="4">
        <f>IFERROR(__xludf.DUMMYFUNCTION("""COMPUTED_VALUE"""),-0.0016)</f>
        <v>-0.0016</v>
      </c>
      <c r="E23" s="3">
        <f>IFERROR(__xludf.DUMMYFUNCTION("""COMPUTED_VALUE"""),8693913.0)</f>
        <v>8693913</v>
      </c>
      <c r="F23" s="3">
        <f>IFERROR(__xludf.DUMMYFUNCTION("""COMPUTED_VALUE"""),-298989.0)</f>
        <v>-298989</v>
      </c>
      <c r="G23" s="1" t="str">
        <f>IFERROR(__xludf.DUMMYFUNCTION("""COMPUTED_VALUE"""),"+246,715")</f>
        <v>+246,715</v>
      </c>
      <c r="H23" s="3">
        <f>IFERROR(__xludf.DUMMYFUNCTION("""COMPUTED_VALUE"""),3.100618474E9)</f>
        <v>3100618474</v>
      </c>
      <c r="I23" s="4">
        <f>IFERROR(__xludf.DUMMYFUNCTION("""COMPUTED_VALUE"""),0.5194)</f>
        <v>0.5194</v>
      </c>
    </row>
    <row r="24">
      <c r="A24" s="1" t="str">
        <f>IFERROR(__xludf.DUMMYFUNCTION("""COMPUTED_VALUE"""),"2023.05.11")</f>
        <v>2023.05.11</v>
      </c>
      <c r="B24" s="3">
        <f>IFERROR(__xludf.DUMMYFUNCTION("""COMPUTED_VALUE"""),64200.0)</f>
        <v>64200</v>
      </c>
      <c r="C24" s="1">
        <f>IFERROR(__xludf.DUMMYFUNCTION("""COMPUTED_VALUE"""),400.0)</f>
        <v>400</v>
      </c>
      <c r="D24" s="4">
        <f>IFERROR(__xludf.DUMMYFUNCTION("""COMPUTED_VALUE"""),-0.0062)</f>
        <v>-0.0062</v>
      </c>
      <c r="E24" s="3">
        <f>IFERROR(__xludf.DUMMYFUNCTION("""COMPUTED_VALUE"""),1.1648905E7)</f>
        <v>11648905</v>
      </c>
      <c r="F24" s="1" t="str">
        <f>IFERROR(__xludf.DUMMYFUNCTION("""COMPUTED_VALUE"""),"+198,660")</f>
        <v>+198,660</v>
      </c>
      <c r="G24" s="3">
        <f>IFERROR(__xludf.DUMMYFUNCTION("""COMPUTED_VALUE"""),-779411.0)</f>
        <v>-779411</v>
      </c>
      <c r="H24" s="3">
        <f>IFERROR(__xludf.DUMMYFUNCTION("""COMPUTED_VALUE"""),3.100236345E9)</f>
        <v>3100236345</v>
      </c>
      <c r="I24" s="4">
        <f>IFERROR(__xludf.DUMMYFUNCTION("""COMPUTED_VALUE"""),0.5193)</f>
        <v>0.5193</v>
      </c>
    </row>
    <row r="25">
      <c r="A25" s="1"/>
      <c r="B25" s="1"/>
      <c r="C25" s="1"/>
      <c r="D25" s="1"/>
      <c r="E25" s="1"/>
      <c r="F25" s="1"/>
      <c r="G25" s="1"/>
      <c r="H25" s="1"/>
      <c r="I25" s="1"/>
    </row>
    <row r="26">
      <c r="A26" s="1"/>
      <c r="B26" s="1"/>
      <c r="C26" s="1"/>
      <c r="D26" s="1"/>
      <c r="E26" s="1"/>
      <c r="F26" s="1"/>
      <c r="G26" s="1"/>
      <c r="H26" s="1"/>
      <c r="I26" s="1"/>
    </row>
    <row r="27">
      <c r="A27" s="1"/>
      <c r="B27" s="1"/>
      <c r="C27" s="1"/>
      <c r="D27" s="1"/>
      <c r="E27" s="1"/>
      <c r="F27" s="1"/>
      <c r="G27" s="1"/>
      <c r="H27" s="1"/>
      <c r="I27" s="1"/>
    </row>
    <row r="28">
      <c r="A28" s="1" t="str">
        <f>IFERROR(__xludf.DUMMYFUNCTION("""COMPUTED_VALUE"""),"2023.05.10")</f>
        <v>2023.05.10</v>
      </c>
      <c r="B28" s="3">
        <f>IFERROR(__xludf.DUMMYFUNCTION("""COMPUTED_VALUE"""),64600.0)</f>
        <v>64600</v>
      </c>
      <c r="C28" s="1">
        <f>IFERROR(__xludf.DUMMYFUNCTION("""COMPUTED_VALUE"""),700.0)</f>
        <v>700</v>
      </c>
      <c r="D28" s="4">
        <f>IFERROR(__xludf.DUMMYFUNCTION("""COMPUTED_VALUE"""),-0.0107)</f>
        <v>-0.0107</v>
      </c>
      <c r="E28" s="3">
        <f>IFERROR(__xludf.DUMMYFUNCTION("""COMPUTED_VALUE"""),1.3057727E7)</f>
        <v>13057727</v>
      </c>
      <c r="F28" s="3">
        <f>IFERROR(__xludf.DUMMYFUNCTION("""COMPUTED_VALUE"""),-857650.0)</f>
        <v>-857650</v>
      </c>
      <c r="G28" s="3">
        <f>IFERROR(__xludf.DUMMYFUNCTION("""COMPUTED_VALUE"""),-656908.0)</f>
        <v>-656908</v>
      </c>
      <c r="H28" s="3">
        <f>IFERROR(__xludf.DUMMYFUNCTION("""COMPUTED_VALUE"""),3.10093294E9)</f>
        <v>3100932940</v>
      </c>
      <c r="I28" s="4">
        <f>IFERROR(__xludf.DUMMYFUNCTION("""COMPUTED_VALUE"""),0.5194)</f>
        <v>0.5194</v>
      </c>
    </row>
    <row r="29">
      <c r="A29" s="1" t="str">
        <f>IFERROR(__xludf.DUMMYFUNCTION("""COMPUTED_VALUE"""),"2023.05.09")</f>
        <v>2023.05.09</v>
      </c>
      <c r="B29" s="3">
        <f>IFERROR(__xludf.DUMMYFUNCTION("""COMPUTED_VALUE"""),65300.0)</f>
        <v>65300</v>
      </c>
      <c r="C29" s="1">
        <f>IFERROR(__xludf.DUMMYFUNCTION("""COMPUTED_VALUE"""),600.0)</f>
        <v>600</v>
      </c>
      <c r="D29" s="4">
        <f>IFERROR(__xludf.DUMMYFUNCTION("""COMPUTED_VALUE"""),-0.0091)</f>
        <v>-0.0091</v>
      </c>
      <c r="E29" s="3">
        <f>IFERROR(__xludf.DUMMYFUNCTION("""COMPUTED_VALUE"""),9366861.0)</f>
        <v>9366861</v>
      </c>
      <c r="F29" s="1" t="str">
        <f>IFERROR(__xludf.DUMMYFUNCTION("""COMPUTED_VALUE"""),"+209,493")</f>
        <v>+209,493</v>
      </c>
      <c r="G29" s="3">
        <f>IFERROR(__xludf.DUMMYFUNCTION("""COMPUTED_VALUE"""),-448538.0)</f>
        <v>-448538</v>
      </c>
      <c r="H29" s="3">
        <f>IFERROR(__xludf.DUMMYFUNCTION("""COMPUTED_VALUE"""),3.101759848E9)</f>
        <v>3101759848</v>
      </c>
      <c r="I29" s="4">
        <f>IFERROR(__xludf.DUMMYFUNCTION("""COMPUTED_VALUE"""),0.5196)</f>
        <v>0.5196</v>
      </c>
    </row>
    <row r="30">
      <c r="A30" s="1" t="str">
        <f>IFERROR(__xludf.DUMMYFUNCTION("""COMPUTED_VALUE"""),"2023.05.08")</f>
        <v>2023.05.08</v>
      </c>
      <c r="B30" s="3">
        <f>IFERROR(__xludf.DUMMYFUNCTION("""COMPUTED_VALUE"""),65900.0)</f>
        <v>65900</v>
      </c>
      <c r="C30" s="1">
        <f>IFERROR(__xludf.DUMMYFUNCTION("""COMPUTED_VALUE"""),800.0)</f>
        <v>800</v>
      </c>
      <c r="D30" s="1" t="str">
        <f>IFERROR(__xludf.DUMMYFUNCTION("""COMPUTED_VALUE"""),"+1.23%")</f>
        <v>+1.23%</v>
      </c>
      <c r="E30" s="3">
        <f>IFERROR(__xludf.DUMMYFUNCTION("""COMPUTED_VALUE"""),9405365.0)</f>
        <v>9405365</v>
      </c>
      <c r="F30" s="1" t="str">
        <f>IFERROR(__xludf.DUMMYFUNCTION("""COMPUTED_VALUE"""),"+1,559,418")</f>
        <v>+1,559,418</v>
      </c>
      <c r="G30" s="1" t="str">
        <f>IFERROR(__xludf.DUMMYFUNCTION("""COMPUTED_VALUE"""),"+1,140,161")</f>
        <v>+1,140,161</v>
      </c>
      <c r="H30" s="3">
        <f>IFERROR(__xludf.DUMMYFUNCTION("""COMPUTED_VALUE"""),3.102256191E9)</f>
        <v>3102256191</v>
      </c>
      <c r="I30" s="4">
        <f>IFERROR(__xludf.DUMMYFUNCTION("""COMPUTED_VALUE"""),0.5197)</f>
        <v>0.5197</v>
      </c>
    </row>
    <row r="31">
      <c r="A31" s="1" t="str">
        <f>IFERROR(__xludf.DUMMYFUNCTION("""COMPUTED_VALUE"""),"2023.05.04")</f>
        <v>2023.05.04</v>
      </c>
      <c r="B31" s="3">
        <f>IFERROR(__xludf.DUMMYFUNCTION("""COMPUTED_VALUE"""),65100.0)</f>
        <v>65100</v>
      </c>
      <c r="C31" s="1">
        <f>IFERROR(__xludf.DUMMYFUNCTION("""COMPUTED_VALUE"""),300.0)</f>
        <v>300</v>
      </c>
      <c r="D31" s="4">
        <f>IFERROR(__xludf.DUMMYFUNCTION("""COMPUTED_VALUE"""),-0.0046)</f>
        <v>-0.0046</v>
      </c>
      <c r="E31" s="3">
        <f>IFERROR(__xludf.DUMMYFUNCTION("""COMPUTED_VALUE"""),9791064.0)</f>
        <v>9791064</v>
      </c>
      <c r="F31" s="3">
        <f>IFERROR(__xludf.DUMMYFUNCTION("""COMPUTED_VALUE"""),-1477647.0)</f>
        <v>-1477647</v>
      </c>
      <c r="G31" s="1" t="str">
        <f>IFERROR(__xludf.DUMMYFUNCTION("""COMPUTED_VALUE"""),"+1,338,218")</f>
        <v>+1,338,218</v>
      </c>
      <c r="H31" s="3">
        <f>IFERROR(__xludf.DUMMYFUNCTION("""COMPUTED_VALUE"""),3.101371293E9)</f>
        <v>3101371293</v>
      </c>
      <c r="I31" s="4">
        <f>IFERROR(__xludf.DUMMYFUNCTION("""COMPUTED_VALUE"""),0.5195)</f>
        <v>0.5195</v>
      </c>
    </row>
    <row r="32">
      <c r="A32" s="1" t="str">
        <f>IFERROR(__xludf.DUMMYFUNCTION("""COMPUTED_VALUE"""),"2023.05.03")</f>
        <v>2023.05.03</v>
      </c>
      <c r="B32" s="3">
        <f>IFERROR(__xludf.DUMMYFUNCTION("""COMPUTED_VALUE"""),65400.0)</f>
        <v>65400</v>
      </c>
      <c r="C32" s="1">
        <f>IFERROR(__xludf.DUMMYFUNCTION("""COMPUTED_VALUE"""),300.0)</f>
        <v>300</v>
      </c>
      <c r="D32" s="4">
        <f>IFERROR(__xludf.DUMMYFUNCTION("""COMPUTED_VALUE"""),-0.0046)</f>
        <v>-0.0046</v>
      </c>
      <c r="E32" s="3">
        <f>IFERROR(__xludf.DUMMYFUNCTION("""COMPUTED_VALUE"""),8876749.0)</f>
        <v>8876749</v>
      </c>
      <c r="F32" s="3">
        <f>IFERROR(__xludf.DUMMYFUNCTION("""COMPUTED_VALUE"""),-1055097.0)</f>
        <v>-1055097</v>
      </c>
      <c r="G32" s="1" t="str">
        <f>IFERROR(__xludf.DUMMYFUNCTION("""COMPUTED_VALUE"""),"+1,055,659")</f>
        <v>+1,055,659</v>
      </c>
      <c r="H32" s="3">
        <f>IFERROR(__xludf.DUMMYFUNCTION("""COMPUTED_VALUE"""),3.10036178E9)</f>
        <v>3100361780</v>
      </c>
      <c r="I32" s="4">
        <f>IFERROR(__xludf.DUMMYFUNCTION("""COMPUTED_VALUE"""),0.5193)</f>
        <v>0.5193</v>
      </c>
    </row>
    <row r="33">
      <c r="A33" s="1"/>
      <c r="B33" s="1"/>
      <c r="C33" s="1"/>
      <c r="D33" s="1"/>
      <c r="E33" s="1"/>
      <c r="F33" s="1"/>
      <c r="G33" s="1"/>
      <c r="H33" s="1"/>
      <c r="I33" s="1"/>
    </row>
  </sheetData>
  <drawing r:id="rId1"/>
</worksheet>
</file>