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un/Code/PACKAGES/45-options-arbitrage-parity/"/>
    </mc:Choice>
  </mc:AlternateContent>
  <xr:revisionPtr revIDLastSave="0" documentId="8_{1C5E45CA-D79E-9048-BE36-7BAC0ED32167}" xr6:coauthVersionLast="47" xr6:coauthVersionMax="47" xr10:uidLastSave="{00000000-0000-0000-0000-000000000000}"/>
  <bookViews>
    <workbookView xWindow="0" yWindow="500" windowWidth="28800" windowHeight="17500" xr2:uid="{C617257B-658F-3249-993C-E34E6E4A4F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H25" i="2"/>
  <c r="H23" i="2"/>
  <c r="H22" i="2"/>
  <c r="AN3" i="2"/>
  <c r="AQ3" i="2"/>
  <c r="AP3" i="2"/>
  <c r="AO3" i="2"/>
  <c r="I3" i="2"/>
  <c r="AK3" i="2"/>
  <c r="AL3" i="2"/>
  <c r="AI3" i="2"/>
  <c r="AJ3" i="2" s="1"/>
  <c r="AF3" i="2"/>
  <c r="AG3" i="2" s="1"/>
  <c r="AE3" i="2"/>
  <c r="AD3" i="2"/>
  <c r="AA3" i="2"/>
  <c r="AB3" i="2" s="1"/>
  <c r="Y3" i="2"/>
  <c r="Z3" i="2" s="1"/>
  <c r="V3" i="2"/>
  <c r="W3" i="2" s="1"/>
  <c r="F3" i="2"/>
  <c r="G31" i="1"/>
  <c r="G35" i="1"/>
  <c r="G34" i="1"/>
  <c r="G33" i="1"/>
  <c r="J3" i="1"/>
  <c r="F24" i="1"/>
  <c r="H24" i="1" s="1"/>
  <c r="G29" i="1"/>
  <c r="C28" i="1"/>
  <c r="C31" i="1" s="1"/>
  <c r="G28" i="1"/>
  <c r="C29" i="1"/>
  <c r="D24" i="1"/>
  <c r="H10" i="1"/>
  <c r="F13" i="1" s="1"/>
  <c r="F17" i="1" s="1"/>
  <c r="H3" i="1"/>
  <c r="F6" i="1" s="1"/>
  <c r="F20" i="1" s="1"/>
  <c r="D10" i="1"/>
  <c r="D13" i="1" s="1"/>
  <c r="D20" i="1" s="1"/>
  <c r="D3" i="1"/>
  <c r="D6" i="1" s="1"/>
  <c r="D17" i="1" s="1"/>
  <c r="G38" i="1" l="1"/>
  <c r="T3" i="2"/>
  <c r="U3" i="2" s="1"/>
  <c r="H20" i="1"/>
</calcChain>
</file>

<file path=xl/sharedStrings.xml><?xml version="1.0" encoding="utf-8"?>
<sst xmlns="http://schemas.openxmlformats.org/spreadsheetml/2006/main" count="108" uniqueCount="79">
  <si>
    <t>Call</t>
  </si>
  <si>
    <t>Put</t>
  </si>
  <si>
    <t>Call Bid</t>
  </si>
  <si>
    <t>Call Ask</t>
  </si>
  <si>
    <t>Put Bid</t>
  </si>
  <si>
    <t>Put Ask</t>
  </si>
  <si>
    <t>Underlying</t>
  </si>
  <si>
    <t>Strike</t>
  </si>
  <si>
    <t>Mean Call</t>
  </si>
  <si>
    <t>Mean Put</t>
  </si>
  <si>
    <t>left</t>
  </si>
  <si>
    <t>right</t>
  </si>
  <si>
    <t>at parity</t>
  </si>
  <si>
    <t>left exch1</t>
  </si>
  <si>
    <t>right exc2</t>
  </si>
  <si>
    <t>&lt;</t>
  </si>
  <si>
    <t>left exch2</t>
  </si>
  <si>
    <t>right exc1</t>
  </si>
  <si>
    <t>&gt;</t>
  </si>
  <si>
    <t>Sell Call at Bid</t>
  </si>
  <si>
    <t>Buy Put at Ask</t>
  </si>
  <si>
    <t>Exch1</t>
  </si>
  <si>
    <t>Exch2</t>
  </si>
  <si>
    <t>Testing exchange 1 on left</t>
  </si>
  <si>
    <t>Testing exchange 2 on left</t>
  </si>
  <si>
    <t>Opting for test 2 as no shorting</t>
  </si>
  <si>
    <t>Using correct pricing</t>
  </si>
  <si>
    <t>Scenario 1</t>
  </si>
  <si>
    <t>Price goes up + 500</t>
  </si>
  <si>
    <t>Price goes down -500</t>
  </si>
  <si>
    <t>Profit = ((Strike Price – Underlying Price) – Initial Option Price) x number of contracts</t>
  </si>
  <si>
    <t>Net profit</t>
  </si>
  <si>
    <t>https://www.delta.exchange/app/options_chain/trade/BTC/C-BTC-22000-090323</t>
  </si>
  <si>
    <t>https://www.deribit.com/options/BTC/BTC-9MAR23/BTC-9MAR23-22000-C</t>
  </si>
  <si>
    <t>https://api.delta.exchange/v2/tickers?contract_types=call_options</t>
  </si>
  <si>
    <t>https://test.deribit.com/api/v2/public/get_instruments?currency=BTC&amp;kind=option</t>
  </si>
  <si>
    <t>https://test.deribit.com/api/v2/public/get_order_book_by_instrument_id?instrument_id=152183</t>
  </si>
  <si>
    <t>Commission call</t>
  </si>
  <si>
    <t>Commission put</t>
  </si>
  <si>
    <t>Commission underlying</t>
  </si>
  <si>
    <t>Total</t>
  </si>
  <si>
    <t>Net Profit</t>
  </si>
  <si>
    <t>Therefore , to make just $1 in profit, you need an additional ~$10 in the trade</t>
  </si>
  <si>
    <t>You also have exchange. Risk with BTC price movement against USD on deribit</t>
  </si>
  <si>
    <t>https://www.deribit.com/api/v2/public/get_book_summary_by_currency?currency=BTC&amp;kind=option</t>
  </si>
  <si>
    <t>https://www.deribit.com/api/v2/public/get_book_summary_by_currency?currency=ETH&amp;kind=option</t>
  </si>
  <si>
    <t>CallBidExch1</t>
  </si>
  <si>
    <t>CallAskExch1</t>
  </si>
  <si>
    <t>CallMeanExch1</t>
  </si>
  <si>
    <t>PutBidExch1</t>
  </si>
  <si>
    <t>PutAskExch1</t>
  </si>
  <si>
    <t>PutMeanExch1</t>
  </si>
  <si>
    <t>CallBidExch2</t>
  </si>
  <si>
    <t>CallAskExch2</t>
  </si>
  <si>
    <t>CallMeanExch2</t>
  </si>
  <si>
    <t>PutBidExch2</t>
  </si>
  <si>
    <t>PutAskExch2</t>
  </si>
  <si>
    <t>PutMeanExch2</t>
  </si>
  <si>
    <t>UnderlyingExch1</t>
  </si>
  <si>
    <t>UnderlyingExch2</t>
  </si>
  <si>
    <t>ParityMeanCheckExch1</t>
  </si>
  <si>
    <t>ParityMeanCheckExch2</t>
  </si>
  <si>
    <t>ParityMeanCheckExch1Perc</t>
  </si>
  <si>
    <t>ParityMeanCheckExchePerc</t>
  </si>
  <si>
    <t>LeftHighExch1</t>
  </si>
  <si>
    <t>LeftHighExch2</t>
  </si>
  <si>
    <t>LeftHighExch2Perc</t>
  </si>
  <si>
    <t>LeftHighExch1Perc</t>
  </si>
  <si>
    <t>Must be +</t>
  </si>
  <si>
    <t>RightHighExch1</t>
  </si>
  <si>
    <t>RightHighExch1Perc</t>
  </si>
  <si>
    <t>LeftExch1HighRightExch2</t>
  </si>
  <si>
    <t>LeftExch1HighRightExch2Perc</t>
  </si>
  <si>
    <t>LeftExch2HighRightExch1</t>
  </si>
  <si>
    <t>LeftExch2HighRightExch1Perc</t>
  </si>
  <si>
    <t>RightExch1HighLeftExch2</t>
  </si>
  <si>
    <t>RightExch1HighLeftExch2Perc</t>
  </si>
  <si>
    <t>RightExch2HighLeftExch1</t>
  </si>
  <si>
    <t>RightExch2HighLeftExch1Perc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</si>
</sst>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0000000000"/>
    <numFmt numFmtId="168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2" fillId="0" borderId="0" xfId="2" applyAlignment="1">
      <alignment vertical="center"/>
    </xf>
    <xf numFmtId="43" fontId="0" fillId="0" borderId="0" xfId="0" applyNumberFormat="1" applyAlignment="1">
      <alignment vertical="center"/>
    </xf>
    <xf numFmtId="43" fontId="0" fillId="2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164" fontId="0" fillId="0" borderId="0" xfId="1" applyNumberFormat="1" applyFont="1" applyAlignment="1">
      <alignment horizontal="center" vertical="center"/>
    </xf>
    <xf numFmtId="164" fontId="0" fillId="3" borderId="0" xfId="1" applyNumberFormat="1" applyFont="1" applyFill="1" applyAlignment="1">
      <alignment horizontal="center" vertical="center"/>
    </xf>
    <xf numFmtId="10" fontId="0" fillId="0" borderId="0" xfId="3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164" fontId="0" fillId="4" borderId="0" xfId="0" applyNumberFormat="1" applyFill="1" applyAlignment="1">
      <alignment vertical="center"/>
    </xf>
    <xf numFmtId="168" fontId="0" fillId="0" borderId="0" xfId="0" applyNumberFormat="1" applyAlignment="1">
      <alignment vertical="center"/>
    </xf>
  </cellXfs>
  <cellStyles count="4">
    <cellStyle name="Comma" xfId="1" builtinId="3"/>
    <cellStyle name="Hyperlink" xfId="2" builtinId="8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delta.exchange/v2/tickers?contract_types=call_options" TargetMode="External"/><Relationship Id="rId2" Type="http://schemas.openxmlformats.org/officeDocument/2006/relationships/hyperlink" Target="https://www.deribit.com/options/BTC/BTC-9MAR23/BTC-9MAR23-22000-C" TargetMode="External"/><Relationship Id="rId1" Type="http://schemas.openxmlformats.org/officeDocument/2006/relationships/hyperlink" Target="https://www.delta.exchange/app/options_chain/trade/BTC/C-BTC-22000-090323" TargetMode="External"/><Relationship Id="rId6" Type="http://schemas.openxmlformats.org/officeDocument/2006/relationships/hyperlink" Target="https://www.deribit.com/api/v2/public/get_book_summary_by_currency?currency=BTC&amp;kind=option" TargetMode="External"/><Relationship Id="rId5" Type="http://schemas.openxmlformats.org/officeDocument/2006/relationships/hyperlink" Target="https://www.deribit.com/api/v2/public/get_book_summary_by_currency?currency=ETH&amp;kind=option" TargetMode="External"/><Relationship Id="rId4" Type="http://schemas.openxmlformats.org/officeDocument/2006/relationships/hyperlink" Target="https://test.deribit.com/api/v2/public/get_instruments?currency=BTC&amp;kind=op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F525-E3E8-D447-A153-248AD9AAC8BC}">
  <dimension ref="A2:O41"/>
  <sheetViews>
    <sheetView tabSelected="1" topLeftCell="A12" workbookViewId="0">
      <selection activeCell="G37" sqref="G37"/>
    </sheetView>
  </sheetViews>
  <sheetFormatPr baseColWidth="10" defaultRowHeight="16" x14ac:dyDescent="0.2"/>
  <cols>
    <col min="1" max="6" width="10.83203125" style="1"/>
    <col min="7" max="7" width="16.83203125" style="1" bestFit="1" customWidth="1"/>
    <col min="8" max="9" width="10.83203125" style="1"/>
    <col min="10" max="10" width="11.5" style="1" bestFit="1" customWidth="1"/>
    <col min="11" max="16384" width="10.83203125" style="1"/>
  </cols>
  <sheetData>
    <row r="2" spans="1:15" x14ac:dyDescent="0.2">
      <c r="A2" s="1" t="s">
        <v>21</v>
      </c>
      <c r="B2" s="1" t="s">
        <v>2</v>
      </c>
      <c r="C2" s="1" t="s">
        <v>3</v>
      </c>
      <c r="D2" s="1" t="s">
        <v>8</v>
      </c>
      <c r="F2" s="1" t="s">
        <v>4</v>
      </c>
      <c r="G2" s="1" t="s">
        <v>5</v>
      </c>
      <c r="H2" s="1" t="s">
        <v>9</v>
      </c>
      <c r="J2" s="1" t="s">
        <v>6</v>
      </c>
      <c r="L2" s="1" t="s">
        <v>7</v>
      </c>
      <c r="O2" s="9" t="s">
        <v>32</v>
      </c>
    </row>
    <row r="3" spans="1:15" x14ac:dyDescent="0.2">
      <c r="B3" s="1">
        <v>109.92</v>
      </c>
      <c r="C3" s="1">
        <v>142.91999999999999</v>
      </c>
      <c r="D3" s="1">
        <f>AVERAGE(B3:C3)</f>
        <v>126.41999999999999</v>
      </c>
      <c r="F3" s="1">
        <v>129.94</v>
      </c>
      <c r="G3" s="1">
        <v>153.88999999999999</v>
      </c>
      <c r="H3" s="1">
        <f>AVERAGE(F3:G3)</f>
        <v>141.91499999999999</v>
      </c>
      <c r="J3" s="2">
        <f>J10</f>
        <v>21991</v>
      </c>
      <c r="L3" s="1">
        <v>22000</v>
      </c>
      <c r="O3" s="9" t="s">
        <v>33</v>
      </c>
    </row>
    <row r="5" spans="1:15" x14ac:dyDescent="0.2">
      <c r="D5" s="3" t="s">
        <v>10</v>
      </c>
      <c r="E5" s="3"/>
      <c r="F5" s="3" t="s">
        <v>11</v>
      </c>
    </row>
    <row r="6" spans="1:15" x14ac:dyDescent="0.2">
      <c r="D6" s="5">
        <f>D3+L3</f>
        <v>22126.42</v>
      </c>
      <c r="E6" s="3" t="s">
        <v>12</v>
      </c>
      <c r="F6" s="5">
        <f>H3+J3</f>
        <v>22132.915000000001</v>
      </c>
    </row>
    <row r="7" spans="1:15" x14ac:dyDescent="0.2">
      <c r="O7" s="9" t="s">
        <v>34</v>
      </c>
    </row>
    <row r="8" spans="1:15" x14ac:dyDescent="0.2">
      <c r="O8" s="9" t="s">
        <v>44</v>
      </c>
    </row>
    <row r="9" spans="1:15" x14ac:dyDescent="0.2">
      <c r="A9" s="1" t="s">
        <v>22</v>
      </c>
      <c r="B9" s="1" t="s">
        <v>2</v>
      </c>
      <c r="C9" s="1" t="s">
        <v>3</v>
      </c>
      <c r="D9" s="1" t="s">
        <v>8</v>
      </c>
      <c r="F9" s="1" t="s">
        <v>4</v>
      </c>
      <c r="G9" s="1" t="s">
        <v>5</v>
      </c>
      <c r="H9" s="1" t="s">
        <v>9</v>
      </c>
      <c r="J9" s="1" t="s">
        <v>6</v>
      </c>
      <c r="L9" s="1" t="s">
        <v>7</v>
      </c>
      <c r="O9" s="9" t="s">
        <v>45</v>
      </c>
    </row>
    <row r="10" spans="1:15" x14ac:dyDescent="0.2">
      <c r="B10" s="1">
        <v>161.5</v>
      </c>
      <c r="C10" s="1">
        <v>178</v>
      </c>
      <c r="D10" s="1">
        <f>AVERAGE(B10:C10)</f>
        <v>169.75</v>
      </c>
      <c r="F10" s="1">
        <v>170</v>
      </c>
      <c r="G10" s="1">
        <v>184</v>
      </c>
      <c r="H10" s="1">
        <f>AVERAGE(F10:G10)</f>
        <v>177</v>
      </c>
      <c r="J10" s="2">
        <v>21991</v>
      </c>
      <c r="L10" s="1">
        <v>22000</v>
      </c>
    </row>
    <row r="11" spans="1:15" x14ac:dyDescent="0.2">
      <c r="O11" s="9" t="s">
        <v>35</v>
      </c>
    </row>
    <row r="12" spans="1:15" x14ac:dyDescent="0.2">
      <c r="D12" s="3" t="s">
        <v>10</v>
      </c>
      <c r="E12" s="3"/>
      <c r="F12" s="3" t="s">
        <v>11</v>
      </c>
      <c r="O12" s="1" t="s">
        <v>36</v>
      </c>
    </row>
    <row r="13" spans="1:15" x14ac:dyDescent="0.2">
      <c r="D13" s="5">
        <f>D10+L10</f>
        <v>22169.75</v>
      </c>
      <c r="E13" s="3" t="s">
        <v>12</v>
      </c>
      <c r="F13" s="5">
        <f>H10+J10</f>
        <v>22168</v>
      </c>
    </row>
    <row r="16" spans="1:15" x14ac:dyDescent="0.2">
      <c r="A16" s="7" t="s">
        <v>23</v>
      </c>
      <c r="B16" s="7"/>
      <c r="C16" s="7"/>
      <c r="D16" s="8" t="s">
        <v>13</v>
      </c>
      <c r="E16" s="8"/>
      <c r="F16" s="8" t="s">
        <v>14</v>
      </c>
      <c r="G16" s="7"/>
      <c r="H16" s="7"/>
    </row>
    <row r="17" spans="1:8" x14ac:dyDescent="0.2">
      <c r="D17" s="5">
        <f>D6</f>
        <v>22126.42</v>
      </c>
      <c r="E17" s="3" t="s">
        <v>15</v>
      </c>
      <c r="F17" s="5">
        <f>F13</f>
        <v>22168</v>
      </c>
    </row>
    <row r="19" spans="1:8" x14ac:dyDescent="0.2">
      <c r="A19" s="7" t="s">
        <v>24</v>
      </c>
      <c r="B19" s="7"/>
      <c r="C19" s="7"/>
      <c r="D19" s="8" t="s">
        <v>16</v>
      </c>
      <c r="E19" s="8"/>
      <c r="F19" s="8" t="s">
        <v>17</v>
      </c>
      <c r="G19" s="7"/>
      <c r="H19" s="7"/>
    </row>
    <row r="20" spans="1:8" x14ac:dyDescent="0.2">
      <c r="D20" s="5">
        <f>D13</f>
        <v>22169.75</v>
      </c>
      <c r="E20" s="3" t="s">
        <v>18</v>
      </c>
      <c r="F20" s="5">
        <f>F6</f>
        <v>22132.915000000001</v>
      </c>
      <c r="H20" s="6">
        <f>F20-D20</f>
        <v>-36.834999999999127</v>
      </c>
    </row>
    <row r="22" spans="1:8" x14ac:dyDescent="0.2">
      <c r="A22" s="7" t="s">
        <v>25</v>
      </c>
      <c r="B22" s="7"/>
      <c r="C22" s="7"/>
      <c r="D22" s="8" t="s">
        <v>16</v>
      </c>
      <c r="E22" s="7"/>
      <c r="F22" s="8" t="s">
        <v>17</v>
      </c>
      <c r="G22" s="7"/>
      <c r="H22" s="7"/>
    </row>
    <row r="23" spans="1:8" x14ac:dyDescent="0.2">
      <c r="A23" s="1" t="s">
        <v>26</v>
      </c>
      <c r="D23" s="3" t="s">
        <v>19</v>
      </c>
      <c r="F23" s="3" t="s">
        <v>20</v>
      </c>
    </row>
    <row r="24" spans="1:8" x14ac:dyDescent="0.2">
      <c r="D24" s="3">
        <f>B10+L10</f>
        <v>22161.5</v>
      </c>
      <c r="E24" s="3" t="s">
        <v>18</v>
      </c>
      <c r="F24" s="4">
        <f>G3+J10</f>
        <v>22144.89</v>
      </c>
      <c r="H24" s="6">
        <f>F24-D24</f>
        <v>-16.610000000000582</v>
      </c>
    </row>
    <row r="27" spans="1:8" x14ac:dyDescent="0.2">
      <c r="A27" s="1" t="s">
        <v>27</v>
      </c>
      <c r="B27" s="1" t="s">
        <v>28</v>
      </c>
      <c r="F27" s="1" t="s">
        <v>29</v>
      </c>
    </row>
    <row r="28" spans="1:8" x14ac:dyDescent="0.2">
      <c r="B28" s="1" t="s">
        <v>0</v>
      </c>
      <c r="C28" s="6">
        <f>-((J10+500)-L10-B10)</f>
        <v>-329.5</v>
      </c>
      <c r="F28" s="1" t="s">
        <v>0</v>
      </c>
      <c r="G28" s="1">
        <f>B10</f>
        <v>161.5</v>
      </c>
    </row>
    <row r="29" spans="1:8" x14ac:dyDescent="0.2">
      <c r="B29" s="1" t="s">
        <v>1</v>
      </c>
      <c r="C29" s="6">
        <f>-G3</f>
        <v>-153.88999999999999</v>
      </c>
      <c r="F29" s="1" t="s">
        <v>1</v>
      </c>
      <c r="G29" s="6">
        <f>(L3-(J10-500))-G3</f>
        <v>355.11</v>
      </c>
      <c r="H29" s="1" t="s">
        <v>30</v>
      </c>
    </row>
    <row r="30" spans="1:8" x14ac:dyDescent="0.2">
      <c r="B30" s="1" t="s">
        <v>6</v>
      </c>
      <c r="C30" s="1">
        <v>500</v>
      </c>
      <c r="F30" s="1" t="s">
        <v>6</v>
      </c>
      <c r="G30" s="1">
        <v>-500</v>
      </c>
    </row>
    <row r="31" spans="1:8" x14ac:dyDescent="0.2">
      <c r="B31" s="7" t="s">
        <v>31</v>
      </c>
      <c r="C31" s="7">
        <f>SUM(C28:C30)</f>
        <v>16.610000000000014</v>
      </c>
      <c r="F31" s="7" t="s">
        <v>31</v>
      </c>
      <c r="G31" s="7">
        <f>SUM(G28:G30)</f>
        <v>16.610000000000014</v>
      </c>
    </row>
    <row r="33" spans="5:7" x14ac:dyDescent="0.2">
      <c r="E33" s="1" t="s">
        <v>37</v>
      </c>
      <c r="G33" s="10">
        <f>G28*0.05%*2</f>
        <v>0.1615</v>
      </c>
    </row>
    <row r="34" spans="5:7" x14ac:dyDescent="0.2">
      <c r="E34" s="1" t="s">
        <v>38</v>
      </c>
      <c r="G34" s="10">
        <f>-C29*0.05%*2</f>
        <v>0.15389</v>
      </c>
    </row>
    <row r="35" spans="5:7" x14ac:dyDescent="0.2">
      <c r="E35" s="1" t="s">
        <v>39</v>
      </c>
      <c r="G35" s="10">
        <f>F24*0.05%*2</f>
        <v>22.14489</v>
      </c>
    </row>
    <row r="36" spans="5:7" x14ac:dyDescent="0.2">
      <c r="E36" s="7"/>
      <c r="F36" s="7" t="s">
        <v>40</v>
      </c>
      <c r="G36" s="11">
        <f>SUM(G33:G35)</f>
        <v>22.460280000000001</v>
      </c>
    </row>
    <row r="38" spans="5:7" x14ac:dyDescent="0.2">
      <c r="E38" s="7" t="s">
        <v>41</v>
      </c>
      <c r="F38" s="7"/>
      <c r="G38" s="11">
        <f>G31-G36</f>
        <v>-5.8502799999999873</v>
      </c>
    </row>
    <row r="40" spans="5:7" x14ac:dyDescent="0.2">
      <c r="E40" s="1" t="s">
        <v>42</v>
      </c>
      <c r="G40" s="12"/>
    </row>
    <row r="41" spans="5:7" x14ac:dyDescent="0.2">
      <c r="E41" s="1" t="s">
        <v>43</v>
      </c>
    </row>
  </sheetData>
  <hyperlinks>
    <hyperlink ref="O2" r:id="rId1" xr:uid="{9F459934-7378-A54B-842B-6DF969A8455B}"/>
    <hyperlink ref="O3" r:id="rId2" xr:uid="{A68FF8EE-825E-4B4F-BCED-E484535F4695}"/>
    <hyperlink ref="O7" r:id="rId3" xr:uid="{56B7F139-3230-BB45-8012-D7BE5458147D}"/>
    <hyperlink ref="O11" r:id="rId4" xr:uid="{38792E51-5618-2C44-B214-5758E04CFD06}"/>
    <hyperlink ref="O9" r:id="rId5" xr:uid="{CC051F28-3E77-784D-A2D6-6AE2BE247527}"/>
    <hyperlink ref="O8" r:id="rId6" xr:uid="{D8DCE653-6A3A-4D46-909D-E31BE40241C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D6630-B7B7-0246-BF76-F309B7B80B59}">
  <dimension ref="A1:AR25"/>
  <sheetViews>
    <sheetView workbookViewId="0">
      <selection activeCell="AI3" sqref="AI3"/>
    </sheetView>
  </sheetViews>
  <sheetFormatPr baseColWidth="10" defaultRowHeight="16" x14ac:dyDescent="0.2"/>
  <cols>
    <col min="1" max="1" width="1.83203125" style="14" customWidth="1"/>
    <col min="2" max="2" width="10.83203125" style="1"/>
    <col min="3" max="3" width="1.83203125" style="14" customWidth="1"/>
    <col min="4" max="5" width="12.6640625" style="1" customWidth="1"/>
    <col min="6" max="6" width="12.6640625" style="19" customWidth="1"/>
    <col min="7" max="8" width="12.6640625" style="1" customWidth="1"/>
    <col min="9" max="9" width="12.6640625" style="19" customWidth="1"/>
    <col min="10" max="10" width="12.6640625" style="1" customWidth="1"/>
    <col min="11" max="11" width="1.83203125" style="14" customWidth="1"/>
    <col min="12" max="13" width="12.6640625" style="1" customWidth="1"/>
    <col min="14" max="14" width="12.6640625" style="19" customWidth="1"/>
    <col min="15" max="16" width="12.6640625" style="1" customWidth="1"/>
    <col min="17" max="17" width="12.6640625" style="19" customWidth="1"/>
    <col min="18" max="18" width="10.83203125" style="1"/>
    <col min="19" max="19" width="1.5" style="14" customWidth="1"/>
    <col min="20" max="23" width="15" style="1" hidden="1" customWidth="1"/>
    <col min="24" max="24" width="1.5" style="14" hidden="1" customWidth="1"/>
    <col min="25" max="26" width="12.6640625" style="1" hidden="1" customWidth="1"/>
    <col min="27" max="28" width="0" style="1" hidden="1" customWidth="1"/>
    <col min="29" max="29" width="1.5" style="14" hidden="1" customWidth="1"/>
    <col min="30" max="33" width="0" style="1" hidden="1" customWidth="1"/>
    <col min="34" max="34" width="1.5" style="14" hidden="1" customWidth="1"/>
    <col min="35" max="38" width="10.83203125" style="1"/>
    <col min="39" max="39" width="1.5" style="14" customWidth="1"/>
    <col min="40" max="43" width="10.83203125" style="1"/>
    <col min="44" max="44" width="1.5" style="14" customWidth="1"/>
    <col min="45" max="16384" width="10.83203125" style="1"/>
  </cols>
  <sheetData>
    <row r="1" spans="1:44" x14ac:dyDescent="0.2">
      <c r="Y1" s="1" t="s">
        <v>68</v>
      </c>
      <c r="AA1" s="1" t="s">
        <v>68</v>
      </c>
      <c r="AD1" s="1" t="s">
        <v>68</v>
      </c>
      <c r="AF1" s="1" t="s">
        <v>68</v>
      </c>
      <c r="AI1" s="3" t="s">
        <v>68</v>
      </c>
      <c r="AJ1" s="3"/>
      <c r="AK1" s="3" t="s">
        <v>68</v>
      </c>
      <c r="AL1" s="3"/>
      <c r="AM1" s="13"/>
      <c r="AN1" s="3" t="s">
        <v>68</v>
      </c>
      <c r="AO1" s="3"/>
      <c r="AP1" s="3" t="s">
        <v>68</v>
      </c>
      <c r="AQ1" s="3"/>
    </row>
    <row r="2" spans="1:44" x14ac:dyDescent="0.2">
      <c r="A2" s="13"/>
      <c r="B2" s="3" t="s">
        <v>7</v>
      </c>
      <c r="C2" s="13"/>
      <c r="D2" s="3" t="s">
        <v>46</v>
      </c>
      <c r="E2" s="3" t="s">
        <v>47</v>
      </c>
      <c r="F2" s="18" t="s">
        <v>48</v>
      </c>
      <c r="G2" s="3" t="s">
        <v>49</v>
      </c>
      <c r="H2" s="3" t="s">
        <v>50</v>
      </c>
      <c r="I2" s="18" t="s">
        <v>51</v>
      </c>
      <c r="J2" s="3" t="s">
        <v>58</v>
      </c>
      <c r="K2" s="13"/>
      <c r="L2" s="3" t="s">
        <v>52</v>
      </c>
      <c r="M2" s="3" t="s">
        <v>53</v>
      </c>
      <c r="N2" s="18" t="s">
        <v>54</v>
      </c>
      <c r="O2" s="3" t="s">
        <v>55</v>
      </c>
      <c r="P2" s="3" t="s">
        <v>56</v>
      </c>
      <c r="Q2" s="18" t="s">
        <v>57</v>
      </c>
      <c r="R2" s="3" t="s">
        <v>59</v>
      </c>
      <c r="S2" s="13"/>
      <c r="T2" s="3" t="s">
        <v>60</v>
      </c>
      <c r="U2" s="3" t="s">
        <v>62</v>
      </c>
      <c r="V2" s="3" t="s">
        <v>61</v>
      </c>
      <c r="W2" s="3" t="s">
        <v>63</v>
      </c>
      <c r="Y2" s="3" t="s">
        <v>64</v>
      </c>
      <c r="Z2" s="3" t="s">
        <v>67</v>
      </c>
      <c r="AA2" s="3" t="s">
        <v>65</v>
      </c>
      <c r="AB2" s="3" t="s">
        <v>66</v>
      </c>
      <c r="AD2" s="3" t="s">
        <v>69</v>
      </c>
      <c r="AE2" s="3" t="s">
        <v>70</v>
      </c>
      <c r="AF2" s="3" t="s">
        <v>65</v>
      </c>
      <c r="AG2" s="3" t="s">
        <v>66</v>
      </c>
      <c r="AI2" s="3" t="s">
        <v>71</v>
      </c>
      <c r="AJ2" s="3" t="s">
        <v>72</v>
      </c>
      <c r="AK2" s="3" t="s">
        <v>73</v>
      </c>
      <c r="AL2" s="3" t="s">
        <v>74</v>
      </c>
      <c r="AN2" s="3" t="s">
        <v>75</v>
      </c>
      <c r="AO2" s="3" t="s">
        <v>76</v>
      </c>
      <c r="AP2" s="3" t="s">
        <v>77</v>
      </c>
      <c r="AQ2" s="3" t="s">
        <v>78</v>
      </c>
    </row>
    <row r="3" spans="1:44" s="3" customFormat="1" x14ac:dyDescent="0.2">
      <c r="A3" s="13"/>
      <c r="B3" s="3">
        <v>22000</v>
      </c>
      <c r="C3" s="13"/>
      <c r="D3" s="3">
        <v>109.92</v>
      </c>
      <c r="E3" s="3">
        <v>142.91999999999999</v>
      </c>
      <c r="F3" s="18">
        <f>AVERAGE(D3:E3)</f>
        <v>126.41999999999999</v>
      </c>
      <c r="G3" s="3">
        <v>129.94</v>
      </c>
      <c r="H3" s="3">
        <v>153.88999999999999</v>
      </c>
      <c r="I3" s="18">
        <f>AVERAGE(G3:H3)</f>
        <v>141.91499999999999</v>
      </c>
      <c r="J3" s="15">
        <v>21991</v>
      </c>
      <c r="K3" s="16"/>
      <c r="L3" s="3">
        <v>161.5</v>
      </c>
      <c r="M3" s="3">
        <v>178</v>
      </c>
      <c r="N3" s="18">
        <v>169.75</v>
      </c>
      <c r="O3" s="3">
        <v>170</v>
      </c>
      <c r="P3" s="3">
        <v>184</v>
      </c>
      <c r="Q3" s="18">
        <v>177</v>
      </c>
      <c r="R3" s="15">
        <v>21991</v>
      </c>
      <c r="S3" s="16"/>
      <c r="T3" s="4">
        <f>(F3+B3)-(I3+J3)</f>
        <v>-6.4950000000026193</v>
      </c>
      <c r="U3" s="17">
        <f>T3/J3</f>
        <v>-2.9534809694887088E-4</v>
      </c>
      <c r="V3" s="4">
        <f>(N3+B3)-(Q3+R3)</f>
        <v>1.75</v>
      </c>
      <c r="W3" s="17">
        <f>V3/R3</f>
        <v>7.9578009185575914E-5</v>
      </c>
      <c r="X3" s="13"/>
      <c r="Y3" s="4">
        <f>(D3+B3)-(H3+J3)</f>
        <v>-34.970000000001164</v>
      </c>
      <c r="Z3" s="17">
        <f>Y3/J3</f>
        <v>-1.5901959892683901E-3</v>
      </c>
      <c r="AA3" s="4">
        <f>(L3+B3)-(P3+R3)</f>
        <v>-13.5</v>
      </c>
      <c r="AB3" s="17">
        <f>AA3/R3</f>
        <v>-6.1388749943158563E-4</v>
      </c>
      <c r="AC3" s="13"/>
      <c r="AD3" s="4">
        <f>(G3+J3)-(E3+B3)</f>
        <v>-21.979999999999563</v>
      </c>
      <c r="AE3" s="17">
        <f>AD3/J3</f>
        <v>-9.9949979537081375E-4</v>
      </c>
      <c r="AF3" s="4">
        <f>(O3+R3)-(M3+B3)</f>
        <v>-17</v>
      </c>
      <c r="AG3" s="17">
        <f>AF3/R3</f>
        <v>-7.7304351780273749E-4</v>
      </c>
      <c r="AH3" s="13"/>
      <c r="AI3" s="3">
        <f>(D3+B3)-(P3+R3)</f>
        <v>-65.080000000001746</v>
      </c>
      <c r="AJ3" s="17">
        <f>AI3/J3</f>
        <v>-2.9593924787413828E-3</v>
      </c>
      <c r="AK3" s="3">
        <f>(L3+B3)-(H3+J3)</f>
        <v>16.610000000000582</v>
      </c>
      <c r="AL3" s="17">
        <f>AK3/R3</f>
        <v>7.5530899004140704E-4</v>
      </c>
      <c r="AM3" s="13"/>
      <c r="AN3" s="3">
        <f>(G3+J3)-(M3+B3)</f>
        <v>-57.06000000000131</v>
      </c>
      <c r="AO3" s="17">
        <f>AN3/J3</f>
        <v>-2.5946978309308948E-3</v>
      </c>
      <c r="AP3" s="3">
        <f>(O3+R3)-(B3+E3)</f>
        <v>18.080000000001746</v>
      </c>
      <c r="AQ3" s="17">
        <f>AP3/J3</f>
        <v>8.2215451775734369E-4</v>
      </c>
      <c r="AR3" s="13"/>
    </row>
    <row r="6" spans="1:44" x14ac:dyDescent="0.2">
      <c r="I6" s="20"/>
    </row>
    <row r="22" spans="8:8" x14ac:dyDescent="0.2">
      <c r="H22" s="21">
        <f>140.78+24000</f>
        <v>24140.78</v>
      </c>
    </row>
    <row r="23" spans="8:8" x14ac:dyDescent="0.2">
      <c r="H23" s="21">
        <f>2539+21647</f>
        <v>24186</v>
      </c>
    </row>
    <row r="24" spans="8:8" x14ac:dyDescent="0.2">
      <c r="H24" s="21"/>
    </row>
    <row r="25" spans="8:8" x14ac:dyDescent="0.2">
      <c r="H25" s="21">
        <f>H23-H22</f>
        <v>45.220000000001164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McDonogh</dc:creator>
  <cp:lastModifiedBy>Shaun McDonogh</cp:lastModifiedBy>
  <dcterms:created xsi:type="dcterms:W3CDTF">2023-03-08T18:47:42Z</dcterms:created>
  <dcterms:modified xsi:type="dcterms:W3CDTF">2023-03-09T14:33:06Z</dcterms:modified>
</cp:coreProperties>
</file>