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807\Downloads\"/>
    </mc:Choice>
  </mc:AlternateContent>
  <xr:revisionPtr revIDLastSave="0" documentId="13_ncr:1_{7CB04E44-C3BC-4397-995D-7DDABC2E4B8E}" xr6:coauthVersionLast="47" xr6:coauthVersionMax="47" xr10:uidLastSave="{00000000-0000-0000-0000-000000000000}"/>
  <bookViews>
    <workbookView xWindow="-98" yWindow="-98" windowWidth="23236" windowHeight="13875" xr2:uid="{F089EFF2-CE1B-4329-9F1C-E7A82756815F}"/>
  </bookViews>
  <sheets>
    <sheet name="DemandSupplyOptimization" sheetId="1" r:id="rId1"/>
  </sheets>
  <definedNames>
    <definedName name="Actual_Min_Constraint_Plant">DemandSupplyOptimization!$D$52:$D$60</definedName>
    <definedName name="Actual_Min_Constraint_War">DemandSupplyOptimization!$D$72:$D$83</definedName>
    <definedName name="Amount_Received_From_Plant_TS_Const">DemandSupplyOptimization!$B$100:$B$102</definedName>
    <definedName name="Amount_Shipped_to_Customer_TS_Const">DemandSupplyOptimization!$D$100:$D$102</definedName>
    <definedName name="Arc_Cost_for_Unit_Shipping">DemandSupplyOptimization!$K$52:$K$60</definedName>
    <definedName name="Arc_Cost_for_Unit_Shipping_Plant">DemandSupplyOptimization!$K$52:$K$60</definedName>
    <definedName name="Arc_Cost_for_Unit_Shipping_War">DemandSupplyOptimization!$K$72:$K$83</definedName>
    <definedName name="Big_Number_Plant">DemandSupplyOptimization!$I$35</definedName>
    <definedName name="Big_Number_PlantArc__Cost">DemandSupplyOptimization!$I$37</definedName>
    <definedName name="Big_Number_WarArc_Cost">DemandSupplyOptimization!$I$38</definedName>
    <definedName name="Bin___Big_Number_Plant">DemandSupplyOptimization!$C$36:$C$38</definedName>
    <definedName name="Bin___Big_Number_War">DemandSupplyOptimization!$C$43:$C$45</definedName>
    <definedName name="Bug_Number_War">DemandSupplyOptimization!$I$36</definedName>
    <definedName name="Cap_Constraint">DemandSupplyOptimization!$D$93:$D$95</definedName>
    <definedName name="cap_prod_max">DemandSupplyOptimization!$H$16:$H$18</definedName>
    <definedName name="cap_prod_min">DemandSupplyOptimization!$G$16:$G$18</definedName>
    <definedName name="cap_war_max">DemandSupplyOptimization!$H$24:$H$26</definedName>
    <definedName name="cap_war_min">DemandSupplyOptimization!$G$24:$G$26</definedName>
    <definedName name="capacity">DemandSupplyOptimization!$F$16:$F$18</definedName>
    <definedName name="capacity_prod">DemandSupplyOptimization!$F$16:$F$18</definedName>
    <definedName name="cust_demand">DemandSupplyOptimization!$B$31:$E$31</definedName>
    <definedName name="Demand_Cust_Const">DemandSupplyOptimization!$D$107:$D$110</definedName>
    <definedName name="Fixed_Cost_of_Prod">DemandSupplyOptimization!$B$63</definedName>
    <definedName name="Fixed_Cost_of_Prod_from_Plants">DemandSupplyOptimization!$B$63</definedName>
    <definedName name="Fixed_Cost_of_War">DemandSupplyOptimization!$B$86</definedName>
    <definedName name="fixed_cost_plants">DemandSupplyOptimization!$E$16:$E$18</definedName>
    <definedName name="fixed_cost_war">DemandSupplyOptimization!$F$24:$F$26</definedName>
    <definedName name="from_plant">DemandSupplyOptimization!$A$52:$A$60</definedName>
    <definedName name="from_war">DemandSupplyOptimization!$A$72:$A$83</definedName>
    <definedName name="IsPlantWarArcUsed">DemandSupplyOptimization!$F$52:$F$60</definedName>
    <definedName name="IsWarCustArcUsed">DemandSupplyOptimization!$F$72:$F$83</definedName>
    <definedName name="Max_Constraint_Plant">DemandSupplyOptimization!$I$52:$I$60</definedName>
    <definedName name="Max_Constraint_War">DemandSupplyOptimization!$I$72:$I$83</definedName>
    <definedName name="Min_Constraint_Plant">DemandSupplyOptimization!$C$52:$C$60</definedName>
    <definedName name="Min_Constraint_War">DemandSupplyOptimization!$C$72:$C$83</definedName>
    <definedName name="Plant_Forcing_Constraint">DemandSupplyOptimization!$E$36:$E$38</definedName>
    <definedName name="PlantArc_ShipCost_Forcing_Constraint">DemandSupplyOptimization!$M$52:$M$60</definedName>
    <definedName name="PlantLevelForcingConstraint">DemandSupplyOptimization!$C$36:$C$38</definedName>
    <definedName name="PlantQuantityShipped">DemandSupplyOptimization!$E$36:$E$38</definedName>
    <definedName name="PlantWarehouseForcingConstraint">DemandSupplyOptimization!$J$52:$J$60</definedName>
    <definedName name="prod_binaries">DemandSupplyOptimization!$B$36:$B$38</definedName>
    <definedName name="prod_cap_max">DemandSupplyOptimization!$H$16:$H$18</definedName>
    <definedName name="Qty_Prod_Prod_Const">DemandSupplyOptimization!$B$93:$B$95</definedName>
    <definedName name="Qty_Received_Cust_Const">DemandSupplyOptimization!$B$107:$B$110</definedName>
    <definedName name="qty_ship_prod_war">DemandSupplyOptimization!$G$52:$G$60</definedName>
    <definedName name="qty_ship_war_to_cust">DemandSupplyOptimization!$G$72:$G$83</definedName>
    <definedName name="QuantityShippedFromPlant">DemandSupplyOptimization!$E$36:$E$38</definedName>
    <definedName name="QuantityShippedFromWarehouse">DemandSupplyOptimization!$E$43:$E$45</definedName>
    <definedName name="solver_adj" localSheetId="0" hidden="1">DemandSupplyOptimization!$B$43:$B$45,DemandSupplyOptimization!$B$36:$B$38,DemandSupplyOptimization!$F$52:$F$60,DemandSupplyOptimization!$G$52:$G$60,DemandSupplyOptimization!$F$72:$F$83,DemandSupplyOptimization!$G$72:$G$83</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DemandSupplyOptimization!$B$100:$B$102</definedName>
    <definedName name="solver_lhs10" localSheetId="0" hidden="1">DemandSupplyOptimization!$G$52:$G$60</definedName>
    <definedName name="solver_lhs11" localSheetId="0" hidden="1">DemandSupplyOptimization!$G$52:$G$60</definedName>
    <definedName name="solver_lhs12" localSheetId="0" hidden="1">DemandSupplyOptimization!$G$72:$G$83</definedName>
    <definedName name="solver_lhs13" localSheetId="0" hidden="1">DemandSupplyOptimization!$G$72:$G$83</definedName>
    <definedName name="solver_lhs14" localSheetId="0" hidden="1">DemandSupplyOptimization!$G$72:$G$83</definedName>
    <definedName name="solver_lhs15" localSheetId="0" hidden="1">DemandSupplyOptimization!$B$43:$B$45</definedName>
    <definedName name="solver_lhs16" localSheetId="0" hidden="1">DemandSupplyOptimization!$B$43:$B$45</definedName>
    <definedName name="solver_lhs17" localSheetId="0" hidden="1">DemandSupplyOptimization!$B$43:$B$45</definedName>
    <definedName name="solver_lhs2" localSheetId="0" hidden="1">DemandSupplyOptimization!$C$36:$C$38</definedName>
    <definedName name="solver_lhs3" localSheetId="0" hidden="1">DemandSupplyOptimization!$C$43:$C$45</definedName>
    <definedName name="solver_lhs4" localSheetId="0" hidden="1">DemandSupplyOptimization!$F$52:$F$60</definedName>
    <definedName name="solver_lhs5" localSheetId="0" hidden="1">DemandSupplyOptimization!$F$72:$F$83</definedName>
    <definedName name="solver_lhs6" localSheetId="0" hidden="1">DemandSupplyOptimization!$B$93:$B$95</definedName>
    <definedName name="solver_lhs7" localSheetId="0" hidden="1">DemandSupplyOptimization!$B$107:$B$110</definedName>
    <definedName name="solver_lhs8" localSheetId="0" hidden="1">DemandSupplyOptimization!$B$36:$B$38</definedName>
    <definedName name="solver_lhs9" localSheetId="0" hidden="1">DemandSupplyOptimization!$G$52:$G$60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15</definedName>
    <definedName name="solver_nwt" localSheetId="0" hidden="1">1</definedName>
    <definedName name="solver_opt" localSheetId="0" hidden="1">DemandSupplyOptimization!$B$112</definedName>
    <definedName name="solver_pre" localSheetId="0" hidden="1">0.00000001</definedName>
    <definedName name="solver_rbv" localSheetId="0" hidden="1">2</definedName>
    <definedName name="solver_rel1" localSheetId="0" hidden="1">3</definedName>
    <definedName name="solver_rel10" localSheetId="0" hidden="1">1</definedName>
    <definedName name="solver_rel11" localSheetId="0" hidden="1">3</definedName>
    <definedName name="solver_rel12" localSheetId="0" hidden="1">1</definedName>
    <definedName name="solver_rel13" localSheetId="0" hidden="1">1</definedName>
    <definedName name="solver_rel14" localSheetId="0" hidden="1">3</definedName>
    <definedName name="solver_rel15" localSheetId="0" hidden="1">5</definedName>
    <definedName name="solver_rel16" localSheetId="0" hidden="1">5</definedName>
    <definedName name="solver_rel17" localSheetId="0" hidden="1">5</definedName>
    <definedName name="solver_rel2" localSheetId="0" hidden="1">3</definedName>
    <definedName name="solver_rel3" localSheetId="0" hidden="1">3</definedName>
    <definedName name="solver_rel4" localSheetId="0" hidden="1">5</definedName>
    <definedName name="solver_rel5" localSheetId="0" hidden="1">5</definedName>
    <definedName name="solver_rel6" localSheetId="0" hidden="1">1</definedName>
    <definedName name="solver_rel7" localSheetId="0" hidden="1">3</definedName>
    <definedName name="solver_rel8" localSheetId="0" hidden="1">5</definedName>
    <definedName name="solver_rel9" localSheetId="0" hidden="1">1</definedName>
    <definedName name="solver_rhs1" localSheetId="0" hidden="1">Amount_Shipped_to_Customer_TS_Const</definedName>
    <definedName name="solver_rhs10" localSheetId="0" hidden="1">PlantWarehouseForcingConstraint</definedName>
    <definedName name="solver_rhs11" localSheetId="0" hidden="1">Actual_Min_Constraint_Plant</definedName>
    <definedName name="solver_rhs12" localSheetId="0" hidden="1">Max_Constraint_War</definedName>
    <definedName name="solver_rhs13" localSheetId="0" hidden="1">WarehouseCustomer_ForcingConstraint</definedName>
    <definedName name="solver_rhs14" localSheetId="0" hidden="1">Actual_Min_Constraint_War</definedName>
    <definedName name="solver_rhs15" localSheetId="0" hidden="1">"binary"</definedName>
    <definedName name="solver_rhs16" localSheetId="0" hidden="1">"binary"</definedName>
    <definedName name="solver_rhs17" localSheetId="0" hidden="1">"binary"</definedName>
    <definedName name="solver_rhs2" localSheetId="0" hidden="1">Plant_Forcing_Constraint</definedName>
    <definedName name="solver_rhs3" localSheetId="0" hidden="1">QuantityShippedFromWarehouse</definedName>
    <definedName name="solver_rhs4" localSheetId="0" hidden="1">"binary"</definedName>
    <definedName name="solver_rhs5" localSheetId="0" hidden="1">"binary"</definedName>
    <definedName name="solver_rhs6" localSheetId="0" hidden="1">Cap_Constraint</definedName>
    <definedName name="solver_rhs7" localSheetId="0" hidden="1">Demand_Cust_Const</definedName>
    <definedName name="solver_rhs8" localSheetId="0" hidden="1">"binary"</definedName>
    <definedName name="solver_rhs9" localSheetId="0" hidden="1">Max_Constraint_Plant</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definedName>
    <definedName name="solver_typ" localSheetId="0" hidden="1">2</definedName>
    <definedName name="solver_val" localSheetId="0" hidden="1">0</definedName>
    <definedName name="solver_ver" localSheetId="0" hidden="1">3</definedName>
    <definedName name="to_cust">DemandSupplyOptimization!$B$72:$B$83</definedName>
    <definedName name="to_warehouse">DemandSupplyOptimization!$B$52:$B$60</definedName>
    <definedName name="Total_Cost">DemandSupplyOptimization!$B$112</definedName>
    <definedName name="Total_Cost_of_Shipping_from_Plants">DemandSupplyOptimization!$B$64</definedName>
    <definedName name="Total_Cost_Plants">DemandSupplyOptimization!$B$65</definedName>
    <definedName name="Total_Cost_Prod">DemandSupplyOptimization!$B$65</definedName>
    <definedName name="Total_Cost_War_Ship">DemandSupplyOptimization!$B$88</definedName>
    <definedName name="Unit_Cost_of_Ship_War">DemandSupplyOptimization!$B$87</definedName>
    <definedName name="Unit_Cost_of_Shipping_Plant">DemandSupplyOptimization!$B$64</definedName>
    <definedName name="unit_shipping_cost_plant_to_war">DemandSupplyOptimization!$B$16:$D$18</definedName>
    <definedName name="unit_shipping_cost_war">DemandSupplyOptimization!$B$24:$E$26</definedName>
    <definedName name="WarArc_ShipCost_Forcing_Constraint">DemandSupplyOptimization!$M$72:$M$83</definedName>
    <definedName name="warehouse_binaries">DemandSupplyOptimization!$B$43:$B$45</definedName>
    <definedName name="Warehouse_Forcing_Constraint">DemandSupplyOptimization!$E$43:$E$45</definedName>
    <definedName name="WarehouseCustomer_ForcingConstraint">DemandSupplyOptimization!$J$72:$J$83</definedName>
    <definedName name="WarehouseLevelForcingConstraint">DemandSupplyOptimization!$C$43:$C$45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5" i="1" l="1"/>
  <c r="K77" i="1"/>
  <c r="I73" i="1"/>
  <c r="B65" i="1"/>
  <c r="J52" i="1"/>
  <c r="I36" i="1"/>
  <c r="C45" i="1" s="1"/>
  <c r="I35" i="1"/>
  <c r="C37" i="1" s="1"/>
  <c r="K73" i="1"/>
  <c r="K74" i="1"/>
  <c r="K75" i="1"/>
  <c r="K76" i="1"/>
  <c r="K78" i="1"/>
  <c r="K79" i="1"/>
  <c r="K80" i="1"/>
  <c r="K81" i="1"/>
  <c r="K82" i="1"/>
  <c r="K83" i="1"/>
  <c r="K72" i="1"/>
  <c r="K53" i="1"/>
  <c r="K54" i="1"/>
  <c r="K55" i="1"/>
  <c r="K56" i="1"/>
  <c r="K57" i="1"/>
  <c r="K58" i="1"/>
  <c r="K59" i="1"/>
  <c r="K60" i="1"/>
  <c r="K52" i="1"/>
  <c r="I38" i="1"/>
  <c r="M75" i="1" s="1"/>
  <c r="I37" i="1"/>
  <c r="M60" i="1" s="1"/>
  <c r="B93" i="1"/>
  <c r="E36" i="1"/>
  <c r="E38" i="1"/>
  <c r="C44" i="1" l="1"/>
  <c r="C36" i="1"/>
  <c r="C38" i="1"/>
  <c r="C43" i="1"/>
  <c r="M79" i="1"/>
  <c r="M81" i="1"/>
  <c r="M80" i="1"/>
  <c r="M57" i="1"/>
  <c r="M56" i="1"/>
  <c r="M59" i="1"/>
  <c r="M83" i="1"/>
  <c r="M74" i="1"/>
  <c r="M58" i="1"/>
  <c r="M82" i="1"/>
  <c r="M73" i="1"/>
  <c r="M55" i="1"/>
  <c r="M78" i="1"/>
  <c r="M54" i="1"/>
  <c r="M77" i="1"/>
  <c r="M52" i="1"/>
  <c r="M53" i="1"/>
  <c r="M76" i="1"/>
  <c r="M72" i="1"/>
  <c r="B64" i="1"/>
  <c r="J80" i="1" l="1"/>
  <c r="J56" i="1"/>
  <c r="J55" i="1" l="1"/>
  <c r="J53" i="1"/>
  <c r="J77" i="1"/>
  <c r="J60" i="1"/>
  <c r="J72" i="1"/>
  <c r="J76" i="1"/>
  <c r="J54" i="1"/>
  <c r="J59" i="1"/>
  <c r="J83" i="1"/>
  <c r="J75" i="1"/>
  <c r="J78" i="1"/>
  <c r="J58" i="1"/>
  <c r="J82" i="1"/>
  <c r="J74" i="1"/>
  <c r="J79" i="1"/>
  <c r="J57" i="1"/>
  <c r="J81" i="1"/>
  <c r="J73" i="1"/>
  <c r="B101" i="1"/>
  <c r="B102" i="1"/>
  <c r="D101" i="1"/>
  <c r="D100" i="1"/>
  <c r="B100" i="1"/>
  <c r="B63" i="1" l="1"/>
  <c r="D93" i="1"/>
  <c r="D102" i="1"/>
  <c r="D110" i="1"/>
  <c r="D109" i="1"/>
  <c r="D108" i="1"/>
  <c r="D107" i="1"/>
  <c r="B110" i="1"/>
  <c r="B109" i="1"/>
  <c r="B108" i="1"/>
  <c r="B107" i="1"/>
  <c r="B86" i="1"/>
  <c r="E44" i="1"/>
  <c r="E43" i="1"/>
  <c r="I83" i="1"/>
  <c r="I82" i="1"/>
  <c r="I81" i="1"/>
  <c r="I80" i="1"/>
  <c r="I79" i="1"/>
  <c r="I78" i="1"/>
  <c r="I77" i="1"/>
  <c r="I76" i="1"/>
  <c r="I75" i="1"/>
  <c r="I74" i="1"/>
  <c r="I72" i="1"/>
  <c r="C77" i="1"/>
  <c r="D77" i="1" s="1"/>
  <c r="C83" i="1"/>
  <c r="D83" i="1" s="1"/>
  <c r="C82" i="1"/>
  <c r="D82" i="1" s="1"/>
  <c r="C81" i="1"/>
  <c r="D81" i="1" s="1"/>
  <c r="C80" i="1"/>
  <c r="D80" i="1" s="1"/>
  <c r="C79" i="1"/>
  <c r="D79" i="1" s="1"/>
  <c r="C78" i="1"/>
  <c r="D78" i="1" s="1"/>
  <c r="C76" i="1"/>
  <c r="D76" i="1" s="1"/>
  <c r="C75" i="1"/>
  <c r="D75" i="1" s="1"/>
  <c r="C74" i="1"/>
  <c r="D74" i="1" s="1"/>
  <c r="C73" i="1"/>
  <c r="D73" i="1" s="1"/>
  <c r="C72" i="1"/>
  <c r="D72" i="1" s="1"/>
  <c r="B95" i="1"/>
  <c r="B94" i="1"/>
  <c r="E37" i="1"/>
  <c r="D95" i="1"/>
  <c r="D94" i="1"/>
  <c r="I60" i="1"/>
  <c r="I59" i="1"/>
  <c r="I58" i="1"/>
  <c r="I57" i="1"/>
  <c r="I56" i="1"/>
  <c r="I55" i="1"/>
  <c r="I54" i="1"/>
  <c r="I53" i="1"/>
  <c r="I52" i="1"/>
  <c r="C53" i="1"/>
  <c r="D53" i="1" s="1"/>
  <c r="C54" i="1"/>
  <c r="D54" i="1" s="1"/>
  <c r="C55" i="1"/>
  <c r="D55" i="1" s="1"/>
  <c r="C56" i="1"/>
  <c r="D56" i="1" s="1"/>
  <c r="C57" i="1"/>
  <c r="D57" i="1" s="1"/>
  <c r="C58" i="1"/>
  <c r="D58" i="1" s="1"/>
  <c r="C59" i="1"/>
  <c r="D59" i="1" s="1"/>
  <c r="C60" i="1"/>
  <c r="D60" i="1" s="1"/>
  <c r="C52" i="1"/>
  <c r="D52" i="1" s="1"/>
  <c r="B87" i="1" l="1"/>
  <c r="B88" i="1" s="1"/>
  <c r="B112" i="1" l="1"/>
</calcChain>
</file>

<file path=xl/sharedStrings.xml><?xml version="1.0" encoding="utf-8"?>
<sst xmlns="http://schemas.openxmlformats.org/spreadsheetml/2006/main" count="346" uniqueCount="192">
  <si>
    <t>Objective</t>
  </si>
  <si>
    <t>DV</t>
  </si>
  <si>
    <t>Constraints</t>
  </si>
  <si>
    <t>Maximum capacity at prod location</t>
  </si>
  <si>
    <t>Maximum shipping capacity from prod loc to warehouse</t>
  </si>
  <si>
    <t>Minimum shipping capacity from prod loc to warehouse</t>
  </si>
  <si>
    <t>Customer demand</t>
  </si>
  <si>
    <t>Maximum shipping capacity from warehouse to customer</t>
  </si>
  <si>
    <t>Minimum shipping capacity from warehouse to customer</t>
  </si>
  <si>
    <t>Meet customer demand in least cost manner</t>
  </si>
  <si>
    <t>Production Location</t>
  </si>
  <si>
    <t>Production Amount</t>
  </si>
  <si>
    <t>Warehouse Location</t>
  </si>
  <si>
    <t>Warehouse Amount</t>
  </si>
  <si>
    <t>Plant to warehouse unit production, shipping costs, plant fixed costs, capacities</t>
  </si>
  <si>
    <t>Capacity</t>
  </si>
  <si>
    <t>Arc Capacity (From Plant)</t>
  </si>
  <si>
    <t>Warehouse 1</t>
  </si>
  <si>
    <t>Warehouse 2</t>
  </si>
  <si>
    <t>Warehouse 3</t>
  </si>
  <si>
    <t>Fixed cost</t>
  </si>
  <si>
    <t>(units )</t>
  </si>
  <si>
    <t>min (if used)</t>
  </si>
  <si>
    <t>max</t>
  </si>
  <si>
    <t>Plant 1</t>
  </si>
  <si>
    <t>Plant 2</t>
  </si>
  <si>
    <t>Plant 3</t>
  </si>
  <si>
    <t>Warehouse to customer unit shipping costs, warehouse fixed costs</t>
  </si>
  <si>
    <r>
      <t>Arc Capacity (From Warehouse</t>
    </r>
    <r>
      <rPr>
        <sz val="11"/>
        <color theme="1"/>
        <rFont val="Calibri"/>
        <family val="2"/>
      </rPr>
      <t>)</t>
    </r>
  </si>
  <si>
    <t>Customer 1</t>
  </si>
  <si>
    <t>Customer 2</t>
  </si>
  <si>
    <t>Customer 3</t>
  </si>
  <si>
    <t>Customer 4</t>
  </si>
  <si>
    <t>Customer requirements (units)</t>
  </si>
  <si>
    <t>Production Binaries</t>
  </si>
  <si>
    <t>From</t>
  </si>
  <si>
    <t>To</t>
  </si>
  <si>
    <t>≤</t>
  </si>
  <si>
    <t>≥</t>
  </si>
  <si>
    <t>Production Constraint</t>
  </si>
  <si>
    <t>Cap Constraint</t>
  </si>
  <si>
    <t>Warehouse Binary</t>
  </si>
  <si>
    <t>Shipping Amount</t>
  </si>
  <si>
    <t>Fixed Cost of War</t>
  </si>
  <si>
    <t>Unit Cost of Ship War</t>
  </si>
  <si>
    <t>Arc Cost for Unit Shipping War</t>
  </si>
  <si>
    <t>Total Cost War Ship</t>
  </si>
  <si>
    <t>Total Cost</t>
  </si>
  <si>
    <t>Customer Demand Constraint</t>
  </si>
  <si>
    <t>Transhipment Constraint</t>
  </si>
  <si>
    <t>Qty Received Cust Const</t>
  </si>
  <si>
    <t>Demand Cust Const</t>
  </si>
  <si>
    <t>Amount Shipped to Customer TS Const</t>
  </si>
  <si>
    <t>Amount Received From Plant TS Const</t>
  </si>
  <si>
    <t>Qty Prod Prod Const</t>
  </si>
  <si>
    <t>Max Constraint Plant</t>
  </si>
  <si>
    <t>Min Constraint Plant</t>
  </si>
  <si>
    <t>Min Constraint War</t>
  </si>
  <si>
    <t>Max Constraint War</t>
  </si>
  <si>
    <t>IsPlantWarArcUsed</t>
  </si>
  <si>
    <t>IsWarCustArcUsed</t>
  </si>
  <si>
    <t>PlantWarehouseForcingConstraint</t>
  </si>
  <si>
    <t>Big Number Plant</t>
  </si>
  <si>
    <t>Bug Number War</t>
  </si>
  <si>
    <t>WarehouseCustomer
ForcingConstraint</t>
  </si>
  <si>
    <t>PlantArc
ShipCost
Forcing
Constraint</t>
  </si>
  <si>
    <t>Big Number PlantArc 
Cost</t>
  </si>
  <si>
    <t>Big Number WarArc
Cost</t>
  </si>
  <si>
    <t>WarArc
ShipCost
Forcing
Constraint</t>
  </si>
  <si>
    <t>Arc Cost for Unit Shipping Plant</t>
  </si>
  <si>
    <t>Total_Cost</t>
  </si>
  <si>
    <t>Actual
Min
Constraint
Plant</t>
  </si>
  <si>
    <t>Actual
Min
Constraint
War</t>
  </si>
  <si>
    <t>Cell Names</t>
  </si>
  <si>
    <t>Actual_Min_Constraint_Plant</t>
  </si>
  <si>
    <t>=Sheet1!$D$52:$D$60</t>
  </si>
  <si>
    <t>Actual_Min_Constraint_War</t>
  </si>
  <si>
    <t>=Sheet1!$D$72:$D$83</t>
  </si>
  <si>
    <t>Amount_Received_From_Plant_TS_Const</t>
  </si>
  <si>
    <t>=Sheet1!$B$100:$B$102</t>
  </si>
  <si>
    <t>Amount_Shipped_to_Customer_TS_Const</t>
  </si>
  <si>
    <t>=Sheet1!$D$100:$D$102</t>
  </si>
  <si>
    <t>Arc_Cost_for_Unit_Shipping</t>
  </si>
  <si>
    <t>=Sheet1!$K$52:$K$60</t>
  </si>
  <si>
    <t>Arc_Cost_for_Unit_Shipping_Plant</t>
  </si>
  <si>
    <t>Arc_Cost_for_Unit_Shipping_War</t>
  </si>
  <si>
    <t>=Sheet1!$K$72:$K$83</t>
  </si>
  <si>
    <t>Big_Number_Plant</t>
  </si>
  <si>
    <t>=Sheet1!$I$35</t>
  </si>
  <si>
    <t>Big_Number_PlantArc__Cost</t>
  </si>
  <si>
    <t>=Sheet1!$I$37</t>
  </si>
  <si>
    <t>Big_Number_WarArc_Cost</t>
  </si>
  <si>
    <t>=Sheet1!$I$38</t>
  </si>
  <si>
    <t>Bin___Big_Number_Plant</t>
  </si>
  <si>
    <t>=Sheet1!$C$36:$C$38</t>
  </si>
  <si>
    <t>Bin___Big_Number_War</t>
  </si>
  <si>
    <t>=Sheet1!$C$43:$C$45</t>
  </si>
  <si>
    <t>Bug_Number_War</t>
  </si>
  <si>
    <t>=Sheet1!$I$36</t>
  </si>
  <si>
    <t>Cap_Constraint</t>
  </si>
  <si>
    <t>=Sheet1!$D$93:$D$95</t>
  </si>
  <si>
    <t>cap_prod_max</t>
  </si>
  <si>
    <t>=Sheet1!$H$16:$H$18</t>
  </si>
  <si>
    <t>cap_prod_min</t>
  </si>
  <si>
    <t>=Sheet1!$G$16:$G$18</t>
  </si>
  <si>
    <t>cap_war_max</t>
  </si>
  <si>
    <t>=Sheet1!$H$24:$H$26</t>
  </si>
  <si>
    <t>cap_war_min</t>
  </si>
  <si>
    <t>=Sheet1!$G$24:$G$26</t>
  </si>
  <si>
    <t>capacity</t>
  </si>
  <si>
    <t>=Sheet1!$F$16:$F$18</t>
  </si>
  <si>
    <t>capacity_prod</t>
  </si>
  <si>
    <t>cust_demand</t>
  </si>
  <si>
    <t>=Sheet1!$B$31:$E$31</t>
  </si>
  <si>
    <t>Demand_Cust_Const</t>
  </si>
  <si>
    <t>=Sheet1!$D$107:$D$110</t>
  </si>
  <si>
    <t>Fixed_Cost_of_Prod</t>
  </si>
  <si>
    <t>=Sheet1!$B$63</t>
  </si>
  <si>
    <t>Fixed_Cost_of_War</t>
  </si>
  <si>
    <t>=Sheet1!$B$86</t>
  </si>
  <si>
    <t>fixed_cost_plants</t>
  </si>
  <si>
    <t>=Sheet1!$E$16:$E$18</t>
  </si>
  <si>
    <t>fixed_cost_war</t>
  </si>
  <si>
    <t>=Sheet1!$F$24:$F$26</t>
  </si>
  <si>
    <t>from_plant</t>
  </si>
  <si>
    <t>=Sheet1!$A$52:$A$60</t>
  </si>
  <si>
    <t>from_war</t>
  </si>
  <si>
    <t>=Sheet1!$A$72:$A$83</t>
  </si>
  <si>
    <t>=Sheet1!$F$52:$F$60</t>
  </si>
  <si>
    <t>=Sheet1!$F$72:$F$83</t>
  </si>
  <si>
    <t>Max_Constraint_Plant</t>
  </si>
  <si>
    <t>=Sheet1!$I$52:$I$60</t>
  </si>
  <si>
    <t>Max_Constraint_War</t>
  </si>
  <si>
    <t>=Sheet1!$I$72:$I$83</t>
  </si>
  <si>
    <t>Min_Constraint_Plant</t>
  </si>
  <si>
    <t>=Sheet1!$C$52:$C$60</t>
  </si>
  <si>
    <t>Min_Constraint_War</t>
  </si>
  <si>
    <t>=Sheet1!$C$72:$C$83</t>
  </si>
  <si>
    <t>Plant_Forcing_Constraint</t>
  </si>
  <si>
    <t>=Sheet1!$E$36:$E$38</t>
  </si>
  <si>
    <t>PlantArc_ShipCost_Forcing_Constraint</t>
  </si>
  <si>
    <t>=Sheet1!$M$52:$M$60</t>
  </si>
  <si>
    <t>=Sheet1!$J$52:$J$60</t>
  </si>
  <si>
    <t>prod_binaries</t>
  </si>
  <si>
    <t>=Sheet1!$B$36:$B$38</t>
  </si>
  <si>
    <t>prod_cap_max</t>
  </si>
  <si>
    <t>Qty_Prod_Prod_Const</t>
  </si>
  <si>
    <t>=Sheet1!$B$93:$B$95</t>
  </si>
  <si>
    <t>Qty_Received_Cust_Const</t>
  </si>
  <si>
    <t>=Sheet1!$B$107:$B$110</t>
  </si>
  <si>
    <t>qty_ship_prod_war</t>
  </si>
  <si>
    <t>=Sheet1!$G$52:$G$60</t>
  </si>
  <si>
    <t>qty_ship_war_to_cust</t>
  </si>
  <si>
    <t>=Sheet1!$G$72:$G$83</t>
  </si>
  <si>
    <t>to_cust</t>
  </si>
  <si>
    <t>=Sheet1!$B$72:$B$83</t>
  </si>
  <si>
    <t>to_warehouse</t>
  </si>
  <si>
    <t>=Sheet1!$B$52:$B$60</t>
  </si>
  <si>
    <t>=Sheet1!$B$112</t>
  </si>
  <si>
    <t>Total_Cost_Prod</t>
  </si>
  <si>
    <t>=Sheet1!$B$65</t>
  </si>
  <si>
    <t>Total_Cost_War_Ship</t>
  </si>
  <si>
    <t>=Sheet1!$B$88</t>
  </si>
  <si>
    <t>Unit_Cost_of_Ship_War</t>
  </si>
  <si>
    <t>=Sheet1!$B$87</t>
  </si>
  <si>
    <t>Unit_Cost_of_Shipping_Plant</t>
  </si>
  <si>
    <t>=Sheet1!$B$64</t>
  </si>
  <si>
    <t>unit_shipping_cost_plant_to_war</t>
  </si>
  <si>
    <t>=Sheet1!$B$16:$D$18</t>
  </si>
  <si>
    <t>unit_shipping_cost_war</t>
  </si>
  <si>
    <t>=Sheet1!$B$24:$E$26</t>
  </si>
  <si>
    <t>WarArc_ShipCost_Forcing_Constraint</t>
  </si>
  <si>
    <t>=Sheet1!$M$72:$M$83</t>
  </si>
  <si>
    <t>warehouse_binaries</t>
  </si>
  <si>
    <t>=Sheet1!$B$43:$B$45</t>
  </si>
  <si>
    <t>Warehouse_Forcing_Constraint</t>
  </si>
  <si>
    <t>=Sheet1!$E$43:$E$45</t>
  </si>
  <si>
    <t>WarehouseCustomer_ForcingConstraint</t>
  </si>
  <si>
    <t>=Sheet1!$J$72:$J$83</t>
  </si>
  <si>
    <t>Cell Name</t>
  </si>
  <si>
    <t>Reference</t>
  </si>
  <si>
    <t>PlantLevelForcingConstraint</t>
  </si>
  <si>
    <t>WarehouseLevelForcingConstraint</t>
  </si>
  <si>
    <t>QuantityShippedFromPlant</t>
  </si>
  <si>
    <t>QuantityShippedFromWarehouse</t>
  </si>
  <si>
    <t>Fixed Cost of Prod from Plants</t>
  </si>
  <si>
    <t>Total Cost of Shipping from Plants</t>
  </si>
  <si>
    <t>Total Cost Plants</t>
  </si>
  <si>
    <t>Qty Shipping 
from plant to
warehouse</t>
  </si>
  <si>
    <t>Qty Shipped from warehouse to customer</t>
  </si>
  <si>
    <t>Is PlantWarehouseArcUsed</t>
  </si>
  <si>
    <t>IsWarehouseCustomerArcUsed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</si>
</sst>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2"/>
      <color theme="1"/>
      <name val="Cambria"/>
      <family val="1"/>
    </font>
    <font>
      <b/>
      <sz val="11"/>
      <color theme="1"/>
      <name val="Calibri"/>
      <family val="2"/>
    </font>
    <font>
      <sz val="11"/>
      <color theme="1"/>
      <name val="Calibri"/>
      <family val="2"/>
    </font>
    <font>
      <i/>
      <sz val="11"/>
      <color theme="1"/>
      <name val="Calibri"/>
      <family val="2"/>
    </font>
    <font>
      <b/>
      <i/>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47">
    <xf numFmtId="0" fontId="0" fillId="0" borderId="0" xfId="0"/>
    <xf numFmtId="0" fontId="4" fillId="0" borderId="5" xfId="0" applyFont="1" applyBorder="1" applyAlignment="1">
      <alignment vertical="top"/>
    </xf>
    <xf numFmtId="0" fontId="4" fillId="0" borderId="6" xfId="0" applyFont="1" applyBorder="1" applyAlignment="1">
      <alignment vertical="top"/>
    </xf>
    <xf numFmtId="0" fontId="5" fillId="0" borderId="6" xfId="0" applyFont="1" applyBorder="1" applyAlignment="1">
      <alignment horizontal="right" vertical="center"/>
    </xf>
    <xf numFmtId="0" fontId="5" fillId="0" borderId="6" xfId="0" applyFont="1" applyBorder="1" applyAlignment="1">
      <alignment vertical="center"/>
    </xf>
    <xf numFmtId="0" fontId="4" fillId="0" borderId="4" xfId="0" applyFont="1" applyBorder="1" applyAlignment="1">
      <alignment vertical="top"/>
    </xf>
    <xf numFmtId="0" fontId="6" fillId="0" borderId="6" xfId="0" applyFont="1" applyBorder="1" applyAlignment="1">
      <alignment horizontal="right" vertical="center"/>
    </xf>
    <xf numFmtId="0" fontId="7" fillId="0" borderId="6" xfId="0" applyFont="1" applyBorder="1" applyAlignment="1">
      <alignment horizontal="right" vertical="center"/>
    </xf>
    <xf numFmtId="0" fontId="5" fillId="0" borderId="5" xfId="0" applyFont="1" applyBorder="1" applyAlignment="1">
      <alignment vertical="center"/>
    </xf>
    <xf numFmtId="6" fontId="1" fillId="3" borderId="6" xfId="3" applyNumberFormat="1" applyBorder="1" applyAlignment="1">
      <alignment horizontal="right" vertical="center"/>
    </xf>
    <xf numFmtId="3" fontId="1" fillId="3" borderId="6" xfId="3" applyNumberFormat="1" applyBorder="1" applyAlignment="1">
      <alignment horizontal="right" vertical="center"/>
    </xf>
    <xf numFmtId="0" fontId="5" fillId="0" borderId="1" xfId="0" applyFont="1" applyBorder="1" applyAlignment="1">
      <alignment vertical="center"/>
    </xf>
    <xf numFmtId="0" fontId="3" fillId="0" borderId="0" xfId="0" applyFont="1"/>
    <xf numFmtId="0" fontId="6" fillId="0" borderId="0" xfId="0" applyFont="1" applyAlignment="1">
      <alignment horizontal="center" vertical="center"/>
    </xf>
    <xf numFmtId="164" fontId="0" fillId="0" borderId="0" xfId="1" applyNumberFormat="1" applyFont="1" applyAlignment="1">
      <alignment horizontal="center" vertical="center"/>
    </xf>
    <xf numFmtId="0" fontId="5" fillId="0" borderId="0" xfId="0" applyFont="1" applyAlignment="1">
      <alignment horizontal="center"/>
    </xf>
    <xf numFmtId="0" fontId="5" fillId="0" borderId="0" xfId="0" applyFont="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165" fontId="0" fillId="0" borderId="0" xfId="2" applyNumberFormat="1" applyFont="1"/>
    <xf numFmtId="165" fontId="2" fillId="2" borderId="0" xfId="2" applyNumberFormat="1" applyFont="1" applyFill="1"/>
    <xf numFmtId="164" fontId="1" fillId="4" borderId="0" xfId="1" applyNumberFormat="1" applyFill="1" applyAlignment="1">
      <alignment horizontal="center" vertical="center"/>
    </xf>
    <xf numFmtId="0" fontId="0" fillId="0" borderId="0" xfId="0" applyAlignment="1">
      <alignment vertical="top"/>
    </xf>
    <xf numFmtId="43" fontId="0" fillId="0" borderId="0" xfId="1" applyFont="1"/>
    <xf numFmtId="0" fontId="0" fillId="0" borderId="0" xfId="0" applyAlignment="1">
      <alignment horizontal="center"/>
    </xf>
    <xf numFmtId="0" fontId="1" fillId="4" borderId="0" xfId="4" applyAlignment="1">
      <alignment horizontal="center"/>
    </xf>
    <xf numFmtId="0" fontId="0" fillId="0" borderId="0" xfId="0" applyAlignment="1">
      <alignment horizontal="center" vertical="center"/>
    </xf>
    <xf numFmtId="164" fontId="0" fillId="0" borderId="0" xfId="0" applyNumberFormat="1" applyAlignment="1">
      <alignment horizontal="center" vertical="center" wrapText="1"/>
    </xf>
    <xf numFmtId="0" fontId="1" fillId="4" borderId="0" xfId="4" applyAlignment="1">
      <alignment horizontal="center" vertical="center"/>
    </xf>
    <xf numFmtId="165" fontId="0" fillId="0" borderId="0" xfId="2" applyNumberFormat="1" applyFont="1" applyAlignment="1">
      <alignment horizontal="center" vertical="center"/>
    </xf>
    <xf numFmtId="164" fontId="0" fillId="0" borderId="0" xfId="1" applyNumberFormat="1" applyFont="1" applyAlignment="1">
      <alignment horizontal="center"/>
    </xf>
    <xf numFmtId="164" fontId="0" fillId="0" borderId="0" xfId="0" applyNumberFormat="1" applyAlignment="1">
      <alignment horizontal="center" vertical="center"/>
    </xf>
    <xf numFmtId="6" fontId="0" fillId="0" borderId="0" xfId="0" applyNumberFormat="1" applyAlignment="1">
      <alignment horizontal="center" vertical="center"/>
    </xf>
    <xf numFmtId="0" fontId="3" fillId="0" borderId="0" xfId="0" applyFont="1" applyAlignment="1">
      <alignment horizontal="center"/>
    </xf>
    <xf numFmtId="3" fontId="1" fillId="3" borderId="0" xfId="3" applyNumberFormat="1" applyAlignment="1">
      <alignment horizontal="center" vertical="center"/>
    </xf>
    <xf numFmtId="164" fontId="5" fillId="0" borderId="0" xfId="1" applyNumberFormat="1" applyFont="1" applyAlignment="1">
      <alignment horizontal="center" vertical="center"/>
    </xf>
    <xf numFmtId="0" fontId="8" fillId="0" borderId="0" xfId="0" applyFont="1"/>
    <xf numFmtId="0" fontId="3" fillId="0" borderId="0" xfId="0" applyFont="1" applyAlignment="1">
      <alignment horizontal="center" vertical="center" wrapText="1"/>
    </xf>
    <xf numFmtId="0" fontId="3" fillId="0" borderId="0" xfId="0" applyFont="1" applyAlignment="1">
      <alignment horizontal="center" wrapText="1"/>
    </xf>
    <xf numFmtId="164" fontId="1" fillId="3" borderId="0" xfId="3" applyNumberFormat="1" applyAlignment="1">
      <alignment horizontal="center" vertical="center"/>
    </xf>
    <xf numFmtId="0" fontId="4" fillId="0" borderId="2" xfId="0" applyFont="1" applyBorder="1" applyAlignment="1">
      <alignment vertical="top"/>
    </xf>
    <xf numFmtId="0" fontId="4" fillId="0" borderId="4" xfId="0" applyFont="1" applyBorder="1" applyAlignment="1">
      <alignment vertical="top"/>
    </xf>
    <xf numFmtId="0" fontId="5" fillId="0" borderId="2" xfId="0" applyFont="1" applyBorder="1" applyAlignment="1">
      <alignment vertical="center"/>
    </xf>
    <xf numFmtId="0" fontId="5" fillId="0" borderId="4" xfId="0" applyFont="1" applyBorder="1" applyAlignment="1">
      <alignment vertical="center"/>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cellXfs>
  <cellStyles count="5">
    <cellStyle name="40% - Accent1" xfId="3" builtinId="31"/>
    <cellStyle name="40% - Accent2" xfId="4" builtinId="35"/>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269875</xdr:colOff>
      <xdr:row>0</xdr:row>
      <xdr:rowOff>184726</xdr:rowOff>
    </xdr:from>
    <xdr:to>
      <xdr:col>13</xdr:col>
      <xdr:colOff>920750</xdr:colOff>
      <xdr:row>23</xdr:row>
      <xdr:rowOff>184727</xdr:rowOff>
    </xdr:to>
    <xdr:sp macro="" textlink="">
      <xdr:nvSpPr>
        <xdr:cNvPr id="2" name="TextBox 1">
          <a:extLst>
            <a:ext uri="{FF2B5EF4-FFF2-40B4-BE49-F238E27FC236}">
              <a16:creationId xmlns:a16="http://schemas.microsoft.com/office/drawing/2014/main" id="{3C37F1C2-BDEC-43BE-B712-638ECF4D2385}"/>
            </a:ext>
          </a:extLst>
        </xdr:cNvPr>
        <xdr:cNvSpPr txBox="1"/>
      </xdr:nvSpPr>
      <xdr:spPr>
        <a:xfrm>
          <a:off x="17691966" y="184726"/>
          <a:ext cx="8143875" cy="4537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key to solving this problem</a:t>
          </a:r>
          <a:r>
            <a:rPr lang="en-IN" sz="1100" baseline="0"/>
            <a:t> is to ensure how to properly identify and apply forcing constraints that will depend on the change of binary decision variables while making sure the model adheres to properties of linear programming. Here the binary variables are IsPlantUsed, IsWarehouseUsed, IsPlantWarehouseArcUsed and IsWarehouseCustomerArcUsed. After Binary Variables were identified, we created 4 Big Numbers to apply forcing constraint that will depend on these binary set of variables respectively.</a:t>
          </a:r>
        </a:p>
        <a:p>
          <a:endParaRPr lang="en-IN" sz="1100" baseline="0"/>
        </a:p>
        <a:p>
          <a:r>
            <a:rPr lang="en-IN" sz="1100" baseline="0"/>
            <a:t>Forcing Constraints used to incorparate variations caused by binary variables and ensure linearity of the model are :</a:t>
          </a:r>
        </a:p>
        <a:p>
          <a:endParaRPr lang="en-IN" sz="1100" baseline="0"/>
        </a:p>
        <a:p>
          <a:r>
            <a:rPr lang="en-IN" sz="1100" baseline="0"/>
            <a:t>1.</a:t>
          </a:r>
          <a:r>
            <a:rPr lang="en-IN" sz="1100" b="1" i="0" u="none" strike="noStrike">
              <a:solidFill>
                <a:schemeClr val="dk1"/>
              </a:solidFill>
              <a:effectLst/>
              <a:latin typeface="+mn-lt"/>
              <a:ea typeface="+mn-ea"/>
              <a:cs typeface="+mn-cs"/>
            </a:rPr>
            <a:t>PlantLevelForcingConstraint</a:t>
          </a:r>
          <a:r>
            <a:rPr lang="en-IN"/>
            <a:t> &gt;=  </a:t>
          </a:r>
          <a:r>
            <a:rPr lang="en-IN" sz="1100" b="1" i="0" u="none" strike="noStrike">
              <a:solidFill>
                <a:schemeClr val="dk1"/>
              </a:solidFill>
              <a:effectLst/>
              <a:latin typeface="+mn-lt"/>
              <a:ea typeface="+mn-ea"/>
              <a:cs typeface="+mn-cs"/>
            </a:rPr>
            <a:t>QuantityShippedFromPlant</a:t>
          </a:r>
          <a:endParaRPr lang="en-IN" sz="1100" b="0" i="0" u="none" strike="noStrike">
            <a:solidFill>
              <a:schemeClr val="dk1"/>
            </a:solidFill>
            <a:effectLst/>
            <a:latin typeface="+mn-lt"/>
            <a:ea typeface="+mn-ea"/>
            <a:cs typeface="+mn-cs"/>
          </a:endParaRPr>
        </a:p>
        <a:p>
          <a:r>
            <a:rPr lang="en-IN" sz="1100" b="0" i="0" u="none" strike="noStrike" baseline="0">
              <a:solidFill>
                <a:schemeClr val="dk1"/>
              </a:solidFill>
              <a:effectLst/>
              <a:latin typeface="+mn-lt"/>
              <a:ea typeface="+mn-ea"/>
              <a:cs typeface="+mn-cs"/>
            </a:rPr>
            <a:t>2.</a:t>
          </a:r>
          <a:r>
            <a:rPr lang="en-IN" sz="1100" b="1" i="0" u="none" strike="noStrike">
              <a:solidFill>
                <a:schemeClr val="dk1"/>
              </a:solidFill>
              <a:effectLst/>
              <a:latin typeface="+mn-lt"/>
              <a:ea typeface="+mn-ea"/>
              <a:cs typeface="+mn-cs"/>
            </a:rPr>
            <a:t>WarehouseLevelForcingConstraint</a:t>
          </a:r>
          <a:r>
            <a:rPr lang="en-IN"/>
            <a:t>  &gt;=  </a:t>
          </a:r>
          <a:r>
            <a:rPr lang="en-IN" sz="1100" b="1" i="0" u="none" strike="noStrike">
              <a:solidFill>
                <a:schemeClr val="dk1"/>
              </a:solidFill>
              <a:effectLst/>
              <a:latin typeface="+mn-lt"/>
              <a:ea typeface="+mn-ea"/>
              <a:cs typeface="+mn-cs"/>
            </a:rPr>
            <a:t>QuantityShippedFromWarehouse</a:t>
          </a:r>
          <a:r>
            <a:rPr lang="en-IN"/>
            <a:t> </a:t>
          </a:r>
          <a:endParaRPr lang="en-IN" sz="1100" b="1" i="0" u="none" strike="noStrike">
            <a:solidFill>
              <a:schemeClr val="dk1"/>
            </a:solidFill>
            <a:effectLst/>
            <a:latin typeface="+mn-lt"/>
            <a:ea typeface="+mn-ea"/>
            <a:cs typeface="+mn-cs"/>
          </a:endParaRPr>
        </a:p>
        <a:p>
          <a:r>
            <a:rPr lang="en-IN" sz="1100" b="1" i="0" u="none" strike="noStrike" baseline="0">
              <a:solidFill>
                <a:schemeClr val="dk1"/>
              </a:solidFill>
              <a:effectLst/>
              <a:latin typeface="+mn-lt"/>
              <a:ea typeface="+mn-ea"/>
              <a:cs typeface="+mn-cs"/>
            </a:rPr>
            <a:t>3.</a:t>
          </a:r>
          <a:r>
            <a:rPr lang="en-IN" sz="1100" b="1" baseline="0"/>
            <a:t> </a:t>
          </a:r>
          <a:r>
            <a:rPr lang="en-IN" sz="1100" b="1" i="0">
              <a:solidFill>
                <a:schemeClr val="dk1"/>
              </a:solidFill>
              <a:effectLst/>
              <a:latin typeface="+mn-lt"/>
              <a:ea typeface="+mn-ea"/>
              <a:cs typeface="+mn-cs"/>
            </a:rPr>
            <a:t>Qty Shipping from plant to</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warehouse</a:t>
          </a:r>
          <a:r>
            <a:rPr lang="en-IN" sz="1100" b="1">
              <a:solidFill>
                <a:schemeClr val="dk1"/>
              </a:solidFill>
              <a:effectLst/>
              <a:latin typeface="+mn-lt"/>
              <a:ea typeface="+mn-ea"/>
              <a:cs typeface="+mn-cs"/>
            </a:rPr>
            <a:t> &lt;= PlantWarehouseForcingConstraint</a:t>
          </a:r>
          <a:endParaRPr lang="en-IN"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t>5. </a:t>
          </a:r>
          <a:r>
            <a:rPr lang="en-IN" sz="1100" b="1" i="0">
              <a:solidFill>
                <a:schemeClr val="dk1"/>
              </a:solidFill>
              <a:effectLst/>
              <a:latin typeface="+mn-lt"/>
              <a:ea typeface="+mn-ea"/>
              <a:cs typeface="+mn-cs"/>
            </a:rPr>
            <a:t>Qty Shipping from plant to</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warehouse</a:t>
          </a:r>
          <a:r>
            <a:rPr lang="en-IN" sz="1100" b="1">
              <a:solidFill>
                <a:schemeClr val="dk1"/>
              </a:solidFill>
              <a:effectLst/>
              <a:latin typeface="+mn-lt"/>
              <a:ea typeface="+mn-ea"/>
              <a:cs typeface="+mn-cs"/>
            </a:rPr>
            <a:t> &gt;=</a:t>
          </a:r>
          <a:r>
            <a:rPr lang="en-IN" sz="1100" b="1" baseline="0">
              <a:solidFill>
                <a:schemeClr val="dk1"/>
              </a:solidFill>
              <a:effectLst/>
              <a:latin typeface="+mn-lt"/>
              <a:ea typeface="+mn-ea"/>
              <a:cs typeface="+mn-cs"/>
            </a:rPr>
            <a:t> ActualMinConstraintPlant</a:t>
          </a:r>
          <a:endParaRPr lang="en-IN" b="1">
            <a:effectLst/>
          </a:endParaRPr>
        </a:p>
        <a:p>
          <a:r>
            <a:rPr lang="en-IN" sz="1100" b="1" baseline="0"/>
            <a:t>6.</a:t>
          </a:r>
          <a:r>
            <a:rPr lang="en-IN" sz="1100" b="1" i="0" u="none" strike="noStrike" baseline="0">
              <a:solidFill>
                <a:schemeClr val="dk1"/>
              </a:solidFill>
              <a:effectLst/>
              <a:latin typeface="+mn-lt"/>
              <a:ea typeface="+mn-ea"/>
              <a:cs typeface="+mn-cs"/>
            </a:rPr>
            <a:t> </a:t>
          </a:r>
          <a:r>
            <a:rPr lang="en-IN" sz="1100" b="1" i="0">
              <a:solidFill>
                <a:schemeClr val="dk1"/>
              </a:solidFill>
              <a:effectLst/>
              <a:latin typeface="+mn-lt"/>
              <a:ea typeface="+mn-ea"/>
              <a:cs typeface="+mn-cs"/>
            </a:rPr>
            <a:t>Qty Shipping from warehouse to customer</a:t>
          </a:r>
          <a:r>
            <a:rPr lang="en-IN" sz="1100" b="1">
              <a:solidFill>
                <a:schemeClr val="dk1"/>
              </a:solidFill>
              <a:effectLst/>
              <a:latin typeface="+mn-lt"/>
              <a:ea typeface="+mn-ea"/>
              <a:cs typeface="+mn-cs"/>
            </a:rPr>
            <a:t>  &lt;= WarehouseCustomerForcingConstraint</a:t>
          </a:r>
        </a:p>
        <a:p>
          <a:r>
            <a:rPr lang="en-IN" sz="1100" b="1" baseline="0">
              <a:solidFill>
                <a:schemeClr val="dk1"/>
              </a:solidFill>
              <a:effectLst/>
              <a:latin typeface="+mn-lt"/>
              <a:ea typeface="+mn-ea"/>
              <a:cs typeface="+mn-cs"/>
            </a:rPr>
            <a:t>8. </a:t>
          </a:r>
          <a:r>
            <a:rPr lang="en-IN" sz="1100" b="1" i="0">
              <a:solidFill>
                <a:schemeClr val="dk1"/>
              </a:solidFill>
              <a:effectLst/>
              <a:latin typeface="+mn-lt"/>
              <a:ea typeface="+mn-ea"/>
              <a:cs typeface="+mn-cs"/>
            </a:rPr>
            <a:t>Qty Shipping from warehouse to customer</a:t>
          </a:r>
          <a:r>
            <a:rPr lang="en-IN" sz="1100" b="1">
              <a:solidFill>
                <a:schemeClr val="dk1"/>
              </a:solidFill>
              <a:effectLst/>
              <a:latin typeface="+mn-lt"/>
              <a:ea typeface="+mn-ea"/>
              <a:cs typeface="+mn-cs"/>
            </a:rPr>
            <a:t> &gt;= ActualMinimumConstraintWar</a:t>
          </a:r>
        </a:p>
        <a:p>
          <a:r>
            <a:rPr lang="en-IN" sz="1100" baseline="0">
              <a:solidFill>
                <a:schemeClr val="dk1"/>
              </a:solidFill>
              <a:effectLst/>
              <a:latin typeface="+mn-lt"/>
              <a:ea typeface="+mn-ea"/>
              <a:cs typeface="+mn-cs"/>
            </a:rPr>
            <a:t>9. </a:t>
          </a:r>
          <a:r>
            <a:rPr lang="en-IN" sz="1100" b="1" i="0" u="none" strike="noStrike">
              <a:solidFill>
                <a:schemeClr val="dk1"/>
              </a:solidFill>
              <a:effectLst/>
              <a:latin typeface="+mn-lt"/>
              <a:ea typeface="+mn-ea"/>
              <a:cs typeface="+mn-cs"/>
            </a:rPr>
            <a:t>Arc Cost for Unit Shipping Plant</a:t>
          </a:r>
          <a:r>
            <a:rPr lang="en-IN"/>
            <a:t> &lt;= </a:t>
          </a:r>
          <a:r>
            <a:rPr lang="en-IN" sz="1100" b="1" i="0" u="none" strike="noStrike">
              <a:solidFill>
                <a:schemeClr val="dk1"/>
              </a:solidFill>
              <a:effectLst/>
              <a:latin typeface="+mn-lt"/>
              <a:ea typeface="+mn-ea"/>
              <a:cs typeface="+mn-cs"/>
            </a:rPr>
            <a:t>PlantArcShipCostForcingConstraint</a:t>
          </a:r>
          <a:r>
            <a:rPr lang="en-IN"/>
            <a:t> </a:t>
          </a:r>
          <a:br>
            <a:rPr lang="en-IN" sz="1100" b="1" i="0" u="none" strike="noStrike">
              <a:solidFill>
                <a:schemeClr val="dk1"/>
              </a:solidFill>
              <a:effectLst/>
              <a:latin typeface="+mn-lt"/>
              <a:ea typeface="+mn-ea"/>
              <a:cs typeface="+mn-cs"/>
            </a:rPr>
          </a:br>
          <a:r>
            <a:rPr lang="en-IN" sz="1100" b="1" i="0" u="none" strike="noStrike">
              <a:solidFill>
                <a:schemeClr val="dk1"/>
              </a:solidFill>
              <a:effectLst/>
              <a:latin typeface="+mn-lt"/>
              <a:ea typeface="+mn-ea"/>
              <a:cs typeface="+mn-cs"/>
            </a:rPr>
            <a:t>10.</a:t>
          </a:r>
          <a:r>
            <a:rPr lang="en-IN" sz="1100" b="1" i="0" u="none" strike="noStrike" baseline="0">
              <a:solidFill>
                <a:schemeClr val="dk1"/>
              </a:solidFill>
              <a:effectLst/>
              <a:latin typeface="+mn-lt"/>
              <a:ea typeface="+mn-ea"/>
              <a:cs typeface="+mn-cs"/>
            </a:rPr>
            <a:t> </a:t>
          </a:r>
          <a:r>
            <a:rPr lang="en-IN" sz="1100" b="1" i="0">
              <a:solidFill>
                <a:schemeClr val="dk1"/>
              </a:solidFill>
              <a:effectLst/>
              <a:latin typeface="+mn-lt"/>
              <a:ea typeface="+mn-ea"/>
              <a:cs typeface="+mn-cs"/>
            </a:rPr>
            <a:t>Arc Cost for Unit Shipping War</a:t>
          </a:r>
          <a:r>
            <a:rPr lang="en-IN" sz="1100">
              <a:solidFill>
                <a:schemeClr val="dk1"/>
              </a:solidFill>
              <a:effectLst/>
              <a:latin typeface="+mn-lt"/>
              <a:ea typeface="+mn-ea"/>
              <a:cs typeface="+mn-cs"/>
            </a:rPr>
            <a:t> &lt;= </a:t>
          </a:r>
          <a:r>
            <a:rPr lang="en-IN" sz="1100" b="1" i="0">
              <a:solidFill>
                <a:schemeClr val="dk1"/>
              </a:solidFill>
              <a:effectLst/>
              <a:latin typeface="+mn-lt"/>
              <a:ea typeface="+mn-ea"/>
              <a:cs typeface="+mn-cs"/>
            </a:rPr>
            <a:t>WarArcShipCostForcingConstraint</a:t>
          </a:r>
          <a:r>
            <a:rPr lang="en-IN" sz="1100">
              <a:solidFill>
                <a:schemeClr val="dk1"/>
              </a:solidFill>
              <a:effectLst/>
              <a:latin typeface="+mn-lt"/>
              <a:ea typeface="+mn-ea"/>
              <a:cs typeface="+mn-cs"/>
            </a:rPr>
            <a:t> </a:t>
          </a:r>
          <a:endParaRPr lang="en-IN" sz="1100" baseline="0"/>
        </a:p>
        <a:p>
          <a:endParaRPr lang="en-IN" sz="1100" baseline="0"/>
        </a:p>
        <a:p>
          <a:endParaRPr lang="en-IN" sz="1100" baseline="0"/>
        </a:p>
        <a:p>
          <a:r>
            <a:rPr lang="en-IN" sz="1100"/>
            <a:t>How these forcing constraints have been applied can be understood</a:t>
          </a:r>
          <a:r>
            <a:rPr lang="en-IN" sz="1100" baseline="0"/>
            <a:t> by visiting cells under the header and examining the formula used.</a:t>
          </a:r>
        </a:p>
        <a:p>
          <a:endParaRPr lang="en-IN" sz="1100" baseline="0"/>
        </a:p>
        <a:p>
          <a:r>
            <a:rPr lang="en-IN" sz="1100" baseline="0"/>
            <a:t>In addition to these forcing constraint, we also used Maximum shipping constraints for all the arcs, Production Constraint for plants, Transshipment Constraint for warehouse and Customer Demand constraint for customers. Using all these constraints with the given data via solver, we find that the optimal minimized costs to satisfy customer requirements turns out to be </a:t>
          </a:r>
          <a:r>
            <a:rPr lang="en-IN" sz="1100" b="0" i="0" u="none" strike="noStrike">
              <a:solidFill>
                <a:schemeClr val="dk1"/>
              </a:solidFill>
              <a:effectLst/>
              <a:latin typeface="+mn-lt"/>
              <a:ea typeface="+mn-ea"/>
              <a:cs typeface="+mn-cs"/>
            </a:rPr>
            <a:t> </a:t>
          </a:r>
          <a:r>
            <a:rPr lang="en-IN" sz="1100" b="1" i="0" u="none" strike="noStrike">
              <a:solidFill>
                <a:schemeClr val="dk1"/>
              </a:solidFill>
              <a:effectLst/>
              <a:latin typeface="+mn-lt"/>
              <a:ea typeface="+mn-ea"/>
              <a:cs typeface="+mn-cs"/>
            </a:rPr>
            <a:t>$457,000,000.</a:t>
          </a:r>
          <a:endParaRPr lang="en-IN"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FA8CF2-5EDB-4557-B87E-3E8007D23BF8}" name="Table1" displayName="Table1" ref="O2:P58" totalsRowShown="0">
  <autoFilter ref="O2:P58" xr:uid="{E7FA8CF2-5EDB-4557-B87E-3E8007D23BF8}"/>
  <tableColumns count="2">
    <tableColumn id="1" xr3:uid="{81BAB573-C4EF-49E7-B7A2-05B81E501100}" name="Cell Name"/>
    <tableColumn id="2" xr3:uid="{02DA2B4A-1392-42D3-B389-B0B4F84D5152}" name="Referenc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197F-3256-456D-884C-703290667C96}">
  <dimension ref="A1:P112"/>
  <sheetViews>
    <sheetView tabSelected="1" topLeftCell="A37" zoomScale="40" zoomScaleNormal="40" workbookViewId="0">
      <selection activeCell="E46" sqref="E46"/>
    </sheetView>
  </sheetViews>
  <sheetFormatPr defaultRowHeight="14.25" x14ac:dyDescent="0.45"/>
  <cols>
    <col min="1" max="1" width="38.265625" bestFit="1" customWidth="1"/>
    <col min="2" max="2" width="56.9296875" bestFit="1" customWidth="1"/>
    <col min="3" max="3" width="29" bestFit="1" customWidth="1"/>
    <col min="4" max="4" width="25.796875" bestFit="1" customWidth="1"/>
    <col min="5" max="5" width="38.265625" bestFit="1" customWidth="1"/>
    <col min="6" max="6" width="24.59765625" bestFit="1" customWidth="1"/>
    <col min="7" max="7" width="17.19921875" bestFit="1" customWidth="1"/>
    <col min="8" max="8" width="22.59765625" bestFit="1" customWidth="1"/>
    <col min="9" max="10" width="30.06640625" bestFit="1" customWidth="1"/>
    <col min="11" max="11" width="17.19921875" bestFit="1" customWidth="1"/>
    <col min="12" max="12" width="15.19921875" bestFit="1" customWidth="1"/>
    <col min="13" max="13" width="18.19921875" bestFit="1" customWidth="1"/>
    <col min="14" max="14" width="16.265625" bestFit="1" customWidth="1"/>
    <col min="15" max="15" width="44.19921875" bestFit="1" customWidth="1"/>
    <col min="16" max="16" width="24.9296875" bestFit="1" customWidth="1"/>
    <col min="17" max="17" width="13.06640625" customWidth="1"/>
    <col min="18" max="18" width="26.53125" bestFit="1" customWidth="1"/>
    <col min="20" max="20" width="11.9296875" customWidth="1"/>
    <col min="22" max="22" width="23.53125" customWidth="1"/>
    <col min="24" max="24" width="12.33203125" bestFit="1" customWidth="1"/>
    <col min="26" max="26" width="13.53125" customWidth="1"/>
    <col min="28" max="28" width="9.796875" bestFit="1" customWidth="1"/>
  </cols>
  <sheetData>
    <row r="1" spans="1:16" x14ac:dyDescent="0.45">
      <c r="A1" s="12" t="s">
        <v>0</v>
      </c>
      <c r="B1" t="s">
        <v>9</v>
      </c>
      <c r="O1" s="36" t="s">
        <v>73</v>
      </c>
    </row>
    <row r="2" spans="1:16" x14ac:dyDescent="0.45">
      <c r="A2" s="12" t="s">
        <v>1</v>
      </c>
      <c r="B2" t="s">
        <v>10</v>
      </c>
      <c r="C2" t="s">
        <v>190</v>
      </c>
      <c r="O2" t="s">
        <v>179</v>
      </c>
      <c r="P2" t="s">
        <v>180</v>
      </c>
    </row>
    <row r="3" spans="1:16" x14ac:dyDescent="0.45">
      <c r="B3" t="s">
        <v>11</v>
      </c>
      <c r="C3" t="s">
        <v>191</v>
      </c>
      <c r="O3" t="s">
        <v>74</v>
      </c>
      <c r="P3" t="s">
        <v>75</v>
      </c>
    </row>
    <row r="4" spans="1:16" x14ac:dyDescent="0.45">
      <c r="B4" t="s">
        <v>12</v>
      </c>
      <c r="O4" t="s">
        <v>76</v>
      </c>
      <c r="P4" t="s">
        <v>77</v>
      </c>
    </row>
    <row r="5" spans="1:16" x14ac:dyDescent="0.45">
      <c r="B5" t="s">
        <v>13</v>
      </c>
      <c r="O5" t="s">
        <v>78</v>
      </c>
      <c r="P5" t="s">
        <v>79</v>
      </c>
    </row>
    <row r="6" spans="1:16" x14ac:dyDescent="0.45">
      <c r="A6" s="12" t="s">
        <v>2</v>
      </c>
      <c r="B6" t="s">
        <v>3</v>
      </c>
      <c r="O6" t="s">
        <v>80</v>
      </c>
      <c r="P6" t="s">
        <v>81</v>
      </c>
    </row>
    <row r="7" spans="1:16" x14ac:dyDescent="0.45">
      <c r="B7" t="s">
        <v>4</v>
      </c>
      <c r="O7" t="s">
        <v>82</v>
      </c>
      <c r="P7" t="s">
        <v>83</v>
      </c>
    </row>
    <row r="8" spans="1:16" x14ac:dyDescent="0.45">
      <c r="B8" t="s">
        <v>5</v>
      </c>
      <c r="O8" t="s">
        <v>84</v>
      </c>
      <c r="P8" t="s">
        <v>83</v>
      </c>
    </row>
    <row r="9" spans="1:16" x14ac:dyDescent="0.45">
      <c r="B9" t="s">
        <v>6</v>
      </c>
      <c r="O9" t="s">
        <v>85</v>
      </c>
      <c r="P9" t="s">
        <v>86</v>
      </c>
    </row>
    <row r="10" spans="1:16" x14ac:dyDescent="0.45">
      <c r="B10" t="s">
        <v>7</v>
      </c>
      <c r="O10" t="s">
        <v>87</v>
      </c>
      <c r="P10" t="s">
        <v>88</v>
      </c>
    </row>
    <row r="11" spans="1:16" x14ac:dyDescent="0.45">
      <c r="B11" t="s">
        <v>8</v>
      </c>
      <c r="O11" t="s">
        <v>89</v>
      </c>
      <c r="P11" t="s">
        <v>90</v>
      </c>
    </row>
    <row r="12" spans="1:16" ht="14.65" thickBot="1" x14ac:dyDescent="0.5">
      <c r="O12" t="s">
        <v>91</v>
      </c>
      <c r="P12" t="s">
        <v>92</v>
      </c>
    </row>
    <row r="13" spans="1:16" ht="28.5" customHeight="1" thickBot="1" x14ac:dyDescent="0.5">
      <c r="A13" s="44" t="s">
        <v>14</v>
      </c>
      <c r="B13" s="45"/>
      <c r="C13" s="45"/>
      <c r="D13" s="46"/>
      <c r="E13" s="5"/>
      <c r="F13" s="40"/>
      <c r="G13" s="41"/>
      <c r="H13" s="5"/>
      <c r="O13" t="s">
        <v>93</v>
      </c>
      <c r="P13" t="s">
        <v>94</v>
      </c>
    </row>
    <row r="14" spans="1:16" ht="15.4" thickBot="1" x14ac:dyDescent="0.5">
      <c r="A14" s="1"/>
      <c r="B14" s="2"/>
      <c r="C14" s="2"/>
      <c r="D14" s="2"/>
      <c r="E14" s="2"/>
      <c r="F14" s="3" t="s">
        <v>15</v>
      </c>
      <c r="G14" s="42" t="s">
        <v>16</v>
      </c>
      <c r="H14" s="43"/>
      <c r="O14" t="s">
        <v>95</v>
      </c>
      <c r="P14" t="s">
        <v>96</v>
      </c>
    </row>
    <row r="15" spans="1:16" ht="15.4" thickBot="1" x14ac:dyDescent="0.5">
      <c r="A15" s="1"/>
      <c r="B15" s="3" t="s">
        <v>17</v>
      </c>
      <c r="C15" s="3" t="s">
        <v>18</v>
      </c>
      <c r="D15" s="3" t="s">
        <v>19</v>
      </c>
      <c r="E15" s="4" t="s">
        <v>20</v>
      </c>
      <c r="F15" s="6" t="s">
        <v>21</v>
      </c>
      <c r="G15" s="7" t="s">
        <v>22</v>
      </c>
      <c r="H15" s="7" t="s">
        <v>23</v>
      </c>
      <c r="O15" t="s">
        <v>97</v>
      </c>
      <c r="P15" t="s">
        <v>98</v>
      </c>
    </row>
    <row r="16" spans="1:16" ht="14.65" thickBot="1" x14ac:dyDescent="0.5">
      <c r="A16" s="8" t="s">
        <v>24</v>
      </c>
      <c r="B16" s="9">
        <v>30</v>
      </c>
      <c r="C16" s="9">
        <v>70</v>
      </c>
      <c r="D16" s="9">
        <v>20</v>
      </c>
      <c r="E16" s="9">
        <v>25000000</v>
      </c>
      <c r="F16" s="10">
        <v>1500000</v>
      </c>
      <c r="G16" s="10">
        <v>400000</v>
      </c>
      <c r="H16" s="10">
        <v>600000</v>
      </c>
      <c r="O16" t="s">
        <v>99</v>
      </c>
      <c r="P16" t="s">
        <v>100</v>
      </c>
    </row>
    <row r="17" spans="1:16" ht="14.65" thickBot="1" x14ac:dyDescent="0.5">
      <c r="A17" s="8" t="s">
        <v>25</v>
      </c>
      <c r="B17" s="9">
        <v>90</v>
      </c>
      <c r="C17" s="9">
        <v>80</v>
      </c>
      <c r="D17" s="9">
        <v>85</v>
      </c>
      <c r="E17" s="9">
        <v>35000000</v>
      </c>
      <c r="F17" s="10">
        <v>1000000</v>
      </c>
      <c r="G17" s="10">
        <v>400000</v>
      </c>
      <c r="H17" s="10">
        <v>600000</v>
      </c>
      <c r="O17" t="s">
        <v>101</v>
      </c>
      <c r="P17" t="s">
        <v>102</v>
      </c>
    </row>
    <row r="18" spans="1:16" ht="14.65" thickBot="1" x14ac:dyDescent="0.5">
      <c r="A18" s="8" t="s">
        <v>26</v>
      </c>
      <c r="B18" s="9">
        <v>75</v>
      </c>
      <c r="C18" s="9">
        <v>65</v>
      </c>
      <c r="D18" s="9">
        <v>50</v>
      </c>
      <c r="E18" s="9">
        <v>40000000</v>
      </c>
      <c r="F18" s="10">
        <v>1000000</v>
      </c>
      <c r="G18" s="10">
        <v>400000</v>
      </c>
      <c r="H18" s="10">
        <v>600000</v>
      </c>
      <c r="O18" t="s">
        <v>103</v>
      </c>
      <c r="P18" t="s">
        <v>104</v>
      </c>
    </row>
    <row r="19" spans="1:16" x14ac:dyDescent="0.45">
      <c r="O19" t="s">
        <v>105</v>
      </c>
      <c r="P19" t="s">
        <v>106</v>
      </c>
    </row>
    <row r="20" spans="1:16" ht="14.65" thickBot="1" x14ac:dyDescent="0.5">
      <c r="O20" t="s">
        <v>107</v>
      </c>
      <c r="P20" t="s">
        <v>108</v>
      </c>
    </row>
    <row r="21" spans="1:16" ht="15.4" thickBot="1" x14ac:dyDescent="0.5">
      <c r="A21" s="44" t="s">
        <v>27</v>
      </c>
      <c r="B21" s="45"/>
      <c r="C21" s="45"/>
      <c r="D21" s="46"/>
      <c r="E21" s="5"/>
      <c r="F21" s="40"/>
      <c r="G21" s="41"/>
      <c r="H21" s="5"/>
      <c r="O21" t="s">
        <v>109</v>
      </c>
      <c r="P21" t="s">
        <v>110</v>
      </c>
    </row>
    <row r="22" spans="1:16" ht="15.4" thickBot="1" x14ac:dyDescent="0.5">
      <c r="A22" s="1"/>
      <c r="B22" s="2"/>
      <c r="C22" s="2"/>
      <c r="D22" s="2"/>
      <c r="E22" s="2"/>
      <c r="F22" s="2"/>
      <c r="G22" s="42" t="s">
        <v>28</v>
      </c>
      <c r="H22" s="43"/>
      <c r="O22" t="s">
        <v>111</v>
      </c>
      <c r="P22" t="s">
        <v>110</v>
      </c>
    </row>
    <row r="23" spans="1:16" ht="15.4" thickBot="1" x14ac:dyDescent="0.5">
      <c r="A23" s="1"/>
      <c r="B23" s="3" t="s">
        <v>29</v>
      </c>
      <c r="C23" s="3" t="s">
        <v>30</v>
      </c>
      <c r="D23" s="3" t="s">
        <v>31</v>
      </c>
      <c r="E23" s="3" t="s">
        <v>32</v>
      </c>
      <c r="F23" s="3" t="s">
        <v>20</v>
      </c>
      <c r="G23" s="7" t="s">
        <v>22</v>
      </c>
      <c r="H23" s="7" t="s">
        <v>23</v>
      </c>
      <c r="O23" t="s">
        <v>112</v>
      </c>
      <c r="P23" t="s">
        <v>113</v>
      </c>
    </row>
    <row r="24" spans="1:16" ht="14.65" thickBot="1" x14ac:dyDescent="0.5">
      <c r="A24" s="8" t="s">
        <v>17</v>
      </c>
      <c r="B24" s="9">
        <v>120</v>
      </c>
      <c r="C24" s="9">
        <v>160</v>
      </c>
      <c r="D24" s="9">
        <v>80</v>
      </c>
      <c r="E24" s="9">
        <v>140</v>
      </c>
      <c r="F24" s="9">
        <v>2000000</v>
      </c>
      <c r="G24" s="10">
        <v>350000</v>
      </c>
      <c r="H24" s="10">
        <v>450000</v>
      </c>
      <c r="O24" t="s">
        <v>114</v>
      </c>
      <c r="P24" t="s">
        <v>115</v>
      </c>
    </row>
    <row r="25" spans="1:16" ht="14.65" thickBot="1" x14ac:dyDescent="0.5">
      <c r="A25" s="8" t="s">
        <v>18</v>
      </c>
      <c r="B25" s="9">
        <v>60</v>
      </c>
      <c r="C25" s="9">
        <v>90</v>
      </c>
      <c r="D25" s="9">
        <v>150</v>
      </c>
      <c r="E25" s="9">
        <v>100</v>
      </c>
      <c r="F25" s="9">
        <v>4000000</v>
      </c>
      <c r="G25" s="10">
        <v>400000</v>
      </c>
      <c r="H25" s="10">
        <v>500000</v>
      </c>
      <c r="O25" t="s">
        <v>116</v>
      </c>
      <c r="P25" t="s">
        <v>117</v>
      </c>
    </row>
    <row r="26" spans="1:16" ht="14.65" thickBot="1" x14ac:dyDescent="0.5">
      <c r="A26" s="8" t="s">
        <v>19</v>
      </c>
      <c r="B26" s="9">
        <v>150</v>
      </c>
      <c r="C26" s="9">
        <v>200</v>
      </c>
      <c r="D26" s="9">
        <v>110</v>
      </c>
      <c r="E26" s="9">
        <v>50</v>
      </c>
      <c r="F26" s="9">
        <v>6000000</v>
      </c>
      <c r="G26" s="10">
        <v>300000</v>
      </c>
      <c r="H26" s="10">
        <v>375000</v>
      </c>
      <c r="O26" t="s">
        <v>118</v>
      </c>
      <c r="P26" t="s">
        <v>119</v>
      </c>
    </row>
    <row r="27" spans="1:16" x14ac:dyDescent="0.45">
      <c r="O27" t="s">
        <v>120</v>
      </c>
      <c r="P27" t="s">
        <v>121</v>
      </c>
    </row>
    <row r="28" spans="1:16" ht="14.65" thickBot="1" x14ac:dyDescent="0.5">
      <c r="O28" t="s">
        <v>122</v>
      </c>
      <c r="P28" t="s">
        <v>123</v>
      </c>
    </row>
    <row r="29" spans="1:16" ht="15.4" thickBot="1" x14ac:dyDescent="0.5">
      <c r="A29" s="11" t="s">
        <v>33</v>
      </c>
      <c r="B29" s="5"/>
      <c r="C29" s="5"/>
      <c r="D29" s="40"/>
      <c r="E29" s="41"/>
      <c r="O29" t="s">
        <v>124</v>
      </c>
      <c r="P29" t="s">
        <v>125</v>
      </c>
    </row>
    <row r="30" spans="1:16" ht="15.4" thickBot="1" x14ac:dyDescent="0.5">
      <c r="A30" s="1"/>
      <c r="B30" s="3" t="s">
        <v>29</v>
      </c>
      <c r="C30" s="3" t="s">
        <v>30</v>
      </c>
      <c r="D30" s="3" t="s">
        <v>31</v>
      </c>
      <c r="E30" s="3" t="s">
        <v>32</v>
      </c>
      <c r="O30" t="s">
        <v>126</v>
      </c>
      <c r="P30" t="s">
        <v>127</v>
      </c>
    </row>
    <row r="31" spans="1:16" ht="15.4" thickBot="1" x14ac:dyDescent="0.5">
      <c r="A31" s="1"/>
      <c r="B31" s="10">
        <v>325000</v>
      </c>
      <c r="C31" s="10">
        <v>600000</v>
      </c>
      <c r="D31" s="10">
        <v>200000</v>
      </c>
      <c r="E31" s="10">
        <v>1000000</v>
      </c>
      <c r="O31" t="s">
        <v>59</v>
      </c>
      <c r="P31" t="s">
        <v>128</v>
      </c>
    </row>
    <row r="32" spans="1:16" x14ac:dyDescent="0.45">
      <c r="O32" t="s">
        <v>60</v>
      </c>
      <c r="P32" t="s">
        <v>129</v>
      </c>
    </row>
    <row r="33" spans="1:16" x14ac:dyDescent="0.45">
      <c r="O33" t="s">
        <v>130</v>
      </c>
      <c r="P33" t="s">
        <v>131</v>
      </c>
    </row>
    <row r="34" spans="1:16" x14ac:dyDescent="0.45">
      <c r="A34" s="12" t="s">
        <v>34</v>
      </c>
      <c r="O34" t="s">
        <v>132</v>
      </c>
      <c r="P34" t="s">
        <v>133</v>
      </c>
    </row>
    <row r="35" spans="1:16" x14ac:dyDescent="0.45">
      <c r="C35" s="12" t="s">
        <v>181</v>
      </c>
      <c r="E35" s="12" t="s">
        <v>183</v>
      </c>
      <c r="H35" s="12" t="s">
        <v>62</v>
      </c>
      <c r="I35">
        <f>SUM(capacity)*10</f>
        <v>35000000</v>
      </c>
      <c r="O35" t="s">
        <v>134</v>
      </c>
      <c r="P35" t="s">
        <v>135</v>
      </c>
    </row>
    <row r="36" spans="1:16" x14ac:dyDescent="0.45">
      <c r="A36" s="33" t="s">
        <v>24</v>
      </c>
      <c r="B36" s="25">
        <v>1</v>
      </c>
      <c r="C36" s="30">
        <f>B36*Big_Number_Plant</f>
        <v>35000000</v>
      </c>
      <c r="D36" s="15" t="s">
        <v>38</v>
      </c>
      <c r="E36" s="30">
        <f>SUMIF(from_plant,A36,qty_ship_prod_war)</f>
        <v>1499999.9999999837</v>
      </c>
      <c r="H36" s="12" t="s">
        <v>63</v>
      </c>
      <c r="I36">
        <f>SUM(cust_demand)*10</f>
        <v>21250000</v>
      </c>
      <c r="O36" t="s">
        <v>136</v>
      </c>
      <c r="P36" t="s">
        <v>137</v>
      </c>
    </row>
    <row r="37" spans="1:16" ht="28.5" x14ac:dyDescent="0.45">
      <c r="A37" s="33" t="s">
        <v>25</v>
      </c>
      <c r="B37" s="25">
        <v>0</v>
      </c>
      <c r="C37" s="30">
        <f>B37*Big_Number_Plant</f>
        <v>0</v>
      </c>
      <c r="D37" s="15" t="s">
        <v>38</v>
      </c>
      <c r="E37" s="30">
        <f>SUMIF(from_plant,A37,qty_ship_prod_war)</f>
        <v>6.7794678759724986E-9</v>
      </c>
      <c r="H37" s="17" t="s">
        <v>66</v>
      </c>
      <c r="I37" s="23">
        <f>100*SUM(fixed_cost_plants)</f>
        <v>10000000000</v>
      </c>
      <c r="O37" t="s">
        <v>138</v>
      </c>
      <c r="P37" t="s">
        <v>139</v>
      </c>
    </row>
    <row r="38" spans="1:16" ht="28.5" x14ac:dyDescent="0.45">
      <c r="A38" s="33" t="s">
        <v>26</v>
      </c>
      <c r="B38" s="25">
        <v>1</v>
      </c>
      <c r="C38" s="30">
        <f>B38*Big_Number_Plant</f>
        <v>35000000</v>
      </c>
      <c r="D38" s="15" t="s">
        <v>38</v>
      </c>
      <c r="E38" s="30">
        <f>SUMIF(from_plant,A38,qty_ship_prod_war)</f>
        <v>999999.99999999604</v>
      </c>
      <c r="H38" s="17" t="s">
        <v>67</v>
      </c>
      <c r="I38" s="23">
        <f>50*SUM(fixed_cost_war)</f>
        <v>600000000</v>
      </c>
      <c r="O38" t="s">
        <v>140</v>
      </c>
      <c r="P38" t="s">
        <v>141</v>
      </c>
    </row>
    <row r="39" spans="1:16" x14ac:dyDescent="0.45">
      <c r="O39" t="s">
        <v>61</v>
      </c>
      <c r="P39" t="s">
        <v>142</v>
      </c>
    </row>
    <row r="40" spans="1:16" x14ac:dyDescent="0.45">
      <c r="O40" t="s">
        <v>143</v>
      </c>
      <c r="P40" t="s">
        <v>144</v>
      </c>
    </row>
    <row r="41" spans="1:16" x14ac:dyDescent="0.45">
      <c r="A41" s="12" t="s">
        <v>41</v>
      </c>
      <c r="O41" t="s">
        <v>145</v>
      </c>
      <c r="P41" t="s">
        <v>102</v>
      </c>
    </row>
    <row r="42" spans="1:16" x14ac:dyDescent="0.45">
      <c r="C42" s="12" t="s">
        <v>182</v>
      </c>
      <c r="E42" s="12" t="s">
        <v>184</v>
      </c>
      <c r="O42" t="s">
        <v>146</v>
      </c>
      <c r="P42" t="s">
        <v>147</v>
      </c>
    </row>
    <row r="43" spans="1:16" x14ac:dyDescent="0.45">
      <c r="A43" s="24" t="s">
        <v>17</v>
      </c>
      <c r="B43" s="25">
        <v>1</v>
      </c>
      <c r="C43" s="30">
        <f>B43*Bug_Number_War</f>
        <v>21250000</v>
      </c>
      <c r="D43" s="15" t="s">
        <v>38</v>
      </c>
      <c r="E43" s="30">
        <f>SUMIF(from_war,A43,qty_ship_war_to_cust)</f>
        <v>349999.99999999383</v>
      </c>
      <c r="O43" t="s">
        <v>148</v>
      </c>
      <c r="P43" t="s">
        <v>149</v>
      </c>
    </row>
    <row r="44" spans="1:16" x14ac:dyDescent="0.45">
      <c r="A44" s="24" t="s">
        <v>18</v>
      </c>
      <c r="B44" s="25">
        <v>1</v>
      </c>
      <c r="C44" s="30">
        <f>B44*Bug_Number_War</f>
        <v>21250000</v>
      </c>
      <c r="D44" s="15" t="s">
        <v>38</v>
      </c>
      <c r="E44" s="30">
        <f>SUMIF(from_war,A44,qty_ship_war_to_cust)</f>
        <v>1200000.0000000135</v>
      </c>
      <c r="O44" t="s">
        <v>150</v>
      </c>
      <c r="P44" t="s">
        <v>151</v>
      </c>
    </row>
    <row r="45" spans="1:16" x14ac:dyDescent="0.45">
      <c r="A45" s="24" t="s">
        <v>19</v>
      </c>
      <c r="B45" s="25">
        <v>1</v>
      </c>
      <c r="C45" s="30">
        <f>B45*Bug_Number_War</f>
        <v>21250000</v>
      </c>
      <c r="D45" s="15" t="s">
        <v>38</v>
      </c>
      <c r="E45" s="30">
        <f>SUMIF(from_war,A45,qty_ship_war_to_cust)</f>
        <v>899999.99999999069</v>
      </c>
      <c r="O45" t="s">
        <v>152</v>
      </c>
      <c r="P45" t="s">
        <v>153</v>
      </c>
    </row>
    <row r="46" spans="1:16" x14ac:dyDescent="0.45">
      <c r="O46" t="s">
        <v>154</v>
      </c>
      <c r="P46" t="s">
        <v>155</v>
      </c>
    </row>
    <row r="47" spans="1:16" x14ac:dyDescent="0.45">
      <c r="O47" t="s">
        <v>156</v>
      </c>
      <c r="P47" t="s">
        <v>157</v>
      </c>
    </row>
    <row r="48" spans="1:16" x14ac:dyDescent="0.45">
      <c r="O48" t="s">
        <v>70</v>
      </c>
      <c r="P48" t="s">
        <v>158</v>
      </c>
    </row>
    <row r="49" spans="1:16" x14ac:dyDescent="0.45">
      <c r="A49" s="12" t="s">
        <v>11</v>
      </c>
      <c r="O49" t="s">
        <v>159</v>
      </c>
      <c r="P49" t="s">
        <v>160</v>
      </c>
    </row>
    <row r="50" spans="1:16" x14ac:dyDescent="0.45">
      <c r="E50" s="22"/>
      <c r="O50" t="s">
        <v>161</v>
      </c>
      <c r="P50" t="s">
        <v>162</v>
      </c>
    </row>
    <row r="51" spans="1:16" ht="57" x14ac:dyDescent="0.45">
      <c r="A51" s="18" t="s">
        <v>35</v>
      </c>
      <c r="B51" s="18" t="s">
        <v>36</v>
      </c>
      <c r="C51" s="37" t="s">
        <v>56</v>
      </c>
      <c r="D51" s="38" t="s">
        <v>71</v>
      </c>
      <c r="E51" s="18"/>
      <c r="F51" s="18" t="s">
        <v>59</v>
      </c>
      <c r="G51" s="37" t="s">
        <v>188</v>
      </c>
      <c r="H51" s="18"/>
      <c r="I51" s="37" t="s">
        <v>55</v>
      </c>
      <c r="J51" s="18" t="s">
        <v>61</v>
      </c>
      <c r="K51" s="37" t="s">
        <v>69</v>
      </c>
      <c r="L51" s="24"/>
      <c r="M51" s="38" t="s">
        <v>65</v>
      </c>
      <c r="O51" t="s">
        <v>163</v>
      </c>
      <c r="P51" t="s">
        <v>164</v>
      </c>
    </row>
    <row r="52" spans="1:16" x14ac:dyDescent="0.45">
      <c r="A52" s="26" t="s">
        <v>24</v>
      </c>
      <c r="B52" s="26" t="s">
        <v>17</v>
      </c>
      <c r="C52" s="14">
        <f t="shared" ref="C52:C60" si="0">INDEX(cap_prod_min, MATCH(A52,$A$16:$A$18,0))</f>
        <v>400000</v>
      </c>
      <c r="D52" s="27">
        <f>F52*C52</f>
        <v>400000</v>
      </c>
      <c r="E52" s="13" t="s">
        <v>37</v>
      </c>
      <c r="F52" s="28">
        <v>1</v>
      </c>
      <c r="G52" s="21">
        <v>399999.99999999604</v>
      </c>
      <c r="H52" s="13" t="s">
        <v>37</v>
      </c>
      <c r="I52" s="39">
        <f t="shared" ref="I52:I60" si="1">INDEX(cap_prod_max, MATCH(A52,$A$16:$A$18,0))</f>
        <v>600000</v>
      </c>
      <c r="J52" s="26">
        <f t="shared" ref="J52:J60" si="2">F52*Big_Number_Plant</f>
        <v>35000000</v>
      </c>
      <c r="K52" s="29">
        <f t="shared" ref="K52:K60" si="3">INDEX(unit_shipping_cost_plant_to_war,MATCH(A52,$A$16:$A$18,0),MATCH(B52,$B$15:$D$15,0))*G52</f>
        <v>11999999.999999881</v>
      </c>
      <c r="L52" s="13" t="s">
        <v>37</v>
      </c>
      <c r="M52" s="29">
        <f t="shared" ref="M52:M60" si="4">F52*Big_Number_PlantArc__Cost</f>
        <v>10000000000</v>
      </c>
      <c r="O52" t="s">
        <v>165</v>
      </c>
      <c r="P52" t="s">
        <v>166</v>
      </c>
    </row>
    <row r="53" spans="1:16" x14ac:dyDescent="0.45">
      <c r="A53" s="26" t="s">
        <v>24</v>
      </c>
      <c r="B53" s="26" t="s">
        <v>18</v>
      </c>
      <c r="C53" s="14">
        <f t="shared" si="0"/>
        <v>400000</v>
      </c>
      <c r="D53" s="27">
        <f>F53*C53</f>
        <v>400000</v>
      </c>
      <c r="E53" s="13" t="s">
        <v>37</v>
      </c>
      <c r="F53" s="28">
        <v>1</v>
      </c>
      <c r="G53" s="21">
        <v>600000</v>
      </c>
      <c r="H53" s="13" t="s">
        <v>37</v>
      </c>
      <c r="I53" s="39">
        <f t="shared" si="1"/>
        <v>600000</v>
      </c>
      <c r="J53" s="26">
        <f t="shared" si="2"/>
        <v>35000000</v>
      </c>
      <c r="K53" s="29">
        <f t="shared" si="3"/>
        <v>42000000</v>
      </c>
      <c r="L53" s="13" t="s">
        <v>37</v>
      </c>
      <c r="M53" s="29">
        <f t="shared" si="4"/>
        <v>10000000000</v>
      </c>
      <c r="O53" t="s">
        <v>167</v>
      </c>
      <c r="P53" t="s">
        <v>168</v>
      </c>
    </row>
    <row r="54" spans="1:16" x14ac:dyDescent="0.45">
      <c r="A54" s="26" t="s">
        <v>24</v>
      </c>
      <c r="B54" s="26" t="s">
        <v>19</v>
      </c>
      <c r="C54" s="14">
        <f t="shared" si="0"/>
        <v>400000</v>
      </c>
      <c r="D54" s="27">
        <f t="shared" ref="D54:D60" si="5">F54*C54</f>
        <v>400000</v>
      </c>
      <c r="E54" s="13" t="s">
        <v>37</v>
      </c>
      <c r="F54" s="28">
        <v>1</v>
      </c>
      <c r="G54" s="21">
        <v>499999.99999998778</v>
      </c>
      <c r="H54" s="13" t="s">
        <v>37</v>
      </c>
      <c r="I54" s="39">
        <f t="shared" si="1"/>
        <v>600000</v>
      </c>
      <c r="J54" s="26">
        <f t="shared" si="2"/>
        <v>35000000</v>
      </c>
      <c r="K54" s="29">
        <f t="shared" si="3"/>
        <v>9999999.999999756</v>
      </c>
      <c r="L54" s="13" t="s">
        <v>37</v>
      </c>
      <c r="M54" s="29">
        <f t="shared" si="4"/>
        <v>10000000000</v>
      </c>
      <c r="O54" t="s">
        <v>169</v>
      </c>
      <c r="P54" t="s">
        <v>170</v>
      </c>
    </row>
    <row r="55" spans="1:16" x14ac:dyDescent="0.45">
      <c r="A55" s="26" t="s">
        <v>25</v>
      </c>
      <c r="B55" s="26" t="s">
        <v>17</v>
      </c>
      <c r="C55" s="14">
        <f t="shared" si="0"/>
        <v>400000</v>
      </c>
      <c r="D55" s="27">
        <f t="shared" si="5"/>
        <v>0</v>
      </c>
      <c r="E55" s="13" t="s">
        <v>37</v>
      </c>
      <c r="F55" s="28">
        <v>0</v>
      </c>
      <c r="G55" s="21">
        <v>0</v>
      </c>
      <c r="H55" s="13" t="s">
        <v>37</v>
      </c>
      <c r="I55" s="39">
        <f t="shared" si="1"/>
        <v>600000</v>
      </c>
      <c r="J55" s="26">
        <f t="shared" si="2"/>
        <v>0</v>
      </c>
      <c r="K55" s="29">
        <f t="shared" si="3"/>
        <v>0</v>
      </c>
      <c r="L55" s="13" t="s">
        <v>37</v>
      </c>
      <c r="M55" s="29">
        <f t="shared" si="4"/>
        <v>0</v>
      </c>
      <c r="O55" t="s">
        <v>171</v>
      </c>
      <c r="P55" t="s">
        <v>172</v>
      </c>
    </row>
    <row r="56" spans="1:16" x14ac:dyDescent="0.45">
      <c r="A56" s="26" t="s">
        <v>25</v>
      </c>
      <c r="B56" s="26" t="s">
        <v>18</v>
      </c>
      <c r="C56" s="14">
        <f t="shared" si="0"/>
        <v>400000</v>
      </c>
      <c r="D56" s="27">
        <f t="shared" si="5"/>
        <v>0</v>
      </c>
      <c r="E56" s="13" t="s">
        <v>37</v>
      </c>
      <c r="F56" s="28">
        <v>0</v>
      </c>
      <c r="G56" s="21">
        <v>0</v>
      </c>
      <c r="H56" s="13" t="s">
        <v>37</v>
      </c>
      <c r="I56" s="39">
        <f t="shared" si="1"/>
        <v>600000</v>
      </c>
      <c r="J56" s="26">
        <f t="shared" si="2"/>
        <v>0</v>
      </c>
      <c r="K56" s="29">
        <f t="shared" si="3"/>
        <v>0</v>
      </c>
      <c r="L56" s="13" t="s">
        <v>37</v>
      </c>
      <c r="M56" s="29">
        <f t="shared" si="4"/>
        <v>0</v>
      </c>
      <c r="O56" t="s">
        <v>173</v>
      </c>
      <c r="P56" t="s">
        <v>174</v>
      </c>
    </row>
    <row r="57" spans="1:16" x14ac:dyDescent="0.45">
      <c r="A57" s="26" t="s">
        <v>25</v>
      </c>
      <c r="B57" s="26" t="s">
        <v>19</v>
      </c>
      <c r="C57" s="14">
        <f t="shared" si="0"/>
        <v>400000</v>
      </c>
      <c r="D57" s="27">
        <f t="shared" si="5"/>
        <v>0</v>
      </c>
      <c r="E57" s="13" t="s">
        <v>37</v>
      </c>
      <c r="F57" s="28">
        <v>0</v>
      </c>
      <c r="G57" s="21">
        <v>6.7794678759724986E-9</v>
      </c>
      <c r="H57" s="13" t="s">
        <v>37</v>
      </c>
      <c r="I57" s="39">
        <f t="shared" si="1"/>
        <v>600000</v>
      </c>
      <c r="J57" s="26">
        <f t="shared" si="2"/>
        <v>0</v>
      </c>
      <c r="K57" s="29">
        <f t="shared" si="3"/>
        <v>5.7625476945766241E-7</v>
      </c>
      <c r="L57" s="13" t="s">
        <v>37</v>
      </c>
      <c r="M57" s="29">
        <f t="shared" si="4"/>
        <v>0</v>
      </c>
      <c r="O57" t="s">
        <v>175</v>
      </c>
      <c r="P57" t="s">
        <v>176</v>
      </c>
    </row>
    <row r="58" spans="1:16" x14ac:dyDescent="0.45">
      <c r="A58" s="26" t="s">
        <v>26</v>
      </c>
      <c r="B58" s="26" t="s">
        <v>17</v>
      </c>
      <c r="C58" s="14">
        <f t="shared" si="0"/>
        <v>400000</v>
      </c>
      <c r="D58" s="27">
        <f t="shared" si="5"/>
        <v>0</v>
      </c>
      <c r="E58" s="13" t="s">
        <v>37</v>
      </c>
      <c r="F58" s="28">
        <v>0</v>
      </c>
      <c r="G58" s="21">
        <v>0</v>
      </c>
      <c r="H58" s="13" t="s">
        <v>37</v>
      </c>
      <c r="I58" s="39">
        <f t="shared" si="1"/>
        <v>600000</v>
      </c>
      <c r="J58" s="26">
        <f t="shared" si="2"/>
        <v>0</v>
      </c>
      <c r="K58" s="29">
        <f t="shared" si="3"/>
        <v>0</v>
      </c>
      <c r="L58" s="13" t="s">
        <v>37</v>
      </c>
      <c r="M58" s="29">
        <f t="shared" si="4"/>
        <v>0</v>
      </c>
      <c r="O58" t="s">
        <v>177</v>
      </c>
      <c r="P58" t="s">
        <v>178</v>
      </c>
    </row>
    <row r="59" spans="1:16" x14ac:dyDescent="0.45">
      <c r="A59" s="26" t="s">
        <v>26</v>
      </c>
      <c r="B59" s="26" t="s">
        <v>18</v>
      </c>
      <c r="C59" s="14">
        <f t="shared" si="0"/>
        <v>400000</v>
      </c>
      <c r="D59" s="27">
        <f t="shared" si="5"/>
        <v>400000</v>
      </c>
      <c r="E59" s="13" t="s">
        <v>37</v>
      </c>
      <c r="F59" s="28">
        <v>1</v>
      </c>
      <c r="G59" s="21">
        <v>600000</v>
      </c>
      <c r="H59" s="13" t="s">
        <v>37</v>
      </c>
      <c r="I59" s="39">
        <f t="shared" si="1"/>
        <v>600000</v>
      </c>
      <c r="J59" s="26">
        <f t="shared" si="2"/>
        <v>35000000</v>
      </c>
      <c r="K59" s="29">
        <f t="shared" si="3"/>
        <v>39000000</v>
      </c>
      <c r="L59" s="13" t="s">
        <v>37</v>
      </c>
      <c r="M59" s="29">
        <f t="shared" si="4"/>
        <v>10000000000</v>
      </c>
    </row>
    <row r="60" spans="1:16" x14ac:dyDescent="0.45">
      <c r="A60" s="26" t="s">
        <v>26</v>
      </c>
      <c r="B60" s="26" t="s">
        <v>19</v>
      </c>
      <c r="C60" s="14">
        <f t="shared" si="0"/>
        <v>400000</v>
      </c>
      <c r="D60" s="27">
        <f t="shared" si="5"/>
        <v>400000</v>
      </c>
      <c r="E60" s="13" t="s">
        <v>37</v>
      </c>
      <c r="F60" s="28">
        <v>1</v>
      </c>
      <c r="G60" s="21">
        <v>399999.99999999598</v>
      </c>
      <c r="H60" s="13" t="s">
        <v>37</v>
      </c>
      <c r="I60" s="39">
        <f t="shared" si="1"/>
        <v>600000</v>
      </c>
      <c r="J60" s="26">
        <f t="shared" si="2"/>
        <v>35000000</v>
      </c>
      <c r="K60" s="29">
        <f t="shared" si="3"/>
        <v>19999999.999999799</v>
      </c>
      <c r="L60" s="13" t="s">
        <v>37</v>
      </c>
      <c r="M60" s="29">
        <f t="shared" si="4"/>
        <v>10000000000</v>
      </c>
    </row>
    <row r="63" spans="1:16" x14ac:dyDescent="0.45">
      <c r="A63" s="17" t="s">
        <v>185</v>
      </c>
      <c r="B63" s="19">
        <f>SUMPRODUCT(prod_binaries,fixed_cost_plants)</f>
        <v>65000000</v>
      </c>
    </row>
    <row r="64" spans="1:16" x14ac:dyDescent="0.45">
      <c r="A64" s="17" t="s">
        <v>186</v>
      </c>
      <c r="B64" s="19">
        <f>SUM(Arc_Cost_for_Unit_Shipping)</f>
        <v>123000000</v>
      </c>
    </row>
    <row r="65" spans="1:13" x14ac:dyDescent="0.45">
      <c r="A65" s="12" t="s">
        <v>187</v>
      </c>
      <c r="B65" s="19">
        <f>Fixed_Cost_of_Prod+Total_Cost_of_Shipping_from_Plants</f>
        <v>188000000</v>
      </c>
    </row>
    <row r="69" spans="1:13" x14ac:dyDescent="0.45">
      <c r="A69" s="12" t="s">
        <v>42</v>
      </c>
    </row>
    <row r="71" spans="1:13" ht="57" x14ac:dyDescent="0.45">
      <c r="A71" s="18" t="s">
        <v>35</v>
      </c>
      <c r="B71" s="18" t="s">
        <v>36</v>
      </c>
      <c r="C71" s="37" t="s">
        <v>57</v>
      </c>
      <c r="D71" s="38" t="s">
        <v>72</v>
      </c>
      <c r="E71" s="37"/>
      <c r="F71" s="18" t="s">
        <v>60</v>
      </c>
      <c r="G71" s="37" t="s">
        <v>189</v>
      </c>
      <c r="H71" s="37"/>
      <c r="I71" s="37" t="s">
        <v>58</v>
      </c>
      <c r="J71" s="37" t="s">
        <v>64</v>
      </c>
      <c r="K71" s="37" t="s">
        <v>45</v>
      </c>
      <c r="L71" s="24"/>
      <c r="M71" s="38" t="s">
        <v>68</v>
      </c>
    </row>
    <row r="72" spans="1:13" x14ac:dyDescent="0.45">
      <c r="A72" s="26" t="s">
        <v>17</v>
      </c>
      <c r="B72" s="26" t="s">
        <v>29</v>
      </c>
      <c r="C72" s="14">
        <f t="shared" ref="C72:C83" si="6">INDEX(cap_war_min, MATCH(A72,$A$24:$A$26,0))</f>
        <v>350000</v>
      </c>
      <c r="D72" s="31">
        <f>F72*C72</f>
        <v>0</v>
      </c>
      <c r="E72" s="13" t="s">
        <v>37</v>
      </c>
      <c r="F72" s="28">
        <v>0</v>
      </c>
      <c r="G72" s="21">
        <v>0</v>
      </c>
      <c r="H72" s="13" t="s">
        <v>37</v>
      </c>
      <c r="I72" s="39">
        <f t="shared" ref="I72:I83" si="7">INDEX(cap_war_max, MATCH(A72,$A$24:$A$26,0))</f>
        <v>450000</v>
      </c>
      <c r="J72" s="26">
        <f t="shared" ref="J72:J83" si="8">F72*Bug_Number_War</f>
        <v>0</v>
      </c>
      <c r="K72" s="32">
        <f t="shared" ref="K72:K83" si="9">INDEX(unit_shipping_cost_war,MATCH(A72,$A$24:$A$26,0),MATCH(B72,$B$23:$E$23,0))*G72</f>
        <v>0</v>
      </c>
      <c r="L72" s="13" t="s">
        <v>37</v>
      </c>
      <c r="M72" s="29">
        <f t="shared" ref="M72:M83" si="10">F72*Big_Number_WarArc_Cost</f>
        <v>0</v>
      </c>
    </row>
    <row r="73" spans="1:13" x14ac:dyDescent="0.45">
      <c r="A73" s="26" t="s">
        <v>17</v>
      </c>
      <c r="B73" s="26" t="s">
        <v>30</v>
      </c>
      <c r="C73" s="14">
        <f t="shared" si="6"/>
        <v>350000</v>
      </c>
      <c r="D73" s="31">
        <f t="shared" ref="D73:D83" si="11">F73*C73</f>
        <v>0</v>
      </c>
      <c r="E73" s="13" t="s">
        <v>37</v>
      </c>
      <c r="F73" s="28">
        <v>0</v>
      </c>
      <c r="G73" s="21">
        <v>0</v>
      </c>
      <c r="H73" s="13" t="s">
        <v>37</v>
      </c>
      <c r="I73" s="39">
        <f>INDEX(cap_war_max, MATCH(A73,$A$24:$A$26,0))</f>
        <v>450000</v>
      </c>
      <c r="J73" s="26">
        <f t="shared" si="8"/>
        <v>0</v>
      </c>
      <c r="K73" s="32">
        <f t="shared" si="9"/>
        <v>0</v>
      </c>
      <c r="L73" s="13" t="s">
        <v>37</v>
      </c>
      <c r="M73" s="29">
        <f t="shared" si="10"/>
        <v>0</v>
      </c>
    </row>
    <row r="74" spans="1:13" x14ac:dyDescent="0.45">
      <c r="A74" s="26" t="s">
        <v>17</v>
      </c>
      <c r="B74" s="26" t="s">
        <v>31</v>
      </c>
      <c r="C74" s="14">
        <f t="shared" si="6"/>
        <v>350000</v>
      </c>
      <c r="D74" s="31">
        <f t="shared" si="11"/>
        <v>0</v>
      </c>
      <c r="E74" s="13" t="s">
        <v>37</v>
      </c>
      <c r="F74" s="28">
        <v>0</v>
      </c>
      <c r="G74" s="21">
        <v>0</v>
      </c>
      <c r="H74" s="13" t="s">
        <v>37</v>
      </c>
      <c r="I74" s="39">
        <f t="shared" si="7"/>
        <v>450000</v>
      </c>
      <c r="J74" s="26">
        <f t="shared" si="8"/>
        <v>0</v>
      </c>
      <c r="K74" s="32">
        <f t="shared" si="9"/>
        <v>0</v>
      </c>
      <c r="L74" s="13" t="s">
        <v>37</v>
      </c>
      <c r="M74" s="29">
        <f t="shared" si="10"/>
        <v>0</v>
      </c>
    </row>
    <row r="75" spans="1:13" x14ac:dyDescent="0.45">
      <c r="A75" s="26" t="s">
        <v>17</v>
      </c>
      <c r="B75" s="26" t="s">
        <v>32</v>
      </c>
      <c r="C75" s="14">
        <f t="shared" si="6"/>
        <v>350000</v>
      </c>
      <c r="D75" s="31">
        <f t="shared" si="11"/>
        <v>350000</v>
      </c>
      <c r="E75" s="13" t="s">
        <v>37</v>
      </c>
      <c r="F75" s="28">
        <v>1</v>
      </c>
      <c r="G75" s="21">
        <v>349999.99999999383</v>
      </c>
      <c r="H75" s="13" t="s">
        <v>37</v>
      </c>
      <c r="I75" s="39">
        <f t="shared" si="7"/>
        <v>450000</v>
      </c>
      <c r="J75" s="26">
        <f t="shared" si="8"/>
        <v>21250000</v>
      </c>
      <c r="K75" s="32">
        <f t="shared" si="9"/>
        <v>48999999.999999136</v>
      </c>
      <c r="L75" s="13" t="s">
        <v>37</v>
      </c>
      <c r="M75" s="29">
        <f t="shared" si="10"/>
        <v>600000000</v>
      </c>
    </row>
    <row r="76" spans="1:13" x14ac:dyDescent="0.45">
      <c r="A76" s="26" t="s">
        <v>18</v>
      </c>
      <c r="B76" s="26" t="s">
        <v>29</v>
      </c>
      <c r="C76" s="14">
        <f t="shared" si="6"/>
        <v>400000</v>
      </c>
      <c r="D76" s="31">
        <f t="shared" si="11"/>
        <v>400000</v>
      </c>
      <c r="E76" s="13" t="s">
        <v>37</v>
      </c>
      <c r="F76" s="28">
        <v>1</v>
      </c>
      <c r="G76" s="21">
        <v>400000.00000000431</v>
      </c>
      <c r="H76" s="13" t="s">
        <v>37</v>
      </c>
      <c r="I76" s="39">
        <f t="shared" si="7"/>
        <v>500000</v>
      </c>
      <c r="J76" s="26">
        <f t="shared" si="8"/>
        <v>21250000</v>
      </c>
      <c r="K76" s="32">
        <f t="shared" si="9"/>
        <v>24000000.000000257</v>
      </c>
      <c r="L76" s="13" t="s">
        <v>37</v>
      </c>
      <c r="M76" s="29">
        <f t="shared" si="10"/>
        <v>600000000</v>
      </c>
    </row>
    <row r="77" spans="1:13" x14ac:dyDescent="0.45">
      <c r="A77" s="26" t="s">
        <v>18</v>
      </c>
      <c r="B77" s="26" t="s">
        <v>30</v>
      </c>
      <c r="C77" s="14">
        <f t="shared" si="6"/>
        <v>400000</v>
      </c>
      <c r="D77" s="31">
        <f t="shared" si="11"/>
        <v>400000</v>
      </c>
      <c r="E77" s="13" t="s">
        <v>37</v>
      </c>
      <c r="F77" s="28">
        <v>1</v>
      </c>
      <c r="G77" s="21">
        <v>400000.00000000215</v>
      </c>
      <c r="H77" s="13" t="s">
        <v>37</v>
      </c>
      <c r="I77" s="39">
        <f t="shared" si="7"/>
        <v>500000</v>
      </c>
      <c r="J77" s="26">
        <f t="shared" si="8"/>
        <v>21250000</v>
      </c>
      <c r="K77" s="32">
        <f>INDEX(unit_shipping_cost_war,MATCH(A77,$A$24:$A$26,0),MATCH(B77,$B$23:$E$23,0))*G77</f>
        <v>36000000.000000194</v>
      </c>
      <c r="L77" s="13" t="s">
        <v>37</v>
      </c>
      <c r="M77" s="29">
        <f t="shared" si="10"/>
        <v>600000000</v>
      </c>
    </row>
    <row r="78" spans="1:13" x14ac:dyDescent="0.45">
      <c r="A78" s="26" t="s">
        <v>18</v>
      </c>
      <c r="B78" s="26" t="s">
        <v>31</v>
      </c>
      <c r="C78" s="14">
        <f t="shared" si="6"/>
        <v>400000</v>
      </c>
      <c r="D78" s="31">
        <f t="shared" si="11"/>
        <v>0</v>
      </c>
      <c r="E78" s="13" t="s">
        <v>37</v>
      </c>
      <c r="F78" s="28">
        <v>0</v>
      </c>
      <c r="G78" s="21">
        <v>0</v>
      </c>
      <c r="H78" s="13" t="s">
        <v>37</v>
      </c>
      <c r="I78" s="39">
        <f t="shared" si="7"/>
        <v>500000</v>
      </c>
      <c r="J78" s="26">
        <f t="shared" si="8"/>
        <v>0</v>
      </c>
      <c r="K78" s="32">
        <f t="shared" si="9"/>
        <v>0</v>
      </c>
      <c r="L78" s="13" t="s">
        <v>37</v>
      </c>
      <c r="M78" s="29">
        <f t="shared" si="10"/>
        <v>0</v>
      </c>
    </row>
    <row r="79" spans="1:13" x14ac:dyDescent="0.45">
      <c r="A79" s="26" t="s">
        <v>18</v>
      </c>
      <c r="B79" s="26" t="s">
        <v>32</v>
      </c>
      <c r="C79" s="14">
        <f t="shared" si="6"/>
        <v>400000</v>
      </c>
      <c r="D79" s="31">
        <f t="shared" si="11"/>
        <v>400000</v>
      </c>
      <c r="E79" s="13" t="s">
        <v>37</v>
      </c>
      <c r="F79" s="28">
        <v>1</v>
      </c>
      <c r="G79" s="21">
        <v>400000.0000000071</v>
      </c>
      <c r="H79" s="13" t="s">
        <v>37</v>
      </c>
      <c r="I79" s="39">
        <f t="shared" si="7"/>
        <v>500000</v>
      </c>
      <c r="J79" s="26">
        <f t="shared" si="8"/>
        <v>21250000</v>
      </c>
      <c r="K79" s="32">
        <f t="shared" si="9"/>
        <v>40000000.000000708</v>
      </c>
      <c r="L79" s="13" t="s">
        <v>37</v>
      </c>
      <c r="M79" s="29">
        <f t="shared" si="10"/>
        <v>600000000</v>
      </c>
    </row>
    <row r="80" spans="1:13" x14ac:dyDescent="0.45">
      <c r="A80" s="26" t="s">
        <v>19</v>
      </c>
      <c r="B80" s="26" t="s">
        <v>29</v>
      </c>
      <c r="C80" s="14">
        <f t="shared" si="6"/>
        <v>300000</v>
      </c>
      <c r="D80" s="31">
        <f t="shared" si="11"/>
        <v>0</v>
      </c>
      <c r="E80" s="13" t="s">
        <v>37</v>
      </c>
      <c r="F80" s="28">
        <v>0</v>
      </c>
      <c r="G80" s="21">
        <v>0</v>
      </c>
      <c r="H80" s="13" t="s">
        <v>37</v>
      </c>
      <c r="I80" s="39">
        <f t="shared" si="7"/>
        <v>375000</v>
      </c>
      <c r="J80" s="26">
        <f t="shared" si="8"/>
        <v>0</v>
      </c>
      <c r="K80" s="32">
        <f t="shared" si="9"/>
        <v>0</v>
      </c>
      <c r="L80" s="13" t="s">
        <v>37</v>
      </c>
      <c r="M80" s="29">
        <f t="shared" si="10"/>
        <v>0</v>
      </c>
    </row>
    <row r="81" spans="1:13" x14ac:dyDescent="0.45">
      <c r="A81" s="26" t="s">
        <v>19</v>
      </c>
      <c r="B81" s="26" t="s">
        <v>30</v>
      </c>
      <c r="C81" s="14">
        <f t="shared" si="6"/>
        <v>300000</v>
      </c>
      <c r="D81" s="31">
        <f t="shared" si="11"/>
        <v>300000</v>
      </c>
      <c r="E81" s="13" t="s">
        <v>37</v>
      </c>
      <c r="F81" s="28">
        <v>1</v>
      </c>
      <c r="G81" s="21">
        <v>299999.99999999691</v>
      </c>
      <c r="H81" s="13" t="s">
        <v>37</v>
      </c>
      <c r="I81" s="39">
        <f t="shared" si="7"/>
        <v>375000</v>
      </c>
      <c r="J81" s="26">
        <f t="shared" si="8"/>
        <v>21250000</v>
      </c>
      <c r="K81" s="32">
        <f t="shared" si="9"/>
        <v>59999999.999999382</v>
      </c>
      <c r="L81" s="13" t="s">
        <v>37</v>
      </c>
      <c r="M81" s="29">
        <f t="shared" si="10"/>
        <v>600000000</v>
      </c>
    </row>
    <row r="82" spans="1:13" x14ac:dyDescent="0.45">
      <c r="A82" s="26" t="s">
        <v>19</v>
      </c>
      <c r="B82" s="26" t="s">
        <v>31</v>
      </c>
      <c r="C82" s="14">
        <f t="shared" si="6"/>
        <v>300000</v>
      </c>
      <c r="D82" s="31">
        <f t="shared" si="11"/>
        <v>300000</v>
      </c>
      <c r="E82" s="13" t="s">
        <v>37</v>
      </c>
      <c r="F82" s="28">
        <v>1</v>
      </c>
      <c r="G82" s="21">
        <v>299999.99999999691</v>
      </c>
      <c r="H82" s="13" t="s">
        <v>37</v>
      </c>
      <c r="I82" s="39">
        <f t="shared" si="7"/>
        <v>375000</v>
      </c>
      <c r="J82" s="26">
        <f t="shared" si="8"/>
        <v>21250000</v>
      </c>
      <c r="K82" s="32">
        <f t="shared" si="9"/>
        <v>32999999.999999661</v>
      </c>
      <c r="L82" s="13" t="s">
        <v>37</v>
      </c>
      <c r="M82" s="29">
        <f t="shared" si="10"/>
        <v>600000000</v>
      </c>
    </row>
    <row r="83" spans="1:13" x14ac:dyDescent="0.45">
      <c r="A83" s="26" t="s">
        <v>19</v>
      </c>
      <c r="B83" s="26" t="s">
        <v>32</v>
      </c>
      <c r="C83" s="14">
        <f t="shared" si="6"/>
        <v>300000</v>
      </c>
      <c r="D83" s="31">
        <f t="shared" si="11"/>
        <v>300000</v>
      </c>
      <c r="E83" s="13" t="s">
        <v>37</v>
      </c>
      <c r="F83" s="28">
        <v>1</v>
      </c>
      <c r="G83" s="21">
        <v>299999.99999999686</v>
      </c>
      <c r="H83" s="13" t="s">
        <v>37</v>
      </c>
      <c r="I83" s="39">
        <f t="shared" si="7"/>
        <v>375000</v>
      </c>
      <c r="J83" s="26">
        <f t="shared" si="8"/>
        <v>21250000</v>
      </c>
      <c r="K83" s="32">
        <f t="shared" si="9"/>
        <v>14999999.999999844</v>
      </c>
      <c r="L83" s="13" t="s">
        <v>37</v>
      </c>
      <c r="M83" s="29">
        <f t="shared" si="10"/>
        <v>600000000</v>
      </c>
    </row>
    <row r="86" spans="1:13" x14ac:dyDescent="0.45">
      <c r="A86" s="17" t="s">
        <v>43</v>
      </c>
      <c r="B86" s="19">
        <f>SUMPRODUCT(warehouse_binaries,fixed_cost_war)</f>
        <v>12000000</v>
      </c>
    </row>
    <row r="87" spans="1:13" x14ac:dyDescent="0.45">
      <c r="A87" s="17" t="s">
        <v>44</v>
      </c>
      <c r="B87" s="19">
        <f>SUM(Arc_Cost_for_Unit_Shipping_War)</f>
        <v>256999999.9999992</v>
      </c>
    </row>
    <row r="88" spans="1:13" x14ac:dyDescent="0.45">
      <c r="A88" s="17" t="s">
        <v>46</v>
      </c>
      <c r="B88" s="19">
        <f>Unit_Cost_of_Ship_War+Fixed_Cost_of_War</f>
        <v>268999999.99999917</v>
      </c>
    </row>
    <row r="91" spans="1:13" x14ac:dyDescent="0.45">
      <c r="A91" s="12" t="s">
        <v>39</v>
      </c>
    </row>
    <row r="92" spans="1:13" x14ac:dyDescent="0.45">
      <c r="B92" s="12" t="s">
        <v>54</v>
      </c>
      <c r="D92" s="16" t="s">
        <v>40</v>
      </c>
    </row>
    <row r="93" spans="1:13" x14ac:dyDescent="0.45">
      <c r="A93" s="26" t="s">
        <v>24</v>
      </c>
      <c r="B93" s="14">
        <f>SUMIF(from_plant,A93,qty_ship_prod_war)</f>
        <v>1499999.9999999837</v>
      </c>
      <c r="C93" s="13" t="s">
        <v>37</v>
      </c>
      <c r="D93" s="34">
        <f>F16</f>
        <v>1500000</v>
      </c>
    </row>
    <row r="94" spans="1:13" x14ac:dyDescent="0.45">
      <c r="A94" s="26" t="s">
        <v>25</v>
      </c>
      <c r="B94" s="14">
        <f>SUMIF(from_plant,A94,qty_ship_prod_war)</f>
        <v>6.7794678759724986E-9</v>
      </c>
      <c r="C94" s="13" t="s">
        <v>37</v>
      </c>
      <c r="D94" s="34">
        <f>F17</f>
        <v>1000000</v>
      </c>
    </row>
    <row r="95" spans="1:13" x14ac:dyDescent="0.45">
      <c r="A95" s="26" t="s">
        <v>26</v>
      </c>
      <c r="B95" s="14">
        <f>SUMIF(from_plant,A95,qty_ship_prod_war)</f>
        <v>999999.99999999604</v>
      </c>
      <c r="C95" s="13" t="s">
        <v>37</v>
      </c>
      <c r="D95" s="34">
        <f>F18</f>
        <v>1000000</v>
      </c>
    </row>
    <row r="98" spans="1:4" x14ac:dyDescent="0.45">
      <c r="A98" s="12" t="s">
        <v>49</v>
      </c>
    </row>
    <row r="99" spans="1:4" ht="28.5" x14ac:dyDescent="0.45">
      <c r="B99" s="17" t="s">
        <v>53</v>
      </c>
      <c r="C99" s="17"/>
      <c r="D99" s="17" t="s">
        <v>52</v>
      </c>
    </row>
    <row r="100" spans="1:4" x14ac:dyDescent="0.45">
      <c r="A100" s="18" t="s">
        <v>17</v>
      </c>
      <c r="B100" s="14">
        <f>SUMIF(to_warehouse,A100,qty_ship_prod_war)</f>
        <v>399999.99999999604</v>
      </c>
      <c r="C100" s="35" t="s">
        <v>38</v>
      </c>
      <c r="D100" s="14">
        <f>SUMIF(from_war,A100,qty_ship_war_to_cust)</f>
        <v>349999.99999999383</v>
      </c>
    </row>
    <row r="101" spans="1:4" x14ac:dyDescent="0.45">
      <c r="A101" s="18" t="s">
        <v>18</v>
      </c>
      <c r="B101" s="14">
        <f>SUMIF(to_warehouse,A101,qty_ship_prod_war)</f>
        <v>1200000</v>
      </c>
      <c r="C101" s="35" t="s">
        <v>38</v>
      </c>
      <c r="D101" s="14">
        <f>SUMIF(from_war,A101,qty_ship_war_to_cust)</f>
        <v>1200000.0000000135</v>
      </c>
    </row>
    <row r="102" spans="1:4" x14ac:dyDescent="0.45">
      <c r="A102" s="18" t="s">
        <v>19</v>
      </c>
      <c r="B102" s="14">
        <f>SUMIF(to_warehouse,A102,qty_ship_prod_war)</f>
        <v>899999.99999999045</v>
      </c>
      <c r="C102" s="35" t="s">
        <v>38</v>
      </c>
      <c r="D102" s="14">
        <f>SUMIF(from_war,A102,qty_ship_war_to_cust)</f>
        <v>899999.99999999069</v>
      </c>
    </row>
    <row r="105" spans="1:4" x14ac:dyDescent="0.45">
      <c r="A105" s="12" t="s">
        <v>48</v>
      </c>
    </row>
    <row r="106" spans="1:4" x14ac:dyDescent="0.45">
      <c r="B106" s="12" t="s">
        <v>50</v>
      </c>
      <c r="C106" s="12"/>
      <c r="D106" s="12" t="s">
        <v>51</v>
      </c>
    </row>
    <row r="107" spans="1:4" x14ac:dyDescent="0.45">
      <c r="A107" s="26" t="s">
        <v>29</v>
      </c>
      <c r="B107" s="14">
        <f>SUMIF(to_cust,A107,qty_ship_war_to_cust)</f>
        <v>400000.00000000431</v>
      </c>
      <c r="C107" s="16" t="s">
        <v>38</v>
      </c>
      <c r="D107" s="34">
        <f>B31</f>
        <v>325000</v>
      </c>
    </row>
    <row r="108" spans="1:4" x14ac:dyDescent="0.45">
      <c r="A108" s="26" t="s">
        <v>30</v>
      </c>
      <c r="B108" s="14">
        <f>SUMIF(to_cust,A108,qty_ship_war_to_cust)</f>
        <v>699999.99999999907</v>
      </c>
      <c r="C108" s="16" t="s">
        <v>38</v>
      </c>
      <c r="D108" s="34">
        <f>C31</f>
        <v>600000</v>
      </c>
    </row>
    <row r="109" spans="1:4" x14ac:dyDescent="0.45">
      <c r="A109" s="26" t="s">
        <v>31</v>
      </c>
      <c r="B109" s="14">
        <f>SUMIF(to_cust,A109,qty_ship_war_to_cust)</f>
        <v>299999.99999999691</v>
      </c>
      <c r="C109" s="16" t="s">
        <v>38</v>
      </c>
      <c r="D109" s="34">
        <f>D31</f>
        <v>200000</v>
      </c>
    </row>
    <row r="110" spans="1:4" x14ac:dyDescent="0.45">
      <c r="A110" s="26" t="s">
        <v>32</v>
      </c>
      <c r="B110" s="14">
        <f>SUMIF(to_cust,A110,qty_ship_war_to_cust)</f>
        <v>1049999.9999999977</v>
      </c>
      <c r="C110" s="16" t="s">
        <v>38</v>
      </c>
      <c r="D110" s="34">
        <f>E31</f>
        <v>1000000</v>
      </c>
    </row>
    <row r="112" spans="1:4" x14ac:dyDescent="0.45">
      <c r="A112" s="12" t="s">
        <v>47</v>
      </c>
      <c r="B112" s="20">
        <f>Total_Cost_Prod+Total_Cost_War_Ship</f>
        <v>456999999.99999917</v>
      </c>
    </row>
  </sheetData>
  <mergeCells count="7">
    <mergeCell ref="F21:G21"/>
    <mergeCell ref="G22:H22"/>
    <mergeCell ref="D29:E29"/>
    <mergeCell ref="A13:D13"/>
    <mergeCell ref="G14:H14"/>
    <mergeCell ref="A21:D21"/>
    <mergeCell ref="F13:G13"/>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64</vt:i4>
      </vt:variant>
    </vt:vector>
  </HeadingPairs>
  <TitlesOfParts>
    <vt:vector size="65" baseType="lpstr">
      <vt:lpstr>DemandSupplyOptimization</vt:lpstr>
      <vt:lpstr>Actual_Min_Constraint_Plant</vt:lpstr>
      <vt:lpstr>Actual_Min_Constraint_War</vt:lpstr>
      <vt:lpstr>Amount_Received_From_Plant_TS_Const</vt:lpstr>
      <vt:lpstr>Amount_Shipped_to_Customer_TS_Const</vt:lpstr>
      <vt:lpstr>Arc_Cost_for_Unit_Shipping</vt:lpstr>
      <vt:lpstr>Arc_Cost_for_Unit_Shipping_Plant</vt:lpstr>
      <vt:lpstr>Arc_Cost_for_Unit_Shipping_War</vt:lpstr>
      <vt:lpstr>Big_Number_Plant</vt:lpstr>
      <vt:lpstr>Big_Number_PlantArc__Cost</vt:lpstr>
      <vt:lpstr>Big_Number_WarArc_Cost</vt:lpstr>
      <vt:lpstr>Bin___Big_Number_Plant</vt:lpstr>
      <vt:lpstr>Bin___Big_Number_War</vt:lpstr>
      <vt:lpstr>Bug_Number_War</vt:lpstr>
      <vt:lpstr>Cap_Constraint</vt:lpstr>
      <vt:lpstr>cap_prod_max</vt:lpstr>
      <vt:lpstr>cap_prod_min</vt:lpstr>
      <vt:lpstr>cap_war_max</vt:lpstr>
      <vt:lpstr>cap_war_min</vt:lpstr>
      <vt:lpstr>capacity</vt:lpstr>
      <vt:lpstr>capacity_prod</vt:lpstr>
      <vt:lpstr>cust_demand</vt:lpstr>
      <vt:lpstr>Demand_Cust_Const</vt:lpstr>
      <vt:lpstr>Fixed_Cost_of_Prod</vt:lpstr>
      <vt:lpstr>Fixed_Cost_of_Prod_from_Plants</vt:lpstr>
      <vt:lpstr>Fixed_Cost_of_War</vt:lpstr>
      <vt:lpstr>fixed_cost_plants</vt:lpstr>
      <vt:lpstr>fixed_cost_war</vt:lpstr>
      <vt:lpstr>from_plant</vt:lpstr>
      <vt:lpstr>from_war</vt:lpstr>
      <vt:lpstr>IsPlantWarArcUsed</vt:lpstr>
      <vt:lpstr>IsWarCustArcUsed</vt:lpstr>
      <vt:lpstr>Max_Constraint_Plant</vt:lpstr>
      <vt:lpstr>Max_Constraint_War</vt:lpstr>
      <vt:lpstr>Min_Constraint_Plant</vt:lpstr>
      <vt:lpstr>Min_Constraint_War</vt:lpstr>
      <vt:lpstr>Plant_Forcing_Constraint</vt:lpstr>
      <vt:lpstr>PlantArc_ShipCost_Forcing_Constraint</vt:lpstr>
      <vt:lpstr>PlantLevelForcingConstraint</vt:lpstr>
      <vt:lpstr>PlantQuantityShipped</vt:lpstr>
      <vt:lpstr>PlantWarehouseForcingConstraint</vt:lpstr>
      <vt:lpstr>prod_binaries</vt:lpstr>
      <vt:lpstr>prod_cap_max</vt:lpstr>
      <vt:lpstr>Qty_Prod_Prod_Const</vt:lpstr>
      <vt:lpstr>Qty_Received_Cust_Const</vt:lpstr>
      <vt:lpstr>qty_ship_prod_war</vt:lpstr>
      <vt:lpstr>qty_ship_war_to_cust</vt:lpstr>
      <vt:lpstr>QuantityShippedFromPlant</vt:lpstr>
      <vt:lpstr>QuantityShippedFromWarehouse</vt:lpstr>
      <vt:lpstr>to_cust</vt:lpstr>
      <vt:lpstr>to_warehouse</vt:lpstr>
      <vt:lpstr>Total_Cost</vt:lpstr>
      <vt:lpstr>Total_Cost_of_Shipping_from_Plants</vt:lpstr>
      <vt:lpstr>Total_Cost_Plants</vt:lpstr>
      <vt:lpstr>Total_Cost_Prod</vt:lpstr>
      <vt:lpstr>Total_Cost_War_Ship</vt:lpstr>
      <vt:lpstr>Unit_Cost_of_Ship_War</vt:lpstr>
      <vt:lpstr>Unit_Cost_of_Shipping_Plant</vt:lpstr>
      <vt:lpstr>unit_shipping_cost_plant_to_war</vt:lpstr>
      <vt:lpstr>unit_shipping_cost_war</vt:lpstr>
      <vt:lpstr>WarArc_ShipCost_Forcing_Constraint</vt:lpstr>
      <vt:lpstr>warehouse_binaries</vt:lpstr>
      <vt:lpstr>Warehouse_Forcing_Constraint</vt:lpstr>
      <vt:lpstr>WarehouseCustomer_ForcingConstraint</vt:lpstr>
      <vt:lpstr>WarehouseLevelForcingConstraint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Zubair Porbunderwala</dc:creator>
  <cp:lastModifiedBy>Asutosh Mishra</cp:lastModifiedBy>
  <dcterms:created xsi:type="dcterms:W3CDTF">2022-04-22T02:29:01Z</dcterms:created>
  <dcterms:modified xsi:type="dcterms:W3CDTF">2024-05-27T02:15:28Z</dcterms:modified>
</cp:coreProperties>
</file>