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drawings/drawing5.xml" ContentType="application/vnd.openxmlformats-officedocument.drawing+xml"/>
  <Override PartName="/xl/tables/table3.xml" ContentType="application/vnd.openxmlformats-officedocument.spreadsheetml.table+xml"/>
  <Override PartName="/xl/drawings/drawing6.xml" ContentType="application/vnd.openxmlformats-officedocument.drawing+xml"/>
  <Override PartName="/xl/comments3.xml" ContentType="application/vnd.openxmlformats-officedocument.spreadsheetml.comments+xml"/>
  <Override PartName="/xl/charts/chart4.xml" ContentType="application/vnd.openxmlformats-officedocument.drawingml.chart+xml"/>
  <Override PartName="/xl/drawings/drawing7.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drawings/drawing8.xml" ContentType="application/vnd.openxmlformats-officedocument.drawing+xml"/>
  <Override PartName="/xl/comments5.xml" ContentType="application/vnd.openxmlformats-officedocument.spreadsheetml.comments+xml"/>
  <Override PartName="/xl/charts/chart6.xml" ContentType="application/vnd.openxmlformats-officedocument.drawingml.chart+xml"/>
  <Override PartName="/xl/drawings/drawing9.xml" ContentType="application/vnd.openxmlformats-officedocument.drawing+xml"/>
  <Override PartName="/xl/tables/table4.xml" ContentType="application/vnd.openxmlformats-officedocument.spreadsheetml.table+xml"/>
  <Override PartName="/xl/drawings/drawing10.xml" ContentType="application/vnd.openxmlformats-officedocument.drawing+xml"/>
  <Override PartName="/xl/comments6.xml" ContentType="application/vnd.openxmlformats-officedocument.spreadsheetml.comments+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14807\Downloads\"/>
    </mc:Choice>
  </mc:AlternateContent>
  <xr:revisionPtr revIDLastSave="0" documentId="13_ncr:1_{AE3690D8-CCAB-441F-89EA-04C162F07300}" xr6:coauthVersionLast="47" xr6:coauthVersionMax="47" xr10:uidLastSave="{00000000-0000-0000-0000-000000000000}"/>
  <bookViews>
    <workbookView xWindow="-98" yWindow="-98" windowWidth="23236" windowHeight="13875" firstSheet="2" activeTab="14" xr2:uid="{9A675B9B-2AAB-452C-B97B-15C8CDB869E0}"/>
  </bookViews>
  <sheets>
    <sheet name="6.42" sheetId="1" r:id="rId1"/>
    <sheet name="6.42(Additional)" sheetId="6" r:id="rId2"/>
    <sheet name="6.50" sheetId="2" r:id="rId3"/>
    <sheet name="6.50(Additional)" sheetId="26" r:id="rId4"/>
    <sheet name="6.60(a)" sheetId="3" r:id="rId5"/>
    <sheet name="6.60(b)" sheetId="23" r:id="rId6"/>
    <sheet name="6.60(c)" sheetId="22" r:id="rId7"/>
    <sheet name="6.60(Additional)" sheetId="25" r:id="rId8"/>
    <sheet name="6.87" sheetId="4" r:id="rId9"/>
    <sheet name="6.87_STS" sheetId="16" state="veryHidden" r:id="rId10"/>
    <sheet name="6.60(a)_STS" sheetId="12" state="veryHidden" r:id="rId11"/>
    <sheet name="6.60_STS" sheetId="10" state="veryHidden" r:id="rId12"/>
    <sheet name="6.50_STS" sheetId="7" state="veryHidden" r:id="rId13"/>
    <sheet name="6.42_STS" sheetId="5" state="veryHidden" r:id="rId14"/>
    <sheet name="6.87(Additional)" sheetId="21" r:id="rId15"/>
  </sheets>
  <definedNames>
    <definedName name="Amount_Produced">'6.87'!$B$25:$U$25</definedName>
    <definedName name="Benefit">'6.42'!$B$5:$D$5</definedName>
    <definedName name="Big_Number">'6.87'!$G$10</definedName>
    <definedName name="Billion_Conversion">'6.60(a)'!$B$29</definedName>
    <definedName name="Capacity">'6.50'!$G$6:$G$9</definedName>
    <definedName name="CapacityAdded">'6.87'!$B$19:$U$19</definedName>
    <definedName name="car_prod_solution_matrix">'6.60(a)'!$B$20:$D$23</definedName>
    <definedName name="ChartData" localSheetId="1">'6.42(Additional)'!$K$5:$K$10</definedName>
    <definedName name="ChartData" localSheetId="7">'6.60(Additional)'!$K$5:$K$25</definedName>
    <definedName name="ChartData" localSheetId="5">'6.60(b)'!$K$5:$K$14</definedName>
    <definedName name="ChartData" localSheetId="6">'6.60(c)'!$K$5:$K$25</definedName>
    <definedName name="ChartData" localSheetId="14">'6.87(Additional)'!$K$5:$K$14</definedName>
    <definedName name="ChartData1" localSheetId="3">'6.50(Additional)'!$K$5:$K$8</definedName>
    <definedName name="ChartData2" localSheetId="3">'6.50(Additional)'!$O$5:$O$18</definedName>
    <definedName name="cost_atlanta">'6.50'!$C$9:$E$9</definedName>
    <definedName name="cost_chicagi">'6.50'!$C$8:$E$8</definedName>
    <definedName name="cost_chicago">'6.50'!$C$8:$E$8</definedName>
    <definedName name="cost_LA">'6.50'!$C$7:$E$7</definedName>
    <definedName name="cost_matrix">'6.50'!$C$6:$E$9</definedName>
    <definedName name="cost_NY">'6.50'!$C$6:$E$6</definedName>
    <definedName name="Demand" localSheetId="8">'6.87'!$B$27:$U$27</definedName>
    <definedName name="Demand">'6.50'!$D$29:$F$29</definedName>
    <definedName name="Demand_for_each_type_of_car">'6.60(a)'!$B$27</definedName>
    <definedName name="EachPlantCapacity">'6.50'!$H$2</definedName>
    <definedName name="Factor_mutiplier">'6.60(a)'!$B$28</definedName>
    <definedName name="Final_Capacity">'6.87'!$B$23:$U$23</definedName>
    <definedName name="Fixed_Cost">'6.50'!$F$6:$F$9</definedName>
    <definedName name="Fixed_cost__in__billions">'6.60(a)'!$B$4:$B$8</definedName>
    <definedName name="Fixed_Cost_Capacity_Add">'6.87'!$B$8</definedName>
    <definedName name="fixed_costs">'6.60(a)'!$B$5:$B$8</definedName>
    <definedName name="Focus_prod">'6.60(a)'!$B$20:$B$23</definedName>
    <definedName name="focus_variable">'6.60(a)'!$C$5:$C$8</definedName>
    <definedName name="Forcing_Constraint">'6.87'!$B$17:$U$17</definedName>
    <definedName name="Initial_Capacity">'6.87'!$B$22:$U$22</definedName>
    <definedName name="InputValues" localSheetId="1">'6.42(Additional)'!$A$5:$A$10</definedName>
    <definedName name="InputValues" localSheetId="7">'6.60(Additional)'!$A$5:$A$25</definedName>
    <definedName name="InputValues" localSheetId="5">'6.60(b)'!$A$5:$A$14</definedName>
    <definedName name="InputValues" localSheetId="6">'6.60(c)'!$A$5:$A$25</definedName>
    <definedName name="InputValues" localSheetId="14">'6.87(Additional)'!$A$5:$A$14</definedName>
    <definedName name="InputValues1" localSheetId="3">'6.50(Additional)'!$A$5:$A$18</definedName>
    <definedName name="InputValues2" localSheetId="3">'6.50(Additional)'!$B$4:$E$4</definedName>
    <definedName name="isAtlanta_OpenOrClosed">'6.50'!$C$26</definedName>
    <definedName name="IsCapacityAdded">'6.87'!$B$16:$U$16</definedName>
    <definedName name="isChicago_OpenOrClosed">'6.50'!$C$25</definedName>
    <definedName name="IsEitherAtlantaOrLA_Open">'6.50'!$B$33</definedName>
    <definedName name="isLA_OpenorClosed">'6.50'!$C$24</definedName>
    <definedName name="isNY_OpenorClosed">'6.50'!$C$23</definedName>
    <definedName name="IsWarehouseOpen">'6.50'!$C$23:$C$26</definedName>
    <definedName name="item_matrix">'6.50'!$D$23:$F$26</definedName>
    <definedName name="Max_Per_Plant">'6.60(a)'!$G$20:$G$23</definedName>
    <definedName name="Max_Per_Type">'6.60(a)'!$B$26:$D$26</definedName>
    <definedName name="MaxCapacityAdded">'6.87'!$B$21:$U$21</definedName>
    <definedName name="Maximum_available_capacity">'6.50'!$I$23:$I$26</definedName>
    <definedName name="maximum_weight">'6.42'!$D$22</definedName>
    <definedName name="MaxLAorAtlanta">'6.50'!$D$33</definedName>
    <definedName name="MaxWareHouseOpen">'6.50'!$D$32</definedName>
    <definedName name="Min_Items">'6.42'!$B$19:$D$19</definedName>
    <definedName name="Minimum_Shortage">'6.87'!$B$32:$U$32</definedName>
    <definedName name="Mustang_prod">'6.60(a)'!$C$20:$C$23</definedName>
    <definedName name="mustang_variable">'6.60(a)'!$D$5:$D$8</definedName>
    <definedName name="No_of_items">'6.42'!$B$17:$D$17</definedName>
    <definedName name="OutputAddresses" localSheetId="1">'6.42(Additional)'!$B$4</definedName>
    <definedName name="OutputAddresses" localSheetId="3">'6.50(Additional)'!$AZ$2</definedName>
    <definedName name="OutputAddresses" localSheetId="7">'6.60(Additional)'!$B$4</definedName>
    <definedName name="OutputAddresses" localSheetId="5">'6.60(b)'!$B$4</definedName>
    <definedName name="OutputAddresses" localSheetId="6">'6.60(c)'!$B$4</definedName>
    <definedName name="OutputAddresses" localSheetId="14">'6.87(Additional)'!$B$4</definedName>
    <definedName name="OutputValues" localSheetId="1">'6.42(Additional)'!$B$5:$B$10</definedName>
    <definedName name="OutputValues" localSheetId="7">'6.60(Additional)'!$B$5:$B$25</definedName>
    <definedName name="OutputValues" localSheetId="5">'6.60(b)'!$B$5:$B$14</definedName>
    <definedName name="OutputValues" localSheetId="6">'6.60(c)'!$B$5:$B$25</definedName>
    <definedName name="OutputValues" localSheetId="14">'6.87(Additional)'!$B$5:$B$14</definedName>
    <definedName name="OutputValues_1" localSheetId="3">'6.50(Additional)'!$B$5:$E$18</definedName>
    <definedName name="Plant_1_active">'6.60(a)'!$B$20:$D$20</definedName>
    <definedName name="Plant_2_active">'6.60(a)'!$B$21:$D$21</definedName>
    <definedName name="Plant_3_active">'6.60(a)'!$B$22:$D$22</definedName>
    <definedName name="Plant_4_active">'6.60(a)'!$B$23:$D$23</definedName>
    <definedName name="Production_Cost_per_KwH">'6.87'!$B$11</definedName>
    <definedName name="Projected__Increase">'6.87'!$G$9</definedName>
    <definedName name="Region_1">'6.50'!$C$6:$C$9</definedName>
    <definedName name="Region_1_items">'6.50'!$D$23:$D$26</definedName>
    <definedName name="Region_2">'6.50'!$D$6:$D$9</definedName>
    <definedName name="Region_2_items">'6.50'!$E$23:$E$26</definedName>
    <definedName name="Region_3">'6.50'!$E$6:$E$9</definedName>
    <definedName name="Region_3_items">'6.50'!$F$23:$F$26</definedName>
    <definedName name="shipped_from_atlanta">'6.50'!$D$26:$F$26</definedName>
    <definedName name="shipped_from_chicago">'6.50'!$D$25:$F$25</definedName>
    <definedName name="shipped_from_LA">'6.50'!$D$24:$F$24</definedName>
    <definedName name="shipped_from_NY">'6.50'!$D$23:$F$23</definedName>
    <definedName name="Shortage">'6.87'!$B$30:$U$30</definedName>
    <definedName name="Shortage_Cost_per_KwH">'6.87'!$B$12</definedName>
    <definedName name="solution_matrix">'6.50'!$C$23:$F$26</definedName>
    <definedName name="solver_adj" localSheetId="0" hidden="1">'6.42'!$B$17:$D$17</definedName>
    <definedName name="solver_adj" localSheetId="2" hidden="1">'6.50'!$C$23:$F$26</definedName>
    <definedName name="solver_adj" localSheetId="4" hidden="1">'6.60(a)'!$B$20:$D$23</definedName>
    <definedName name="solver_adj" localSheetId="8" hidden="1">'6.87'!$B$16:$U$16,'6.87'!$B$19:$U$19,'6.87'!$B$25:$U$25</definedName>
    <definedName name="solver_cvg" localSheetId="0" hidden="1">0.0001</definedName>
    <definedName name="solver_cvg" localSheetId="2" hidden="1">0.0001</definedName>
    <definedName name="solver_cvg" localSheetId="4" hidden="1">0.0001</definedName>
    <definedName name="solver_cvg" localSheetId="8" hidden="1">0.0001</definedName>
    <definedName name="solver_drv" localSheetId="0" hidden="1">2</definedName>
    <definedName name="solver_drv" localSheetId="2" hidden="1">2</definedName>
    <definedName name="solver_drv" localSheetId="4" hidden="1">2</definedName>
    <definedName name="solver_drv" localSheetId="8" hidden="1">2</definedName>
    <definedName name="solver_eng" localSheetId="0" hidden="1">2</definedName>
    <definedName name="solver_eng" localSheetId="2" hidden="1">2</definedName>
    <definedName name="solver_eng" localSheetId="4" hidden="1">2</definedName>
    <definedName name="solver_eng" localSheetId="8" hidden="1">2</definedName>
    <definedName name="solver_est" localSheetId="0" hidden="1">1</definedName>
    <definedName name="solver_est" localSheetId="2" hidden="1">1</definedName>
    <definedName name="solver_est" localSheetId="4" hidden="1">1</definedName>
    <definedName name="solver_est" localSheetId="8" hidden="1">1</definedName>
    <definedName name="solver_itr" localSheetId="0" hidden="1">2147483647</definedName>
    <definedName name="solver_itr" localSheetId="2" hidden="1">2147483647</definedName>
    <definedName name="solver_itr" localSheetId="4" hidden="1">2147483647</definedName>
    <definedName name="solver_itr" localSheetId="8" hidden="1">2147483647</definedName>
    <definedName name="solver_lhs1" localSheetId="0" hidden="1">'6.42'!$B$17:$D$17</definedName>
    <definedName name="solver_lhs1" localSheetId="2" hidden="1">'6.50'!$B$33</definedName>
    <definedName name="solver_lhs1" localSheetId="4" hidden="1">'6.60(a)'!$B$24:$D$24</definedName>
    <definedName name="solver_lhs1" localSheetId="8" hidden="1">'6.87'!$B$25:$U$25</definedName>
    <definedName name="solver_lhs2" localSheetId="0" hidden="1">'6.42'!$B$17:$D$17</definedName>
    <definedName name="solver_lhs2" localSheetId="2" hidden="1">'6.50'!$B$32</definedName>
    <definedName name="solver_lhs2" localSheetId="4" hidden="1">'6.60(a)'!$E$20:$E$23</definedName>
    <definedName name="solver_lhs2" localSheetId="8" hidden="1">'6.87'!$B$19:$U$19</definedName>
    <definedName name="solver_lhs3" localSheetId="0" hidden="1">'6.42'!$B$22</definedName>
    <definedName name="solver_lhs3" localSheetId="2" hidden="1">'6.50'!$C$23:$C$26</definedName>
    <definedName name="solver_lhs3" localSheetId="4" hidden="1">'6.60(a)'!$B$20:$D$23</definedName>
    <definedName name="solver_lhs3" localSheetId="8" hidden="1">'6.87'!$B$23:$U$23</definedName>
    <definedName name="solver_lhs4" localSheetId="2" hidden="1">'6.50'!$B$32</definedName>
    <definedName name="solver_lhs4" localSheetId="8" hidden="1">'6.87'!$B$17:$U$17</definedName>
    <definedName name="solver_lhs5" localSheetId="2" hidden="1">'6.50'!$D$27:$F$27</definedName>
    <definedName name="solver_lhs5" localSheetId="8" hidden="1">'6.87'!$B$16:$U$16</definedName>
    <definedName name="solver_lhs6" localSheetId="2" hidden="1">'6.50'!$G$23:$G$26</definedName>
    <definedName name="solver_lhs6" localSheetId="8" hidden="1">'6.87'!$B$30:$U$30</definedName>
    <definedName name="solver_lhs7" localSheetId="2" hidden="1">'6.50'!$C$23</definedName>
    <definedName name="solver_lhs7" localSheetId="8" hidden="1">'6.87'!$B$30:$U$30</definedName>
    <definedName name="solver_lhs8" localSheetId="2" hidden="1">'6.50'!$D$23:$F$26</definedName>
    <definedName name="solver_lhs8" localSheetId="8" hidden="1">'6.87'!$B$30:$U$30</definedName>
    <definedName name="solver_mip" localSheetId="0" hidden="1">2147483647</definedName>
    <definedName name="solver_mip" localSheetId="2" hidden="1">2147483647</definedName>
    <definedName name="solver_mip" localSheetId="4" hidden="1">2147483647</definedName>
    <definedName name="solver_mip" localSheetId="8" hidden="1">2147483647</definedName>
    <definedName name="solver_mni" localSheetId="0" hidden="1">30</definedName>
    <definedName name="solver_mni" localSheetId="2" hidden="1">30</definedName>
    <definedName name="solver_mni" localSheetId="4" hidden="1">30</definedName>
    <definedName name="solver_mni" localSheetId="8" hidden="1">30</definedName>
    <definedName name="solver_mrt" localSheetId="0" hidden="1">0.075</definedName>
    <definedName name="solver_mrt" localSheetId="2" hidden="1">0.075</definedName>
    <definedName name="solver_mrt" localSheetId="4" hidden="1">0.075</definedName>
    <definedName name="solver_mrt" localSheetId="8" hidden="1">0.075</definedName>
    <definedName name="solver_msl" localSheetId="0" hidden="1">2</definedName>
    <definedName name="solver_msl" localSheetId="2" hidden="1">2</definedName>
    <definedName name="solver_msl" localSheetId="4" hidden="1">2</definedName>
    <definedName name="solver_msl" localSheetId="8" hidden="1">2</definedName>
    <definedName name="solver_neg" localSheetId="0" hidden="1">1</definedName>
    <definedName name="solver_neg" localSheetId="2" hidden="1">1</definedName>
    <definedName name="solver_neg" localSheetId="4" hidden="1">1</definedName>
    <definedName name="solver_neg" localSheetId="8" hidden="1">1</definedName>
    <definedName name="solver_nod" localSheetId="0" hidden="1">2147483647</definedName>
    <definedName name="solver_nod" localSheetId="2" hidden="1">2147483647</definedName>
    <definedName name="solver_nod" localSheetId="4" hidden="1">2147483647</definedName>
    <definedName name="solver_nod" localSheetId="8" hidden="1">2147483647</definedName>
    <definedName name="solver_num" localSheetId="0" hidden="1">3</definedName>
    <definedName name="solver_num" localSheetId="2" hidden="1">8</definedName>
    <definedName name="solver_num" localSheetId="4" hidden="1">3</definedName>
    <definedName name="solver_num" localSheetId="8" hidden="1">6</definedName>
    <definedName name="solver_nwt" localSheetId="0" hidden="1">1</definedName>
    <definedName name="solver_nwt" localSheetId="2" hidden="1">1</definedName>
    <definedName name="solver_nwt" localSheetId="4" hidden="1">1</definedName>
    <definedName name="solver_nwt" localSheetId="8" hidden="1">1</definedName>
    <definedName name="solver_opt" localSheetId="0" hidden="1">'6.42'!$B$24</definedName>
    <definedName name="solver_opt" localSheetId="2" hidden="1">'6.50'!$B$37</definedName>
    <definedName name="solver_opt" localSheetId="4" hidden="1">'6.60(a)'!$B$33</definedName>
    <definedName name="solver_opt" localSheetId="8" hidden="1">'6.87'!$B$40</definedName>
    <definedName name="solver_pre" localSheetId="0" hidden="1">0.000001</definedName>
    <definedName name="solver_pre" localSheetId="2" hidden="1">0.000001</definedName>
    <definedName name="solver_pre" localSheetId="4" hidden="1">0.000001</definedName>
    <definedName name="solver_pre" localSheetId="8" hidden="1">0.000001</definedName>
    <definedName name="solver_rbv" localSheetId="0" hidden="1">2</definedName>
    <definedName name="solver_rbv" localSheetId="2" hidden="1">2</definedName>
    <definedName name="solver_rbv" localSheetId="4" hidden="1">2</definedName>
    <definedName name="solver_rbv" localSheetId="8" hidden="1">2</definedName>
    <definedName name="solver_rel1" localSheetId="0" hidden="1">4</definedName>
    <definedName name="solver_rel1" localSheetId="2" hidden="1">2</definedName>
    <definedName name="solver_rel1" localSheetId="4" hidden="1">2</definedName>
    <definedName name="solver_rel1" localSheetId="8" hidden="1">2</definedName>
    <definedName name="solver_rel2" localSheetId="0" hidden="1">3</definedName>
    <definedName name="solver_rel2" localSheetId="2" hidden="1">1</definedName>
    <definedName name="solver_rel2" localSheetId="4" hidden="1">1</definedName>
    <definedName name="solver_rel2" localSheetId="8" hidden="1">1</definedName>
    <definedName name="solver_rel3" localSheetId="0" hidden="1">1</definedName>
    <definedName name="solver_rel3" localSheetId="2" hidden="1">5</definedName>
    <definedName name="solver_rel3" localSheetId="4" hidden="1">5</definedName>
    <definedName name="solver_rel3" localSheetId="8" hidden="1">3</definedName>
    <definedName name="solver_rel4" localSheetId="2" hidden="1">1</definedName>
    <definedName name="solver_rel4" localSheetId="8" hidden="1">3</definedName>
    <definedName name="solver_rel5" localSheetId="2" hidden="1">3</definedName>
    <definedName name="solver_rel5" localSheetId="8" hidden="1">5</definedName>
    <definedName name="solver_rel6" localSheetId="2" hidden="1">1</definedName>
    <definedName name="solver_rel6" localSheetId="8" hidden="1">3</definedName>
    <definedName name="solver_rel7" localSheetId="2" hidden="1">1</definedName>
    <definedName name="solver_rel7" localSheetId="8" hidden="1">3</definedName>
    <definedName name="solver_rel8" localSheetId="2" hidden="1">4</definedName>
    <definedName name="solver_rel8" localSheetId="8" hidden="1">3</definedName>
    <definedName name="solver_rhs1" localSheetId="0" hidden="1">"integer"</definedName>
    <definedName name="solver_rhs1" localSheetId="2" hidden="1">MaxLAorAtlanta</definedName>
    <definedName name="solver_rhs1" localSheetId="4" hidden="1">Max_Per_Type</definedName>
    <definedName name="solver_rhs1" localSheetId="8" hidden="1">'6.87'!$B$27:$U$27</definedName>
    <definedName name="solver_rhs2" localSheetId="0" hidden="1">Min_Items</definedName>
    <definedName name="solver_rhs2" localSheetId="2" hidden="1">MaxWareHouseOpen</definedName>
    <definedName name="solver_rhs2" localSheetId="4" hidden="1">Max_Per_Plant</definedName>
    <definedName name="solver_rhs2" localSheetId="8" hidden="1">MaxCapacityAdded</definedName>
    <definedName name="solver_rhs3" localSheetId="0" hidden="1">maximum_weight</definedName>
    <definedName name="solver_rhs3" localSheetId="2" hidden="1">"binary"</definedName>
    <definedName name="solver_rhs3" localSheetId="4" hidden="1">"binary"</definedName>
    <definedName name="solver_rhs3" localSheetId="8" hidden="1">Amount_Produced</definedName>
    <definedName name="solver_rhs4" localSheetId="2" hidden="1">MaxWareHouseOpen</definedName>
    <definedName name="solver_rhs4" localSheetId="8" hidden="1">CapacityAdded</definedName>
    <definedName name="solver_rhs5" localSheetId="2" hidden="1">Demand</definedName>
    <definedName name="solver_rhs5" localSheetId="8" hidden="1">"binary"</definedName>
    <definedName name="solver_rhs6" localSheetId="2" hidden="1">Maximum_available_capacity</definedName>
    <definedName name="solver_rhs6" localSheetId="8" hidden="1">Minimum_Shortage</definedName>
    <definedName name="solver_rhs7" localSheetId="2" hidden="1">isLA_OpenorClosed</definedName>
    <definedName name="solver_rhs7" localSheetId="8" hidden="1">Minimum_Shortage</definedName>
    <definedName name="solver_rhs8" localSheetId="2" hidden="1">"integer"</definedName>
    <definedName name="solver_rhs8" localSheetId="8" hidden="1">Minimum_Shortage</definedName>
    <definedName name="solver_rlx" localSheetId="0" hidden="1">2</definedName>
    <definedName name="solver_rlx" localSheetId="2" hidden="1">2</definedName>
    <definedName name="solver_rlx" localSheetId="4" hidden="1">2</definedName>
    <definedName name="solver_rlx" localSheetId="8" hidden="1">2</definedName>
    <definedName name="solver_rsd" localSheetId="0" hidden="1">0</definedName>
    <definedName name="solver_rsd" localSheetId="2" hidden="1">0</definedName>
    <definedName name="solver_rsd" localSheetId="4" hidden="1">0</definedName>
    <definedName name="solver_rsd" localSheetId="8" hidden="1">0</definedName>
    <definedName name="solver_scl" localSheetId="0" hidden="1">1</definedName>
    <definedName name="solver_scl" localSheetId="2" hidden="1">2</definedName>
    <definedName name="solver_scl" localSheetId="4" hidden="1">1</definedName>
    <definedName name="solver_scl" localSheetId="8" hidden="1">1</definedName>
    <definedName name="solver_sho" localSheetId="0" hidden="1">2</definedName>
    <definedName name="solver_sho" localSheetId="2" hidden="1">2</definedName>
    <definedName name="solver_sho" localSheetId="4" hidden="1">2</definedName>
    <definedName name="solver_sho" localSheetId="8" hidden="1">2</definedName>
    <definedName name="solver_ssz" localSheetId="0" hidden="1">100</definedName>
    <definedName name="solver_ssz" localSheetId="2" hidden="1">100</definedName>
    <definedName name="solver_ssz" localSheetId="4" hidden="1">100</definedName>
    <definedName name="solver_ssz" localSheetId="8" hidden="1">100</definedName>
    <definedName name="solver_tim" localSheetId="0" hidden="1">2147483647</definedName>
    <definedName name="solver_tim" localSheetId="2" hidden="1">2147483647</definedName>
    <definedName name="solver_tim" localSheetId="4" hidden="1">2147483647</definedName>
    <definedName name="solver_tim" localSheetId="8" hidden="1">2147483647</definedName>
    <definedName name="solver_tol" localSheetId="0" hidden="1">0.01</definedName>
    <definedName name="solver_tol" localSheetId="2" hidden="1">0.01</definedName>
    <definedName name="solver_tol" localSheetId="4" hidden="1">0.01</definedName>
    <definedName name="solver_tol" localSheetId="8" hidden="1">0</definedName>
    <definedName name="solver_typ" localSheetId="0" hidden="1">1</definedName>
    <definedName name="solver_typ" localSheetId="2" hidden="1">2</definedName>
    <definedName name="solver_typ" localSheetId="4" hidden="1">2</definedName>
    <definedName name="solver_typ" localSheetId="8" hidden="1">2</definedName>
    <definedName name="solver_val" localSheetId="0" hidden="1">0</definedName>
    <definedName name="solver_val" localSheetId="2" hidden="1">0</definedName>
    <definedName name="solver_val" localSheetId="4" hidden="1">0</definedName>
    <definedName name="solver_val" localSheetId="8" hidden="1">0</definedName>
    <definedName name="solver_ver" localSheetId="0" hidden="1">3</definedName>
    <definedName name="solver_ver" localSheetId="2" hidden="1">3</definedName>
    <definedName name="solver_ver" localSheetId="4" hidden="1">3</definedName>
    <definedName name="solver_ver" localSheetId="8" hidden="1">3</definedName>
    <definedName name="Taurus_prod">'6.60(a)'!$D$20:$D$23</definedName>
    <definedName name="taurus_variable">'6.60(a)'!$E$5:$E$8</definedName>
    <definedName name="Total">'6.50'!$D$27:$F$27</definedName>
    <definedName name="Total_benefit">'6.42'!$B$24</definedName>
    <definedName name="Total_costs">'6.50'!$B$37</definedName>
    <definedName name="Total_final_car_prod_cost">'6.60(a)'!$B$33</definedName>
    <definedName name="Total_Final_Cost">'6.87'!$B$40</definedName>
    <definedName name="Total_fixed_cost">'6.87'!$A$35:$A$40</definedName>
    <definedName name="Total_fixed_costs__week">'6.50'!$B$35</definedName>
    <definedName name="Total_Fixed_production_cost">'6.60(a)'!$B$31</definedName>
    <definedName name="Total_Maint._Cost">'6.87'!$B$36</definedName>
    <definedName name="Total_Prod._Cost">'6.87'!$B$37</definedName>
    <definedName name="Total_shipping_and_production_cost__week">'6.50'!$B$36</definedName>
    <definedName name="Total_Shortage_cost">'6.87'!$B$38</definedName>
    <definedName name="Total_variable_cost">'6.87'!$B$35</definedName>
    <definedName name="Total_variable_production_cost">'6.60(a)'!$B$32</definedName>
    <definedName name="Total_weight">'6.42'!$B$22</definedName>
    <definedName name="Total1">'6.60(a)'!$E$20:$E$23</definedName>
    <definedName name="Total2" localSheetId="4">'6.60(a)'!$B$24:$D$24</definedName>
    <definedName name="Total2">'6.50'!$G$23:$G$26</definedName>
    <definedName name="TotalWareHousesOpen">'6.50'!$B$32</definedName>
    <definedName name="TrueCapacityAdded">'6.87'!#REF!</definedName>
    <definedName name="Variable_Cost_of_Capacity_Add_per_KwH">'6.87'!$B$9</definedName>
    <definedName name="Variable_Cost_of_Maintaining_per_KwH">'6.87'!$B$10</definedName>
    <definedName name="variable_cost_prod_Focus_plant1">'6.60(a)'!$C$8</definedName>
    <definedName name="variablecost_prod_mustang_plant4">'6.60(a)'!$D$8</definedName>
    <definedName name="Weight">'6.42'!$B$6:$D$6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6" i="2" l="1"/>
  <c r="O1" i="26"/>
  <c r="K1" i="26"/>
  <c r="Q4" i="26"/>
  <c r="N5" i="26"/>
  <c r="N4" i="26"/>
  <c r="M4" i="26"/>
  <c r="J5" i="26"/>
  <c r="J4" i="26"/>
  <c r="K1" i="25"/>
  <c r="K25" i="25"/>
  <c r="K24" i="25"/>
  <c r="K23" i="25"/>
  <c r="K22" i="25"/>
  <c r="K21" i="25"/>
  <c r="K20" i="25"/>
  <c r="K19" i="25"/>
  <c r="K18" i="25"/>
  <c r="K17" i="25"/>
  <c r="K16" i="25"/>
  <c r="K15" i="25"/>
  <c r="K14" i="25"/>
  <c r="K13" i="25"/>
  <c r="K12" i="25"/>
  <c r="K11" i="25"/>
  <c r="K10" i="25"/>
  <c r="K9" i="25"/>
  <c r="K8" i="25"/>
  <c r="K7" i="25"/>
  <c r="K6" i="25"/>
  <c r="K5" i="25"/>
  <c r="J4" i="25"/>
  <c r="K1" i="23"/>
  <c r="K14" i="23"/>
  <c r="K13" i="23"/>
  <c r="K12" i="23"/>
  <c r="K11" i="23"/>
  <c r="K10" i="23"/>
  <c r="K9" i="23"/>
  <c r="K8" i="23"/>
  <c r="K7" i="23"/>
  <c r="K6" i="23"/>
  <c r="K5" i="23"/>
  <c r="J4" i="23"/>
  <c r="K1" i="22"/>
  <c r="K25" i="22"/>
  <c r="K24" i="22"/>
  <c r="K23" i="22"/>
  <c r="K22" i="22"/>
  <c r="K21" i="22"/>
  <c r="K20" i="22"/>
  <c r="K19" i="22"/>
  <c r="K18" i="22"/>
  <c r="K17" i="22"/>
  <c r="K16" i="22"/>
  <c r="K15" i="22"/>
  <c r="K14" i="22"/>
  <c r="K13" i="22"/>
  <c r="K12" i="22"/>
  <c r="K11" i="22"/>
  <c r="K10" i="22"/>
  <c r="K9" i="22"/>
  <c r="K8" i="22"/>
  <c r="K7" i="22"/>
  <c r="K6" i="22"/>
  <c r="K5" i="22"/>
  <c r="J4" i="22"/>
  <c r="B32" i="3"/>
  <c r="K1" i="21"/>
  <c r="K14" i="21"/>
  <c r="K13" i="21"/>
  <c r="K12" i="21"/>
  <c r="K11" i="21"/>
  <c r="K10" i="21"/>
  <c r="K9" i="21"/>
  <c r="K8" i="21"/>
  <c r="K7" i="21"/>
  <c r="K6" i="21"/>
  <c r="K5" i="21"/>
  <c r="J4" i="21"/>
  <c r="B24" i="1"/>
  <c r="B23" i="4"/>
  <c r="B30" i="4" s="1"/>
  <c r="B35" i="4"/>
  <c r="B37" i="4"/>
  <c r="B34" i="4"/>
  <c r="C27" i="4"/>
  <c r="D27" i="4" s="1"/>
  <c r="E27" i="4" s="1"/>
  <c r="F27" i="4" s="1"/>
  <c r="G27" i="4" s="1"/>
  <c r="H27" i="4" s="1"/>
  <c r="I27" i="4" s="1"/>
  <c r="J27" i="4" s="1"/>
  <c r="K27" i="4" s="1"/>
  <c r="L27" i="4" s="1"/>
  <c r="M27" i="4" s="1"/>
  <c r="N27" i="4" s="1"/>
  <c r="O27" i="4" s="1"/>
  <c r="P27" i="4" s="1"/>
  <c r="Q27" i="4" s="1"/>
  <c r="R27" i="4" s="1"/>
  <c r="S27" i="4" s="1"/>
  <c r="T27" i="4" s="1"/>
  <c r="U27" i="4" s="1"/>
  <c r="O11" i="26"/>
  <c r="O10" i="26"/>
  <c r="O17" i="26"/>
  <c r="O16" i="26"/>
  <c r="O12" i="26"/>
  <c r="K6" i="26"/>
  <c r="K8" i="26"/>
  <c r="O15" i="26"/>
  <c r="O13" i="26"/>
  <c r="O7" i="26"/>
  <c r="K5" i="26"/>
  <c r="K7" i="26"/>
  <c r="O14" i="26"/>
  <c r="O18" i="26"/>
  <c r="O9" i="26"/>
  <c r="O8" i="26"/>
  <c r="O6" i="26"/>
  <c r="O5" i="26"/>
  <c r="C22" i="4" l="1"/>
  <c r="C23" i="4" s="1"/>
  <c r="D22" i="4" s="1"/>
  <c r="D23" i="4" s="1"/>
  <c r="G10" i="4"/>
  <c r="B17" i="4" s="1"/>
  <c r="C15" i="4"/>
  <c r="D15" i="4" s="1"/>
  <c r="E15" i="4" s="1"/>
  <c r="F15" i="4" s="1"/>
  <c r="G15" i="4" s="1"/>
  <c r="H15" i="4" s="1"/>
  <c r="I15" i="4" s="1"/>
  <c r="J15" i="4" s="1"/>
  <c r="K15" i="4" s="1"/>
  <c r="L15" i="4" s="1"/>
  <c r="M15" i="4" s="1"/>
  <c r="N15" i="4" s="1"/>
  <c r="O15" i="4" s="1"/>
  <c r="P15" i="4" s="1"/>
  <c r="Q15" i="4" s="1"/>
  <c r="R15" i="4" s="1"/>
  <c r="S15" i="4" s="1"/>
  <c r="T15" i="4" s="1"/>
  <c r="U15" i="4" s="1"/>
  <c r="E22" i="4" l="1"/>
  <c r="E23" i="4" s="1"/>
  <c r="C30" i="4"/>
  <c r="F22" i="4" l="1"/>
  <c r="F23" i="4" s="1"/>
  <c r="G22" i="4" s="1"/>
  <c r="G23" i="4" s="1"/>
  <c r="H22" i="4" s="1"/>
  <c r="H23" i="4" s="1"/>
  <c r="I22" i="4" s="1"/>
  <c r="I23" i="4" s="1"/>
  <c r="J22" i="4" s="1"/>
  <c r="J23" i="4" s="1"/>
  <c r="K22" i="4" s="1"/>
  <c r="K23" i="4" s="1"/>
  <c r="L22" i="4" s="1"/>
  <c r="L23" i="4" s="1"/>
  <c r="M22" i="4" s="1"/>
  <c r="M23" i="4" s="1"/>
  <c r="N22" i="4" s="1"/>
  <c r="N23" i="4" s="1"/>
  <c r="O22" i="4" s="1"/>
  <c r="O23" i="4" s="1"/>
  <c r="P22" i="4" s="1"/>
  <c r="P23" i="4" s="1"/>
  <c r="Q22" i="4" s="1"/>
  <c r="Q23" i="4" s="1"/>
  <c r="R22" i="4" s="1"/>
  <c r="R23" i="4" s="1"/>
  <c r="S22" i="4" s="1"/>
  <c r="S23" i="4" s="1"/>
  <c r="T22" i="4" s="1"/>
  <c r="T23" i="4" s="1"/>
  <c r="U22" i="4" s="1"/>
  <c r="U23" i="4" s="1"/>
  <c r="D30" i="4"/>
  <c r="B36" i="4" l="1"/>
  <c r="C17" i="4"/>
  <c r="K17" i="4"/>
  <c r="S17" i="4"/>
  <c r="H17" i="4"/>
  <c r="Q17" i="4"/>
  <c r="R17" i="4"/>
  <c r="D17" i="4"/>
  <c r="L17" i="4"/>
  <c r="T17" i="4"/>
  <c r="O17" i="4"/>
  <c r="J17" i="4"/>
  <c r="E17" i="4"/>
  <c r="M17" i="4"/>
  <c r="U17" i="4"/>
  <c r="F17" i="4"/>
  <c r="N17" i="4"/>
  <c r="G17" i="4"/>
  <c r="P17" i="4"/>
  <c r="I17" i="4"/>
  <c r="E30" i="4"/>
  <c r="F30" i="4" l="1"/>
  <c r="G30" i="4" l="1"/>
  <c r="H30" i="4" l="1"/>
  <c r="I30" i="4" l="1"/>
  <c r="J30" i="4" l="1"/>
  <c r="K30" i="4" l="1"/>
  <c r="L30" i="4" l="1"/>
  <c r="M30" i="4" l="1"/>
  <c r="N30" i="4" l="1"/>
  <c r="O30" i="4" l="1"/>
  <c r="P30" i="4" l="1"/>
  <c r="Q30" i="4" l="1"/>
  <c r="R30" i="4" l="1"/>
  <c r="S30" i="4" l="1"/>
  <c r="T30" i="4" l="1"/>
  <c r="U30" i="4" l="1"/>
  <c r="B38" i="4" s="1"/>
  <c r="B40" i="4" l="1"/>
  <c r="D24" i="3" l="1"/>
  <c r="C24" i="3"/>
  <c r="B24" i="3"/>
  <c r="E23" i="3"/>
  <c r="E22" i="3"/>
  <c r="E21" i="3"/>
  <c r="E20" i="3"/>
  <c r="G7" i="2"/>
  <c r="I24" i="2" s="1"/>
  <c r="G8" i="2"/>
  <c r="I25" i="2" s="1"/>
  <c r="G9" i="2"/>
  <c r="I26" i="2" s="1"/>
  <c r="I23" i="2"/>
  <c r="B33" i="2"/>
  <c r="B32" i="2"/>
  <c r="G26" i="2"/>
  <c r="G25" i="2"/>
  <c r="G24" i="2"/>
  <c r="G23" i="2"/>
  <c r="B36" i="2"/>
  <c r="B35" i="2"/>
  <c r="F27" i="2"/>
  <c r="E27" i="2"/>
  <c r="D27" i="2"/>
  <c r="K1" i="6"/>
  <c r="K10" i="6"/>
  <c r="K9" i="6"/>
  <c r="K8" i="6"/>
  <c r="K7" i="6"/>
  <c r="K6" i="6"/>
  <c r="K5" i="6"/>
  <c r="J4" i="6"/>
  <c r="B22" i="1"/>
  <c r="B31" i="3" l="1"/>
  <c r="B33" i="3" s="1"/>
  <c r="B3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Ashutosh Mishra</author>
  </authors>
  <commentList>
    <comment ref="B5" authorId="0" shapeId="0" xr:uid="{B34E677E-B69E-4F5E-BED8-C74B85BE25E5}">
      <text>
        <r>
          <rPr>
            <sz val="9"/>
            <color indexed="81"/>
            <rFont val="Tahoma"/>
            <family val="2"/>
          </rPr>
          <t>Solver found a solution. All constraints and optimality conditions are satisfied.</t>
        </r>
      </text>
    </comment>
    <comment ref="B6" authorId="0" shapeId="0" xr:uid="{7A4988DB-AB98-45BF-A923-CD0AA46021C6}">
      <text>
        <r>
          <rPr>
            <sz val="9"/>
            <color indexed="81"/>
            <rFont val="Tahoma"/>
            <family val="2"/>
          </rPr>
          <t>Solver found a solution. All constraints and optimality conditions are satisfied.</t>
        </r>
      </text>
    </comment>
    <comment ref="B7" authorId="0" shapeId="0" xr:uid="{DEFB9DFF-56D2-4D7F-A060-A7D237C9D9FE}">
      <text>
        <r>
          <rPr>
            <sz val="9"/>
            <color indexed="81"/>
            <rFont val="Tahoma"/>
            <family val="2"/>
          </rPr>
          <t>Solver found a solution. All constraints and optimality conditions are satisfied.</t>
        </r>
      </text>
    </comment>
    <comment ref="B8" authorId="0" shapeId="0" xr:uid="{69471283-0BB9-477E-BE35-943EFBA8A572}">
      <text>
        <r>
          <rPr>
            <sz val="9"/>
            <color indexed="81"/>
            <rFont val="Tahoma"/>
            <family val="2"/>
          </rPr>
          <t>Solver found a solution. All constraints and optimality conditions are satisfied.</t>
        </r>
      </text>
    </comment>
    <comment ref="B9" authorId="0" shapeId="0" xr:uid="{604D187C-2E45-450A-844B-86A6644B5E54}">
      <text>
        <r>
          <rPr>
            <sz val="9"/>
            <color indexed="81"/>
            <rFont val="Tahoma"/>
            <family val="2"/>
          </rPr>
          <t>Solver found a solution. All constraints and optimality conditions are satisfied.</t>
        </r>
      </text>
    </comment>
    <comment ref="B10" authorId="0" shapeId="0" xr:uid="{97A7734C-8C44-4D70-9B2A-B05E1C1C2F09}">
      <text>
        <r>
          <rPr>
            <sz val="9"/>
            <color indexed="81"/>
            <rFont val="Tahoma"/>
            <family val="2"/>
          </rPr>
          <t>Solver found a solution. All constraints and optimality conditions are satisfied.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Ashutosh Mishra</author>
  </authors>
  <commentList>
    <comment ref="B5" authorId="0" shapeId="0" xr:uid="{2B28F6BB-029E-4C93-970C-821232C68CB6}">
      <text>
        <r>
          <rPr>
            <sz val="9"/>
            <color indexed="81"/>
            <rFont val="Tahoma"/>
            <family val="2"/>
          </rPr>
          <t>Solver could not find a feasible solution.</t>
        </r>
      </text>
    </comment>
    <comment ref="C5" authorId="0" shapeId="0" xr:uid="{87BDE127-6EB0-4CCE-A8D6-80C9A222B4E6}">
      <text>
        <r>
          <rPr>
            <sz val="9"/>
            <color indexed="81"/>
            <rFont val="Tahoma"/>
            <family val="2"/>
          </rPr>
          <t>Solver found a solution. All constraints and optimality conditions are satisfied.</t>
        </r>
      </text>
    </comment>
    <comment ref="D5" authorId="0" shapeId="0" xr:uid="{E12557F5-EB7F-41F4-82B6-348C7D5DEDB9}">
      <text>
        <r>
          <rPr>
            <sz val="9"/>
            <color indexed="81"/>
            <rFont val="Tahoma"/>
            <family val="2"/>
          </rPr>
          <t>Solver found a solution. All constraints and optimality conditions are satisfied.</t>
        </r>
      </text>
    </comment>
    <comment ref="E5" authorId="0" shapeId="0" xr:uid="{13E0B1B5-760C-4680-AC41-BF5994EC5897}">
      <text>
        <r>
          <rPr>
            <sz val="9"/>
            <color indexed="81"/>
            <rFont val="Tahoma"/>
            <family val="2"/>
          </rPr>
          <t>Solver found a solution. All constraints and optimality conditions are satisfied.</t>
        </r>
      </text>
    </comment>
    <comment ref="B6" authorId="0" shapeId="0" xr:uid="{CB6F7C61-0331-4B64-A62D-5B8DCA757DB0}">
      <text>
        <r>
          <rPr>
            <sz val="9"/>
            <color indexed="81"/>
            <rFont val="Tahoma"/>
            <family val="2"/>
          </rPr>
          <t>Solver could not find a feasible solution.</t>
        </r>
      </text>
    </comment>
    <comment ref="C6" authorId="0" shapeId="0" xr:uid="{6B1AE380-5334-428B-9FAC-6F56D4531CA3}">
      <text>
        <r>
          <rPr>
            <sz val="9"/>
            <color indexed="81"/>
            <rFont val="Tahoma"/>
            <family val="2"/>
          </rPr>
          <t>Solver found a solution. All constraints and optimality conditions are satisfied.</t>
        </r>
      </text>
    </comment>
    <comment ref="D6" authorId="0" shapeId="0" xr:uid="{EF3F4B89-E689-4341-9167-265A58B9DFF0}">
      <text>
        <r>
          <rPr>
            <sz val="9"/>
            <color indexed="81"/>
            <rFont val="Tahoma"/>
            <family val="2"/>
          </rPr>
          <t>Solver found a solution. All constraints and optimality conditions are satisfied.</t>
        </r>
      </text>
    </comment>
    <comment ref="E6" authorId="0" shapeId="0" xr:uid="{F7E08C16-3F0E-4F6F-8929-7F076EA1F589}">
      <text>
        <r>
          <rPr>
            <sz val="9"/>
            <color indexed="81"/>
            <rFont val="Tahoma"/>
            <family val="2"/>
          </rPr>
          <t>Solver found a solution. All constraints and optimality conditions are satisfied.</t>
        </r>
      </text>
    </comment>
    <comment ref="B7" authorId="0" shapeId="0" xr:uid="{380BDBA3-13E2-4948-8C24-6F60E951D19F}">
      <text>
        <r>
          <rPr>
            <sz val="9"/>
            <color indexed="81"/>
            <rFont val="Tahoma"/>
            <family val="2"/>
          </rPr>
          <t>Solver could not find a feasible solution.</t>
        </r>
      </text>
    </comment>
    <comment ref="C7" authorId="0" shapeId="0" xr:uid="{C56E1DFB-9901-4E66-A6AC-CFB1B7AF5F7D}">
      <text>
        <r>
          <rPr>
            <sz val="9"/>
            <color indexed="81"/>
            <rFont val="Tahoma"/>
            <family val="2"/>
          </rPr>
          <t>Solver found a solution. All constraints and optimality conditions are satisfied.</t>
        </r>
      </text>
    </comment>
    <comment ref="D7" authorId="0" shapeId="0" xr:uid="{56A6D7C1-5875-4B47-8C3E-1BAC3625F43D}">
      <text>
        <r>
          <rPr>
            <sz val="9"/>
            <color indexed="81"/>
            <rFont val="Tahoma"/>
            <family val="2"/>
          </rPr>
          <t>Solver found a solution. All constraints and optimality conditions are satisfied.</t>
        </r>
      </text>
    </comment>
    <comment ref="E7" authorId="0" shapeId="0" xr:uid="{28EBFA3A-41D9-4555-9D70-01C76890E572}">
      <text>
        <r>
          <rPr>
            <sz val="9"/>
            <color indexed="81"/>
            <rFont val="Tahoma"/>
            <family val="2"/>
          </rPr>
          <t>Solver found a solution. All constraints and optimality conditions are satisfied.</t>
        </r>
      </text>
    </comment>
    <comment ref="B8" authorId="0" shapeId="0" xr:uid="{7B7D0CFD-249A-4297-95BD-601E9160F71A}">
      <text>
        <r>
          <rPr>
            <sz val="9"/>
            <color indexed="81"/>
            <rFont val="Tahoma"/>
            <family val="2"/>
          </rPr>
          <t>Solver could not find a feasible solution.</t>
        </r>
      </text>
    </comment>
    <comment ref="C8" authorId="0" shapeId="0" xr:uid="{F1BBEC99-6179-47DC-9845-95AEFE39A957}">
      <text>
        <r>
          <rPr>
            <sz val="9"/>
            <color indexed="81"/>
            <rFont val="Tahoma"/>
            <family val="2"/>
          </rPr>
          <t>Solver found a solution. All constraints and optimality conditions are satisfied.</t>
        </r>
      </text>
    </comment>
    <comment ref="D8" authorId="0" shapeId="0" xr:uid="{3E1939AB-6165-4BAF-8B46-BC7F0AB66C0A}">
      <text>
        <r>
          <rPr>
            <sz val="9"/>
            <color indexed="81"/>
            <rFont val="Tahoma"/>
            <family val="2"/>
          </rPr>
          <t>Solver found a solution. All constraints and optimality conditions are satisfied.</t>
        </r>
      </text>
    </comment>
    <comment ref="E8" authorId="0" shapeId="0" xr:uid="{1BF12D05-7DAF-42DD-BC05-E849541A3A52}">
      <text>
        <r>
          <rPr>
            <sz val="9"/>
            <color indexed="81"/>
            <rFont val="Tahoma"/>
            <family val="2"/>
          </rPr>
          <t>Solver found a solution. All constraints and optimality conditions are satisfied.</t>
        </r>
      </text>
    </comment>
    <comment ref="B9" authorId="0" shapeId="0" xr:uid="{084739F0-53F8-4D2B-AA5C-A88999BDAF05}">
      <text>
        <r>
          <rPr>
            <sz val="9"/>
            <color indexed="81"/>
            <rFont val="Tahoma"/>
            <family val="2"/>
          </rPr>
          <t>Solver could not find a feasible solution.</t>
        </r>
      </text>
    </comment>
    <comment ref="C9" authorId="0" shapeId="0" xr:uid="{1CD77F4A-6105-4751-B57E-D9AF9ACB6D83}">
      <text>
        <r>
          <rPr>
            <sz val="9"/>
            <color indexed="81"/>
            <rFont val="Tahoma"/>
            <family val="2"/>
          </rPr>
          <t>Solver found a solution. All constraints and optimality conditions are satisfied.</t>
        </r>
      </text>
    </comment>
    <comment ref="D9" authorId="0" shapeId="0" xr:uid="{FC7740CC-53F9-4027-91D0-3A81EECE0A64}">
      <text>
        <r>
          <rPr>
            <sz val="9"/>
            <color indexed="81"/>
            <rFont val="Tahoma"/>
            <family val="2"/>
          </rPr>
          <t>Solver found a solution. All constraints and optimality conditions are satisfied.</t>
        </r>
      </text>
    </comment>
    <comment ref="E9" authorId="0" shapeId="0" xr:uid="{DC7C7C9F-F527-4836-A362-42D1C843AB3A}">
      <text>
        <r>
          <rPr>
            <sz val="9"/>
            <color indexed="81"/>
            <rFont val="Tahoma"/>
            <family val="2"/>
          </rPr>
          <t>Solver found a solution. All constraints and optimality conditions are satisfied.</t>
        </r>
      </text>
    </comment>
    <comment ref="B10" authorId="0" shapeId="0" xr:uid="{A66F6B22-A4C7-4313-8785-AEE05F8E067F}">
      <text>
        <r>
          <rPr>
            <sz val="9"/>
            <color indexed="81"/>
            <rFont val="Tahoma"/>
            <family val="2"/>
          </rPr>
          <t>Solver could not find a feasible solution.</t>
        </r>
      </text>
    </comment>
    <comment ref="C10" authorId="0" shapeId="0" xr:uid="{0B797424-8169-415F-A15F-8F595D6B06D1}">
      <text>
        <r>
          <rPr>
            <sz val="9"/>
            <color indexed="81"/>
            <rFont val="Tahoma"/>
            <family val="2"/>
          </rPr>
          <t>Solver found a solution. All constraints and optimality conditions are satisfied.</t>
        </r>
      </text>
    </comment>
    <comment ref="D10" authorId="0" shapeId="0" xr:uid="{195918B7-C8BE-44E2-AA12-F6DE642BC702}">
      <text>
        <r>
          <rPr>
            <sz val="9"/>
            <color indexed="81"/>
            <rFont val="Tahoma"/>
            <family val="2"/>
          </rPr>
          <t>Solver found a solution. All constraints and optimality conditions are satisfied.</t>
        </r>
      </text>
    </comment>
    <comment ref="E10" authorId="0" shapeId="0" xr:uid="{D6B625D2-8966-4810-BD66-E89CDB36BB0A}">
      <text>
        <r>
          <rPr>
            <sz val="9"/>
            <color indexed="81"/>
            <rFont val="Tahoma"/>
            <family val="2"/>
          </rPr>
          <t>Solver found a solution. All constraints and optimality conditions are satisfied.</t>
        </r>
      </text>
    </comment>
    <comment ref="B11" authorId="0" shapeId="0" xr:uid="{06FF163F-D563-4F70-8579-859405EB6D52}">
      <text>
        <r>
          <rPr>
            <sz val="9"/>
            <color indexed="81"/>
            <rFont val="Tahoma"/>
            <family val="2"/>
          </rPr>
          <t>Solver could not find a feasible solution.</t>
        </r>
      </text>
    </comment>
    <comment ref="C11" authorId="0" shapeId="0" xr:uid="{245BC585-170E-440D-9B7F-E45C408D18CC}">
      <text>
        <r>
          <rPr>
            <sz val="9"/>
            <color indexed="81"/>
            <rFont val="Tahoma"/>
            <family val="2"/>
          </rPr>
          <t>Solver found a solution. All constraints and optimality conditions are satisfied.</t>
        </r>
      </text>
    </comment>
    <comment ref="D11" authorId="0" shapeId="0" xr:uid="{0CC6FC21-CC67-43C0-BE34-7219E49D350E}">
      <text>
        <r>
          <rPr>
            <sz val="9"/>
            <color indexed="81"/>
            <rFont val="Tahoma"/>
            <family val="2"/>
          </rPr>
          <t>Solver found a solution. All constraints and optimality conditions are satisfied.</t>
        </r>
      </text>
    </comment>
    <comment ref="E11" authorId="0" shapeId="0" xr:uid="{48B14F79-4394-4C02-86C1-267FCDD6DFCD}">
      <text>
        <r>
          <rPr>
            <sz val="9"/>
            <color indexed="81"/>
            <rFont val="Tahoma"/>
            <family val="2"/>
          </rPr>
          <t>Solver found a solution. All constraints and optimality conditions are satisfied.</t>
        </r>
      </text>
    </comment>
    <comment ref="B12" authorId="0" shapeId="0" xr:uid="{C1868A3E-DB85-4606-BA81-4DBC8D179B0A}">
      <text>
        <r>
          <rPr>
            <sz val="9"/>
            <color indexed="81"/>
            <rFont val="Tahoma"/>
            <family val="2"/>
          </rPr>
          <t>Solver could not find a feasible solution.</t>
        </r>
      </text>
    </comment>
    <comment ref="C12" authorId="0" shapeId="0" xr:uid="{0CFA1B46-0F5B-44A4-8D1D-ED8F661DE3D4}">
      <text>
        <r>
          <rPr>
            <sz val="9"/>
            <color indexed="81"/>
            <rFont val="Tahoma"/>
            <family val="2"/>
          </rPr>
          <t>Solver found a solution. All constraints and optimality conditions are satisfied.</t>
        </r>
      </text>
    </comment>
    <comment ref="D12" authorId="0" shapeId="0" xr:uid="{4BBD6D04-7DC0-48F6-B07F-C289295E9CBA}">
      <text>
        <r>
          <rPr>
            <sz val="9"/>
            <color indexed="81"/>
            <rFont val="Tahoma"/>
            <family val="2"/>
          </rPr>
          <t>Solver found a solution. All constraints and optimality conditions are satisfied.</t>
        </r>
      </text>
    </comment>
    <comment ref="E12" authorId="0" shapeId="0" xr:uid="{17B9B92F-28D8-4C86-BA03-6CBD641FE0CE}">
      <text>
        <r>
          <rPr>
            <sz val="9"/>
            <color indexed="81"/>
            <rFont val="Tahoma"/>
            <family val="2"/>
          </rPr>
          <t>Solver found a solution. All constraints and optimality conditions are satisfied.</t>
        </r>
      </text>
    </comment>
    <comment ref="B13" authorId="0" shapeId="0" xr:uid="{EC03FB51-56DC-4063-B1F2-564C405527BA}">
      <text>
        <r>
          <rPr>
            <sz val="9"/>
            <color indexed="81"/>
            <rFont val="Tahoma"/>
            <family val="2"/>
          </rPr>
          <t>Solver could not find a feasible solution.</t>
        </r>
      </text>
    </comment>
    <comment ref="C13" authorId="0" shapeId="0" xr:uid="{A4D55AAE-58D6-4A4D-A49F-BFC87F8C4133}">
      <text>
        <r>
          <rPr>
            <sz val="9"/>
            <color indexed="81"/>
            <rFont val="Tahoma"/>
            <family val="2"/>
          </rPr>
          <t>Solver found a solution. All constraints and optimality conditions are satisfied.</t>
        </r>
      </text>
    </comment>
    <comment ref="D13" authorId="0" shapeId="0" xr:uid="{E8D6745E-CA3B-43A1-89A4-489ABE501CE2}">
      <text>
        <r>
          <rPr>
            <sz val="9"/>
            <color indexed="81"/>
            <rFont val="Tahoma"/>
            <family val="2"/>
          </rPr>
          <t>Solver found a solution. All constraints and optimality conditions are satisfied.</t>
        </r>
      </text>
    </comment>
    <comment ref="E13" authorId="0" shapeId="0" xr:uid="{4289E49A-74EE-466F-A9A2-8765D52D22EA}">
      <text>
        <r>
          <rPr>
            <sz val="9"/>
            <color indexed="81"/>
            <rFont val="Tahoma"/>
            <family val="2"/>
          </rPr>
          <t>Solver found a solution. All constraints and optimality conditions are satisfied.</t>
        </r>
      </text>
    </comment>
    <comment ref="B14" authorId="0" shapeId="0" xr:uid="{FEF63A0E-A4E0-47E7-809A-17557B861882}">
      <text>
        <r>
          <rPr>
            <sz val="9"/>
            <color indexed="81"/>
            <rFont val="Tahoma"/>
            <family val="2"/>
          </rPr>
          <t>Solver could not find a feasible solution.</t>
        </r>
      </text>
    </comment>
    <comment ref="C14" authorId="0" shapeId="0" xr:uid="{4FE08353-B9F6-4847-A36A-204AEE6B446F}">
      <text>
        <r>
          <rPr>
            <sz val="9"/>
            <color indexed="81"/>
            <rFont val="Tahoma"/>
            <family val="2"/>
          </rPr>
          <t>Solver found a solution. All constraints and optimality conditions are satisfied.</t>
        </r>
      </text>
    </comment>
    <comment ref="D14" authorId="0" shapeId="0" xr:uid="{E2363E6D-9FF8-49A3-96E6-E41F9D1CDD24}">
      <text>
        <r>
          <rPr>
            <sz val="9"/>
            <color indexed="81"/>
            <rFont val="Tahoma"/>
            <family val="2"/>
          </rPr>
          <t>Solver found a solution. All constraints and optimality conditions are satisfied.</t>
        </r>
      </text>
    </comment>
    <comment ref="E14" authorId="0" shapeId="0" xr:uid="{6DC8E9B7-BA74-4144-B89D-378B875CD4E2}">
      <text>
        <r>
          <rPr>
            <sz val="9"/>
            <color indexed="81"/>
            <rFont val="Tahoma"/>
            <family val="2"/>
          </rPr>
          <t>Solver found a solution. All constraints and optimality conditions are satisfied.</t>
        </r>
      </text>
    </comment>
    <comment ref="B15" authorId="0" shapeId="0" xr:uid="{D45B26D8-88A1-4C4E-8C6D-D7D26E9BC4F3}">
      <text>
        <r>
          <rPr>
            <sz val="9"/>
            <color indexed="81"/>
            <rFont val="Tahoma"/>
            <family val="2"/>
          </rPr>
          <t>Solver could not find a feasible solution.</t>
        </r>
      </text>
    </comment>
    <comment ref="C15" authorId="0" shapeId="0" xr:uid="{CBC1AAD9-AE53-44C9-A61C-B97350E6076E}">
      <text>
        <r>
          <rPr>
            <sz val="9"/>
            <color indexed="81"/>
            <rFont val="Tahoma"/>
            <family val="2"/>
          </rPr>
          <t>Solver found a solution. All constraints and optimality conditions are satisfied.</t>
        </r>
      </text>
    </comment>
    <comment ref="D15" authorId="0" shapeId="0" xr:uid="{F7CD155F-52C9-4FB3-A06C-FBBF55FB1B4D}">
      <text>
        <r>
          <rPr>
            <sz val="9"/>
            <color indexed="81"/>
            <rFont val="Tahoma"/>
            <family val="2"/>
          </rPr>
          <t>Solver found a solution. All constraints and optimality conditions are satisfied.</t>
        </r>
      </text>
    </comment>
    <comment ref="E15" authorId="0" shapeId="0" xr:uid="{919B874E-16A1-43AE-8362-4E670E080B4F}">
      <text>
        <r>
          <rPr>
            <sz val="9"/>
            <color indexed="81"/>
            <rFont val="Tahoma"/>
            <family val="2"/>
          </rPr>
          <t>Solver found a solution. All constraints and optimality conditions are satisfied.</t>
        </r>
      </text>
    </comment>
    <comment ref="B16" authorId="0" shapeId="0" xr:uid="{0A7F4168-AB7F-4E3A-9C74-D3ECFB530D24}">
      <text>
        <r>
          <rPr>
            <sz val="9"/>
            <color indexed="81"/>
            <rFont val="Tahoma"/>
            <family val="2"/>
          </rPr>
          <t>Solver could not find a feasible solution.</t>
        </r>
      </text>
    </comment>
    <comment ref="C16" authorId="0" shapeId="0" xr:uid="{CE736E21-9CA2-42AF-A7D6-F9F11988E2AA}">
      <text>
        <r>
          <rPr>
            <sz val="9"/>
            <color indexed="81"/>
            <rFont val="Tahoma"/>
            <family val="2"/>
          </rPr>
          <t>Solver found a solution. All constraints and optimality conditions are satisfied.</t>
        </r>
      </text>
    </comment>
    <comment ref="D16" authorId="0" shapeId="0" xr:uid="{574EDAA8-8194-4BBA-810F-41FF6F330CC3}">
      <text>
        <r>
          <rPr>
            <sz val="9"/>
            <color indexed="81"/>
            <rFont val="Tahoma"/>
            <family val="2"/>
          </rPr>
          <t>Solver found a solution. All constraints and optimality conditions are satisfied.</t>
        </r>
      </text>
    </comment>
    <comment ref="E16" authorId="0" shapeId="0" xr:uid="{666596ED-C175-409B-94E5-DA1947EDB85E}">
      <text>
        <r>
          <rPr>
            <sz val="9"/>
            <color indexed="81"/>
            <rFont val="Tahoma"/>
            <family val="2"/>
          </rPr>
          <t>Solver found a solution. All constraints and optimality conditions are satisfied.</t>
        </r>
      </text>
    </comment>
    <comment ref="B17" authorId="0" shapeId="0" xr:uid="{5E9A2914-1BB8-434E-8184-8F4F073FB11A}">
      <text>
        <r>
          <rPr>
            <sz val="9"/>
            <color indexed="81"/>
            <rFont val="Tahoma"/>
            <family val="2"/>
          </rPr>
          <t>Solver found a solution. All constraints and optimality conditions are satisfied.</t>
        </r>
      </text>
    </comment>
    <comment ref="C17" authorId="0" shapeId="0" xr:uid="{B250E8F7-456A-4BAF-9548-4643FF1485FB}">
      <text>
        <r>
          <rPr>
            <sz val="9"/>
            <color indexed="81"/>
            <rFont val="Tahoma"/>
            <family val="2"/>
          </rPr>
          <t>Solver found a solution. All constraints and optimality conditions are satisfied.</t>
        </r>
      </text>
    </comment>
    <comment ref="D17" authorId="0" shapeId="0" xr:uid="{923B3AC9-656D-4CE8-9B57-129AAACFE53D}">
      <text>
        <r>
          <rPr>
            <sz val="9"/>
            <color indexed="81"/>
            <rFont val="Tahoma"/>
            <family val="2"/>
          </rPr>
          <t>Solver found a solution. All constraints and optimality conditions are satisfied.</t>
        </r>
      </text>
    </comment>
    <comment ref="E17" authorId="0" shapeId="0" xr:uid="{AD7B34B4-CB29-494A-842A-3A02FEA9B586}">
      <text>
        <r>
          <rPr>
            <sz val="9"/>
            <color indexed="81"/>
            <rFont val="Tahoma"/>
            <family val="2"/>
          </rPr>
          <t>Solver found a solution. All constraints and optimality conditions are satisfied.</t>
        </r>
      </text>
    </comment>
    <comment ref="B18" authorId="0" shapeId="0" xr:uid="{AEF8004A-2062-45D0-AC3D-160D528A6459}">
      <text>
        <r>
          <rPr>
            <sz val="9"/>
            <color indexed="81"/>
            <rFont val="Tahoma"/>
            <family val="2"/>
          </rPr>
          <t>Solver found a solution. All constraints and optimality conditions are satisfied.</t>
        </r>
      </text>
    </comment>
    <comment ref="C18" authorId="0" shapeId="0" xr:uid="{9961A69E-6789-42F1-B475-02CD3B2809AF}">
      <text>
        <r>
          <rPr>
            <sz val="9"/>
            <color indexed="81"/>
            <rFont val="Tahoma"/>
            <family val="2"/>
          </rPr>
          <t>Solver found a solution. All constraints and optimality conditions are satisfied.</t>
        </r>
      </text>
    </comment>
    <comment ref="D18" authorId="0" shapeId="0" xr:uid="{DAA0932C-52F3-465F-AFB5-627CAF626C64}">
      <text>
        <r>
          <rPr>
            <sz val="9"/>
            <color indexed="81"/>
            <rFont val="Tahoma"/>
            <family val="2"/>
          </rPr>
          <t>Solver found a solution. All constraints and optimality conditions are satisfied.</t>
        </r>
      </text>
    </comment>
    <comment ref="E18" authorId="0" shapeId="0" xr:uid="{B52F9BEE-B2DE-4979-AB7D-D08261440E93}">
      <text>
        <r>
          <rPr>
            <sz val="9"/>
            <color indexed="81"/>
            <rFont val="Tahoma"/>
            <family val="2"/>
          </rPr>
          <t>Solver found a solution. All constraints and optimality conditions are satisfied.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Ashutosh Mishra</author>
  </authors>
  <commentList>
    <comment ref="B5" authorId="0" shapeId="0" xr:uid="{5AD2C5C4-0419-469C-9BB5-0E575A29AEF3}">
      <text>
        <r>
          <rPr>
            <sz val="9"/>
            <color indexed="81"/>
            <rFont val="Tahoma"/>
            <family val="2"/>
          </rPr>
          <t>Solver found a solution. All constraints and optimality conditions are satisfied.</t>
        </r>
      </text>
    </comment>
    <comment ref="B6" authorId="0" shapeId="0" xr:uid="{2F203456-8CC9-4B76-976E-33723E28A102}">
      <text>
        <r>
          <rPr>
            <sz val="9"/>
            <color indexed="81"/>
            <rFont val="Tahoma"/>
            <family val="2"/>
          </rPr>
          <t>Solver found a solution. All constraints and optimality conditions are satisfied.</t>
        </r>
      </text>
    </comment>
    <comment ref="B7" authorId="0" shapeId="0" xr:uid="{B685F2BE-055C-41B6-9804-0804DEEF759B}">
      <text>
        <r>
          <rPr>
            <sz val="9"/>
            <color indexed="81"/>
            <rFont val="Tahoma"/>
            <family val="2"/>
          </rPr>
          <t>Solver found a solution. All constraints and optimality conditions are satisfied.</t>
        </r>
      </text>
    </comment>
    <comment ref="B8" authorId="0" shapeId="0" xr:uid="{77195CF2-CA9A-4383-9613-D0F0A1B282D6}">
      <text>
        <r>
          <rPr>
            <sz val="9"/>
            <color indexed="81"/>
            <rFont val="Tahoma"/>
            <family val="2"/>
          </rPr>
          <t>Solver found a solution. All constraints and optimality conditions are satisfied.</t>
        </r>
      </text>
    </comment>
    <comment ref="B9" authorId="0" shapeId="0" xr:uid="{1ED1C9B5-A07F-4648-81B7-1B80DDA3993E}">
      <text>
        <r>
          <rPr>
            <sz val="9"/>
            <color indexed="81"/>
            <rFont val="Tahoma"/>
            <family val="2"/>
          </rPr>
          <t>Solver found a solution. All constraints and optimality conditions are satisfied.</t>
        </r>
      </text>
    </comment>
    <comment ref="B10" authorId="0" shapeId="0" xr:uid="{6B492465-76D7-499B-915D-5C71FC94076E}">
      <text>
        <r>
          <rPr>
            <sz val="9"/>
            <color indexed="81"/>
            <rFont val="Tahoma"/>
            <family val="2"/>
          </rPr>
          <t>Solver found a solution. All constraints and optimality conditions are satisfied.</t>
        </r>
      </text>
    </comment>
    <comment ref="B11" authorId="0" shapeId="0" xr:uid="{EAB711B3-AF5E-4497-A6D0-E27ED509A7B1}">
      <text>
        <r>
          <rPr>
            <sz val="9"/>
            <color indexed="81"/>
            <rFont val="Tahoma"/>
            <family val="2"/>
          </rPr>
          <t>Solver found a solution. All constraints and optimality conditions are satisfied.</t>
        </r>
      </text>
    </comment>
    <comment ref="B12" authorId="0" shapeId="0" xr:uid="{2AFA758F-217A-43BA-B013-0F0B72B6C316}">
      <text>
        <r>
          <rPr>
            <sz val="9"/>
            <color indexed="81"/>
            <rFont val="Tahoma"/>
            <family val="2"/>
          </rPr>
          <t>Solver found a solution. All constraints and optimality conditions are satisfied.</t>
        </r>
      </text>
    </comment>
    <comment ref="B13" authorId="0" shapeId="0" xr:uid="{34BF5D7A-88CD-422D-A56D-574296F8CE71}">
      <text>
        <r>
          <rPr>
            <sz val="9"/>
            <color indexed="81"/>
            <rFont val="Tahoma"/>
            <family val="2"/>
          </rPr>
          <t>Solver found a solution. All constraints and optimality conditions are satisfied.</t>
        </r>
      </text>
    </comment>
    <comment ref="B14" authorId="0" shapeId="0" xr:uid="{BA0F31F3-6786-4D12-998F-619F88FE1B93}">
      <text>
        <r>
          <rPr>
            <sz val="9"/>
            <color indexed="81"/>
            <rFont val="Tahoma"/>
            <family val="2"/>
          </rPr>
          <t>Solver found a solution. All constraints and optimality conditions are satisfied.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Ashutosh Mishra</author>
  </authors>
  <commentList>
    <comment ref="B5" authorId="0" shapeId="0" xr:uid="{E38E8876-7319-4E14-A51B-B896966ECE2F}">
      <text>
        <r>
          <rPr>
            <sz val="9"/>
            <color indexed="81"/>
            <rFont val="Tahoma"/>
            <family val="2"/>
          </rPr>
          <t>Solver found a solution. All constraints and optimality conditions are satisfied.</t>
        </r>
      </text>
    </comment>
    <comment ref="B6" authorId="0" shapeId="0" xr:uid="{822504F3-35C9-4604-A66B-45176EE1E6F2}">
      <text>
        <r>
          <rPr>
            <sz val="9"/>
            <color indexed="81"/>
            <rFont val="Tahoma"/>
            <family val="2"/>
          </rPr>
          <t>Solver found a solution. All constraints and optimality conditions are satisfied.</t>
        </r>
      </text>
    </comment>
    <comment ref="B7" authorId="0" shapeId="0" xr:uid="{142AAD33-3F40-4B6A-92E1-4637C0982BF3}">
      <text>
        <r>
          <rPr>
            <sz val="9"/>
            <color indexed="81"/>
            <rFont val="Tahoma"/>
            <family val="2"/>
          </rPr>
          <t>Solver found a solution. All constraints and optimality conditions are satisfied.</t>
        </r>
      </text>
    </comment>
    <comment ref="B8" authorId="0" shapeId="0" xr:uid="{2575F54C-D918-4071-A1B9-CE1E5A0D3DB3}">
      <text>
        <r>
          <rPr>
            <sz val="9"/>
            <color indexed="81"/>
            <rFont val="Tahoma"/>
            <family val="2"/>
          </rPr>
          <t>Solver found a solution. All constraints and optimality conditions are satisfied.</t>
        </r>
      </text>
    </comment>
    <comment ref="B9" authorId="0" shapeId="0" xr:uid="{7E5E2C92-8046-45D9-9C00-01F0AF179319}">
      <text>
        <r>
          <rPr>
            <sz val="9"/>
            <color indexed="81"/>
            <rFont val="Tahoma"/>
            <family val="2"/>
          </rPr>
          <t>Solver found a solution. All constraints and optimality conditions are satisfied.</t>
        </r>
      </text>
    </comment>
    <comment ref="B10" authorId="0" shapeId="0" xr:uid="{A402FE71-B743-4116-A01F-C610E9D9CBBD}">
      <text>
        <r>
          <rPr>
            <sz val="9"/>
            <color indexed="81"/>
            <rFont val="Tahoma"/>
            <family val="2"/>
          </rPr>
          <t>Solver found a solution. All constraints and optimality conditions are satisfied.</t>
        </r>
      </text>
    </comment>
    <comment ref="B11" authorId="0" shapeId="0" xr:uid="{EFB507C0-590B-4AD3-B52B-57D2FA7D4939}">
      <text>
        <r>
          <rPr>
            <sz val="9"/>
            <color indexed="81"/>
            <rFont val="Tahoma"/>
            <family val="2"/>
          </rPr>
          <t>Solver found a solution. All constraints and optimality conditions are satisfied.</t>
        </r>
      </text>
    </comment>
    <comment ref="B12" authorId="0" shapeId="0" xr:uid="{517967B9-0F8C-4D61-9424-E0A52CC89262}">
      <text>
        <r>
          <rPr>
            <sz val="9"/>
            <color indexed="81"/>
            <rFont val="Tahoma"/>
            <family val="2"/>
          </rPr>
          <t>Solver found a solution. All constraints and optimality conditions are satisfied.</t>
        </r>
      </text>
    </comment>
    <comment ref="B13" authorId="0" shapeId="0" xr:uid="{8DA681DA-D8AF-4493-A8F5-A28349342834}">
      <text>
        <r>
          <rPr>
            <sz val="9"/>
            <color indexed="81"/>
            <rFont val="Tahoma"/>
            <family val="2"/>
          </rPr>
          <t>Solver found a solution. All constraints and optimality conditions are satisfied.</t>
        </r>
      </text>
    </comment>
    <comment ref="B14" authorId="0" shapeId="0" xr:uid="{2DAF7063-9A60-4E8E-A452-5B9D4A398FA5}">
      <text>
        <r>
          <rPr>
            <sz val="9"/>
            <color indexed="81"/>
            <rFont val="Tahoma"/>
            <family val="2"/>
          </rPr>
          <t>Solver found a solution. All constraints and optimality conditions are satisfied.</t>
        </r>
      </text>
    </comment>
    <comment ref="B15" authorId="0" shapeId="0" xr:uid="{2AABC3A4-6B17-40DB-AA27-7E103E2B04A9}">
      <text>
        <r>
          <rPr>
            <sz val="9"/>
            <color indexed="81"/>
            <rFont val="Tahoma"/>
            <family val="2"/>
          </rPr>
          <t>Solver found a solution. All constraints and optimality conditions are satisfied.</t>
        </r>
      </text>
    </comment>
    <comment ref="B16" authorId="0" shapeId="0" xr:uid="{76EFC321-E5DB-47C3-94CC-730214A78490}">
      <text>
        <r>
          <rPr>
            <sz val="9"/>
            <color indexed="81"/>
            <rFont val="Tahoma"/>
            <family val="2"/>
          </rPr>
          <t>Solver found a solution. All constraints and optimality conditions are satisfied.</t>
        </r>
      </text>
    </comment>
    <comment ref="B17" authorId="0" shapeId="0" xr:uid="{331495A5-47C6-4F28-B88B-9A5D77594469}">
      <text>
        <r>
          <rPr>
            <sz val="9"/>
            <color indexed="81"/>
            <rFont val="Tahoma"/>
            <family val="2"/>
          </rPr>
          <t>Solver found a solution. All constraints and optimality conditions are satisfied.</t>
        </r>
      </text>
    </comment>
    <comment ref="B18" authorId="0" shapeId="0" xr:uid="{B24E5581-82A4-45BC-B440-BA4E8C934229}">
      <text>
        <r>
          <rPr>
            <sz val="9"/>
            <color indexed="81"/>
            <rFont val="Tahoma"/>
            <family val="2"/>
          </rPr>
          <t>Solver found a solution. All constraints and optimality conditions are satisfied.</t>
        </r>
      </text>
    </comment>
    <comment ref="B19" authorId="0" shapeId="0" xr:uid="{C5AC0402-83CD-4D48-BE57-AC838343331A}">
      <text>
        <r>
          <rPr>
            <sz val="9"/>
            <color indexed="81"/>
            <rFont val="Tahoma"/>
            <family val="2"/>
          </rPr>
          <t>Solver found a solution. All constraints and optimality conditions are satisfied.</t>
        </r>
      </text>
    </comment>
    <comment ref="B20" authorId="0" shapeId="0" xr:uid="{CD54B0C1-B50D-4DBF-A53E-2CE700D8E204}">
      <text>
        <r>
          <rPr>
            <sz val="9"/>
            <color indexed="81"/>
            <rFont val="Tahoma"/>
            <family val="2"/>
          </rPr>
          <t>Solver found a solution. All constraints and optimality conditions are satisfied.</t>
        </r>
      </text>
    </comment>
    <comment ref="B21" authorId="0" shapeId="0" xr:uid="{FD49C9C2-9AC2-45F0-9980-17D3465F3E66}">
      <text>
        <r>
          <rPr>
            <sz val="9"/>
            <color indexed="81"/>
            <rFont val="Tahoma"/>
            <family val="2"/>
          </rPr>
          <t>Solver found a solution. All constraints and optimality conditions are satisfied.</t>
        </r>
      </text>
    </comment>
    <comment ref="B22" authorId="0" shapeId="0" xr:uid="{C5A57561-FC21-440F-947B-4961D22A5D95}">
      <text>
        <r>
          <rPr>
            <sz val="9"/>
            <color indexed="81"/>
            <rFont val="Tahoma"/>
            <family val="2"/>
          </rPr>
          <t>Solver found a solution. All constraints and optimality conditions are satisfied.</t>
        </r>
      </text>
    </comment>
    <comment ref="B23" authorId="0" shapeId="0" xr:uid="{FDB6C32D-8F0C-4A06-AEDB-F708709CB62C}">
      <text>
        <r>
          <rPr>
            <sz val="9"/>
            <color indexed="81"/>
            <rFont val="Tahoma"/>
            <family val="2"/>
          </rPr>
          <t>Solver found a solution. All constraints and optimality conditions are satisfied.</t>
        </r>
      </text>
    </comment>
    <comment ref="B24" authorId="0" shapeId="0" xr:uid="{5D9231EE-560A-4B0F-A868-29B084598BB4}">
      <text>
        <r>
          <rPr>
            <sz val="9"/>
            <color indexed="81"/>
            <rFont val="Tahoma"/>
            <family val="2"/>
          </rPr>
          <t>Solver found a solution. All constraints and optimality conditions are satisfied.</t>
        </r>
      </text>
    </comment>
    <comment ref="B25" authorId="0" shapeId="0" xr:uid="{12653294-EF53-4F8A-8C7A-9B53E6716CC1}">
      <text>
        <r>
          <rPr>
            <sz val="9"/>
            <color indexed="81"/>
            <rFont val="Tahoma"/>
            <family val="2"/>
          </rPr>
          <t>Solver found a solution. All constraints and optimality conditions are satisfied.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Ashutosh Mishra</author>
  </authors>
  <commentList>
    <comment ref="B5" authorId="0" shapeId="0" xr:uid="{68AC7781-6236-49B6-BC4D-E549214BA0DC}">
      <text>
        <r>
          <rPr>
            <sz val="9"/>
            <color indexed="81"/>
            <rFont val="Tahoma"/>
            <family val="2"/>
          </rPr>
          <t>Solver found a solution. All constraints and optimality conditions are satisfied.</t>
        </r>
      </text>
    </comment>
    <comment ref="B6" authorId="0" shapeId="0" xr:uid="{640E7412-AF57-421C-956E-625A728BA9CC}">
      <text>
        <r>
          <rPr>
            <sz val="9"/>
            <color indexed="81"/>
            <rFont val="Tahoma"/>
            <family val="2"/>
          </rPr>
          <t>Solver found a solution. All constraints and optimality conditions are satisfied.</t>
        </r>
      </text>
    </comment>
    <comment ref="B7" authorId="0" shapeId="0" xr:uid="{8F46D9D4-8177-4494-AD16-26CAD33B6430}">
      <text>
        <r>
          <rPr>
            <sz val="9"/>
            <color indexed="81"/>
            <rFont val="Tahoma"/>
            <family val="2"/>
          </rPr>
          <t>Solver found a solution. All constraints and optimality conditions are satisfied.</t>
        </r>
      </text>
    </comment>
    <comment ref="B8" authorId="0" shapeId="0" xr:uid="{9B41E936-B74D-4211-B551-D6444FB511C1}">
      <text>
        <r>
          <rPr>
            <sz val="9"/>
            <color indexed="81"/>
            <rFont val="Tahoma"/>
            <family val="2"/>
          </rPr>
          <t>Solver found a solution. All constraints and optimality conditions are satisfied.</t>
        </r>
      </text>
    </comment>
    <comment ref="B9" authorId="0" shapeId="0" xr:uid="{63605A10-1009-4A67-9052-419A12D48E4A}">
      <text>
        <r>
          <rPr>
            <sz val="9"/>
            <color indexed="81"/>
            <rFont val="Tahoma"/>
            <family val="2"/>
          </rPr>
          <t>Solver found a solution. All constraints and optimality conditions are satisfied.</t>
        </r>
      </text>
    </comment>
    <comment ref="B10" authorId="0" shapeId="0" xr:uid="{1B2D55F2-AEC4-443A-A924-ACFB9B1D2ED6}">
      <text>
        <r>
          <rPr>
            <sz val="9"/>
            <color indexed="81"/>
            <rFont val="Tahoma"/>
            <family val="2"/>
          </rPr>
          <t>Solver found a solution. All constraints and optimality conditions are satisfied.</t>
        </r>
      </text>
    </comment>
    <comment ref="B11" authorId="0" shapeId="0" xr:uid="{1FEDA4BC-34CF-4019-8E24-376859A63B03}">
      <text>
        <r>
          <rPr>
            <sz val="9"/>
            <color indexed="81"/>
            <rFont val="Tahoma"/>
            <family val="2"/>
          </rPr>
          <t>Solver found a solution. All constraints and optimality conditions are satisfied.</t>
        </r>
      </text>
    </comment>
    <comment ref="B12" authorId="0" shapeId="0" xr:uid="{310C7603-3E4A-4253-9A24-CC3FD5BA5DB3}">
      <text>
        <r>
          <rPr>
            <sz val="9"/>
            <color indexed="81"/>
            <rFont val="Tahoma"/>
            <family val="2"/>
          </rPr>
          <t>Solver found a solution. All constraints and optimality conditions are satisfied.</t>
        </r>
      </text>
    </comment>
    <comment ref="B13" authorId="0" shapeId="0" xr:uid="{CD5F6802-8B54-4935-A3A8-7B5BF1424FA6}">
      <text>
        <r>
          <rPr>
            <sz val="9"/>
            <color indexed="81"/>
            <rFont val="Tahoma"/>
            <family val="2"/>
          </rPr>
          <t>Solver found a solution. All constraints and optimality conditions are satisfied.</t>
        </r>
      </text>
    </comment>
    <comment ref="B14" authorId="0" shapeId="0" xr:uid="{F1074128-22BA-41A2-917D-0B52F10322D3}">
      <text>
        <r>
          <rPr>
            <sz val="9"/>
            <color indexed="81"/>
            <rFont val="Tahoma"/>
            <family val="2"/>
          </rPr>
          <t>Solver found a solution. All constraints and optimality conditions are satisfied.</t>
        </r>
      </text>
    </comment>
    <comment ref="B15" authorId="0" shapeId="0" xr:uid="{2852B7D5-FB43-4E0F-AF5E-50B76846A108}">
      <text>
        <r>
          <rPr>
            <sz val="9"/>
            <color indexed="81"/>
            <rFont val="Tahoma"/>
            <family val="2"/>
          </rPr>
          <t>Solver found a solution. All constraints and optimality conditions are satisfied.</t>
        </r>
      </text>
    </comment>
    <comment ref="B16" authorId="0" shapeId="0" xr:uid="{E0432DB7-2D14-47F5-9710-FC8D2E737F80}">
      <text>
        <r>
          <rPr>
            <sz val="9"/>
            <color indexed="81"/>
            <rFont val="Tahoma"/>
            <family val="2"/>
          </rPr>
          <t>Solver found a solution. All constraints and optimality conditions are satisfied.</t>
        </r>
      </text>
    </comment>
    <comment ref="B17" authorId="0" shapeId="0" xr:uid="{2A775151-3E33-4F7A-ADDB-B6B7D3DDBC24}">
      <text>
        <r>
          <rPr>
            <sz val="9"/>
            <color indexed="81"/>
            <rFont val="Tahoma"/>
            <family val="2"/>
          </rPr>
          <t>Solver found a solution. All constraints and optimality conditions are satisfied.</t>
        </r>
      </text>
    </comment>
    <comment ref="B18" authorId="0" shapeId="0" xr:uid="{E94A3EAD-8969-40FA-A44D-4AA1D707E800}">
      <text>
        <r>
          <rPr>
            <sz val="9"/>
            <color indexed="81"/>
            <rFont val="Tahoma"/>
            <family val="2"/>
          </rPr>
          <t>Solver found a solution. All constraints and optimality conditions are satisfied.</t>
        </r>
      </text>
    </comment>
    <comment ref="B19" authorId="0" shapeId="0" xr:uid="{3E85069D-53B9-440F-BE50-A5E556AD137E}">
      <text>
        <r>
          <rPr>
            <sz val="9"/>
            <color indexed="81"/>
            <rFont val="Tahoma"/>
            <family val="2"/>
          </rPr>
          <t>Solver found a solution. All constraints and optimality conditions are satisfied.</t>
        </r>
      </text>
    </comment>
    <comment ref="B20" authorId="0" shapeId="0" xr:uid="{2CE7B431-14C5-42AE-9D46-807CC3435D9D}">
      <text>
        <r>
          <rPr>
            <sz val="9"/>
            <color indexed="81"/>
            <rFont val="Tahoma"/>
            <family val="2"/>
          </rPr>
          <t>Solver found a solution. All constraints and optimality conditions are satisfied.</t>
        </r>
      </text>
    </comment>
    <comment ref="B21" authorId="0" shapeId="0" xr:uid="{600DED7E-FC1D-4F49-A9B8-E8AC7F552C28}">
      <text>
        <r>
          <rPr>
            <sz val="9"/>
            <color indexed="81"/>
            <rFont val="Tahoma"/>
            <family val="2"/>
          </rPr>
          <t>Solver found a solution. All constraints and optimality conditions are satisfied.</t>
        </r>
      </text>
    </comment>
    <comment ref="B22" authorId="0" shapeId="0" xr:uid="{A164FC2A-32B3-4F5D-8F76-DC9A7E145E73}">
      <text>
        <r>
          <rPr>
            <sz val="9"/>
            <color indexed="81"/>
            <rFont val="Tahoma"/>
            <family val="2"/>
          </rPr>
          <t>Solver found a solution. All constraints and optimality conditions are satisfied.</t>
        </r>
      </text>
    </comment>
    <comment ref="B23" authorId="0" shapeId="0" xr:uid="{87DACF85-6DF4-40B1-ACB0-D4E6ED98D9C1}">
      <text>
        <r>
          <rPr>
            <sz val="9"/>
            <color indexed="81"/>
            <rFont val="Tahoma"/>
            <family val="2"/>
          </rPr>
          <t>Solver found a solution. All constraints and optimality conditions are satisfied.</t>
        </r>
      </text>
    </comment>
    <comment ref="B24" authorId="0" shapeId="0" xr:uid="{321F082B-C7B4-4827-AD80-85AB3AD7EAE6}">
      <text>
        <r>
          <rPr>
            <sz val="9"/>
            <color indexed="81"/>
            <rFont val="Tahoma"/>
            <family val="2"/>
          </rPr>
          <t>Solver found a solution. All constraints and optimality conditions are satisfied.</t>
        </r>
      </text>
    </comment>
    <comment ref="B25" authorId="0" shapeId="0" xr:uid="{6BEBDCED-7ED3-41E7-836A-A452E21BA8B7}">
      <text>
        <r>
          <rPr>
            <sz val="9"/>
            <color indexed="81"/>
            <rFont val="Tahoma"/>
            <family val="2"/>
          </rPr>
          <t>Solver found a solution. All constraints and optimality conditions are satisfied.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Ashutosh Mishra</author>
  </authors>
  <commentList>
    <comment ref="B5" authorId="0" shapeId="0" xr:uid="{9F0C3270-0A11-40C0-AB3D-4AC450F0F849}">
      <text>
        <r>
          <rPr>
            <sz val="9"/>
            <color indexed="81"/>
            <rFont val="Tahoma"/>
            <family val="2"/>
          </rPr>
          <t>Solver found a solution. All constraints and optimality conditions are satisfied.</t>
        </r>
      </text>
    </comment>
    <comment ref="B6" authorId="0" shapeId="0" xr:uid="{8FE732D3-7E74-493B-868A-46F33621BEBE}">
      <text>
        <r>
          <rPr>
            <sz val="9"/>
            <color indexed="81"/>
            <rFont val="Tahoma"/>
            <family val="2"/>
          </rPr>
          <t>Solver found a solution. All constraints and optimality conditions are satisfied.</t>
        </r>
      </text>
    </comment>
    <comment ref="B7" authorId="0" shapeId="0" xr:uid="{8E4F384E-C93E-412A-953D-D1F8EE4DBD23}">
      <text>
        <r>
          <rPr>
            <sz val="9"/>
            <color indexed="81"/>
            <rFont val="Tahoma"/>
            <family val="2"/>
          </rPr>
          <t>Solver found a solution. All constraints and optimality conditions are satisfied.</t>
        </r>
      </text>
    </comment>
    <comment ref="B8" authorId="0" shapeId="0" xr:uid="{30CC01BE-8AE5-4547-951A-F3C44B721B3E}">
      <text>
        <r>
          <rPr>
            <sz val="9"/>
            <color indexed="81"/>
            <rFont val="Tahoma"/>
            <family val="2"/>
          </rPr>
          <t>Solver found a solution. All constraints and optimality conditions are satisfied.</t>
        </r>
      </text>
    </comment>
    <comment ref="B9" authorId="0" shapeId="0" xr:uid="{230F9ECA-2230-4488-BE96-9DD7AEB34311}">
      <text>
        <r>
          <rPr>
            <sz val="9"/>
            <color indexed="81"/>
            <rFont val="Tahoma"/>
            <family val="2"/>
          </rPr>
          <t>Solver found a solution. All constraints and optimality conditions are satisfied.</t>
        </r>
      </text>
    </comment>
    <comment ref="B10" authorId="0" shapeId="0" xr:uid="{90272A72-0D6E-4493-86B2-B5A568FE96B1}">
      <text>
        <r>
          <rPr>
            <sz val="9"/>
            <color indexed="81"/>
            <rFont val="Tahoma"/>
            <family val="2"/>
          </rPr>
          <t>Solver found a solution. All constraints and optimality conditions are satisfied.</t>
        </r>
      </text>
    </comment>
    <comment ref="B11" authorId="0" shapeId="0" xr:uid="{77D34F22-1A73-48BE-8383-4C5CE7B44D56}">
      <text>
        <r>
          <rPr>
            <sz val="9"/>
            <color indexed="81"/>
            <rFont val="Tahoma"/>
            <family val="2"/>
          </rPr>
          <t>Solver found a solution. All constraints and optimality conditions are satisfied.</t>
        </r>
      </text>
    </comment>
    <comment ref="B12" authorId="0" shapeId="0" xr:uid="{3CF24705-6CE4-41E5-B02F-11580FEAFD81}">
      <text>
        <r>
          <rPr>
            <sz val="9"/>
            <color indexed="81"/>
            <rFont val="Tahoma"/>
            <family val="2"/>
          </rPr>
          <t>Solver found a solution. All constraints and optimality conditions are satisfied.</t>
        </r>
      </text>
    </comment>
    <comment ref="B13" authorId="0" shapeId="0" xr:uid="{E7DDB68E-A340-400A-93C9-2FFCD941091E}">
      <text>
        <r>
          <rPr>
            <sz val="9"/>
            <color indexed="81"/>
            <rFont val="Tahoma"/>
            <family val="2"/>
          </rPr>
          <t>Solver found a solution. All constraints and optimality conditions are satisfied.</t>
        </r>
      </text>
    </comment>
    <comment ref="B14" authorId="0" shapeId="0" xr:uid="{2BF457B7-F73A-4CDB-8BEA-1E1DDBE5CF39}">
      <text>
        <r>
          <rPr>
            <sz val="9"/>
            <color indexed="81"/>
            <rFont val="Tahoma"/>
            <family val="2"/>
          </rPr>
          <t>Solver found a solution. All constraints and optimality conditions are satisfied.</t>
        </r>
      </text>
    </comment>
  </commentList>
</comments>
</file>

<file path=xl/sharedStrings.xml><?xml version="1.0" encoding="utf-8"?>
<sst xmlns="http://schemas.openxmlformats.org/spreadsheetml/2006/main" count="520" uniqueCount="319">
  <si>
    <t>NASA data</t>
  </si>
  <si>
    <t>Data on items</t>
  </si>
  <si>
    <t>Item 1</t>
  </si>
  <si>
    <t>Item 2</t>
  </si>
  <si>
    <t>Item 3</t>
  </si>
  <si>
    <t>Benefit</t>
  </si>
  <si>
    <t>Weight</t>
  </si>
  <si>
    <t>Objective:</t>
  </si>
  <si>
    <t xml:space="preserve">Finding out how many of each item should be taken </t>
  </si>
  <si>
    <t>Constraints:</t>
  </si>
  <si>
    <t>Total weight is less than 2000 pounds</t>
  </si>
  <si>
    <t>Atleast one item from each category is sent.</t>
  </si>
  <si>
    <t>Decision variables:</t>
  </si>
  <si>
    <t>No of items to be sent from each item category</t>
  </si>
  <si>
    <t>No of items</t>
  </si>
  <si>
    <t>Total weight</t>
  </si>
  <si>
    <t>maximum weight</t>
  </si>
  <si>
    <t>Total benefit</t>
  </si>
  <si>
    <t>Min Items</t>
  </si>
  <si>
    <t>$D$22</t>
  </si>
  <si>
    <t>$B$24</t>
  </si>
  <si>
    <t>maximum weight allowed</t>
  </si>
  <si>
    <t>Oneway analysis for Solver model in 6.42 worksheet</t>
  </si>
  <si>
    <t>maximum weight allowed (cell $D$22) values along side, output cell(s) along top</t>
  </si>
  <si>
    <t>Total_benefit</t>
  </si>
  <si>
    <t>Data for chart</t>
  </si>
  <si>
    <t>Cell Names</t>
  </si>
  <si>
    <t>='6.42'!$B$5:$D$5</t>
  </si>
  <si>
    <t>maximum_weight</t>
  </si>
  <si>
    <t>='6.42'!$D$22</t>
  </si>
  <si>
    <t>Min_Items</t>
  </si>
  <si>
    <t>='6.42'!$B$19:$D$19</t>
  </si>
  <si>
    <t>No_of_items</t>
  </si>
  <si>
    <t>='6.42'!$B$17:$D$17</t>
  </si>
  <si>
    <t>='6.42'!$B$24</t>
  </si>
  <si>
    <t>Total_weight</t>
  </si>
  <si>
    <t>='6.42'!$B$22</t>
  </si>
  <si>
    <t>='6.42'!$B$6:$D$6</t>
  </si>
  <si>
    <t>Cell Name</t>
  </si>
  <si>
    <t>Warehouse data</t>
  </si>
  <si>
    <t>Unit production and shipping costs</t>
  </si>
  <si>
    <t>To</t>
  </si>
  <si>
    <t>Region 1</t>
  </si>
  <si>
    <t>Region 2</t>
  </si>
  <si>
    <t>Region 3</t>
  </si>
  <si>
    <t>From</t>
  </si>
  <si>
    <t>NY</t>
  </si>
  <si>
    <t>LA</t>
  </si>
  <si>
    <t>Chicago</t>
  </si>
  <si>
    <t>Atlanta</t>
  </si>
  <si>
    <t>Fixed Cost</t>
  </si>
  <si>
    <t>Capacity</t>
  </si>
  <si>
    <t>Objective</t>
  </si>
  <si>
    <t>Minimize total weekly cost of operations of warehouse</t>
  </si>
  <si>
    <t>Constraints</t>
  </si>
  <si>
    <t>1. If New york is open , LA is also open</t>
  </si>
  <si>
    <t xml:space="preserve">2. At most two warehouses are open </t>
  </si>
  <si>
    <t>3. Either Atlanta or LA warehouse is open</t>
  </si>
  <si>
    <t>DV:</t>
  </si>
  <si>
    <t>1. IsWareHouseOpen (x4)</t>
  </si>
  <si>
    <t>2. No of units shipped from warehouse to each region</t>
  </si>
  <si>
    <t>IsWarehouseOpen</t>
  </si>
  <si>
    <t>Total</t>
  </si>
  <si>
    <t>Region 1_items</t>
  </si>
  <si>
    <t>Region 2_items</t>
  </si>
  <si>
    <t>Region 3_items</t>
  </si>
  <si>
    <t>Demand</t>
  </si>
  <si>
    <t xml:space="preserve">Total fixed costs/ week </t>
  </si>
  <si>
    <t>Total shipping and production cost/ week</t>
  </si>
  <si>
    <t xml:space="preserve">Total2 </t>
  </si>
  <si>
    <t>Total costs</t>
  </si>
  <si>
    <t>Maximum available capacity</t>
  </si>
  <si>
    <t>TotalWareHousesOpen</t>
  </si>
  <si>
    <t>MaxWareHouseOpen</t>
  </si>
  <si>
    <t>=</t>
  </si>
  <si>
    <t>IsEitherAtlantaOrLA_Open</t>
  </si>
  <si>
    <t>MaxLAorAtlanta</t>
  </si>
  <si>
    <t>≤</t>
  </si>
  <si>
    <t>≥</t>
  </si>
  <si>
    <t>EachPlantCapacity</t>
  </si>
  <si>
    <t>$H$2</t>
  </si>
  <si>
    <t/>
  </si>
  <si>
    <t>$D$32</t>
  </si>
  <si>
    <t>$B$37</t>
  </si>
  <si>
    <t>Each Plant Capacity</t>
  </si>
  <si>
    <t>Maximum Warehouse Open</t>
  </si>
  <si>
    <t>Twoway analysis for Solver model in 6.50 worksheet</t>
  </si>
  <si>
    <t>Each Plant Capacity (cell $H$2) values along side, Maximum Warehouse Open (cell $D$32) values along top, output cell in corner</t>
  </si>
  <si>
    <t>Output and Each Plant Capacity value for chart</t>
  </si>
  <si>
    <t>Output</t>
  </si>
  <si>
    <t>Each Plant Capacity value</t>
  </si>
  <si>
    <t>Output and Maximum Warehouse Open value for chart</t>
  </si>
  <si>
    <t>Maximum Warehouse Open value</t>
  </si>
  <si>
    <t>Not feasible</t>
  </si>
  <si>
    <t>Total_costs</t>
  </si>
  <si>
    <t>='6.50'!$G$6:$G$9</t>
  </si>
  <si>
    <t>cost_atlanta</t>
  </si>
  <si>
    <t>='6.50'!$C$9:$E$9</t>
  </si>
  <si>
    <t>cost_chicagi</t>
  </si>
  <si>
    <t>='6.50'!$C$8:$E$8</t>
  </si>
  <si>
    <t>cost_chicago</t>
  </si>
  <si>
    <t>cost_LA</t>
  </si>
  <si>
    <t>='6.50'!$C$7:$E$7</t>
  </si>
  <si>
    <t>cost_matrix</t>
  </si>
  <si>
    <t>='6.50'!$C$6:$E$9</t>
  </si>
  <si>
    <t>cost_NY</t>
  </si>
  <si>
    <t>='6.50'!$C$6:$E$6</t>
  </si>
  <si>
    <t>='6.50'!$D$29:$F$29</t>
  </si>
  <si>
    <t>='6.50'!$H$2</t>
  </si>
  <si>
    <t>Fixed_Cost</t>
  </si>
  <si>
    <t>='6.50'!$F$6:$F$9</t>
  </si>
  <si>
    <t>isAtlanta_OpenOrClosed</t>
  </si>
  <si>
    <t>='6.50'!$C$26</t>
  </si>
  <si>
    <t>isChicago_OpenOrClosed</t>
  </si>
  <si>
    <t>='6.50'!$C$25</t>
  </si>
  <si>
    <t>='6.50'!$B$33</t>
  </si>
  <si>
    <t>isLA_OpenorClosed</t>
  </si>
  <si>
    <t>='6.50'!$C$24</t>
  </si>
  <si>
    <t>isNY_OpenorClosed</t>
  </si>
  <si>
    <t>='6.50'!$C$23</t>
  </si>
  <si>
    <t>='6.50'!$C$23:$C$26</t>
  </si>
  <si>
    <t>item_matrix</t>
  </si>
  <si>
    <t>='6.50'!$D$23:$F$26</t>
  </si>
  <si>
    <t>Maximum_available_capacity</t>
  </si>
  <si>
    <t>='6.50'!$I$23:$I$26</t>
  </si>
  <si>
    <t>='6.50'!$D$33</t>
  </si>
  <si>
    <t>='6.50'!$D$32</t>
  </si>
  <si>
    <t>Region_1</t>
  </si>
  <si>
    <t>='6.50'!$C$6:$C$9</t>
  </si>
  <si>
    <t>Region_1_items</t>
  </si>
  <si>
    <t>='6.50'!$D$23:$D$26</t>
  </si>
  <si>
    <t>Region_2</t>
  </si>
  <si>
    <t>='6.50'!$D$6:$D$9</t>
  </si>
  <si>
    <t>Region_2_items</t>
  </si>
  <si>
    <t>='6.50'!$E$23:$E$26</t>
  </si>
  <si>
    <t>Region_3</t>
  </si>
  <si>
    <t>='6.50'!$E$6:$E$9</t>
  </si>
  <si>
    <t>Region_3_items</t>
  </si>
  <si>
    <t>='6.50'!$F$23:$F$26</t>
  </si>
  <si>
    <t>shipped_from_atlanta</t>
  </si>
  <si>
    <t>='6.50'!$D$26:$F$26</t>
  </si>
  <si>
    <t>shipped_from_chicago</t>
  </si>
  <si>
    <t>='6.50'!$D$25:$F$25</t>
  </si>
  <si>
    <t>shipped_from_LA</t>
  </si>
  <si>
    <t>='6.50'!$D$24:$F$24</t>
  </si>
  <si>
    <t>shipped_from_NY</t>
  </si>
  <si>
    <t>='6.50'!$D$23:$F$23</t>
  </si>
  <si>
    <t>solution_matrix</t>
  </si>
  <si>
    <t>='6.50'!$C$23:$F$26</t>
  </si>
  <si>
    <t>='6.50'!$D$27:$F$27</t>
  </si>
  <si>
    <t>='6.50'!$B$37</t>
  </si>
  <si>
    <t>Total_fixed_costs__week</t>
  </si>
  <si>
    <t>='6.50'!$B$35</t>
  </si>
  <si>
    <t>Total_shipping_and_production_cost__week</t>
  </si>
  <si>
    <t>='6.50'!$B$36</t>
  </si>
  <si>
    <t>Total2</t>
  </si>
  <si>
    <t>='6.50'!$G$23:$G$26</t>
  </si>
  <si>
    <t>='6.50'!$B$32</t>
  </si>
  <si>
    <t>Reference</t>
  </si>
  <si>
    <t>Ford auto data</t>
  </si>
  <si>
    <t>Variable costs (in $1000s)</t>
  </si>
  <si>
    <t>Focus</t>
  </si>
  <si>
    <t>Mustang</t>
  </si>
  <si>
    <t>Taurus</t>
  </si>
  <si>
    <t>Plant 1</t>
  </si>
  <si>
    <t>Plant 2</t>
  </si>
  <si>
    <t>Plant 3</t>
  </si>
  <si>
    <t>Plant 4</t>
  </si>
  <si>
    <t>Minimize annual cost of production of cars</t>
  </si>
  <si>
    <t>1. Each plant can produce only one kind of car</t>
  </si>
  <si>
    <t>2. Total production of one type of car must be at a single plant.</t>
  </si>
  <si>
    <t>3. Demand for each car = 5 million</t>
  </si>
  <si>
    <t>Deciding which plant will produce which type of car</t>
  </si>
  <si>
    <t>Total1</t>
  </si>
  <si>
    <t>Max Per Type</t>
  </si>
  <si>
    <t>Max Per Plant</t>
  </si>
  <si>
    <t>Plant 1_active</t>
  </si>
  <si>
    <t>Plant 2_active</t>
  </si>
  <si>
    <t>Plant 3_active</t>
  </si>
  <si>
    <t>Plant 4_active</t>
  </si>
  <si>
    <t>Focus_prod</t>
  </si>
  <si>
    <t>Mustang_prod</t>
  </si>
  <si>
    <t>Taurus_prod</t>
  </si>
  <si>
    <t>Fixed cost
(in $billions)</t>
  </si>
  <si>
    <t>Total Fixed production cost</t>
  </si>
  <si>
    <t>Demand for each type of car</t>
  </si>
  <si>
    <t>Total variable production cost</t>
  </si>
  <si>
    <t>Factor mutiplier</t>
  </si>
  <si>
    <t>Total final car prod cost</t>
  </si>
  <si>
    <t>billions</t>
  </si>
  <si>
    <t>Billion_Conversion</t>
  </si>
  <si>
    <t>Cell Names:</t>
  </si>
  <si>
    <t>='6.60'!$B$29</t>
  </si>
  <si>
    <t>car_prod_solution_matrix</t>
  </si>
  <si>
    <t>='6.60'!$B$20:$D$23</t>
  </si>
  <si>
    <t>Demand_for_each_type_of_car</t>
  </si>
  <si>
    <t>='6.60'!$B$27</t>
  </si>
  <si>
    <t>Factor_mutiplier</t>
  </si>
  <si>
    <t>='6.60'!$B$28</t>
  </si>
  <si>
    <t>Fixed_cost__in__billions</t>
  </si>
  <si>
    <t>='6.60'!$B$4:$B$8</t>
  </si>
  <si>
    <t>fixed_costs</t>
  </si>
  <si>
    <t>='6.60'!$B$5:$B$8</t>
  </si>
  <si>
    <t>='6.60'!$B$20:$B$23</t>
  </si>
  <si>
    <t>focus_variable</t>
  </si>
  <si>
    <t>='6.60'!$C$5:$C$8</t>
  </si>
  <si>
    <t>Max_Per_Plant</t>
  </si>
  <si>
    <t>='6.60'!$G$20:$G$23</t>
  </si>
  <si>
    <t>Max_Per_Type</t>
  </si>
  <si>
    <t>='6.60'!$B$26:$D$26</t>
  </si>
  <si>
    <t>='6.60'!$C$20:$C$23</t>
  </si>
  <si>
    <t>mustang_variable</t>
  </si>
  <si>
    <t>='6.60'!$D$5:$D$8</t>
  </si>
  <si>
    <t>Plant_1_active</t>
  </si>
  <si>
    <t>='6.60'!$B$20:$D$20</t>
  </si>
  <si>
    <t>Plant_2_active</t>
  </si>
  <si>
    <t>='6.60'!$B$21:$D$21</t>
  </si>
  <si>
    <t>Plant_3_active</t>
  </si>
  <si>
    <t>='6.60'!$B$22:$D$22</t>
  </si>
  <si>
    <t>Plant_4_active</t>
  </si>
  <si>
    <t>='6.60'!$B$23:$D$23</t>
  </si>
  <si>
    <t>='6.60'!$D$20:$D$23</t>
  </si>
  <si>
    <t>taurus_variable</t>
  </si>
  <si>
    <t>='6.60'!$E$5:$E$8</t>
  </si>
  <si>
    <t>Total_final_car_prod_cost</t>
  </si>
  <si>
    <t>='6.60'!$B$33</t>
  </si>
  <si>
    <t>Total_Fixed_production_cost</t>
  </si>
  <si>
    <t>='6.60'!$B$31</t>
  </si>
  <si>
    <t>Total_variable_production_cost</t>
  </si>
  <si>
    <t>='6.60'!$B$32</t>
  </si>
  <si>
    <t>='6.60'!$E$20:$E$23</t>
  </si>
  <si>
    <t>='6.60'!$B$24:$D$24</t>
  </si>
  <si>
    <t>$B$27</t>
  </si>
  <si>
    <t>$B$33</t>
  </si>
  <si>
    <t>Oneway analysis for Solver model in 6.60(a) worksheet</t>
  </si>
  <si>
    <t>variable cost of producing mustang in plant 4 (cell $D$8) values along side, output cell(s) along top</t>
  </si>
  <si>
    <t>Minimize power generation costs</t>
  </si>
  <si>
    <t>DV</t>
  </si>
  <si>
    <t>Add capacity or not in a year (binary*20)</t>
  </si>
  <si>
    <t>Amount of capacity to add</t>
  </si>
  <si>
    <t>Capacity requirement per year</t>
  </si>
  <si>
    <t>Max of 10,000 kwh can be added each year in capacity</t>
  </si>
  <si>
    <t>Fixed Cost Capacity Add</t>
  </si>
  <si>
    <t>Variable Cost of Capacity Add per KwH</t>
  </si>
  <si>
    <t>Variable Cost of Maintaining per KwH</t>
  </si>
  <si>
    <t>Production Cost per KwH</t>
  </si>
  <si>
    <t>Shortage Cost per KwH</t>
  </si>
  <si>
    <t>IsCapacityAdded</t>
  </si>
  <si>
    <t>CapacityAdded</t>
  </si>
  <si>
    <t>MaxCapacityAdded</t>
  </si>
  <si>
    <t>Initial Capacity</t>
  </si>
  <si>
    <t>Final Capacity</t>
  </si>
  <si>
    <t>Shortage</t>
  </si>
  <si>
    <t xml:space="preserve">Total fixed cost </t>
  </si>
  <si>
    <t>Total variable cost</t>
  </si>
  <si>
    <t>Total Maint. Cost</t>
  </si>
  <si>
    <t>Total Prod. Cost</t>
  </si>
  <si>
    <t>Total Shortage cost</t>
  </si>
  <si>
    <t>Total Final Cost</t>
  </si>
  <si>
    <t>Total_Final_Cost</t>
  </si>
  <si>
    <t>Big Number</t>
  </si>
  <si>
    <t>Forcing Constraint</t>
  </si>
  <si>
    <t>TrueCapacityAdded</t>
  </si>
  <si>
    <t>Amount Produced</t>
  </si>
  <si>
    <t>Projected
 Increase</t>
  </si>
  <si>
    <t>Minimum Shortage</t>
  </si>
  <si>
    <t>$B$12</t>
  </si>
  <si>
    <t>$B$8</t>
  </si>
  <si>
    <t>$B$40</t>
  </si>
  <si>
    <t>Shortage cost per kwh</t>
  </si>
  <si>
    <t>Fixed cost capacity add</t>
  </si>
  <si>
    <t>Oneway analysis for Solver model in 6.87 worksheet</t>
  </si>
  <si>
    <t>$G$9</t>
  </si>
  <si>
    <t>Projected increase</t>
  </si>
  <si>
    <t>Projected increase (cell $G$9) values along side, output cell(s) along top</t>
  </si>
  <si>
    <t>Amount_Produced</t>
  </si>
  <si>
    <t>='6.87'!$B$25:$U$25</t>
  </si>
  <si>
    <t>Big_Number</t>
  </si>
  <si>
    <t>='6.87'!$G$10</t>
  </si>
  <si>
    <t>='6.87'!$B$19:$U$19</t>
  </si>
  <si>
    <t>Final_Capacity</t>
  </si>
  <si>
    <t>='6.87'!$B$23:$U$23</t>
  </si>
  <si>
    <t>Fixed_Cost_Capacity_Add</t>
  </si>
  <si>
    <t>='6.87'!$B$8</t>
  </si>
  <si>
    <t>Forcing_Constraint</t>
  </si>
  <si>
    <t>='6.87'!$B$17:$U$17</t>
  </si>
  <si>
    <t>Initial_Capacity</t>
  </si>
  <si>
    <t>='6.87'!$B$22:$U$22</t>
  </si>
  <si>
    <t>='6.87'!$B$16:$U$16</t>
  </si>
  <si>
    <t>='6.87'!$B$21:$U$21</t>
  </si>
  <si>
    <t>Minimum_Shortage</t>
  </si>
  <si>
    <t>='6.87'!$B$32:$U$32</t>
  </si>
  <si>
    <t>Production_Cost_per_KwH</t>
  </si>
  <si>
    <t>='6.87'!$B$11</t>
  </si>
  <si>
    <t>Projected__Increase</t>
  </si>
  <si>
    <t>='6.87'!$G$9</t>
  </si>
  <si>
    <t>='6.87'!$B$30:$U$30</t>
  </si>
  <si>
    <t>Shortage_Cost_per_KwH</t>
  </si>
  <si>
    <t>='6.87'!$B$12</t>
  </si>
  <si>
    <t>='6.87'!$B$40</t>
  </si>
  <si>
    <t>Total_fixed_cost</t>
  </si>
  <si>
    <t>='6.87'!$A$35:$A$40</t>
  </si>
  <si>
    <t>Total_Maint._Cost</t>
  </si>
  <si>
    <t>='6.87'!$B$36</t>
  </si>
  <si>
    <t>Total_Prod._Cost</t>
  </si>
  <si>
    <t>='6.87'!$B$37</t>
  </si>
  <si>
    <t>Total_Shortage_cost</t>
  </si>
  <si>
    <t>='6.87'!$B$38</t>
  </si>
  <si>
    <t>Total_variable_cost</t>
  </si>
  <si>
    <t>='6.87'!$B$35</t>
  </si>
  <si>
    <t>='6.87'!#REF!</t>
  </si>
  <si>
    <t>Variable_Cost_of_Capacity_Add_per_KwH</t>
  </si>
  <si>
    <t>='6.87'!$B$9</t>
  </si>
  <si>
    <t>Variable_Cost_of_Maintaining_per_KwH</t>
  </si>
  <si>
    <t>='6.87'!$B$10</t>
  </si>
  <si>
    <t>Demand (cell $B$27) values along side, output cell(s) along top</t>
  </si>
  <si>
    <t>$C$8</t>
  </si>
  <si>
    <t>variable cost plant 4 focus</t>
  </si>
  <si>
    <t>variable cost plant 4 focus (cell $C$8) values along side, output cell(s) along top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</si>
</sst>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
    <numFmt numFmtId="165" formatCode="_(&quot;$&quot;* #,##0_);_(&quot;$&quot;* \(#,##0\);_(&quot;$&quot;* &quot;-&quot;??_);_(@_)"/>
  </numFmts>
  <fonts count="12" x14ac:knownFonts="1">
    <font>
      <sz val="11"/>
      <color theme="1"/>
      <name val="Calibri"/>
      <family val="2"/>
      <scheme val="minor"/>
    </font>
    <font>
      <sz val="11"/>
      <color theme="1"/>
      <name val="Calibri"/>
      <family val="2"/>
      <scheme val="minor"/>
    </font>
    <font>
      <b/>
      <sz val="11"/>
      <name val="Calibri"/>
      <family val="2"/>
    </font>
    <font>
      <sz val="11"/>
      <name val="Calibri"/>
      <family val="2"/>
    </font>
    <font>
      <sz val="11"/>
      <color rgb="FF006100"/>
      <name val="Calibri"/>
      <family val="2"/>
      <scheme val="minor"/>
    </font>
    <font>
      <b/>
      <sz val="11"/>
      <color theme="1"/>
      <name val="Calibri"/>
      <family val="2"/>
      <scheme val="minor"/>
    </font>
    <font>
      <sz val="8"/>
      <name val="Calibri"/>
      <family val="2"/>
      <scheme val="minor"/>
    </font>
    <font>
      <b/>
      <i/>
      <sz val="11"/>
      <name val="Calibri"/>
      <family val="2"/>
    </font>
    <font>
      <sz val="11"/>
      <color rgb="FFFFFFFF"/>
      <name val="Calibri"/>
      <family val="2"/>
      <scheme val="minor"/>
    </font>
    <font>
      <sz val="9"/>
      <color indexed="81"/>
      <name val="Tahoma"/>
      <family val="2"/>
    </font>
    <font>
      <b/>
      <i/>
      <sz val="11"/>
      <color theme="1"/>
      <name val="Calibri"/>
      <family val="2"/>
      <scheme val="minor"/>
    </font>
    <font>
      <sz val="11"/>
      <color theme="1"/>
      <name val="Calibri"/>
      <family val="2"/>
    </font>
  </fonts>
  <fills count="8">
    <fill>
      <patternFill patternType="none"/>
    </fill>
    <fill>
      <patternFill patternType="gray125"/>
    </fill>
    <fill>
      <patternFill patternType="solid">
        <fgColor theme="4" tint="0.59999389629810485"/>
        <bgColor indexed="65"/>
      </patternFill>
    </fill>
    <fill>
      <patternFill patternType="solid">
        <fgColor rgb="FFC6EFCE"/>
      </patternFill>
    </fill>
    <fill>
      <patternFill patternType="solid">
        <fgColor theme="5" tint="0.59999389629810485"/>
        <bgColor indexed="65"/>
      </patternFill>
    </fill>
    <fill>
      <patternFill patternType="solid">
        <fgColor theme="9" tint="0.59999389629810485"/>
        <bgColor indexed="64"/>
      </patternFill>
    </fill>
    <fill>
      <patternFill patternType="solid">
        <fgColor theme="6" tint="0.59999389629810485"/>
        <bgColor indexed="64"/>
      </patternFill>
    </fill>
    <fill>
      <patternFill patternType="solid">
        <fgColor indexed="47"/>
        <bgColor indexed="64"/>
      </patternFill>
    </fill>
  </fills>
  <borders count="12">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0" fontId="1" fillId="2" borderId="0" applyNumberFormat="0" applyBorder="0" applyAlignment="0" applyProtection="0"/>
    <xf numFmtId="44" fontId="1" fillId="0" borderId="0" applyFont="0" applyFill="0" applyBorder="0" applyAlignment="0" applyProtection="0"/>
    <xf numFmtId="0" fontId="4" fillId="3" borderId="0" applyNumberFormat="0" applyBorder="0" applyAlignment="0" applyProtection="0"/>
    <xf numFmtId="0" fontId="1" fillId="4" borderId="0" applyNumberFormat="0" applyBorder="0" applyAlignment="0" applyProtection="0"/>
  </cellStyleXfs>
  <cellXfs count="46">
    <xf numFmtId="0" fontId="0" fillId="0" borderId="0" xfId="0"/>
    <xf numFmtId="0" fontId="2" fillId="0" borderId="0" xfId="0" applyFont="1"/>
    <xf numFmtId="0" fontId="3" fillId="0" borderId="0" xfId="0" applyFont="1"/>
    <xf numFmtId="0" fontId="3" fillId="0" borderId="0" xfId="0" applyFont="1" applyAlignment="1">
      <alignment horizontal="right"/>
    </xf>
    <xf numFmtId="0" fontId="1" fillId="2" borderId="0" xfId="1"/>
    <xf numFmtId="0" fontId="1" fillId="4" borderId="0" xfId="4"/>
    <xf numFmtId="0" fontId="4" fillId="3" borderId="0" xfId="3"/>
    <xf numFmtId="0" fontId="7" fillId="0" borderId="0" xfId="0" applyFont="1"/>
    <xf numFmtId="49" fontId="0" fillId="0" borderId="0" xfId="0" applyNumberFormat="1"/>
    <xf numFmtId="0" fontId="5" fillId="0" borderId="0" xfId="0" applyFont="1"/>
    <xf numFmtId="0" fontId="0" fillId="0" borderId="0" xfId="0" applyAlignment="1">
      <alignment horizontal="right" textRotation="90"/>
    </xf>
    <xf numFmtId="0" fontId="0" fillId="5" borderId="0" xfId="0" applyFill="1" applyAlignment="1">
      <alignment horizontal="right" textRotation="90"/>
    </xf>
    <xf numFmtId="0" fontId="8" fillId="0" borderId="0" xfId="0" applyFont="1"/>
    <xf numFmtId="0" fontId="0" fillId="0" borderId="1" xfId="0" applyBorder="1"/>
    <xf numFmtId="0" fontId="0" fillId="0" borderId="2" xfId="0" applyBorder="1"/>
    <xf numFmtId="0" fontId="0" fillId="0" borderId="3" xfId="0" applyBorder="1"/>
    <xf numFmtId="0" fontId="10" fillId="0" borderId="0" xfId="0" applyFont="1"/>
    <xf numFmtId="0" fontId="3" fillId="0" borderId="0" xfId="0" applyFont="1" applyAlignment="1">
      <alignment horizontal="centerContinuous"/>
    </xf>
    <xf numFmtId="164" fontId="1" fillId="2" borderId="0" xfId="1" applyNumberFormat="1"/>
    <xf numFmtId="0" fontId="1" fillId="2" borderId="0" xfId="1" applyNumberFormat="1"/>
    <xf numFmtId="44" fontId="4" fillId="3" borderId="0" xfId="2" applyFont="1" applyFill="1"/>
    <xf numFmtId="44" fontId="0" fillId="0" borderId="0" xfId="2" applyFont="1"/>
    <xf numFmtId="0" fontId="11" fillId="0" borderId="0" xfId="0" applyFont="1" applyAlignment="1">
      <alignment horizontal="center"/>
    </xf>
    <xf numFmtId="0" fontId="0" fillId="0" borderId="0" xfId="0" applyAlignment="1">
      <alignment horizontal="center"/>
    </xf>
    <xf numFmtId="0" fontId="0" fillId="0" borderId="0" xfId="0" applyAlignment="1">
      <alignment horizontal="right"/>
    </xf>
    <xf numFmtId="0" fontId="0" fillId="6" borderId="0" xfId="0" applyFill="1"/>
    <xf numFmtId="0" fontId="0" fillId="7" borderId="4" xfId="0" applyFill="1" applyBorder="1"/>
    <xf numFmtId="0" fontId="0" fillId="7" borderId="7" xfId="0" applyFill="1" applyBorder="1"/>
    <xf numFmtId="44" fontId="0" fillId="0" borderId="7" xfId="0" applyNumberFormat="1" applyBorder="1"/>
    <xf numFmtId="44" fontId="0" fillId="0" borderId="9" xfId="0" applyNumberFormat="1" applyBorder="1"/>
    <xf numFmtId="44" fontId="0" fillId="0" borderId="5" xfId="0" applyNumberFormat="1" applyBorder="1"/>
    <xf numFmtId="44" fontId="0" fillId="0" borderId="0" xfId="0" applyNumberFormat="1"/>
    <xf numFmtId="44" fontId="0" fillId="0" borderId="10" xfId="0" applyNumberFormat="1" applyBorder="1"/>
    <xf numFmtId="44" fontId="0" fillId="0" borderId="6" xfId="0" applyNumberFormat="1" applyBorder="1"/>
    <xf numFmtId="44" fontId="0" fillId="0" borderId="8" xfId="0" applyNumberFormat="1" applyBorder="1"/>
    <xf numFmtId="44" fontId="0" fillId="0" borderId="11" xfId="0" applyNumberFormat="1" applyBorder="1"/>
    <xf numFmtId="44" fontId="1" fillId="2" borderId="0" xfId="2" applyFill="1"/>
    <xf numFmtId="44" fontId="4" fillId="3" borderId="0" xfId="3" applyNumberFormat="1"/>
    <xf numFmtId="44" fontId="0" fillId="0" borderId="1" xfId="0" applyNumberFormat="1" applyBorder="1"/>
    <xf numFmtId="44" fontId="0" fillId="0" borderId="2" xfId="0" applyNumberFormat="1" applyBorder="1"/>
    <xf numFmtId="44" fontId="0" fillId="0" borderId="3" xfId="0" applyNumberFormat="1" applyBorder="1"/>
    <xf numFmtId="0" fontId="5" fillId="0" borderId="0" xfId="0" applyFont="1" applyAlignment="1">
      <alignment wrapText="1"/>
    </xf>
    <xf numFmtId="0" fontId="0" fillId="0" borderId="0" xfId="0" applyAlignment="1">
      <alignment wrapText="1"/>
    </xf>
    <xf numFmtId="165" fontId="1" fillId="2" borderId="0" xfId="1" applyNumberFormat="1"/>
    <xf numFmtId="0" fontId="3" fillId="0" borderId="0" xfId="0" applyFont="1" applyAlignment="1">
      <alignment horizontal="center" wrapText="1"/>
    </xf>
    <xf numFmtId="0" fontId="3" fillId="0" borderId="0" xfId="0" applyFont="1" applyAlignment="1">
      <alignment horizontal="center"/>
    </xf>
  </cellXfs>
  <cellStyles count="5">
    <cellStyle name="40% - Accent1" xfId="1" builtinId="31"/>
    <cellStyle name="40% - Accent2" xfId="4" builtinId="35"/>
    <cellStyle name="Currency" xfId="2" builtinId="4"/>
    <cellStyle name="Good" xfId="3"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'6.42(Additional)'!$K$1</c:f>
          <c:strCache>
            <c:ptCount val="1"/>
            <c:pt idx="0">
              <c:v>Sensitivity of Total_benefit to maximum weight allowed</c:v>
            </c:pt>
          </c:strCache>
        </c:strRef>
      </c:tx>
      <c:overlay val="0"/>
      <c:txPr>
        <a:bodyPr/>
        <a:lstStyle/>
        <a:p>
          <a:pPr>
            <a:defRPr sz="1200"/>
          </a:pPr>
          <a:endParaRPr lang="en-US"/>
        </a:p>
      </c:txPr>
    </c:title>
    <c:autoTitleDeleted val="0"/>
    <c:plotArea>
      <c:layout/>
      <c:lineChart>
        <c:grouping val="standard"/>
        <c:varyColors val="0"/>
        <c:ser>
          <c:idx val="0"/>
          <c:order val="0"/>
          <c:cat>
            <c:numRef>
              <c:f>'6.42(Additional)'!$A$5:$A$10</c:f>
              <c:numCache>
                <c:formatCode>General</c:formatCode>
                <c:ptCount val="6"/>
                <c:pt idx="0">
                  <c:v>1500</c:v>
                </c:pt>
                <c:pt idx="1">
                  <c:v>1800</c:v>
                </c:pt>
                <c:pt idx="2">
                  <c:v>2100</c:v>
                </c:pt>
                <c:pt idx="3">
                  <c:v>2400</c:v>
                </c:pt>
                <c:pt idx="4">
                  <c:v>2700</c:v>
                </c:pt>
                <c:pt idx="5">
                  <c:v>3000</c:v>
                </c:pt>
              </c:numCache>
            </c:numRef>
          </c:cat>
          <c:val>
            <c:numRef>
              <c:f>'6.42(Additional)'!$K$5:$K$10</c:f>
              <c:numCache>
                <c:formatCode>General</c:formatCode>
                <c:ptCount val="6"/>
                <c:pt idx="0">
                  <c:v>59</c:v>
                </c:pt>
                <c:pt idx="1">
                  <c:v>71</c:v>
                </c:pt>
                <c:pt idx="2">
                  <c:v>83</c:v>
                </c:pt>
                <c:pt idx="3">
                  <c:v>95</c:v>
                </c:pt>
                <c:pt idx="4">
                  <c:v>107</c:v>
                </c:pt>
                <c:pt idx="5">
                  <c:v>119</c:v>
                </c:pt>
              </c:numCache>
            </c:numRef>
          </c:val>
          <c:smooth val="0"/>
          <c:extLst>
            <c:ext xmlns:c16="http://schemas.microsoft.com/office/drawing/2014/chart" uri="{C3380CC4-5D6E-409C-BE32-E72D297353CC}">
              <c16:uniqueId val="{00000001-7416-4E70-88DC-4ECF9053C1E3}"/>
            </c:ext>
          </c:extLst>
        </c:ser>
        <c:dLbls>
          <c:showLegendKey val="0"/>
          <c:showVal val="0"/>
          <c:showCatName val="0"/>
          <c:showSerName val="0"/>
          <c:showPercent val="0"/>
          <c:showBubbleSize val="0"/>
        </c:dLbls>
        <c:marker val="1"/>
        <c:smooth val="0"/>
        <c:axId val="657161232"/>
        <c:axId val="657162480"/>
      </c:lineChart>
      <c:catAx>
        <c:axId val="657161232"/>
        <c:scaling>
          <c:orientation val="minMax"/>
        </c:scaling>
        <c:delete val="0"/>
        <c:axPos val="b"/>
        <c:title>
          <c:tx>
            <c:rich>
              <a:bodyPr/>
              <a:lstStyle/>
              <a:p>
                <a:pPr>
                  <a:defRPr/>
                </a:pPr>
                <a:r>
                  <a:rPr lang="en-IN"/>
                  <a:t>maximum weight allowed ($D$22)</a:t>
                </a:r>
              </a:p>
            </c:rich>
          </c:tx>
          <c:overlay val="0"/>
        </c:title>
        <c:numFmt formatCode="General" sourceLinked="1"/>
        <c:majorTickMark val="out"/>
        <c:minorTickMark val="none"/>
        <c:tickLblPos val="nextTo"/>
        <c:crossAx val="657162480"/>
        <c:crosses val="autoZero"/>
        <c:auto val="1"/>
        <c:lblAlgn val="ctr"/>
        <c:lblOffset val="100"/>
        <c:noMultiLvlLbl val="0"/>
      </c:catAx>
      <c:valAx>
        <c:axId val="657162480"/>
        <c:scaling>
          <c:orientation val="minMax"/>
        </c:scaling>
        <c:delete val="0"/>
        <c:axPos val="l"/>
        <c:majorGridlines/>
        <c:numFmt formatCode="General" sourceLinked="1"/>
        <c:majorTickMark val="out"/>
        <c:minorTickMark val="none"/>
        <c:tickLblPos val="nextTo"/>
        <c:crossAx val="657161232"/>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'6.50(Additional)'!$K$1</c:f>
          <c:strCache>
            <c:ptCount val="1"/>
            <c:pt idx="0">
              <c:v>Sensitivity of Total_costs to Maximum Warehouse Open</c:v>
            </c:pt>
          </c:strCache>
        </c:strRef>
      </c:tx>
      <c:overlay val="0"/>
      <c:txPr>
        <a:bodyPr/>
        <a:lstStyle/>
        <a:p>
          <a:pPr>
            <a:defRPr sz="1200"/>
          </a:pPr>
          <a:endParaRPr lang="en-US"/>
        </a:p>
      </c:txPr>
    </c:title>
    <c:autoTitleDeleted val="0"/>
    <c:plotArea>
      <c:layout/>
      <c:lineChart>
        <c:grouping val="standard"/>
        <c:varyColors val="0"/>
        <c:ser>
          <c:idx val="0"/>
          <c:order val="0"/>
          <c:cat>
            <c:numRef>
              <c:f>'6.50(Additional)'!$B$4:$E$4</c:f>
              <c:numCache>
                <c:formatCode>General</c:formatCode>
                <c:ptCount val="4"/>
                <c:pt idx="0">
                  <c:v>1</c:v>
                </c:pt>
                <c:pt idx="1">
                  <c:v>2</c:v>
                </c:pt>
                <c:pt idx="2">
                  <c:v>3</c:v>
                </c:pt>
                <c:pt idx="3">
                  <c:v>4</c:v>
                </c:pt>
              </c:numCache>
            </c:numRef>
          </c:cat>
          <c:val>
            <c:numRef>
              <c:f>'6.50(Additional)'!$K$5:$K$8</c:f>
              <c:numCache>
                <c:formatCode>General</c:formatCode>
                <c:ptCount val="4"/>
                <c:pt idx="0">
                  <c:v>0</c:v>
                </c:pt>
                <c:pt idx="1">
                  <c:v>766000</c:v>
                </c:pt>
                <c:pt idx="2">
                  <c:v>766000</c:v>
                </c:pt>
                <c:pt idx="3">
                  <c:v>766000</c:v>
                </c:pt>
              </c:numCache>
            </c:numRef>
          </c:val>
          <c:smooth val="0"/>
          <c:extLst>
            <c:ext xmlns:c16="http://schemas.microsoft.com/office/drawing/2014/chart" uri="{C3380CC4-5D6E-409C-BE32-E72D297353CC}">
              <c16:uniqueId val="{00000001-724D-4BD1-8E24-D15735D02222}"/>
            </c:ext>
          </c:extLst>
        </c:ser>
        <c:dLbls>
          <c:showLegendKey val="0"/>
          <c:showVal val="0"/>
          <c:showCatName val="0"/>
          <c:showSerName val="0"/>
          <c:showPercent val="0"/>
          <c:showBubbleSize val="0"/>
        </c:dLbls>
        <c:marker val="1"/>
        <c:smooth val="0"/>
        <c:axId val="617810895"/>
        <c:axId val="617811727"/>
      </c:lineChart>
      <c:catAx>
        <c:axId val="617810895"/>
        <c:scaling>
          <c:orientation val="minMax"/>
        </c:scaling>
        <c:delete val="0"/>
        <c:axPos val="b"/>
        <c:title>
          <c:tx>
            <c:rich>
              <a:bodyPr/>
              <a:lstStyle/>
              <a:p>
                <a:pPr>
                  <a:defRPr/>
                </a:pPr>
                <a:r>
                  <a:rPr lang="en-IN"/>
                  <a:t>Maximum Warehouse Open ($D$32)</a:t>
                </a:r>
              </a:p>
            </c:rich>
          </c:tx>
          <c:overlay val="0"/>
        </c:title>
        <c:numFmt formatCode="General" sourceLinked="1"/>
        <c:majorTickMark val="out"/>
        <c:minorTickMark val="none"/>
        <c:tickLblPos val="nextTo"/>
        <c:crossAx val="617811727"/>
        <c:crosses val="autoZero"/>
        <c:auto val="1"/>
        <c:lblAlgn val="ctr"/>
        <c:lblOffset val="100"/>
        <c:noMultiLvlLbl val="0"/>
      </c:catAx>
      <c:valAx>
        <c:axId val="617811727"/>
        <c:scaling>
          <c:orientation val="minMax"/>
        </c:scaling>
        <c:delete val="0"/>
        <c:axPos val="l"/>
        <c:majorGridlines/>
        <c:numFmt formatCode="General" sourceLinked="1"/>
        <c:majorTickMark val="out"/>
        <c:minorTickMark val="none"/>
        <c:tickLblPos val="nextTo"/>
        <c:crossAx val="617810895"/>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'6.50(Additional)'!$O$1</c:f>
          <c:strCache>
            <c:ptCount val="1"/>
            <c:pt idx="0">
              <c:v>Sensitivity of Total_costs to Each Plant Capacity</c:v>
            </c:pt>
          </c:strCache>
        </c:strRef>
      </c:tx>
      <c:overlay val="0"/>
      <c:txPr>
        <a:bodyPr/>
        <a:lstStyle/>
        <a:p>
          <a:pPr>
            <a:defRPr sz="1200"/>
          </a:pPr>
          <a:endParaRPr lang="en-US"/>
        </a:p>
      </c:txPr>
    </c:title>
    <c:autoTitleDeleted val="0"/>
    <c:plotArea>
      <c:layout/>
      <c:lineChart>
        <c:grouping val="standard"/>
        <c:varyColors val="0"/>
        <c:ser>
          <c:idx val="0"/>
          <c:order val="0"/>
          <c:cat>
            <c:numRef>
              <c:f>'6.50(Additional)'!$A$5:$A$18</c:f>
              <c:numCache>
                <c:formatCode>General</c:formatCode>
                <c:ptCount val="14"/>
                <c:pt idx="0">
                  <c:v>12000</c:v>
                </c:pt>
                <c:pt idx="1">
                  <c:v>13000</c:v>
                </c:pt>
                <c:pt idx="2">
                  <c:v>14000</c:v>
                </c:pt>
                <c:pt idx="3">
                  <c:v>15000</c:v>
                </c:pt>
                <c:pt idx="4">
                  <c:v>16000</c:v>
                </c:pt>
                <c:pt idx="5">
                  <c:v>17000</c:v>
                </c:pt>
                <c:pt idx="6">
                  <c:v>18000</c:v>
                </c:pt>
                <c:pt idx="7">
                  <c:v>19000</c:v>
                </c:pt>
                <c:pt idx="8">
                  <c:v>20000</c:v>
                </c:pt>
                <c:pt idx="9">
                  <c:v>21000</c:v>
                </c:pt>
                <c:pt idx="10">
                  <c:v>22000</c:v>
                </c:pt>
                <c:pt idx="11">
                  <c:v>23000</c:v>
                </c:pt>
                <c:pt idx="12">
                  <c:v>24000</c:v>
                </c:pt>
                <c:pt idx="13">
                  <c:v>25000</c:v>
                </c:pt>
              </c:numCache>
            </c:numRef>
          </c:cat>
          <c:val>
            <c:numRef>
              <c:f>'6.50(Additional)'!$O$5:$O$18</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885000</c:v>
                </c:pt>
                <c:pt idx="13">
                  <c:v>885000</c:v>
                </c:pt>
              </c:numCache>
            </c:numRef>
          </c:val>
          <c:smooth val="0"/>
          <c:extLst>
            <c:ext xmlns:c16="http://schemas.microsoft.com/office/drawing/2014/chart" uri="{C3380CC4-5D6E-409C-BE32-E72D297353CC}">
              <c16:uniqueId val="{00000001-71FE-48F3-B8D9-AA7C0219C8B2}"/>
            </c:ext>
          </c:extLst>
        </c:ser>
        <c:dLbls>
          <c:showLegendKey val="0"/>
          <c:showVal val="0"/>
          <c:showCatName val="0"/>
          <c:showSerName val="0"/>
          <c:showPercent val="0"/>
          <c:showBubbleSize val="0"/>
        </c:dLbls>
        <c:marker val="1"/>
        <c:smooth val="0"/>
        <c:axId val="617806319"/>
        <c:axId val="617806735"/>
      </c:lineChart>
      <c:catAx>
        <c:axId val="617806319"/>
        <c:scaling>
          <c:orientation val="minMax"/>
        </c:scaling>
        <c:delete val="0"/>
        <c:axPos val="b"/>
        <c:title>
          <c:tx>
            <c:rich>
              <a:bodyPr/>
              <a:lstStyle/>
              <a:p>
                <a:pPr>
                  <a:defRPr/>
                </a:pPr>
                <a:r>
                  <a:rPr lang="en-IN"/>
                  <a:t>Each Plant Capacity ($H$2)</a:t>
                </a:r>
              </a:p>
            </c:rich>
          </c:tx>
          <c:overlay val="0"/>
        </c:title>
        <c:numFmt formatCode="General" sourceLinked="1"/>
        <c:majorTickMark val="out"/>
        <c:minorTickMark val="none"/>
        <c:tickLblPos val="nextTo"/>
        <c:crossAx val="617806735"/>
        <c:crosses val="autoZero"/>
        <c:auto val="1"/>
        <c:lblAlgn val="ctr"/>
        <c:lblOffset val="100"/>
        <c:noMultiLvlLbl val="0"/>
      </c:catAx>
      <c:valAx>
        <c:axId val="617806735"/>
        <c:scaling>
          <c:orientation val="minMax"/>
        </c:scaling>
        <c:delete val="0"/>
        <c:axPos val="l"/>
        <c:majorGridlines/>
        <c:numFmt formatCode="General" sourceLinked="1"/>
        <c:majorTickMark val="out"/>
        <c:minorTickMark val="none"/>
        <c:tickLblPos val="nextTo"/>
        <c:crossAx val="617806319"/>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'6.60(b)'!$K$1</c:f>
          <c:strCache>
            <c:ptCount val="1"/>
            <c:pt idx="0">
              <c:v>Sensitivity of Total_final_car_prod_cost to Demand</c:v>
            </c:pt>
          </c:strCache>
        </c:strRef>
      </c:tx>
      <c:overlay val="0"/>
      <c:txPr>
        <a:bodyPr/>
        <a:lstStyle/>
        <a:p>
          <a:pPr>
            <a:defRPr sz="1200"/>
          </a:pPr>
          <a:endParaRPr lang="en-US"/>
        </a:p>
      </c:txPr>
    </c:title>
    <c:autoTitleDeleted val="0"/>
    <c:plotArea>
      <c:layout/>
      <c:lineChart>
        <c:grouping val="standard"/>
        <c:varyColors val="0"/>
        <c:ser>
          <c:idx val="0"/>
          <c:order val="0"/>
          <c:cat>
            <c:numRef>
              <c:f>'6.60(b)'!$A$5:$A$14</c:f>
              <c:numCache>
                <c:formatCode>General</c:formatCode>
                <c:ptCount val="10"/>
                <c:pt idx="0">
                  <c:v>1000000</c:v>
                </c:pt>
                <c:pt idx="1">
                  <c:v>2000000</c:v>
                </c:pt>
                <c:pt idx="2">
                  <c:v>3000000</c:v>
                </c:pt>
                <c:pt idx="3">
                  <c:v>4000000</c:v>
                </c:pt>
                <c:pt idx="4">
                  <c:v>5000000</c:v>
                </c:pt>
                <c:pt idx="5">
                  <c:v>6000000</c:v>
                </c:pt>
                <c:pt idx="6">
                  <c:v>7000000</c:v>
                </c:pt>
                <c:pt idx="7">
                  <c:v>8000000</c:v>
                </c:pt>
                <c:pt idx="8">
                  <c:v>9000000</c:v>
                </c:pt>
                <c:pt idx="9">
                  <c:v>10000000</c:v>
                </c:pt>
              </c:numCache>
            </c:numRef>
          </c:cat>
          <c:val>
            <c:numRef>
              <c:f>'6.60(b)'!$K$5:$K$14</c:f>
              <c:numCache>
                <c:formatCode>General</c:formatCode>
                <c:ptCount val="10"/>
                <c:pt idx="0">
                  <c:v>127</c:v>
                </c:pt>
                <c:pt idx="1">
                  <c:v>184</c:v>
                </c:pt>
                <c:pt idx="2">
                  <c:v>241</c:v>
                </c:pt>
                <c:pt idx="3">
                  <c:v>298</c:v>
                </c:pt>
                <c:pt idx="4">
                  <c:v>355</c:v>
                </c:pt>
                <c:pt idx="5">
                  <c:v>412</c:v>
                </c:pt>
                <c:pt idx="6">
                  <c:v>469</c:v>
                </c:pt>
                <c:pt idx="7">
                  <c:v>526</c:v>
                </c:pt>
                <c:pt idx="8">
                  <c:v>583</c:v>
                </c:pt>
                <c:pt idx="9">
                  <c:v>640</c:v>
                </c:pt>
              </c:numCache>
            </c:numRef>
          </c:val>
          <c:smooth val="0"/>
          <c:extLst>
            <c:ext xmlns:c16="http://schemas.microsoft.com/office/drawing/2014/chart" uri="{C3380CC4-5D6E-409C-BE32-E72D297353CC}">
              <c16:uniqueId val="{00000001-1579-4508-926B-843038E169E9}"/>
            </c:ext>
          </c:extLst>
        </c:ser>
        <c:dLbls>
          <c:showLegendKey val="0"/>
          <c:showVal val="0"/>
          <c:showCatName val="0"/>
          <c:showSerName val="0"/>
          <c:showPercent val="0"/>
          <c:showBubbleSize val="0"/>
        </c:dLbls>
        <c:marker val="1"/>
        <c:smooth val="0"/>
        <c:axId val="781595807"/>
        <c:axId val="781596639"/>
      </c:lineChart>
      <c:catAx>
        <c:axId val="781595807"/>
        <c:scaling>
          <c:orientation val="minMax"/>
        </c:scaling>
        <c:delete val="0"/>
        <c:axPos val="b"/>
        <c:title>
          <c:tx>
            <c:rich>
              <a:bodyPr/>
              <a:lstStyle/>
              <a:p>
                <a:pPr>
                  <a:defRPr/>
                </a:pPr>
                <a:r>
                  <a:rPr lang="en-IN"/>
                  <a:t>Demand ($B$27)</a:t>
                </a:r>
              </a:p>
            </c:rich>
          </c:tx>
          <c:overlay val="0"/>
        </c:title>
        <c:numFmt formatCode="General" sourceLinked="1"/>
        <c:majorTickMark val="out"/>
        <c:minorTickMark val="none"/>
        <c:tickLblPos val="nextTo"/>
        <c:crossAx val="781596639"/>
        <c:crosses val="autoZero"/>
        <c:auto val="1"/>
        <c:lblAlgn val="ctr"/>
        <c:lblOffset val="100"/>
        <c:noMultiLvlLbl val="0"/>
      </c:catAx>
      <c:valAx>
        <c:axId val="781596639"/>
        <c:scaling>
          <c:orientation val="minMax"/>
        </c:scaling>
        <c:delete val="0"/>
        <c:axPos val="l"/>
        <c:majorGridlines/>
        <c:numFmt formatCode="General" sourceLinked="1"/>
        <c:majorTickMark val="out"/>
        <c:minorTickMark val="none"/>
        <c:tickLblPos val="nextTo"/>
        <c:crossAx val="781595807"/>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'6.60(c)'!$K$1</c:f>
          <c:strCache>
            <c:ptCount val="1"/>
            <c:pt idx="0">
              <c:v>Sensitivity of Total_final_car_prod_cost to variable cost of producing mustang in plant 4</c:v>
            </c:pt>
          </c:strCache>
        </c:strRef>
      </c:tx>
      <c:overlay val="0"/>
      <c:txPr>
        <a:bodyPr/>
        <a:lstStyle/>
        <a:p>
          <a:pPr>
            <a:defRPr sz="1200"/>
          </a:pPr>
          <a:endParaRPr lang="en-US"/>
        </a:p>
      </c:txPr>
    </c:title>
    <c:autoTitleDeleted val="0"/>
    <c:plotArea>
      <c:layout/>
      <c:lineChart>
        <c:grouping val="standard"/>
        <c:varyColors val="0"/>
        <c:ser>
          <c:idx val="0"/>
          <c:order val="0"/>
          <c:cat>
            <c:numRef>
              <c:f>'6.60(c)'!$A$5:$A$25</c:f>
              <c:numCache>
                <c:formatCode>_("$"* #,##0.00_);_("$"* \(#,##0.00\);_("$"* "-"??_);_(@_)</c:formatCode>
                <c:ptCount val="21"/>
                <c:pt idx="0">
                  <c:v>15</c:v>
                </c:pt>
                <c:pt idx="1">
                  <c:v>15.5</c:v>
                </c:pt>
                <c:pt idx="2">
                  <c:v>16</c:v>
                </c:pt>
                <c:pt idx="3">
                  <c:v>16.5</c:v>
                </c:pt>
                <c:pt idx="4">
                  <c:v>17</c:v>
                </c:pt>
                <c:pt idx="5">
                  <c:v>17.5</c:v>
                </c:pt>
                <c:pt idx="6">
                  <c:v>18</c:v>
                </c:pt>
                <c:pt idx="7">
                  <c:v>18.5</c:v>
                </c:pt>
                <c:pt idx="8">
                  <c:v>19</c:v>
                </c:pt>
                <c:pt idx="9">
                  <c:v>19.5</c:v>
                </c:pt>
                <c:pt idx="10">
                  <c:v>20</c:v>
                </c:pt>
                <c:pt idx="11">
                  <c:v>20.5</c:v>
                </c:pt>
                <c:pt idx="12">
                  <c:v>21</c:v>
                </c:pt>
                <c:pt idx="13">
                  <c:v>21.5</c:v>
                </c:pt>
                <c:pt idx="14">
                  <c:v>22</c:v>
                </c:pt>
                <c:pt idx="15">
                  <c:v>22.5</c:v>
                </c:pt>
                <c:pt idx="16">
                  <c:v>23</c:v>
                </c:pt>
                <c:pt idx="17">
                  <c:v>23.5</c:v>
                </c:pt>
                <c:pt idx="18">
                  <c:v>24</c:v>
                </c:pt>
                <c:pt idx="19">
                  <c:v>24.5</c:v>
                </c:pt>
                <c:pt idx="20">
                  <c:v>25</c:v>
                </c:pt>
              </c:numCache>
            </c:numRef>
          </c:cat>
          <c:val>
            <c:numRef>
              <c:f>'6.60(c)'!$K$5:$K$25</c:f>
              <c:numCache>
                <c:formatCode>General</c:formatCode>
                <c:ptCount val="21"/>
                <c:pt idx="0">
                  <c:v>320.5</c:v>
                </c:pt>
                <c:pt idx="1">
                  <c:v>323</c:v>
                </c:pt>
                <c:pt idx="2">
                  <c:v>325.5</c:v>
                </c:pt>
                <c:pt idx="3">
                  <c:v>328</c:v>
                </c:pt>
                <c:pt idx="4">
                  <c:v>330.5</c:v>
                </c:pt>
                <c:pt idx="5">
                  <c:v>333</c:v>
                </c:pt>
                <c:pt idx="6">
                  <c:v>335.5</c:v>
                </c:pt>
                <c:pt idx="7">
                  <c:v>338</c:v>
                </c:pt>
                <c:pt idx="8">
                  <c:v>340.5</c:v>
                </c:pt>
                <c:pt idx="9">
                  <c:v>343</c:v>
                </c:pt>
                <c:pt idx="10">
                  <c:v>345.5</c:v>
                </c:pt>
                <c:pt idx="11">
                  <c:v>348</c:v>
                </c:pt>
                <c:pt idx="12">
                  <c:v>350.5</c:v>
                </c:pt>
                <c:pt idx="13">
                  <c:v>353</c:v>
                </c:pt>
                <c:pt idx="14">
                  <c:v>355</c:v>
                </c:pt>
                <c:pt idx="15">
                  <c:v>355</c:v>
                </c:pt>
                <c:pt idx="16">
                  <c:v>355</c:v>
                </c:pt>
                <c:pt idx="17">
                  <c:v>355</c:v>
                </c:pt>
                <c:pt idx="18">
                  <c:v>355</c:v>
                </c:pt>
                <c:pt idx="19">
                  <c:v>355</c:v>
                </c:pt>
                <c:pt idx="20">
                  <c:v>355</c:v>
                </c:pt>
              </c:numCache>
            </c:numRef>
          </c:val>
          <c:smooth val="0"/>
          <c:extLst>
            <c:ext xmlns:c16="http://schemas.microsoft.com/office/drawing/2014/chart" uri="{C3380CC4-5D6E-409C-BE32-E72D297353CC}">
              <c16:uniqueId val="{00000001-024F-46A7-89B9-98562C9E786B}"/>
            </c:ext>
          </c:extLst>
        </c:ser>
        <c:dLbls>
          <c:showLegendKey val="0"/>
          <c:showVal val="0"/>
          <c:showCatName val="0"/>
          <c:showSerName val="0"/>
          <c:showPercent val="0"/>
          <c:showBubbleSize val="0"/>
        </c:dLbls>
        <c:marker val="1"/>
        <c:smooth val="0"/>
        <c:axId val="617783439"/>
        <c:axId val="617795503"/>
      </c:lineChart>
      <c:catAx>
        <c:axId val="617783439"/>
        <c:scaling>
          <c:orientation val="minMax"/>
        </c:scaling>
        <c:delete val="0"/>
        <c:axPos val="b"/>
        <c:title>
          <c:tx>
            <c:rich>
              <a:bodyPr/>
              <a:lstStyle/>
              <a:p>
                <a:pPr>
                  <a:defRPr/>
                </a:pPr>
                <a:r>
                  <a:rPr lang="en-IN"/>
                  <a:t>variable cost of producing mustang in plant 4 ($D$8)</a:t>
                </a:r>
              </a:p>
            </c:rich>
          </c:tx>
          <c:overlay val="0"/>
        </c:title>
        <c:numFmt formatCode="_(&quot;$&quot;* #,##0.00_);_(&quot;$&quot;* \(#,##0.00\);_(&quot;$&quot;* &quot;-&quot;??_);_(@_)" sourceLinked="1"/>
        <c:majorTickMark val="out"/>
        <c:minorTickMark val="none"/>
        <c:tickLblPos val="nextTo"/>
        <c:crossAx val="617795503"/>
        <c:crosses val="autoZero"/>
        <c:auto val="1"/>
        <c:lblAlgn val="ctr"/>
        <c:lblOffset val="100"/>
        <c:noMultiLvlLbl val="0"/>
      </c:catAx>
      <c:valAx>
        <c:axId val="617795503"/>
        <c:scaling>
          <c:orientation val="minMax"/>
        </c:scaling>
        <c:delete val="0"/>
        <c:axPos val="l"/>
        <c:majorGridlines/>
        <c:numFmt formatCode="General" sourceLinked="1"/>
        <c:majorTickMark val="out"/>
        <c:minorTickMark val="none"/>
        <c:tickLblPos val="nextTo"/>
        <c:crossAx val="617783439"/>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'6.60(Additional)'!$K$1</c:f>
          <c:strCache>
            <c:ptCount val="1"/>
            <c:pt idx="0">
              <c:v>Sensitivity of Total_final_car_prod_cost to variable cost plant 4 focus</c:v>
            </c:pt>
          </c:strCache>
        </c:strRef>
      </c:tx>
      <c:overlay val="0"/>
      <c:txPr>
        <a:bodyPr/>
        <a:lstStyle/>
        <a:p>
          <a:pPr>
            <a:defRPr sz="1200"/>
          </a:pPr>
          <a:endParaRPr lang="en-US"/>
        </a:p>
      </c:txPr>
    </c:title>
    <c:autoTitleDeleted val="0"/>
    <c:plotArea>
      <c:layout/>
      <c:lineChart>
        <c:grouping val="standard"/>
        <c:varyColors val="0"/>
        <c:ser>
          <c:idx val="0"/>
          <c:order val="0"/>
          <c:cat>
            <c:numRef>
              <c:f>'6.60(Additional)'!$A$5:$A$25</c:f>
              <c:numCache>
                <c:formatCode>_("$"* #,##0.00_);_("$"* \(#,##0.00\);_("$"* "-"??_);_(@_)</c:formatCode>
                <c:ptCount val="21"/>
                <c:pt idx="0">
                  <c:v>7</c:v>
                </c:pt>
                <c:pt idx="1">
                  <c:v>7.5</c:v>
                </c:pt>
                <c:pt idx="2">
                  <c:v>8</c:v>
                </c:pt>
                <c:pt idx="3">
                  <c:v>8.5</c:v>
                </c:pt>
                <c:pt idx="4">
                  <c:v>9</c:v>
                </c:pt>
                <c:pt idx="5">
                  <c:v>9.5</c:v>
                </c:pt>
                <c:pt idx="6">
                  <c:v>10</c:v>
                </c:pt>
                <c:pt idx="7">
                  <c:v>10.5</c:v>
                </c:pt>
                <c:pt idx="8">
                  <c:v>11</c:v>
                </c:pt>
                <c:pt idx="9">
                  <c:v>11.5</c:v>
                </c:pt>
                <c:pt idx="10">
                  <c:v>12</c:v>
                </c:pt>
                <c:pt idx="11">
                  <c:v>12.5</c:v>
                </c:pt>
                <c:pt idx="12">
                  <c:v>13</c:v>
                </c:pt>
                <c:pt idx="13">
                  <c:v>13.5</c:v>
                </c:pt>
                <c:pt idx="14">
                  <c:v>14</c:v>
                </c:pt>
                <c:pt idx="15">
                  <c:v>14.5</c:v>
                </c:pt>
                <c:pt idx="16">
                  <c:v>15</c:v>
                </c:pt>
                <c:pt idx="17">
                  <c:v>15.5</c:v>
                </c:pt>
                <c:pt idx="18">
                  <c:v>16</c:v>
                </c:pt>
                <c:pt idx="19">
                  <c:v>16.5</c:v>
                </c:pt>
                <c:pt idx="20">
                  <c:v>17</c:v>
                </c:pt>
              </c:numCache>
            </c:numRef>
          </c:cat>
          <c:val>
            <c:numRef>
              <c:f>'6.60(Additional)'!$K$5:$K$25</c:f>
              <c:numCache>
                <c:formatCode>General</c:formatCode>
                <c:ptCount val="21"/>
                <c:pt idx="0">
                  <c:v>326.5</c:v>
                </c:pt>
                <c:pt idx="1">
                  <c:v>329</c:v>
                </c:pt>
                <c:pt idx="2">
                  <c:v>331.5</c:v>
                </c:pt>
                <c:pt idx="3">
                  <c:v>334</c:v>
                </c:pt>
                <c:pt idx="4">
                  <c:v>336.5</c:v>
                </c:pt>
                <c:pt idx="5">
                  <c:v>339</c:v>
                </c:pt>
                <c:pt idx="6">
                  <c:v>341.5</c:v>
                </c:pt>
                <c:pt idx="7">
                  <c:v>344</c:v>
                </c:pt>
                <c:pt idx="8">
                  <c:v>346.5</c:v>
                </c:pt>
                <c:pt idx="9">
                  <c:v>349</c:v>
                </c:pt>
                <c:pt idx="10">
                  <c:v>351.5</c:v>
                </c:pt>
                <c:pt idx="11">
                  <c:v>354</c:v>
                </c:pt>
                <c:pt idx="12">
                  <c:v>356.5</c:v>
                </c:pt>
                <c:pt idx="13">
                  <c:v>358</c:v>
                </c:pt>
                <c:pt idx="14">
                  <c:v>358</c:v>
                </c:pt>
                <c:pt idx="15">
                  <c:v>358</c:v>
                </c:pt>
                <c:pt idx="16">
                  <c:v>358</c:v>
                </c:pt>
                <c:pt idx="17">
                  <c:v>358</c:v>
                </c:pt>
                <c:pt idx="18">
                  <c:v>358</c:v>
                </c:pt>
                <c:pt idx="19">
                  <c:v>358</c:v>
                </c:pt>
                <c:pt idx="20">
                  <c:v>358</c:v>
                </c:pt>
              </c:numCache>
            </c:numRef>
          </c:val>
          <c:smooth val="0"/>
          <c:extLst>
            <c:ext xmlns:c16="http://schemas.microsoft.com/office/drawing/2014/chart" uri="{C3380CC4-5D6E-409C-BE32-E72D297353CC}">
              <c16:uniqueId val="{00000001-A809-4410-80DA-BCA9D71E3160}"/>
            </c:ext>
          </c:extLst>
        </c:ser>
        <c:dLbls>
          <c:showLegendKey val="0"/>
          <c:showVal val="0"/>
          <c:showCatName val="0"/>
          <c:showSerName val="0"/>
          <c:showPercent val="0"/>
          <c:showBubbleSize val="0"/>
        </c:dLbls>
        <c:marker val="1"/>
        <c:smooth val="0"/>
        <c:axId val="781567519"/>
        <c:axId val="781558367"/>
      </c:lineChart>
      <c:catAx>
        <c:axId val="781567519"/>
        <c:scaling>
          <c:orientation val="minMax"/>
        </c:scaling>
        <c:delete val="0"/>
        <c:axPos val="b"/>
        <c:title>
          <c:tx>
            <c:rich>
              <a:bodyPr/>
              <a:lstStyle/>
              <a:p>
                <a:pPr>
                  <a:defRPr/>
                </a:pPr>
                <a:r>
                  <a:rPr lang="en-IN"/>
                  <a:t>variable cost plant 4 focus ($C$8)</a:t>
                </a:r>
              </a:p>
            </c:rich>
          </c:tx>
          <c:overlay val="0"/>
        </c:title>
        <c:numFmt formatCode="_(&quot;$&quot;* #,##0.00_);_(&quot;$&quot;* \(#,##0.00\);_(&quot;$&quot;* &quot;-&quot;??_);_(@_)" sourceLinked="1"/>
        <c:majorTickMark val="out"/>
        <c:minorTickMark val="none"/>
        <c:tickLblPos val="nextTo"/>
        <c:crossAx val="781558367"/>
        <c:crosses val="autoZero"/>
        <c:auto val="1"/>
        <c:lblAlgn val="ctr"/>
        <c:lblOffset val="100"/>
        <c:noMultiLvlLbl val="0"/>
      </c:catAx>
      <c:valAx>
        <c:axId val="781558367"/>
        <c:scaling>
          <c:orientation val="minMax"/>
        </c:scaling>
        <c:delete val="0"/>
        <c:axPos val="l"/>
        <c:majorGridlines/>
        <c:numFmt formatCode="General" sourceLinked="1"/>
        <c:majorTickMark val="out"/>
        <c:minorTickMark val="none"/>
        <c:tickLblPos val="nextTo"/>
        <c:crossAx val="781567519"/>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'6.87(Additional)'!$K$1</c:f>
          <c:strCache>
            <c:ptCount val="1"/>
            <c:pt idx="0">
              <c:v>Sensitivity of Total_Final_Cost to Projected increase</c:v>
            </c:pt>
          </c:strCache>
        </c:strRef>
      </c:tx>
      <c:overlay val="0"/>
      <c:txPr>
        <a:bodyPr/>
        <a:lstStyle/>
        <a:p>
          <a:pPr>
            <a:defRPr sz="1200"/>
          </a:pPr>
          <a:endParaRPr lang="en-US"/>
        </a:p>
      </c:txPr>
    </c:title>
    <c:autoTitleDeleted val="0"/>
    <c:plotArea>
      <c:layout/>
      <c:lineChart>
        <c:grouping val="standard"/>
        <c:varyColors val="0"/>
        <c:ser>
          <c:idx val="0"/>
          <c:order val="0"/>
          <c:cat>
            <c:numRef>
              <c:f>'6.87(Additional)'!$A$5:$A$14</c:f>
              <c:numCache>
                <c:formatCode>General</c:formatCode>
                <c:ptCount val="10"/>
                <c:pt idx="0">
                  <c:v>500</c:v>
                </c:pt>
                <c:pt idx="1">
                  <c:v>1000</c:v>
                </c:pt>
                <c:pt idx="2">
                  <c:v>1500</c:v>
                </c:pt>
                <c:pt idx="3">
                  <c:v>2000</c:v>
                </c:pt>
                <c:pt idx="4">
                  <c:v>2500</c:v>
                </c:pt>
                <c:pt idx="5">
                  <c:v>3000</c:v>
                </c:pt>
                <c:pt idx="6">
                  <c:v>3500</c:v>
                </c:pt>
                <c:pt idx="7">
                  <c:v>4000</c:v>
                </c:pt>
                <c:pt idx="8">
                  <c:v>4500</c:v>
                </c:pt>
                <c:pt idx="9">
                  <c:v>5000</c:v>
                </c:pt>
              </c:numCache>
            </c:numRef>
          </c:cat>
          <c:val>
            <c:numRef>
              <c:f>'6.87(Additional)'!$K$5:$K$14</c:f>
              <c:numCache>
                <c:formatCode>General</c:formatCode>
                <c:ptCount val="10"/>
                <c:pt idx="0">
                  <c:v>7532500</c:v>
                </c:pt>
                <c:pt idx="1">
                  <c:v>12175000</c:v>
                </c:pt>
                <c:pt idx="2">
                  <c:v>16830000</c:v>
                </c:pt>
                <c:pt idx="3">
                  <c:v>21485000</c:v>
                </c:pt>
                <c:pt idx="4">
                  <c:v>26140000</c:v>
                </c:pt>
                <c:pt idx="5">
                  <c:v>30795000</c:v>
                </c:pt>
                <c:pt idx="6">
                  <c:v>35450000</c:v>
                </c:pt>
                <c:pt idx="7">
                  <c:v>40105000</c:v>
                </c:pt>
                <c:pt idx="8">
                  <c:v>44760000</c:v>
                </c:pt>
                <c:pt idx="9">
                  <c:v>49415000</c:v>
                </c:pt>
              </c:numCache>
            </c:numRef>
          </c:val>
          <c:smooth val="0"/>
          <c:extLst>
            <c:ext xmlns:c16="http://schemas.microsoft.com/office/drawing/2014/chart" uri="{C3380CC4-5D6E-409C-BE32-E72D297353CC}">
              <c16:uniqueId val="{00000001-7222-44BB-B193-23C57A67391E}"/>
            </c:ext>
          </c:extLst>
        </c:ser>
        <c:dLbls>
          <c:showLegendKey val="0"/>
          <c:showVal val="0"/>
          <c:showCatName val="0"/>
          <c:showSerName val="0"/>
          <c:showPercent val="0"/>
          <c:showBubbleSize val="0"/>
        </c:dLbls>
        <c:marker val="1"/>
        <c:smooth val="0"/>
        <c:axId val="1959615424"/>
        <c:axId val="1959614592"/>
      </c:lineChart>
      <c:catAx>
        <c:axId val="1959615424"/>
        <c:scaling>
          <c:orientation val="minMax"/>
        </c:scaling>
        <c:delete val="0"/>
        <c:axPos val="b"/>
        <c:title>
          <c:tx>
            <c:rich>
              <a:bodyPr/>
              <a:lstStyle/>
              <a:p>
                <a:pPr>
                  <a:defRPr/>
                </a:pPr>
                <a:r>
                  <a:rPr lang="en-IN"/>
                  <a:t>Projected increase ($G$9)</a:t>
                </a:r>
              </a:p>
            </c:rich>
          </c:tx>
          <c:overlay val="0"/>
        </c:title>
        <c:numFmt formatCode="General" sourceLinked="1"/>
        <c:majorTickMark val="out"/>
        <c:minorTickMark val="none"/>
        <c:tickLblPos val="nextTo"/>
        <c:crossAx val="1959614592"/>
        <c:crosses val="autoZero"/>
        <c:auto val="1"/>
        <c:lblAlgn val="ctr"/>
        <c:lblOffset val="100"/>
        <c:noMultiLvlLbl val="0"/>
      </c:catAx>
      <c:valAx>
        <c:axId val="1959614592"/>
        <c:scaling>
          <c:orientation val="minMax"/>
        </c:scaling>
        <c:delete val="0"/>
        <c:axPos val="l"/>
        <c:majorGridlines/>
        <c:numFmt formatCode="General" sourceLinked="1"/>
        <c:majorTickMark val="out"/>
        <c:minorTickMark val="none"/>
        <c:tickLblPos val="nextTo"/>
        <c:crossAx val="1959615424"/>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6</xdr:col>
      <xdr:colOff>32063</xdr:colOff>
      <xdr:row>16</xdr:row>
      <xdr:rowOff>107950</xdr:rowOff>
    </xdr:from>
    <xdr:to>
      <xdr:col>12</xdr:col>
      <xdr:colOff>228724</xdr:colOff>
      <xdr:row>23</xdr:row>
      <xdr:rowOff>171450</xdr:rowOff>
    </xdr:to>
    <xdr:pic>
      <xdr:nvPicPr>
        <xdr:cNvPr id="2" name="Picture 1">
          <a:extLst>
            <a:ext uri="{FF2B5EF4-FFF2-40B4-BE49-F238E27FC236}">
              <a16:creationId xmlns:a16="http://schemas.microsoft.com/office/drawing/2014/main" id="{03CAB0F7-B59D-4A6F-859F-C868B0704504}"/>
            </a:ext>
          </a:extLst>
        </xdr:cNvPr>
        <xdr:cNvPicPr>
          <a:picLocks noChangeAspect="1"/>
        </xdr:cNvPicPr>
      </xdr:nvPicPr>
      <xdr:blipFill>
        <a:blip xmlns:r="http://schemas.openxmlformats.org/officeDocument/2006/relationships" r:embed="rId1"/>
        <a:stretch>
          <a:fillRect/>
        </a:stretch>
      </xdr:blipFill>
      <xdr:spPr>
        <a:xfrm>
          <a:off x="3994463" y="3054350"/>
          <a:ext cx="3854261" cy="1352550"/>
        </a:xfrm>
        <a:prstGeom prst="rect">
          <a:avLst/>
        </a:prstGeom>
      </xdr:spPr>
    </xdr:pic>
    <xdr:clientData/>
  </xdr:twoCellAnchor>
  <xdr:twoCellAnchor>
    <xdr:from>
      <xdr:col>6</xdr:col>
      <xdr:colOff>603250</xdr:colOff>
      <xdr:row>0</xdr:row>
      <xdr:rowOff>165100</xdr:rowOff>
    </xdr:from>
    <xdr:to>
      <xdr:col>10</xdr:col>
      <xdr:colOff>590550</xdr:colOff>
      <xdr:row>14</xdr:row>
      <xdr:rowOff>101600</xdr:rowOff>
    </xdr:to>
    <xdr:sp macro="" textlink="">
      <xdr:nvSpPr>
        <xdr:cNvPr id="3" name="TextBox 2">
          <a:extLst>
            <a:ext uri="{FF2B5EF4-FFF2-40B4-BE49-F238E27FC236}">
              <a16:creationId xmlns:a16="http://schemas.microsoft.com/office/drawing/2014/main" id="{CB199F77-F082-4AD8-8402-383F2027393C}"/>
            </a:ext>
          </a:extLst>
        </xdr:cNvPr>
        <xdr:cNvSpPr txBox="1"/>
      </xdr:nvSpPr>
      <xdr:spPr>
        <a:xfrm>
          <a:off x="4565650" y="165100"/>
          <a:ext cx="2425700" cy="2514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1"/>
            <a:t>a.) </a:t>
          </a:r>
          <a:r>
            <a:rPr lang="en-IN" sz="1100"/>
            <a:t>Using solver, we find that we can send 2 item1, 1 item</a:t>
          </a:r>
          <a:r>
            <a:rPr lang="en-IN" sz="1100" baseline="0"/>
            <a:t>2 and 2 item3 to the space which will help us maximize benefit by getting 79 benefit points given the constraints.</a:t>
          </a:r>
        </a:p>
        <a:p>
          <a:endParaRPr lang="en-IN" sz="1100" baseline="0"/>
        </a:p>
        <a:p>
          <a:r>
            <a:rPr lang="en-IN" sz="1100" b="1" i="1" baseline="0"/>
            <a:t>b. Sensitivity Analysis</a:t>
          </a:r>
        </a:p>
        <a:p>
          <a:r>
            <a:rPr lang="en-IN" sz="1100" b="0" i="0" baseline="0"/>
            <a:t>Using solvertable, we try to measure the impact of maximum weight allowed on total benefits gained. As we vary maximum weight from 1500 to 3000 pounds in increments of 300, we find that total benefit points also changes from 59 to 119.</a:t>
          </a:r>
        </a:p>
        <a:p>
          <a:endParaRPr lang="en-IN" sz="1100" b="0" i="0" baseline="0"/>
        </a:p>
        <a:p>
          <a:endParaRPr lang="en-IN" sz="1100" b="0" i="0"/>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9</xdr:col>
      <xdr:colOff>196850</xdr:colOff>
      <xdr:row>15</xdr:row>
      <xdr:rowOff>88900</xdr:rowOff>
    </xdr:from>
    <xdr:to>
      <xdr:col>17</xdr:col>
      <xdr:colOff>196850</xdr:colOff>
      <xdr:row>31</xdr:row>
      <xdr:rowOff>0</xdr:rowOff>
    </xdr:to>
    <xdr:graphicFrame macro="">
      <xdr:nvGraphicFramePr>
        <xdr:cNvPr id="2" name="STS_1_Chart">
          <a:extLst>
            <a:ext uri="{FF2B5EF4-FFF2-40B4-BE49-F238E27FC236}">
              <a16:creationId xmlns:a16="http://schemas.microsoft.com/office/drawing/2014/main" id="{34C95F51-8FEF-45DD-8A35-A8AB9D492D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196850</xdr:colOff>
      <xdr:row>3</xdr:row>
      <xdr:rowOff>19050</xdr:rowOff>
    </xdr:from>
    <xdr:to>
      <xdr:col>15</xdr:col>
      <xdr:colOff>196850</xdr:colOff>
      <xdr:row>3</xdr:row>
      <xdr:rowOff>781050</xdr:rowOff>
    </xdr:to>
    <xdr:sp macro="" textlink="">
      <xdr:nvSpPr>
        <xdr:cNvPr id="3" name="TextBox 2">
          <a:extLst>
            <a:ext uri="{FF2B5EF4-FFF2-40B4-BE49-F238E27FC236}">
              <a16:creationId xmlns:a16="http://schemas.microsoft.com/office/drawing/2014/main" id="{BF71E279-11C4-43BF-98D1-526AD3C24E63}"/>
            </a:ext>
          </a:extLst>
        </xdr:cNvPr>
        <xdr:cNvSpPr txBox="1"/>
      </xdr:nvSpPr>
      <xdr:spPr>
        <a:xfrm>
          <a:off x="73152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a:t>When you select an output from the dropdown list in cell $K$4, the chart will adapt to that output.</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10</xdr:col>
      <xdr:colOff>0</xdr:colOff>
      <xdr:row>11</xdr:row>
      <xdr:rowOff>63500</xdr:rowOff>
    </xdr:from>
    <xdr:to>
      <xdr:col>18</xdr:col>
      <xdr:colOff>0</xdr:colOff>
      <xdr:row>26</xdr:row>
      <xdr:rowOff>158750</xdr:rowOff>
    </xdr:to>
    <xdr:graphicFrame macro="">
      <xdr:nvGraphicFramePr>
        <xdr:cNvPr id="2" name="STS_1_Chart">
          <a:extLst>
            <a:ext uri="{FF2B5EF4-FFF2-40B4-BE49-F238E27FC236}">
              <a16:creationId xmlns:a16="http://schemas.microsoft.com/office/drawing/2014/main" id="{135B070C-2341-40E9-A5FB-E7B639336E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0</xdr:colOff>
      <xdr:row>3</xdr:row>
      <xdr:rowOff>19050</xdr:rowOff>
    </xdr:from>
    <xdr:to>
      <xdr:col>16</xdr:col>
      <xdr:colOff>0</xdr:colOff>
      <xdr:row>3</xdr:row>
      <xdr:rowOff>781050</xdr:rowOff>
    </xdr:to>
    <xdr:sp macro="" textlink="">
      <xdr:nvSpPr>
        <xdr:cNvPr id="3" name="TextBox 2">
          <a:extLst>
            <a:ext uri="{FF2B5EF4-FFF2-40B4-BE49-F238E27FC236}">
              <a16:creationId xmlns:a16="http://schemas.microsoft.com/office/drawing/2014/main" id="{B111A6F6-24D5-46A0-9E9E-0FC19989404F}"/>
            </a:ext>
          </a:extLst>
        </xdr:cNvPr>
        <xdr:cNvSpPr txBox="1"/>
      </xdr:nvSpPr>
      <xdr:spPr>
        <a:xfrm>
          <a:off x="73152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a:t>When you select an output from the dropdown list in cell $K$4, the chart will adapt to that output.</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327479</xdr:colOff>
      <xdr:row>11</xdr:row>
      <xdr:rowOff>154215</xdr:rowOff>
    </xdr:from>
    <xdr:to>
      <xdr:col>4</xdr:col>
      <xdr:colOff>193343</xdr:colOff>
      <xdr:row>18</xdr:row>
      <xdr:rowOff>93499</xdr:rowOff>
    </xdr:to>
    <xdr:pic>
      <xdr:nvPicPr>
        <xdr:cNvPr id="2" name="Picture 1">
          <a:extLst>
            <a:ext uri="{FF2B5EF4-FFF2-40B4-BE49-F238E27FC236}">
              <a16:creationId xmlns:a16="http://schemas.microsoft.com/office/drawing/2014/main" id="{1E46EEC3-B0C5-46D7-A894-5019CE3EEB77}"/>
            </a:ext>
          </a:extLst>
        </xdr:cNvPr>
        <xdr:cNvPicPr>
          <a:picLocks noChangeAspect="1"/>
        </xdr:cNvPicPr>
      </xdr:nvPicPr>
      <xdr:blipFill>
        <a:blip xmlns:r="http://schemas.openxmlformats.org/officeDocument/2006/relationships" r:embed="rId1"/>
        <a:stretch>
          <a:fillRect/>
        </a:stretch>
      </xdr:blipFill>
      <xdr:spPr>
        <a:xfrm>
          <a:off x="6115050" y="2149929"/>
          <a:ext cx="2342364" cy="1209284"/>
        </a:xfrm>
        <a:prstGeom prst="rect">
          <a:avLst/>
        </a:prstGeom>
      </xdr:spPr>
    </xdr:pic>
    <xdr:clientData/>
  </xdr:twoCellAnchor>
  <xdr:twoCellAnchor editAs="oneCell">
    <xdr:from>
      <xdr:col>4</xdr:col>
      <xdr:colOff>202294</xdr:colOff>
      <xdr:row>12</xdr:row>
      <xdr:rowOff>36285</xdr:rowOff>
    </xdr:from>
    <xdr:to>
      <xdr:col>6</xdr:col>
      <xdr:colOff>486341</xdr:colOff>
      <xdr:row>18</xdr:row>
      <xdr:rowOff>4591</xdr:rowOff>
    </xdr:to>
    <xdr:pic>
      <xdr:nvPicPr>
        <xdr:cNvPr id="3" name="Picture 2">
          <a:extLst>
            <a:ext uri="{FF2B5EF4-FFF2-40B4-BE49-F238E27FC236}">
              <a16:creationId xmlns:a16="http://schemas.microsoft.com/office/drawing/2014/main" id="{E407E89D-C87D-4F08-ABC0-07D52CB694DE}"/>
            </a:ext>
          </a:extLst>
        </xdr:cNvPr>
        <xdr:cNvPicPr>
          <a:picLocks noChangeAspect="1"/>
        </xdr:cNvPicPr>
      </xdr:nvPicPr>
      <xdr:blipFill>
        <a:blip xmlns:r="http://schemas.openxmlformats.org/officeDocument/2006/relationships" r:embed="rId2"/>
        <a:stretch>
          <a:fillRect/>
        </a:stretch>
      </xdr:blipFill>
      <xdr:spPr>
        <a:xfrm>
          <a:off x="8466365" y="2213428"/>
          <a:ext cx="2170905" cy="1056877"/>
        </a:xfrm>
        <a:prstGeom prst="rect">
          <a:avLst/>
        </a:prstGeom>
      </xdr:spPr>
    </xdr:pic>
    <xdr:clientData/>
  </xdr:twoCellAnchor>
  <xdr:twoCellAnchor>
    <xdr:from>
      <xdr:col>8</xdr:col>
      <xdr:colOff>27213</xdr:colOff>
      <xdr:row>0</xdr:row>
      <xdr:rowOff>90715</xdr:rowOff>
    </xdr:from>
    <xdr:to>
      <xdr:col>12</xdr:col>
      <xdr:colOff>435428</xdr:colOff>
      <xdr:row>20</xdr:row>
      <xdr:rowOff>63501</xdr:rowOff>
    </xdr:to>
    <xdr:sp macro="" textlink="">
      <xdr:nvSpPr>
        <xdr:cNvPr id="4" name="TextBox 3">
          <a:extLst>
            <a:ext uri="{FF2B5EF4-FFF2-40B4-BE49-F238E27FC236}">
              <a16:creationId xmlns:a16="http://schemas.microsoft.com/office/drawing/2014/main" id="{506A0FFE-396F-4EC3-8EBC-D934D86F319B}"/>
            </a:ext>
          </a:extLst>
        </xdr:cNvPr>
        <xdr:cNvSpPr txBox="1"/>
      </xdr:nvSpPr>
      <xdr:spPr>
        <a:xfrm>
          <a:off x="11901713" y="90715"/>
          <a:ext cx="3946072" cy="36013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a:t>
          </a:r>
          <a:r>
            <a:rPr lang="en-IN" sz="1100" baseline="0"/>
            <a:t> Using solver, we find that in order to incur minimum costs while meeting weekly demands, only LA and Chicago warehouse should be open where LA should produce and ship 8000 units to region 2 and 7000 units to region 3, while Chicago should produce and ship 8000 units to region 1 and 1000 units to region 2, in order to adhere to given constraints. Minimum overall cost turns out to be </a:t>
          </a:r>
          <a:r>
            <a:rPr lang="en-IN" sz="1100" b="1" baseline="0"/>
            <a:t>$751,000</a:t>
          </a:r>
          <a:r>
            <a:rPr lang="en-IN" sz="1100" baseline="0"/>
            <a:t>.</a:t>
          </a:r>
        </a:p>
        <a:p>
          <a:endParaRPr lang="en-IN" sz="1100" baseline="0"/>
        </a:p>
        <a:p>
          <a:r>
            <a:rPr lang="en-IN" sz="1100" baseline="0"/>
            <a:t>Additional.)  Using solvertable, we analyze the impact of each plant capacity and maximum warehouses open on total weekly costs. While analyzing the impact of maximum warehouses open on total cost, we arrive at an interesting insight when we find that in order to be operationally feasible with only one warehouse, out capacity of that plant has to be 24000 units. Also operating 4 warehouses with increased capacity of 24000 units compared to 1 warehouse with 24000 units capacity decreases total costs from $885,000 to $746,000, providing obvious benefits of economies of scale.</a:t>
          </a:r>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5</xdr:col>
      <xdr:colOff>279400</xdr:colOff>
      <xdr:row>19</xdr:row>
      <xdr:rowOff>114300</xdr:rowOff>
    </xdr:from>
    <xdr:to>
      <xdr:col>13</xdr:col>
      <xdr:colOff>279400</xdr:colOff>
      <xdr:row>35</xdr:row>
      <xdr:rowOff>25400</xdr:rowOff>
    </xdr:to>
    <xdr:graphicFrame macro="">
      <xdr:nvGraphicFramePr>
        <xdr:cNvPr id="2" name="STS_1_Chart1">
          <a:extLst>
            <a:ext uri="{FF2B5EF4-FFF2-40B4-BE49-F238E27FC236}">
              <a16:creationId xmlns:a16="http://schemas.microsoft.com/office/drawing/2014/main" id="{539E9455-EF16-4ACC-BBD6-277F53C824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279400</xdr:colOff>
      <xdr:row>19</xdr:row>
      <xdr:rowOff>114300</xdr:rowOff>
    </xdr:from>
    <xdr:to>
      <xdr:col>22</xdr:col>
      <xdr:colOff>279400</xdr:colOff>
      <xdr:row>35</xdr:row>
      <xdr:rowOff>25400</xdr:rowOff>
    </xdr:to>
    <xdr:graphicFrame macro="">
      <xdr:nvGraphicFramePr>
        <xdr:cNvPr id="3" name="STS_1_Chart2">
          <a:extLst>
            <a:ext uri="{FF2B5EF4-FFF2-40B4-BE49-F238E27FC236}">
              <a16:creationId xmlns:a16="http://schemas.microsoft.com/office/drawing/2014/main" id="{A56EEF84-EF67-42A1-ABC9-159304409B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16</xdr:col>
      <xdr:colOff>279400</xdr:colOff>
      <xdr:row>3</xdr:row>
      <xdr:rowOff>19050</xdr:rowOff>
    </xdr:from>
    <xdr:to>
      <xdr:col>22</xdr:col>
      <xdr:colOff>279400</xdr:colOff>
      <xdr:row>7</xdr:row>
      <xdr:rowOff>88900</xdr:rowOff>
    </xdr:to>
    <xdr:sp macro="" textlink="">
      <xdr:nvSpPr>
        <xdr:cNvPr id="4" name="TextBox 3">
          <a:extLst>
            <a:ext uri="{FF2B5EF4-FFF2-40B4-BE49-F238E27FC236}">
              <a16:creationId xmlns:a16="http://schemas.microsoft.com/office/drawing/2014/main" id="{C772F470-2DC6-47EB-9CB6-7692A3E21810}"/>
            </a:ext>
          </a:extLst>
        </xdr:cNvPr>
        <xdr:cNvSpPr txBox="1"/>
      </xdr:nvSpPr>
      <xdr:spPr>
        <a:xfrm>
          <a:off x="11074400" y="571500"/>
          <a:ext cx="3657600" cy="13335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a:t>By making appropriate selections in cells $K$4, $L$4, $O$4, and $P$4, you can chart any row (in left chart) or column (in right chart) of any table to the left.</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344662</xdr:colOff>
      <xdr:row>20</xdr:row>
      <xdr:rowOff>69157</xdr:rowOff>
    </xdr:from>
    <xdr:to>
      <xdr:col>12</xdr:col>
      <xdr:colOff>230985</xdr:colOff>
      <xdr:row>23</xdr:row>
      <xdr:rowOff>31056</xdr:rowOff>
    </xdr:to>
    <xdr:pic>
      <xdr:nvPicPr>
        <xdr:cNvPr id="2" name="Picture 1">
          <a:extLst>
            <a:ext uri="{FF2B5EF4-FFF2-40B4-BE49-F238E27FC236}">
              <a16:creationId xmlns:a16="http://schemas.microsoft.com/office/drawing/2014/main" id="{BDFCE24B-9411-4FAF-952C-2B5EB4459587}"/>
            </a:ext>
          </a:extLst>
        </xdr:cNvPr>
        <xdr:cNvPicPr>
          <a:picLocks noChangeAspect="1"/>
        </xdr:cNvPicPr>
      </xdr:nvPicPr>
      <xdr:blipFill>
        <a:blip xmlns:r="http://schemas.openxmlformats.org/officeDocument/2006/relationships" r:embed="rId1"/>
        <a:stretch>
          <a:fillRect/>
        </a:stretch>
      </xdr:blipFill>
      <xdr:spPr>
        <a:xfrm>
          <a:off x="9479591" y="3697728"/>
          <a:ext cx="2925251" cy="506185"/>
        </a:xfrm>
        <a:prstGeom prst="rect">
          <a:avLst/>
        </a:prstGeom>
      </xdr:spPr>
    </xdr:pic>
    <xdr:clientData/>
  </xdr:twoCellAnchor>
  <xdr:twoCellAnchor editAs="oneCell">
    <xdr:from>
      <xdr:col>7</xdr:col>
      <xdr:colOff>601860</xdr:colOff>
      <xdr:row>23</xdr:row>
      <xdr:rowOff>21077</xdr:rowOff>
    </xdr:from>
    <xdr:to>
      <xdr:col>12</xdr:col>
      <xdr:colOff>292940</xdr:colOff>
      <xdr:row>37</xdr:row>
      <xdr:rowOff>107256</xdr:rowOff>
    </xdr:to>
    <xdr:pic>
      <xdr:nvPicPr>
        <xdr:cNvPr id="3" name="Picture 2">
          <a:extLst>
            <a:ext uri="{FF2B5EF4-FFF2-40B4-BE49-F238E27FC236}">
              <a16:creationId xmlns:a16="http://schemas.microsoft.com/office/drawing/2014/main" id="{6B5B15BC-7B14-4C5A-939D-EBA7A27C45E4}"/>
            </a:ext>
          </a:extLst>
        </xdr:cNvPr>
        <xdr:cNvPicPr>
          <a:picLocks noChangeAspect="1"/>
        </xdr:cNvPicPr>
      </xdr:nvPicPr>
      <xdr:blipFill>
        <a:blip xmlns:r="http://schemas.openxmlformats.org/officeDocument/2006/relationships" r:embed="rId2"/>
        <a:stretch>
          <a:fillRect/>
        </a:stretch>
      </xdr:blipFill>
      <xdr:spPr>
        <a:xfrm>
          <a:off x="9736789" y="4193934"/>
          <a:ext cx="2730008" cy="2626179"/>
        </a:xfrm>
        <a:prstGeom prst="rect">
          <a:avLst/>
        </a:prstGeom>
      </xdr:spPr>
    </xdr:pic>
    <xdr:clientData/>
  </xdr:twoCellAnchor>
  <xdr:twoCellAnchor>
    <xdr:from>
      <xdr:col>5</xdr:col>
      <xdr:colOff>97118</xdr:colOff>
      <xdr:row>0</xdr:row>
      <xdr:rowOff>74705</xdr:rowOff>
    </xdr:from>
    <xdr:to>
      <xdr:col>12</xdr:col>
      <xdr:colOff>598714</xdr:colOff>
      <xdr:row>18</xdr:row>
      <xdr:rowOff>121478</xdr:rowOff>
    </xdr:to>
    <xdr:sp macro="" textlink="">
      <xdr:nvSpPr>
        <xdr:cNvPr id="4" name="TextBox 3">
          <a:extLst>
            <a:ext uri="{FF2B5EF4-FFF2-40B4-BE49-F238E27FC236}">
              <a16:creationId xmlns:a16="http://schemas.microsoft.com/office/drawing/2014/main" id="{D1F3210A-DF07-43DA-8547-D5E161B5D646}"/>
            </a:ext>
          </a:extLst>
        </xdr:cNvPr>
        <xdr:cNvSpPr txBox="1"/>
      </xdr:nvSpPr>
      <xdr:spPr>
        <a:xfrm>
          <a:off x="8009770" y="74705"/>
          <a:ext cx="4753335" cy="3326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 Using solver on the given constraints, we find that to attain our desired objective, we need to meet the demand for focus production at plant 4, mustang</a:t>
          </a:r>
          <a:r>
            <a:rPr lang="en-IN" sz="1100" baseline="0"/>
            <a:t> production at plant 2 and taurus production at plant 3. Doing so will lead to a total minimized optimal cost of </a:t>
          </a:r>
          <a:r>
            <a:rPr lang="en-IN" sz="1100" b="1" i="1" baseline="0"/>
            <a:t>355 billion USD</a:t>
          </a:r>
          <a:r>
            <a:rPr lang="en-IN" sz="1100" baseline="0"/>
            <a:t>.</a:t>
          </a:r>
        </a:p>
        <a:p>
          <a:endParaRPr lang="en-IN" sz="1100" baseline="0"/>
        </a:p>
        <a:p>
          <a:r>
            <a:rPr lang="en-IN" sz="1100" baseline="0"/>
            <a:t>b.)Using solvertable, we find that as we increase the demand per type of car from 1 million to 10 million cars each year, our total cost increases linearly from 127 to 640 billion USD.</a:t>
          </a:r>
        </a:p>
        <a:p>
          <a:endParaRPr lang="en-IN" sz="1100" baseline="0"/>
        </a:p>
        <a:p>
          <a:r>
            <a:rPr lang="en-IN" sz="1100" baseline="0"/>
            <a:t>c.) Using solvetable, we notice that as we vary variable cost of producing a mustang at plant from 15000 to 25000 USD, the total cost of production increases linearly from 320.5 to 355 billion USD, corresponding to variable cost of 22000 USD and then plateaus for additional increase in variable cost.</a:t>
          </a:r>
        </a:p>
        <a:p>
          <a:endParaRPr lang="en-IN" sz="1100" baseline="0"/>
        </a:p>
        <a:p>
          <a:r>
            <a:rPr lang="en-IN" sz="1100" baseline="0"/>
            <a:t>Additional.) Using solvertable, we analyze the impact of change in variable cost of producing a mustang in plant 4 to total optimal cost. We find that as we change the variable cost from 7k to 17k USd, in increments of 0.5k USD, total cost changes from 326.5 to 358 USD for variable cost $13500, and then stagnates.</a:t>
          </a:r>
          <a:endParaRPr lang="en-IN" sz="1100"/>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10</xdr:col>
      <xdr:colOff>0</xdr:colOff>
      <xdr:row>15</xdr:row>
      <xdr:rowOff>88900</xdr:rowOff>
    </xdr:from>
    <xdr:to>
      <xdr:col>18</xdr:col>
      <xdr:colOff>0</xdr:colOff>
      <xdr:row>31</xdr:row>
      <xdr:rowOff>0</xdr:rowOff>
    </xdr:to>
    <xdr:graphicFrame macro="">
      <xdr:nvGraphicFramePr>
        <xdr:cNvPr id="2" name="STS_1_Chart">
          <a:extLst>
            <a:ext uri="{FF2B5EF4-FFF2-40B4-BE49-F238E27FC236}">
              <a16:creationId xmlns:a16="http://schemas.microsoft.com/office/drawing/2014/main" id="{B81D3D6F-A10F-43DB-801B-DFFADCE32A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0</xdr:colOff>
      <xdr:row>3</xdr:row>
      <xdr:rowOff>19050</xdr:rowOff>
    </xdr:from>
    <xdr:to>
      <xdr:col>16</xdr:col>
      <xdr:colOff>0</xdr:colOff>
      <xdr:row>3</xdr:row>
      <xdr:rowOff>781050</xdr:rowOff>
    </xdr:to>
    <xdr:sp macro="" textlink="">
      <xdr:nvSpPr>
        <xdr:cNvPr id="3" name="TextBox 2">
          <a:extLst>
            <a:ext uri="{FF2B5EF4-FFF2-40B4-BE49-F238E27FC236}">
              <a16:creationId xmlns:a16="http://schemas.microsoft.com/office/drawing/2014/main" id="{B2A9D188-2BBD-42C5-9EE9-090550C945EE}"/>
            </a:ext>
          </a:extLst>
        </xdr:cNvPr>
        <xdr:cNvSpPr txBox="1"/>
      </xdr:nvSpPr>
      <xdr:spPr>
        <a:xfrm>
          <a:off x="73152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a:t>When you select an output from the dropdown list in cell $K$4, the chart will adapt to that output.</a:t>
          </a:r>
        </a:p>
      </xdr:txBody>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10</xdr:col>
      <xdr:colOff>0</xdr:colOff>
      <xdr:row>26</xdr:row>
      <xdr:rowOff>158750</xdr:rowOff>
    </xdr:from>
    <xdr:to>
      <xdr:col>18</xdr:col>
      <xdr:colOff>0</xdr:colOff>
      <xdr:row>42</xdr:row>
      <xdr:rowOff>69850</xdr:rowOff>
    </xdr:to>
    <xdr:graphicFrame macro="">
      <xdr:nvGraphicFramePr>
        <xdr:cNvPr id="2" name="STS_1_Chart">
          <a:extLst>
            <a:ext uri="{FF2B5EF4-FFF2-40B4-BE49-F238E27FC236}">
              <a16:creationId xmlns:a16="http://schemas.microsoft.com/office/drawing/2014/main" id="{0D1935D5-7BC9-45BC-AC70-14EED39379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0</xdr:colOff>
      <xdr:row>3</xdr:row>
      <xdr:rowOff>19050</xdr:rowOff>
    </xdr:from>
    <xdr:to>
      <xdr:col>16</xdr:col>
      <xdr:colOff>0</xdr:colOff>
      <xdr:row>3</xdr:row>
      <xdr:rowOff>781050</xdr:rowOff>
    </xdr:to>
    <xdr:sp macro="" textlink="">
      <xdr:nvSpPr>
        <xdr:cNvPr id="3" name="TextBox 2">
          <a:extLst>
            <a:ext uri="{FF2B5EF4-FFF2-40B4-BE49-F238E27FC236}">
              <a16:creationId xmlns:a16="http://schemas.microsoft.com/office/drawing/2014/main" id="{AC735E77-E1AC-4D18-B6B0-49A2E447E110}"/>
            </a:ext>
          </a:extLst>
        </xdr:cNvPr>
        <xdr:cNvSpPr txBox="1"/>
      </xdr:nvSpPr>
      <xdr:spPr>
        <a:xfrm>
          <a:off x="73152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a:t>When you select an output from the dropdown list in cell $K$4, the chart will adapt to that output.</a:t>
          </a:r>
        </a:p>
      </xdr:txBody>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10</xdr:col>
      <xdr:colOff>0</xdr:colOff>
      <xdr:row>26</xdr:row>
      <xdr:rowOff>158750</xdr:rowOff>
    </xdr:from>
    <xdr:to>
      <xdr:col>18</xdr:col>
      <xdr:colOff>0</xdr:colOff>
      <xdr:row>42</xdr:row>
      <xdr:rowOff>69850</xdr:rowOff>
    </xdr:to>
    <xdr:graphicFrame macro="">
      <xdr:nvGraphicFramePr>
        <xdr:cNvPr id="2" name="STS_1_Chart">
          <a:extLst>
            <a:ext uri="{FF2B5EF4-FFF2-40B4-BE49-F238E27FC236}">
              <a16:creationId xmlns:a16="http://schemas.microsoft.com/office/drawing/2014/main" id="{5268B98A-1BBF-496A-825C-54DD1CAD30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0</xdr:colOff>
      <xdr:row>3</xdr:row>
      <xdr:rowOff>19050</xdr:rowOff>
    </xdr:from>
    <xdr:to>
      <xdr:col>16</xdr:col>
      <xdr:colOff>0</xdr:colOff>
      <xdr:row>3</xdr:row>
      <xdr:rowOff>781050</xdr:rowOff>
    </xdr:to>
    <xdr:sp macro="" textlink="">
      <xdr:nvSpPr>
        <xdr:cNvPr id="3" name="TextBox 2">
          <a:extLst>
            <a:ext uri="{FF2B5EF4-FFF2-40B4-BE49-F238E27FC236}">
              <a16:creationId xmlns:a16="http://schemas.microsoft.com/office/drawing/2014/main" id="{58F3E292-44B5-49F9-A239-5FD761B0A478}"/>
            </a:ext>
          </a:extLst>
        </xdr:cNvPr>
        <xdr:cNvSpPr txBox="1"/>
      </xdr:nvSpPr>
      <xdr:spPr>
        <a:xfrm>
          <a:off x="73152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a:t>When you select an output from the dropdown list in cell $K$4, the chart will adapt to that output.</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13</xdr:col>
      <xdr:colOff>176509</xdr:colOff>
      <xdr:row>1</xdr:row>
      <xdr:rowOff>129988</xdr:rowOff>
    </xdr:from>
    <xdr:to>
      <xdr:col>17</xdr:col>
      <xdr:colOff>402410</xdr:colOff>
      <xdr:row>4</xdr:row>
      <xdr:rowOff>70224</xdr:rowOff>
    </xdr:to>
    <xdr:pic>
      <xdr:nvPicPr>
        <xdr:cNvPr id="2" name="Picture 1">
          <a:extLst>
            <a:ext uri="{FF2B5EF4-FFF2-40B4-BE49-F238E27FC236}">
              <a16:creationId xmlns:a16="http://schemas.microsoft.com/office/drawing/2014/main" id="{0CC38F08-C422-4EEB-AF47-8F736FD17370}"/>
            </a:ext>
          </a:extLst>
        </xdr:cNvPr>
        <xdr:cNvPicPr>
          <a:picLocks noChangeAspect="1"/>
        </xdr:cNvPicPr>
      </xdr:nvPicPr>
      <xdr:blipFill>
        <a:blip xmlns:r="http://schemas.openxmlformats.org/officeDocument/2006/relationships" r:embed="rId1"/>
        <a:stretch>
          <a:fillRect/>
        </a:stretch>
      </xdr:blipFill>
      <xdr:spPr>
        <a:xfrm>
          <a:off x="9492333" y="316753"/>
          <a:ext cx="2676253" cy="500530"/>
        </a:xfrm>
        <a:prstGeom prst="rect">
          <a:avLst/>
        </a:prstGeom>
      </xdr:spPr>
    </xdr:pic>
    <xdr:clientData/>
  </xdr:twoCellAnchor>
  <xdr:twoCellAnchor editAs="oneCell">
    <xdr:from>
      <xdr:col>13</xdr:col>
      <xdr:colOff>349565</xdr:colOff>
      <xdr:row>4</xdr:row>
      <xdr:rowOff>54910</xdr:rowOff>
    </xdr:from>
    <xdr:to>
      <xdr:col>17</xdr:col>
      <xdr:colOff>399041</xdr:colOff>
      <xdr:row>10</xdr:row>
      <xdr:rowOff>353360</xdr:rowOff>
    </xdr:to>
    <xdr:pic>
      <xdr:nvPicPr>
        <xdr:cNvPr id="3" name="Picture 2">
          <a:extLst>
            <a:ext uri="{FF2B5EF4-FFF2-40B4-BE49-F238E27FC236}">
              <a16:creationId xmlns:a16="http://schemas.microsoft.com/office/drawing/2014/main" id="{84DE13E9-DEB8-43BF-A7A4-9F2FBA004607}"/>
            </a:ext>
          </a:extLst>
        </xdr:cNvPr>
        <xdr:cNvPicPr>
          <a:picLocks noChangeAspect="1"/>
        </xdr:cNvPicPr>
      </xdr:nvPicPr>
      <xdr:blipFill>
        <a:blip xmlns:r="http://schemas.openxmlformats.org/officeDocument/2006/relationships" r:embed="rId2"/>
        <a:stretch>
          <a:fillRect/>
        </a:stretch>
      </xdr:blipFill>
      <xdr:spPr>
        <a:xfrm>
          <a:off x="9665389" y="801969"/>
          <a:ext cx="2499828" cy="2330450"/>
        </a:xfrm>
        <a:prstGeom prst="rect">
          <a:avLst/>
        </a:prstGeom>
      </xdr:spPr>
    </xdr:pic>
    <xdr:clientData/>
  </xdr:twoCellAnchor>
  <xdr:twoCellAnchor>
    <xdr:from>
      <xdr:col>7</xdr:col>
      <xdr:colOff>164353</xdr:colOff>
      <xdr:row>1</xdr:row>
      <xdr:rowOff>7470</xdr:rowOff>
    </xdr:from>
    <xdr:to>
      <xdr:col>12</xdr:col>
      <xdr:colOff>582706</xdr:colOff>
      <xdr:row>7</xdr:row>
      <xdr:rowOff>732118</xdr:rowOff>
    </xdr:to>
    <xdr:sp macro="" textlink="">
      <xdr:nvSpPr>
        <xdr:cNvPr id="4" name="TextBox 3">
          <a:extLst>
            <a:ext uri="{FF2B5EF4-FFF2-40B4-BE49-F238E27FC236}">
              <a16:creationId xmlns:a16="http://schemas.microsoft.com/office/drawing/2014/main" id="{E0F59087-6086-492F-8F76-318DAB062459}"/>
            </a:ext>
          </a:extLst>
        </xdr:cNvPr>
        <xdr:cNvSpPr txBox="1"/>
      </xdr:nvSpPr>
      <xdr:spPr>
        <a:xfrm>
          <a:off x="5804647" y="194235"/>
          <a:ext cx="3481294" cy="2024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a:t>
          </a:r>
          <a:r>
            <a:rPr lang="en-IN" sz="1100" baseline="0"/>
            <a:t> Please see the calculations in the table below obtained by using solver to find out the optimal arrangement to meet the power needs by minimizing costs under given constraints. Using the suggested arrangement, minimized costs turn out to be </a:t>
          </a:r>
          <a:r>
            <a:rPr lang="en-IN" sz="1100" b="1" baseline="0"/>
            <a:t>$12,175,000.</a:t>
          </a:r>
        </a:p>
        <a:p>
          <a:endParaRPr lang="en-IN" sz="1100" b="1" baseline="0"/>
        </a:p>
        <a:p>
          <a:r>
            <a:rPr lang="en-IN" sz="1100" b="1" baseline="0"/>
            <a:t>Additional</a:t>
          </a:r>
          <a:r>
            <a:rPr lang="en-IN" sz="1100" b="0" baseline="0"/>
            <a:t>.) Here we analyze impact of projected increase per month on total final costs. We find out that as we increase projected demand per month from 500 to 5000 kwh in increments of 500 kwh, out overall costs increases linearly from $7,523,500 to $49,415,000</a:t>
          </a:r>
          <a:endParaRPr lang="en-IN" sz="1100" b="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475366-3AC1-4FFF-B45C-1F22F3A364D7}" name="Table1" displayName="Table1" ref="O2:P9" totalsRowShown="0">
  <autoFilter ref="O2:P9" xr:uid="{74475366-3AC1-4FFF-B45C-1F22F3A364D7}"/>
  <tableColumns count="2">
    <tableColumn id="1" xr3:uid="{E0136082-A832-4F5C-9FCB-E5501F14F63B}" name="Cell Name"/>
    <tableColumn id="2" xr3:uid="{A71C144D-5FC6-422E-BC23-C71406FC9B88}" name="Reference"/>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AEBFF5F-4977-4A29-8062-E7CA6FF7B375}" name="Table2" displayName="Table2" ref="N2:O39" totalsRowShown="0">
  <autoFilter ref="N2:O39" xr:uid="{3AEBFF5F-4977-4A29-8062-E7CA6FF7B375}"/>
  <tableColumns count="2">
    <tableColumn id="1" xr3:uid="{564C9C78-0A65-4BB2-94A8-205F5FD999FC}" name="Cell Name"/>
    <tableColumn id="2" xr3:uid="{9CF7B7AA-6240-443F-AB1C-D0718FBBE113}" name="Reference"/>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7C2CF93-3277-4C8D-88F3-E4FD533FD495}" name="Table3" displayName="Table3" ref="N2:O25" totalsRowShown="0">
  <autoFilter ref="N2:O25" xr:uid="{57C2CF93-3277-4C8D-88F3-E4FD533FD495}"/>
  <tableColumns count="2">
    <tableColumn id="1" xr3:uid="{6ADD26CE-3389-4C2B-A4A8-B83A459DEC58}" name="Cell Name"/>
    <tableColumn id="2" xr3:uid="{397102EB-A45D-4FCB-835F-E6384E43D80C}" name="Reference"/>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5D96395-616B-49BB-9FB2-0D5B587191FD}" name="Table4" displayName="Table4" ref="W2:X25" totalsRowShown="0">
  <autoFilter ref="W2:X25" xr:uid="{E5D96395-616B-49BB-9FB2-0D5B587191FD}"/>
  <tableColumns count="2">
    <tableColumn id="1" xr3:uid="{C08DCBC8-FB67-4656-89AB-ECD6B1B7DDF9}" name="Cell Name"/>
    <tableColumn id="2" xr3:uid="{17F5DD23-0FE8-456E-9975-B3B29168BE46}" name="Reference"/>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9.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77EE0-DAD4-41C2-B7BC-FB046CD739F1}">
  <dimension ref="A1:P24"/>
  <sheetViews>
    <sheetView workbookViewId="0">
      <selection activeCell="B25" sqref="B25"/>
    </sheetView>
  </sheetViews>
  <sheetFormatPr defaultRowHeight="14.25" x14ac:dyDescent="0.45"/>
  <cols>
    <col min="1" max="1" width="12.33203125" bestFit="1" customWidth="1"/>
    <col min="2" max="2" width="9.46484375" bestFit="1" customWidth="1"/>
    <col min="15" max="15" width="15.796875" bestFit="1" customWidth="1"/>
    <col min="16" max="16" width="18" bestFit="1" customWidth="1"/>
  </cols>
  <sheetData>
    <row r="1" spans="1:16" x14ac:dyDescent="0.45">
      <c r="A1" s="7" t="s">
        <v>0</v>
      </c>
      <c r="B1" s="2"/>
      <c r="C1" s="2"/>
      <c r="D1" s="2"/>
      <c r="O1" s="16" t="s">
        <v>26</v>
      </c>
    </row>
    <row r="2" spans="1:16" x14ac:dyDescent="0.45">
      <c r="A2" s="2"/>
      <c r="B2" s="2"/>
      <c r="C2" s="2"/>
      <c r="D2" s="2"/>
      <c r="O2" t="s">
        <v>38</v>
      </c>
      <c r="P2" t="s">
        <v>158</v>
      </c>
    </row>
    <row r="3" spans="1:16" x14ac:dyDescent="0.45">
      <c r="A3" s="7" t="s">
        <v>1</v>
      </c>
      <c r="B3" s="2"/>
      <c r="C3" s="2"/>
      <c r="D3" s="2"/>
      <c r="O3" t="s">
        <v>5</v>
      </c>
      <c r="P3" t="s">
        <v>27</v>
      </c>
    </row>
    <row r="4" spans="1:16" x14ac:dyDescent="0.45">
      <c r="A4" s="2"/>
      <c r="B4" s="3" t="s">
        <v>2</v>
      </c>
      <c r="C4" s="3" t="s">
        <v>3</v>
      </c>
      <c r="D4" s="3" t="s">
        <v>4</v>
      </c>
      <c r="O4" t="s">
        <v>28</v>
      </c>
      <c r="P4" t="s">
        <v>29</v>
      </c>
    </row>
    <row r="5" spans="1:16" x14ac:dyDescent="0.45">
      <c r="A5" s="2" t="s">
        <v>5</v>
      </c>
      <c r="B5" s="4">
        <v>20</v>
      </c>
      <c r="C5" s="4">
        <v>15</v>
      </c>
      <c r="D5" s="4">
        <v>12</v>
      </c>
      <c r="O5" t="s">
        <v>30</v>
      </c>
      <c r="P5" t="s">
        <v>31</v>
      </c>
    </row>
    <row r="6" spans="1:16" x14ac:dyDescent="0.45">
      <c r="A6" s="2" t="s">
        <v>6</v>
      </c>
      <c r="B6" s="4">
        <v>500</v>
      </c>
      <c r="C6" s="4">
        <v>400</v>
      </c>
      <c r="D6" s="4">
        <v>300</v>
      </c>
      <c r="O6" t="s">
        <v>32</v>
      </c>
      <c r="P6" t="s">
        <v>33</v>
      </c>
    </row>
    <row r="7" spans="1:16" x14ac:dyDescent="0.45">
      <c r="O7" t="s">
        <v>24</v>
      </c>
      <c r="P7" t="s">
        <v>34</v>
      </c>
    </row>
    <row r="8" spans="1:16" x14ac:dyDescent="0.45">
      <c r="A8" s="2" t="s">
        <v>7</v>
      </c>
      <c r="B8" t="s">
        <v>8</v>
      </c>
      <c r="O8" t="s">
        <v>35</v>
      </c>
      <c r="P8" t="s">
        <v>36</v>
      </c>
    </row>
    <row r="9" spans="1:16" x14ac:dyDescent="0.45">
      <c r="O9" t="s">
        <v>6</v>
      </c>
      <c r="P9" t="s">
        <v>37</v>
      </c>
    </row>
    <row r="10" spans="1:16" x14ac:dyDescent="0.45">
      <c r="A10" s="2" t="s">
        <v>9</v>
      </c>
      <c r="B10" t="s">
        <v>10</v>
      </c>
    </row>
    <row r="11" spans="1:16" x14ac:dyDescent="0.45">
      <c r="B11" t="s">
        <v>11</v>
      </c>
    </row>
    <row r="13" spans="1:16" x14ac:dyDescent="0.45">
      <c r="A13" t="s">
        <v>12</v>
      </c>
      <c r="B13" t="s">
        <v>13</v>
      </c>
    </row>
    <row r="16" spans="1:16" x14ac:dyDescent="0.45">
      <c r="B16" t="s">
        <v>2</v>
      </c>
      <c r="C16" t="s">
        <v>3</v>
      </c>
      <c r="D16" t="s">
        <v>4</v>
      </c>
    </row>
    <row r="17" spans="1:4" x14ac:dyDescent="0.45">
      <c r="A17" t="s">
        <v>14</v>
      </c>
      <c r="B17" s="5">
        <v>2</v>
      </c>
      <c r="C17" s="5">
        <v>1</v>
      </c>
      <c r="D17" s="5">
        <v>2</v>
      </c>
    </row>
    <row r="18" spans="1:4" x14ac:dyDescent="0.45">
      <c r="B18" s="22" t="s">
        <v>78</v>
      </c>
      <c r="C18" s="22" t="s">
        <v>78</v>
      </c>
      <c r="D18" s="22" t="s">
        <v>78</v>
      </c>
    </row>
    <row r="19" spans="1:4" x14ac:dyDescent="0.45">
      <c r="A19" t="s">
        <v>18</v>
      </c>
      <c r="B19" s="4">
        <v>1</v>
      </c>
      <c r="C19" s="4">
        <v>1</v>
      </c>
      <c r="D19" s="4">
        <v>1</v>
      </c>
    </row>
    <row r="21" spans="1:4" x14ac:dyDescent="0.45">
      <c r="D21" t="s">
        <v>16</v>
      </c>
    </row>
    <row r="22" spans="1:4" x14ac:dyDescent="0.45">
      <c r="A22" t="s">
        <v>15</v>
      </c>
      <c r="B22">
        <f>SUMPRODUCT(No_of_items,Weight)</f>
        <v>2000</v>
      </c>
      <c r="C22" s="22" t="s">
        <v>77</v>
      </c>
      <c r="D22" s="4">
        <v>2000</v>
      </c>
    </row>
    <row r="24" spans="1:4" x14ac:dyDescent="0.45">
      <c r="A24" t="s">
        <v>17</v>
      </c>
      <c r="B24" s="6">
        <f>SUMPRODUCT(No_of_items,Benefit)</f>
        <v>79</v>
      </c>
    </row>
  </sheetData>
  <phoneticPr fontId="6" type="noConversion"/>
  <pageMargins left="0.7" right="0.7" top="0.75" bottom="0.75" header="0.3" footer="0.3"/>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4D63A-B2C6-47E0-A2F2-5BA0AE8AD9F9}">
  <dimension ref="A1:B18"/>
  <sheetViews>
    <sheetView workbookViewId="0"/>
  </sheetViews>
  <sheetFormatPr defaultRowHeight="14.25" x14ac:dyDescent="0.45"/>
  <sheetData>
    <row r="1" spans="1:2" x14ac:dyDescent="0.45">
      <c r="A1">
        <v>1</v>
      </c>
      <c r="B1">
        <v>1</v>
      </c>
    </row>
    <row r="2" spans="1:2" x14ac:dyDescent="0.45">
      <c r="A2" t="s">
        <v>272</v>
      </c>
      <c r="B2" t="s">
        <v>266</v>
      </c>
    </row>
    <row r="3" spans="1:2" x14ac:dyDescent="0.45">
      <c r="A3">
        <v>1</v>
      </c>
      <c r="B3">
        <v>1</v>
      </c>
    </row>
    <row r="4" spans="1:2" x14ac:dyDescent="0.45">
      <c r="A4">
        <v>500</v>
      </c>
      <c r="B4">
        <v>10</v>
      </c>
    </row>
    <row r="5" spans="1:2" x14ac:dyDescent="0.45">
      <c r="A5">
        <v>5000</v>
      </c>
      <c r="B5">
        <v>10</v>
      </c>
    </row>
    <row r="6" spans="1:2" x14ac:dyDescent="0.45">
      <c r="A6">
        <v>500</v>
      </c>
      <c r="B6">
        <v>150</v>
      </c>
    </row>
    <row r="8" spans="1:2" x14ac:dyDescent="0.45">
      <c r="A8" s="8"/>
      <c r="B8" s="8" t="s">
        <v>81</v>
      </c>
    </row>
    <row r="9" spans="1:2" x14ac:dyDescent="0.45">
      <c r="A9" t="s">
        <v>268</v>
      </c>
      <c r="B9" t="s">
        <v>267</v>
      </c>
    </row>
    <row r="10" spans="1:2" x14ac:dyDescent="0.45">
      <c r="A10" t="s">
        <v>273</v>
      </c>
      <c r="B10">
        <v>1</v>
      </c>
    </row>
    <row r="11" spans="1:2" x14ac:dyDescent="0.45">
      <c r="B11">
        <v>50000</v>
      </c>
    </row>
    <row r="12" spans="1:2" x14ac:dyDescent="0.45">
      <c r="B12">
        <v>250000</v>
      </c>
    </row>
    <row r="13" spans="1:2" x14ac:dyDescent="0.45">
      <c r="B13">
        <v>20000</v>
      </c>
    </row>
    <row r="15" spans="1:2" x14ac:dyDescent="0.45">
      <c r="B15" s="8" t="s">
        <v>81</v>
      </c>
    </row>
    <row r="16" spans="1:2" x14ac:dyDescent="0.45">
      <c r="B16" t="s">
        <v>268</v>
      </c>
    </row>
    <row r="17" spans="2:2" x14ac:dyDescent="0.45">
      <c r="B17" t="s">
        <v>269</v>
      </c>
    </row>
    <row r="18" spans="2:2" x14ac:dyDescent="0.45">
      <c r="B18" t="s">
        <v>270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CAEB0-D6A4-44DA-8A79-95D7C6DBE18A}">
  <dimension ref="A1:B15"/>
  <sheetViews>
    <sheetView workbookViewId="0"/>
  </sheetViews>
  <sheetFormatPr defaultRowHeight="14.25" x14ac:dyDescent="0.45"/>
  <sheetData>
    <row r="1" spans="1:2" x14ac:dyDescent="0.45">
      <c r="A1">
        <v>1</v>
      </c>
    </row>
    <row r="2" spans="1:2" x14ac:dyDescent="0.45">
      <c r="A2" t="s">
        <v>316</v>
      </c>
    </row>
    <row r="3" spans="1:2" x14ac:dyDescent="0.45">
      <c r="A3">
        <v>1</v>
      </c>
    </row>
    <row r="4" spans="1:2" x14ac:dyDescent="0.45">
      <c r="A4">
        <v>7</v>
      </c>
    </row>
    <row r="5" spans="1:2" x14ac:dyDescent="0.45">
      <c r="A5">
        <v>17</v>
      </c>
    </row>
    <row r="6" spans="1:2" x14ac:dyDescent="0.45">
      <c r="A6">
        <v>0.5</v>
      </c>
    </row>
    <row r="8" spans="1:2" x14ac:dyDescent="0.45">
      <c r="A8" s="8"/>
      <c r="B8" s="8"/>
    </row>
    <row r="9" spans="1:2" x14ac:dyDescent="0.45">
      <c r="A9" t="s">
        <v>233</v>
      </c>
    </row>
    <row r="10" spans="1:2" x14ac:dyDescent="0.45">
      <c r="A10" t="s">
        <v>317</v>
      </c>
    </row>
    <row r="15" spans="1:2" x14ac:dyDescent="0.45">
      <c r="B15" s="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B85ED-917B-427F-B053-2D8991F8D7A5}">
  <dimension ref="A1:B15"/>
  <sheetViews>
    <sheetView workbookViewId="0"/>
  </sheetViews>
  <sheetFormatPr defaultRowHeight="14.25" x14ac:dyDescent="0.45"/>
  <sheetData>
    <row r="1" spans="1:2" x14ac:dyDescent="0.45">
      <c r="A1">
        <v>1</v>
      </c>
    </row>
    <row r="2" spans="1:2" x14ac:dyDescent="0.45">
      <c r="A2" t="s">
        <v>232</v>
      </c>
    </row>
    <row r="3" spans="1:2" x14ac:dyDescent="0.45">
      <c r="A3">
        <v>1</v>
      </c>
    </row>
    <row r="4" spans="1:2" x14ac:dyDescent="0.45">
      <c r="A4">
        <v>1000000</v>
      </c>
    </row>
    <row r="5" spans="1:2" x14ac:dyDescent="0.45">
      <c r="A5">
        <v>10000000</v>
      </c>
    </row>
    <row r="6" spans="1:2" x14ac:dyDescent="0.45">
      <c r="A6">
        <v>1000000</v>
      </c>
    </row>
    <row r="8" spans="1:2" x14ac:dyDescent="0.45">
      <c r="A8" s="8"/>
      <c r="B8" s="8"/>
    </row>
    <row r="9" spans="1:2" x14ac:dyDescent="0.45">
      <c r="A9" t="s">
        <v>233</v>
      </c>
    </row>
    <row r="10" spans="1:2" x14ac:dyDescent="0.45">
      <c r="A10" t="s">
        <v>185</v>
      </c>
    </row>
    <row r="15" spans="1:2" x14ac:dyDescent="0.45">
      <c r="B15" s="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01A8D-BD61-477D-B182-73B8A489AB38}">
  <dimension ref="A1:B18"/>
  <sheetViews>
    <sheetView workbookViewId="0"/>
  </sheetViews>
  <sheetFormatPr defaultRowHeight="14.25" x14ac:dyDescent="0.45"/>
  <sheetData>
    <row r="1" spans="1:2" x14ac:dyDescent="0.45">
      <c r="B1">
        <v>1</v>
      </c>
    </row>
    <row r="2" spans="1:2" x14ac:dyDescent="0.45">
      <c r="B2" t="s">
        <v>80</v>
      </c>
    </row>
    <row r="3" spans="1:2" x14ac:dyDescent="0.45">
      <c r="B3">
        <v>1</v>
      </c>
    </row>
    <row r="4" spans="1:2" x14ac:dyDescent="0.45">
      <c r="B4">
        <v>12000</v>
      </c>
    </row>
    <row r="5" spans="1:2" x14ac:dyDescent="0.45">
      <c r="B5">
        <v>25000</v>
      </c>
    </row>
    <row r="6" spans="1:2" x14ac:dyDescent="0.45">
      <c r="B6">
        <v>1000</v>
      </c>
    </row>
    <row r="8" spans="1:2" x14ac:dyDescent="0.45">
      <c r="A8" s="8"/>
      <c r="B8" s="8" t="s">
        <v>81</v>
      </c>
    </row>
    <row r="9" spans="1:2" x14ac:dyDescent="0.45">
      <c r="B9" t="s">
        <v>82</v>
      </c>
    </row>
    <row r="10" spans="1:2" x14ac:dyDescent="0.45">
      <c r="B10">
        <v>1</v>
      </c>
    </row>
    <row r="11" spans="1:2" x14ac:dyDescent="0.45">
      <c r="B11">
        <v>1</v>
      </c>
    </row>
    <row r="12" spans="1:2" x14ac:dyDescent="0.45">
      <c r="B12">
        <v>4</v>
      </c>
    </row>
    <row r="13" spans="1:2" x14ac:dyDescent="0.45">
      <c r="B13">
        <v>1</v>
      </c>
    </row>
    <row r="15" spans="1:2" x14ac:dyDescent="0.45">
      <c r="B15" s="8" t="s">
        <v>81</v>
      </c>
    </row>
    <row r="16" spans="1:2" x14ac:dyDescent="0.45">
      <c r="B16" t="s">
        <v>83</v>
      </c>
    </row>
    <row r="17" spans="2:2" x14ac:dyDescent="0.45">
      <c r="B17" t="s">
        <v>84</v>
      </c>
    </row>
    <row r="18" spans="2:2" x14ac:dyDescent="0.45">
      <c r="B18" t="s">
        <v>85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6A07B-D432-4BEE-9420-5F633F9B654D}">
  <dimension ref="A1:B15"/>
  <sheetViews>
    <sheetView workbookViewId="0"/>
  </sheetViews>
  <sheetFormatPr defaultRowHeight="14.25" x14ac:dyDescent="0.45"/>
  <sheetData>
    <row r="1" spans="1:2" x14ac:dyDescent="0.45">
      <c r="A1">
        <v>1</v>
      </c>
    </row>
    <row r="2" spans="1:2" x14ac:dyDescent="0.45">
      <c r="A2" t="s">
        <v>19</v>
      </c>
    </row>
    <row r="3" spans="1:2" x14ac:dyDescent="0.45">
      <c r="A3">
        <v>1</v>
      </c>
    </row>
    <row r="4" spans="1:2" x14ac:dyDescent="0.45">
      <c r="A4">
        <v>1500</v>
      </c>
    </row>
    <row r="5" spans="1:2" x14ac:dyDescent="0.45">
      <c r="A5">
        <v>3000</v>
      </c>
    </row>
    <row r="6" spans="1:2" x14ac:dyDescent="0.45">
      <c r="A6">
        <v>300</v>
      </c>
    </row>
    <row r="8" spans="1:2" x14ac:dyDescent="0.45">
      <c r="A8" s="8"/>
      <c r="B8" s="8"/>
    </row>
    <row r="9" spans="1:2" x14ac:dyDescent="0.45">
      <c r="A9" t="s">
        <v>20</v>
      </c>
    </row>
    <row r="10" spans="1:2" x14ac:dyDescent="0.45">
      <c r="A10" t="s">
        <v>21</v>
      </c>
    </row>
    <row r="15" spans="1:2" x14ac:dyDescent="0.45">
      <c r="B15" s="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71D94-ACFC-4AE5-8E80-E045E4475F4D}">
  <dimension ref="A1:K14"/>
  <sheetViews>
    <sheetView tabSelected="1" workbookViewId="0">
      <selection activeCell="H30" sqref="H30"/>
    </sheetView>
  </sheetViews>
  <sheetFormatPr defaultRowHeight="14.25" x14ac:dyDescent="0.45"/>
  <cols>
    <col min="2" max="2" width="14.59765625" bestFit="1" customWidth="1"/>
  </cols>
  <sheetData>
    <row r="1" spans="1:11" x14ac:dyDescent="0.45">
      <c r="A1" s="9" t="s">
        <v>271</v>
      </c>
      <c r="K1" s="12" t="str">
        <f>CONCATENATE("Sensitivity of ",$K$4," to ","Projected increase")</f>
        <v>Sensitivity of Total_Final_Cost to Projected increase</v>
      </c>
    </row>
    <row r="3" spans="1:11" x14ac:dyDescent="0.45">
      <c r="A3" t="s">
        <v>274</v>
      </c>
      <c r="K3" t="s">
        <v>25</v>
      </c>
    </row>
    <row r="4" spans="1:11" ht="77.650000000000006" x14ac:dyDescent="0.45">
      <c r="B4" s="10" t="s">
        <v>259</v>
      </c>
      <c r="J4" s="12">
        <f>MATCH($K$4,OutputAddresses,0)</f>
        <v>1</v>
      </c>
      <c r="K4" s="11" t="s">
        <v>259</v>
      </c>
    </row>
    <row r="5" spans="1:11" x14ac:dyDescent="0.45">
      <c r="A5">
        <v>500</v>
      </c>
      <c r="B5" s="38">
        <v>7532500</v>
      </c>
      <c r="K5">
        <f>INDEX(OutputValues,1,$J$4)</f>
        <v>7532500</v>
      </c>
    </row>
    <row r="6" spans="1:11" x14ac:dyDescent="0.45">
      <c r="A6">
        <v>1000</v>
      </c>
      <c r="B6" s="39">
        <v>12175000</v>
      </c>
      <c r="K6">
        <f>INDEX(OutputValues,2,$J$4)</f>
        <v>12175000</v>
      </c>
    </row>
    <row r="7" spans="1:11" x14ac:dyDescent="0.45">
      <c r="A7">
        <v>1500</v>
      </c>
      <c r="B7" s="39">
        <v>16830000</v>
      </c>
      <c r="K7">
        <f>INDEX(OutputValues,3,$J$4)</f>
        <v>16830000</v>
      </c>
    </row>
    <row r="8" spans="1:11" x14ac:dyDescent="0.45">
      <c r="A8">
        <v>2000</v>
      </c>
      <c r="B8" s="39">
        <v>21485000</v>
      </c>
      <c r="K8">
        <f>INDEX(OutputValues,4,$J$4)</f>
        <v>21485000</v>
      </c>
    </row>
    <row r="9" spans="1:11" x14ac:dyDescent="0.45">
      <c r="A9">
        <v>2500</v>
      </c>
      <c r="B9" s="39">
        <v>26140000</v>
      </c>
      <c r="K9">
        <f>INDEX(OutputValues,5,$J$4)</f>
        <v>26140000</v>
      </c>
    </row>
    <row r="10" spans="1:11" x14ac:dyDescent="0.45">
      <c r="A10">
        <v>3000</v>
      </c>
      <c r="B10" s="39">
        <v>30795000</v>
      </c>
      <c r="K10">
        <f>INDEX(OutputValues,6,$J$4)</f>
        <v>30795000</v>
      </c>
    </row>
    <row r="11" spans="1:11" x14ac:dyDescent="0.45">
      <c r="A11">
        <v>3500</v>
      </c>
      <c r="B11" s="39">
        <v>35450000</v>
      </c>
      <c r="K11">
        <f>INDEX(OutputValues,7,$J$4)</f>
        <v>35450000</v>
      </c>
    </row>
    <row r="12" spans="1:11" x14ac:dyDescent="0.45">
      <c r="A12">
        <v>4000</v>
      </c>
      <c r="B12" s="39">
        <v>40105000</v>
      </c>
      <c r="K12">
        <f>INDEX(OutputValues,8,$J$4)</f>
        <v>40105000</v>
      </c>
    </row>
    <row r="13" spans="1:11" x14ac:dyDescent="0.45">
      <c r="A13">
        <v>4500</v>
      </c>
      <c r="B13" s="39">
        <v>44760000</v>
      </c>
      <c r="K13">
        <f>INDEX(OutputValues,9,$J$4)</f>
        <v>44760000</v>
      </c>
    </row>
    <row r="14" spans="1:11" x14ac:dyDescent="0.45">
      <c r="A14">
        <v>5000</v>
      </c>
      <c r="B14" s="40">
        <v>49415000</v>
      </c>
      <c r="K14">
        <f>INDEX(OutputValues,10,$J$4)</f>
        <v>49415000</v>
      </c>
    </row>
  </sheetData>
  <dataValidations count="1">
    <dataValidation type="list" allowBlank="1" showInputMessage="1" showErrorMessage="1" sqref="K4" xr:uid="{979FFBF8-067D-4A70-9C50-D2DFE57D0D52}">
      <formula1>OutputAddresses</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7555C-950B-480D-B9D2-BC35019F6D66}">
  <dimension ref="A1:K10"/>
  <sheetViews>
    <sheetView workbookViewId="0">
      <selection activeCell="F30" sqref="F30"/>
    </sheetView>
  </sheetViews>
  <sheetFormatPr defaultRowHeight="14.25" x14ac:dyDescent="0.45"/>
  <sheetData>
    <row r="1" spans="1:11" x14ac:dyDescent="0.45">
      <c r="A1" s="9" t="s">
        <v>22</v>
      </c>
      <c r="K1" s="12" t="str">
        <f>CONCATENATE("Sensitivity of ",$K$4," to ","maximum weight allowed")</f>
        <v>Sensitivity of Total_benefit to maximum weight allowed</v>
      </c>
    </row>
    <row r="3" spans="1:11" x14ac:dyDescent="0.45">
      <c r="A3" t="s">
        <v>23</v>
      </c>
      <c r="K3" t="s">
        <v>25</v>
      </c>
    </row>
    <row r="4" spans="1:11" ht="63.4" x14ac:dyDescent="0.45">
      <c r="B4" s="10" t="s">
        <v>24</v>
      </c>
      <c r="J4" s="12">
        <f>MATCH($K$4,OutputAddresses,0)</f>
        <v>1</v>
      </c>
      <c r="K4" s="11" t="s">
        <v>24</v>
      </c>
    </row>
    <row r="5" spans="1:11" x14ac:dyDescent="0.45">
      <c r="A5">
        <v>1500</v>
      </c>
      <c r="B5" s="13">
        <v>59</v>
      </c>
      <c r="K5">
        <f>INDEX(OutputValues,1,$J$4)</f>
        <v>59</v>
      </c>
    </row>
    <row r="6" spans="1:11" x14ac:dyDescent="0.45">
      <c r="A6">
        <v>1800</v>
      </c>
      <c r="B6" s="14">
        <v>71</v>
      </c>
      <c r="K6">
        <f>INDEX(OutputValues,2,$J$4)</f>
        <v>71</v>
      </c>
    </row>
    <row r="7" spans="1:11" x14ac:dyDescent="0.45">
      <c r="A7">
        <v>2100</v>
      </c>
      <c r="B7" s="14">
        <v>83</v>
      </c>
      <c r="K7">
        <f>INDEX(OutputValues,3,$J$4)</f>
        <v>83</v>
      </c>
    </row>
    <row r="8" spans="1:11" x14ac:dyDescent="0.45">
      <c r="A8">
        <v>2400</v>
      </c>
      <c r="B8" s="14">
        <v>95</v>
      </c>
      <c r="K8">
        <f>INDEX(OutputValues,4,$J$4)</f>
        <v>95</v>
      </c>
    </row>
    <row r="9" spans="1:11" x14ac:dyDescent="0.45">
      <c r="A9">
        <v>2700</v>
      </c>
      <c r="B9" s="14">
        <v>107</v>
      </c>
      <c r="K9">
        <f>INDEX(OutputValues,5,$J$4)</f>
        <v>107</v>
      </c>
    </row>
    <row r="10" spans="1:11" x14ac:dyDescent="0.45">
      <c r="A10">
        <v>3000</v>
      </c>
      <c r="B10" s="15">
        <v>119</v>
      </c>
      <c r="K10">
        <f>INDEX(OutputValues,6,$J$4)</f>
        <v>119</v>
      </c>
    </row>
  </sheetData>
  <dataValidations count="1">
    <dataValidation type="list" allowBlank="1" showInputMessage="1" showErrorMessage="1" sqref="K4" xr:uid="{7A6BF527-2A28-447E-8A47-2BD5703EA354}">
      <formula1>OutputAddresses</formula1>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35007-F36A-4013-B980-CC2CDE95331E}">
  <dimension ref="A1:O39"/>
  <sheetViews>
    <sheetView zoomScale="70" zoomScaleNormal="70" workbookViewId="0">
      <selection activeCell="G7" sqref="G7"/>
    </sheetView>
  </sheetViews>
  <sheetFormatPr defaultRowHeight="14.25" x14ac:dyDescent="0.45"/>
  <cols>
    <col min="1" max="1" width="35.73046875" bestFit="1" customWidth="1"/>
    <col min="2" max="2" width="47.06640625" bestFit="1" customWidth="1"/>
    <col min="3" max="3" width="16.46484375" bestFit="1" customWidth="1"/>
    <col min="4" max="4" width="19" bestFit="1" customWidth="1"/>
    <col min="5" max="6" width="13.53125" bestFit="1" customWidth="1"/>
    <col min="7" max="7" width="16" bestFit="1" customWidth="1"/>
    <col min="9" max="9" width="24.53125" bestFit="1" customWidth="1"/>
    <col min="14" max="14" width="38.73046875" bestFit="1" customWidth="1"/>
    <col min="15" max="15" width="18.19921875" bestFit="1" customWidth="1"/>
  </cols>
  <sheetData>
    <row r="1" spans="1:15" x14ac:dyDescent="0.45">
      <c r="A1" s="1" t="s">
        <v>39</v>
      </c>
      <c r="B1" s="2"/>
      <c r="C1" s="2"/>
      <c r="D1" s="2"/>
      <c r="E1" s="2"/>
      <c r="N1" s="16" t="s">
        <v>26</v>
      </c>
    </row>
    <row r="2" spans="1:15" x14ac:dyDescent="0.45">
      <c r="A2" s="2"/>
      <c r="B2" s="2"/>
      <c r="C2" s="2"/>
      <c r="D2" s="2"/>
      <c r="E2" s="2"/>
      <c r="G2" t="s">
        <v>79</v>
      </c>
      <c r="H2" s="4">
        <v>15000</v>
      </c>
      <c r="N2" t="s">
        <v>38</v>
      </c>
      <c r="O2" t="s">
        <v>158</v>
      </c>
    </row>
    <row r="3" spans="1:15" x14ac:dyDescent="0.45">
      <c r="A3" s="2" t="s">
        <v>40</v>
      </c>
      <c r="B3" s="2"/>
      <c r="C3" s="2"/>
      <c r="D3" s="2"/>
      <c r="E3" s="2"/>
      <c r="N3" t="s">
        <v>51</v>
      </c>
      <c r="O3" t="s">
        <v>95</v>
      </c>
    </row>
    <row r="4" spans="1:15" x14ac:dyDescent="0.45">
      <c r="A4" s="2"/>
      <c r="B4" s="2"/>
      <c r="C4" s="17" t="s">
        <v>41</v>
      </c>
      <c r="D4" s="17"/>
      <c r="E4" s="17"/>
      <c r="N4" t="s">
        <v>96</v>
      </c>
      <c r="O4" t="s">
        <v>97</v>
      </c>
    </row>
    <row r="5" spans="1:15" x14ac:dyDescent="0.45">
      <c r="A5" s="3"/>
      <c r="B5" s="3"/>
      <c r="C5" s="3" t="s">
        <v>42</v>
      </c>
      <c r="D5" s="3" t="s">
        <v>43</v>
      </c>
      <c r="E5" s="3" t="s">
        <v>44</v>
      </c>
      <c r="F5" s="3" t="s">
        <v>50</v>
      </c>
      <c r="G5" s="3" t="s">
        <v>51</v>
      </c>
      <c r="N5" t="s">
        <v>98</v>
      </c>
      <c r="O5" t="s">
        <v>99</v>
      </c>
    </row>
    <row r="6" spans="1:15" x14ac:dyDescent="0.45">
      <c r="A6" s="2" t="s">
        <v>45</v>
      </c>
      <c r="B6" s="2" t="s">
        <v>46</v>
      </c>
      <c r="C6" s="18">
        <v>26</v>
      </c>
      <c r="D6" s="18">
        <v>41</v>
      </c>
      <c r="E6" s="18">
        <v>39</v>
      </c>
      <c r="F6" s="18">
        <v>60000</v>
      </c>
      <c r="G6" s="19">
        <f>EachPlantCapacity</f>
        <v>15000</v>
      </c>
      <c r="N6" t="s">
        <v>100</v>
      </c>
      <c r="O6" t="s">
        <v>99</v>
      </c>
    </row>
    <row r="7" spans="1:15" x14ac:dyDescent="0.45">
      <c r="A7" s="2"/>
      <c r="B7" s="2" t="s">
        <v>47</v>
      </c>
      <c r="C7" s="18">
        <v>59</v>
      </c>
      <c r="D7" s="18">
        <v>27</v>
      </c>
      <c r="E7" s="18">
        <v>27</v>
      </c>
      <c r="F7" s="18">
        <v>50000</v>
      </c>
      <c r="G7" s="19">
        <f>EachPlantCapacity</f>
        <v>15000</v>
      </c>
      <c r="N7" t="s">
        <v>101</v>
      </c>
      <c r="O7" t="s">
        <v>102</v>
      </c>
    </row>
    <row r="8" spans="1:15" x14ac:dyDescent="0.45">
      <c r="A8" s="2"/>
      <c r="B8" s="2" t="s">
        <v>48</v>
      </c>
      <c r="C8" s="18">
        <v>28</v>
      </c>
      <c r="D8" s="18">
        <v>32</v>
      </c>
      <c r="E8" s="18">
        <v>43</v>
      </c>
      <c r="F8" s="18">
        <v>40000</v>
      </c>
      <c r="G8" s="19">
        <f>EachPlantCapacity</f>
        <v>15000</v>
      </c>
      <c r="N8" t="s">
        <v>103</v>
      </c>
      <c r="O8" t="s">
        <v>104</v>
      </c>
    </row>
    <row r="9" spans="1:15" x14ac:dyDescent="0.45">
      <c r="A9" s="2"/>
      <c r="B9" s="2" t="s">
        <v>49</v>
      </c>
      <c r="C9" s="18">
        <v>28</v>
      </c>
      <c r="D9" s="18">
        <v>40</v>
      </c>
      <c r="E9" s="18">
        <v>38</v>
      </c>
      <c r="F9" s="18">
        <v>35000</v>
      </c>
      <c r="G9" s="19">
        <f>EachPlantCapacity</f>
        <v>15000</v>
      </c>
      <c r="N9" t="s">
        <v>105</v>
      </c>
      <c r="O9" t="s">
        <v>106</v>
      </c>
    </row>
    <row r="10" spans="1:15" x14ac:dyDescent="0.45">
      <c r="N10" t="s">
        <v>66</v>
      </c>
      <c r="O10" t="s">
        <v>107</v>
      </c>
    </row>
    <row r="11" spans="1:15" x14ac:dyDescent="0.45">
      <c r="N11" t="s">
        <v>79</v>
      </c>
      <c r="O11" t="s">
        <v>108</v>
      </c>
    </row>
    <row r="12" spans="1:15" x14ac:dyDescent="0.45">
      <c r="A12" t="s">
        <v>52</v>
      </c>
      <c r="B12" s="2" t="s">
        <v>53</v>
      </c>
      <c r="N12" t="s">
        <v>109</v>
      </c>
      <c r="O12" t="s">
        <v>110</v>
      </c>
    </row>
    <row r="13" spans="1:15" x14ac:dyDescent="0.45">
      <c r="N13" t="s">
        <v>111</v>
      </c>
      <c r="O13" t="s">
        <v>112</v>
      </c>
    </row>
    <row r="14" spans="1:15" x14ac:dyDescent="0.45">
      <c r="A14" t="s">
        <v>54</v>
      </c>
      <c r="B14" t="s">
        <v>55</v>
      </c>
      <c r="N14" t="s">
        <v>113</v>
      </c>
      <c r="O14" t="s">
        <v>114</v>
      </c>
    </row>
    <row r="15" spans="1:15" x14ac:dyDescent="0.45">
      <c r="B15" t="s">
        <v>56</v>
      </c>
      <c r="N15" t="s">
        <v>75</v>
      </c>
      <c r="O15" t="s">
        <v>115</v>
      </c>
    </row>
    <row r="16" spans="1:15" x14ac:dyDescent="0.45">
      <c r="B16" t="s">
        <v>57</v>
      </c>
      <c r="N16" t="s">
        <v>116</v>
      </c>
      <c r="O16" t="s">
        <v>117</v>
      </c>
    </row>
    <row r="17" spans="1:15" x14ac:dyDescent="0.45">
      <c r="N17" t="s">
        <v>118</v>
      </c>
      <c r="O17" t="s">
        <v>119</v>
      </c>
    </row>
    <row r="18" spans="1:15" x14ac:dyDescent="0.45">
      <c r="A18" t="s">
        <v>58</v>
      </c>
      <c r="B18" t="s">
        <v>59</v>
      </c>
      <c r="N18" t="s">
        <v>61</v>
      </c>
      <c r="O18" t="s">
        <v>120</v>
      </c>
    </row>
    <row r="19" spans="1:15" x14ac:dyDescent="0.45">
      <c r="B19" t="s">
        <v>60</v>
      </c>
      <c r="N19" t="s">
        <v>121</v>
      </c>
      <c r="O19" t="s">
        <v>122</v>
      </c>
    </row>
    <row r="20" spans="1:15" x14ac:dyDescent="0.45">
      <c r="N20" t="s">
        <v>123</v>
      </c>
      <c r="O20" t="s">
        <v>124</v>
      </c>
    </row>
    <row r="21" spans="1:15" x14ac:dyDescent="0.45">
      <c r="N21" t="s">
        <v>76</v>
      </c>
      <c r="O21" t="s">
        <v>125</v>
      </c>
    </row>
    <row r="22" spans="1:15" x14ac:dyDescent="0.45">
      <c r="C22" t="s">
        <v>61</v>
      </c>
      <c r="D22" t="s">
        <v>63</v>
      </c>
      <c r="E22" t="s">
        <v>64</v>
      </c>
      <c r="F22" t="s">
        <v>65</v>
      </c>
      <c r="G22" t="s">
        <v>69</v>
      </c>
      <c r="I22" t="s">
        <v>71</v>
      </c>
      <c r="N22" t="s">
        <v>73</v>
      </c>
      <c r="O22" t="s">
        <v>126</v>
      </c>
    </row>
    <row r="23" spans="1:15" x14ac:dyDescent="0.45">
      <c r="B23" t="s">
        <v>46</v>
      </c>
      <c r="C23" s="5">
        <v>0</v>
      </c>
      <c r="D23" s="5">
        <v>0</v>
      </c>
      <c r="E23" s="5">
        <v>0</v>
      </c>
      <c r="F23" s="5">
        <v>0</v>
      </c>
      <c r="G23">
        <f>SUM(shipped_from_NY)</f>
        <v>0</v>
      </c>
      <c r="H23" s="22" t="s">
        <v>77</v>
      </c>
      <c r="I23">
        <f>C23*G6</f>
        <v>0</v>
      </c>
      <c r="N23" t="s">
        <v>127</v>
      </c>
      <c r="O23" t="s">
        <v>128</v>
      </c>
    </row>
    <row r="24" spans="1:15" x14ac:dyDescent="0.45">
      <c r="B24" t="s">
        <v>47</v>
      </c>
      <c r="C24" s="5">
        <v>1</v>
      </c>
      <c r="D24" s="5">
        <v>0</v>
      </c>
      <c r="E24" s="5">
        <v>8000</v>
      </c>
      <c r="F24" s="5">
        <v>7000</v>
      </c>
      <c r="G24">
        <f>SUM(shipped_from_LA)</f>
        <v>15000</v>
      </c>
      <c r="H24" s="22" t="s">
        <v>77</v>
      </c>
      <c r="I24">
        <f>C24*G7</f>
        <v>15000</v>
      </c>
      <c r="N24" t="s">
        <v>129</v>
      </c>
      <c r="O24" t="s">
        <v>130</v>
      </c>
    </row>
    <row r="25" spans="1:15" x14ac:dyDescent="0.45">
      <c r="B25" t="s">
        <v>48</v>
      </c>
      <c r="C25" s="5">
        <v>1</v>
      </c>
      <c r="D25" s="5">
        <v>8000</v>
      </c>
      <c r="E25" s="5">
        <v>1000</v>
      </c>
      <c r="F25" s="5">
        <v>0</v>
      </c>
      <c r="G25">
        <f>SUM(shipped_from_chicago)</f>
        <v>9000</v>
      </c>
      <c r="H25" s="22" t="s">
        <v>77</v>
      </c>
      <c r="I25">
        <f>C25*G8</f>
        <v>15000</v>
      </c>
      <c r="N25" t="s">
        <v>131</v>
      </c>
      <c r="O25" t="s">
        <v>132</v>
      </c>
    </row>
    <row r="26" spans="1:15" x14ac:dyDescent="0.45">
      <c r="B26" t="s">
        <v>49</v>
      </c>
      <c r="C26" s="5">
        <v>0</v>
      </c>
      <c r="D26" s="5">
        <v>0</v>
      </c>
      <c r="E26" s="5">
        <v>0</v>
      </c>
      <c r="F26" s="5">
        <v>0</v>
      </c>
      <c r="G26">
        <f>SUM(shipped_from_atlanta)</f>
        <v>0</v>
      </c>
      <c r="H26" s="22" t="s">
        <v>77</v>
      </c>
      <c r="I26">
        <f>C26*G9</f>
        <v>0</v>
      </c>
      <c r="N26" t="s">
        <v>133</v>
      </c>
      <c r="O26" t="s">
        <v>134</v>
      </c>
    </row>
    <row r="27" spans="1:15" x14ac:dyDescent="0.45">
      <c r="C27" t="s">
        <v>62</v>
      </c>
      <c r="D27">
        <f>SUM(Region_1_items)</f>
        <v>8000</v>
      </c>
      <c r="E27">
        <f>SUM(Region_2_items)</f>
        <v>9000</v>
      </c>
      <c r="F27">
        <f>SUM(Region_3_items)</f>
        <v>7000</v>
      </c>
      <c r="N27" t="s">
        <v>135</v>
      </c>
      <c r="O27" t="s">
        <v>136</v>
      </c>
    </row>
    <row r="28" spans="1:15" x14ac:dyDescent="0.45">
      <c r="D28" s="22" t="s">
        <v>78</v>
      </c>
      <c r="E28" s="22" t="s">
        <v>78</v>
      </c>
      <c r="F28" s="22" t="s">
        <v>78</v>
      </c>
      <c r="N28" t="s">
        <v>137</v>
      </c>
      <c r="O28" t="s">
        <v>138</v>
      </c>
    </row>
    <row r="29" spans="1:15" x14ac:dyDescent="0.45">
      <c r="C29" t="s">
        <v>66</v>
      </c>
      <c r="D29" s="4">
        <v>8000</v>
      </c>
      <c r="E29" s="4">
        <v>9000</v>
      </c>
      <c r="F29" s="4">
        <v>7000</v>
      </c>
      <c r="N29" t="s">
        <v>139</v>
      </c>
      <c r="O29" t="s">
        <v>140</v>
      </c>
    </row>
    <row r="30" spans="1:15" x14ac:dyDescent="0.45">
      <c r="N30" t="s">
        <v>141</v>
      </c>
      <c r="O30" t="s">
        <v>142</v>
      </c>
    </row>
    <row r="31" spans="1:15" x14ac:dyDescent="0.45">
      <c r="D31" t="s">
        <v>73</v>
      </c>
      <c r="N31" t="s">
        <v>143</v>
      </c>
      <c r="O31" t="s">
        <v>144</v>
      </c>
    </row>
    <row r="32" spans="1:15" x14ac:dyDescent="0.45">
      <c r="A32" t="s">
        <v>72</v>
      </c>
      <c r="B32">
        <f>SUM(IsWarehouseOpen)</f>
        <v>2</v>
      </c>
      <c r="C32" s="22" t="s">
        <v>77</v>
      </c>
      <c r="D32" s="4">
        <v>2</v>
      </c>
      <c r="N32" t="s">
        <v>145</v>
      </c>
      <c r="O32" t="s">
        <v>146</v>
      </c>
    </row>
    <row r="33" spans="1:15" x14ac:dyDescent="0.45">
      <c r="A33" t="s">
        <v>75</v>
      </c>
      <c r="B33">
        <f>SUM(isAtlanta_OpenOrClosed,isLA_OpenorClosed)</f>
        <v>1</v>
      </c>
      <c r="C33" s="23" t="s">
        <v>74</v>
      </c>
      <c r="D33" s="4">
        <v>1</v>
      </c>
      <c r="E33" t="s">
        <v>76</v>
      </c>
      <c r="N33" t="s">
        <v>147</v>
      </c>
      <c r="O33" t="s">
        <v>148</v>
      </c>
    </row>
    <row r="34" spans="1:15" x14ac:dyDescent="0.45">
      <c r="N34" t="s">
        <v>62</v>
      </c>
      <c r="O34" t="s">
        <v>149</v>
      </c>
    </row>
    <row r="35" spans="1:15" x14ac:dyDescent="0.45">
      <c r="A35" t="s">
        <v>67</v>
      </c>
      <c r="B35" s="21">
        <f>SUMPRODUCT(IsWarehouseOpen,Fixed_Cost)</f>
        <v>90000</v>
      </c>
      <c r="N35" t="s">
        <v>94</v>
      </c>
      <c r="O35" t="s">
        <v>150</v>
      </c>
    </row>
    <row r="36" spans="1:15" x14ac:dyDescent="0.45">
      <c r="A36" t="s">
        <v>68</v>
      </c>
      <c r="B36" s="21">
        <f>SUMPRODUCT(cost_matrix,item_matrix)</f>
        <v>661000</v>
      </c>
      <c r="N36" t="s">
        <v>151</v>
      </c>
      <c r="O36" t="s">
        <v>152</v>
      </c>
    </row>
    <row r="37" spans="1:15" x14ac:dyDescent="0.45">
      <c r="A37" t="s">
        <v>70</v>
      </c>
      <c r="B37" s="20">
        <f>SUM(Total_shipping_and_production_cost__week,Total_fixed_costs__week)</f>
        <v>751000</v>
      </c>
      <c r="N37" t="s">
        <v>153</v>
      </c>
      <c r="O37" t="s">
        <v>154</v>
      </c>
    </row>
    <row r="38" spans="1:15" x14ac:dyDescent="0.45">
      <c r="N38" t="s">
        <v>155</v>
      </c>
      <c r="O38" t="s">
        <v>156</v>
      </c>
    </row>
    <row r="39" spans="1:15" x14ac:dyDescent="0.45">
      <c r="N39" t="s">
        <v>72</v>
      </c>
      <c r="O39" t="s">
        <v>157</v>
      </c>
    </row>
  </sheetData>
  <phoneticPr fontId="6" type="noConversion"/>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5D281-5A06-4F36-991B-9DB42B4FCD83}">
  <dimension ref="A1:AZ18"/>
  <sheetViews>
    <sheetView workbookViewId="0">
      <selection activeCell="D30" sqref="D30"/>
    </sheetView>
  </sheetViews>
  <sheetFormatPr defaultRowHeight="14.25" x14ac:dyDescent="0.45"/>
  <cols>
    <col min="1" max="1" width="10.19921875" bestFit="1" customWidth="1"/>
    <col min="2" max="5" width="12.06640625" bestFit="1" customWidth="1"/>
  </cols>
  <sheetData>
    <row r="1" spans="1:52" x14ac:dyDescent="0.45">
      <c r="A1" s="9" t="s">
        <v>86</v>
      </c>
      <c r="K1" s="12" t="str">
        <f>CONCATENATE("Sensitivity of ",$K$4," to ","Maximum Warehouse Open")</f>
        <v>Sensitivity of Total_costs to Maximum Warehouse Open</v>
      </c>
      <c r="O1" s="12" t="str">
        <f>CONCATENATE("Sensitivity of ",$O$4," to ","Each Plant Capacity")</f>
        <v>Sensitivity of Total_costs to Each Plant Capacity</v>
      </c>
    </row>
    <row r="2" spans="1:52" x14ac:dyDescent="0.45">
      <c r="K2" t="s">
        <v>88</v>
      </c>
      <c r="O2" t="s">
        <v>91</v>
      </c>
      <c r="AZ2" t="s">
        <v>94</v>
      </c>
    </row>
    <row r="3" spans="1:52" x14ac:dyDescent="0.45">
      <c r="A3" t="s">
        <v>87</v>
      </c>
      <c r="K3" t="s">
        <v>89</v>
      </c>
      <c r="L3" t="s">
        <v>90</v>
      </c>
      <c r="O3" t="s">
        <v>89</v>
      </c>
      <c r="P3" t="s">
        <v>92</v>
      </c>
    </row>
    <row r="4" spans="1:52" ht="54" x14ac:dyDescent="0.45">
      <c r="A4" s="24" t="s">
        <v>94</v>
      </c>
      <c r="B4">
        <v>1</v>
      </c>
      <c r="C4">
        <v>2</v>
      </c>
      <c r="D4">
        <v>3</v>
      </c>
      <c r="E4">
        <v>4</v>
      </c>
      <c r="J4" s="12">
        <f>MATCH($K$4,OutputAddresses,0)</f>
        <v>1</v>
      </c>
      <c r="K4" s="11" t="s">
        <v>94</v>
      </c>
      <c r="L4" s="25">
        <v>12000</v>
      </c>
      <c r="M4" s="12">
        <f>MATCH($L$4,InputValues1,0)</f>
        <v>1</v>
      </c>
      <c r="N4" s="12">
        <f>MATCH($O$4,OutputAddresses,0)</f>
        <v>1</v>
      </c>
      <c r="O4" s="11" t="s">
        <v>94</v>
      </c>
      <c r="P4" s="25">
        <v>1</v>
      </c>
      <c r="Q4" s="12">
        <f>MATCH($P$4,InputValues2,0)</f>
        <v>1</v>
      </c>
    </row>
    <row r="5" spans="1:52" x14ac:dyDescent="0.45">
      <c r="A5">
        <v>12000</v>
      </c>
      <c r="B5" s="26" t="s">
        <v>93</v>
      </c>
      <c r="C5" s="30">
        <v>766000</v>
      </c>
      <c r="D5" s="30">
        <v>766000</v>
      </c>
      <c r="E5" s="33">
        <v>766000</v>
      </c>
      <c r="J5" s="12" t="str">
        <f>"OutputValues_"&amp;$J$4</f>
        <v>OutputValues_1</v>
      </c>
      <c r="K5" t="str">
        <f ca="1">INDEX(INDIRECT($J$5),$M$4,1)</f>
        <v>Not feasible</v>
      </c>
      <c r="N5" s="12" t="str">
        <f>"OutputValues_"&amp;$N$4</f>
        <v>OutputValues_1</v>
      </c>
      <c r="O5" t="str">
        <f ca="1">INDEX(INDIRECT($N$5),1,$Q$4)</f>
        <v>Not feasible</v>
      </c>
    </row>
    <row r="6" spans="1:52" x14ac:dyDescent="0.45">
      <c r="A6">
        <v>13000</v>
      </c>
      <c r="B6" s="27" t="s">
        <v>93</v>
      </c>
      <c r="C6" s="31">
        <v>761000</v>
      </c>
      <c r="D6" s="31">
        <v>761000</v>
      </c>
      <c r="E6" s="34">
        <v>761000</v>
      </c>
      <c r="K6">
        <f ca="1">INDEX(INDIRECT($J$5),$M$4,2)</f>
        <v>766000</v>
      </c>
      <c r="O6" t="str">
        <f ca="1">INDEX(INDIRECT($N$5),2,$Q$4)</f>
        <v>Not feasible</v>
      </c>
    </row>
    <row r="7" spans="1:52" x14ac:dyDescent="0.45">
      <c r="A7">
        <v>14000</v>
      </c>
      <c r="B7" s="27" t="s">
        <v>93</v>
      </c>
      <c r="C7" s="31">
        <v>756000</v>
      </c>
      <c r="D7" s="31">
        <v>756000</v>
      </c>
      <c r="E7" s="34">
        <v>756000</v>
      </c>
      <c r="K7">
        <f ca="1">INDEX(INDIRECT($J$5),$M$4,3)</f>
        <v>766000</v>
      </c>
      <c r="O7" t="str">
        <f ca="1">INDEX(INDIRECT($N$5),3,$Q$4)</f>
        <v>Not feasible</v>
      </c>
    </row>
    <row r="8" spans="1:52" x14ac:dyDescent="0.45">
      <c r="A8">
        <v>15000</v>
      </c>
      <c r="B8" s="27" t="s">
        <v>93</v>
      </c>
      <c r="C8" s="31">
        <v>751000</v>
      </c>
      <c r="D8" s="31">
        <v>751000</v>
      </c>
      <c r="E8" s="34">
        <v>751000</v>
      </c>
      <c r="K8">
        <f ca="1">INDEX(INDIRECT($J$5),$M$4,4)</f>
        <v>766000</v>
      </c>
      <c r="O8" t="str">
        <f ca="1">INDEX(INDIRECT($N$5),4,$Q$4)</f>
        <v>Not feasible</v>
      </c>
    </row>
    <row r="9" spans="1:52" x14ac:dyDescent="0.45">
      <c r="A9">
        <v>16000</v>
      </c>
      <c r="B9" s="27" t="s">
        <v>93</v>
      </c>
      <c r="C9" s="31">
        <v>746000</v>
      </c>
      <c r="D9" s="31">
        <v>746000</v>
      </c>
      <c r="E9" s="34">
        <v>746000</v>
      </c>
      <c r="O9" t="str">
        <f ca="1">INDEX(INDIRECT($N$5),5,$Q$4)</f>
        <v>Not feasible</v>
      </c>
    </row>
    <row r="10" spans="1:52" x14ac:dyDescent="0.45">
      <c r="A10">
        <v>17000</v>
      </c>
      <c r="B10" s="27" t="s">
        <v>93</v>
      </c>
      <c r="C10" s="31">
        <v>746000</v>
      </c>
      <c r="D10" s="31">
        <v>746000</v>
      </c>
      <c r="E10" s="34">
        <v>746000</v>
      </c>
      <c r="O10" t="str">
        <f ca="1">INDEX(INDIRECT($N$5),6,$Q$4)</f>
        <v>Not feasible</v>
      </c>
    </row>
    <row r="11" spans="1:52" x14ac:dyDescent="0.45">
      <c r="A11">
        <v>18000</v>
      </c>
      <c r="B11" s="27" t="s">
        <v>93</v>
      </c>
      <c r="C11" s="31">
        <v>746000</v>
      </c>
      <c r="D11" s="31">
        <v>746000</v>
      </c>
      <c r="E11" s="34">
        <v>746000</v>
      </c>
      <c r="O11" t="str">
        <f ca="1">INDEX(INDIRECT($N$5),7,$Q$4)</f>
        <v>Not feasible</v>
      </c>
    </row>
    <row r="12" spans="1:52" x14ac:dyDescent="0.45">
      <c r="A12">
        <v>19000</v>
      </c>
      <c r="B12" s="27" t="s">
        <v>93</v>
      </c>
      <c r="C12" s="31">
        <v>746000</v>
      </c>
      <c r="D12" s="31">
        <v>746000</v>
      </c>
      <c r="E12" s="34">
        <v>746000</v>
      </c>
      <c r="O12" t="str">
        <f ca="1">INDEX(INDIRECT($N$5),8,$Q$4)</f>
        <v>Not feasible</v>
      </c>
    </row>
    <row r="13" spans="1:52" x14ac:dyDescent="0.45">
      <c r="A13">
        <v>20000</v>
      </c>
      <c r="B13" s="27" t="s">
        <v>93</v>
      </c>
      <c r="C13" s="31">
        <v>746000</v>
      </c>
      <c r="D13" s="31">
        <v>746000</v>
      </c>
      <c r="E13" s="34">
        <v>746000</v>
      </c>
      <c r="O13" t="str">
        <f ca="1">INDEX(INDIRECT($N$5),9,$Q$4)</f>
        <v>Not feasible</v>
      </c>
    </row>
    <row r="14" spans="1:52" x14ac:dyDescent="0.45">
      <c r="A14">
        <v>21000</v>
      </c>
      <c r="B14" s="27" t="s">
        <v>93</v>
      </c>
      <c r="C14" s="31">
        <v>746000</v>
      </c>
      <c r="D14" s="31">
        <v>746000</v>
      </c>
      <c r="E14" s="34">
        <v>746000</v>
      </c>
      <c r="O14" t="str">
        <f ca="1">INDEX(INDIRECT($N$5),10,$Q$4)</f>
        <v>Not feasible</v>
      </c>
    </row>
    <row r="15" spans="1:52" x14ac:dyDescent="0.45">
      <c r="A15">
        <v>22000</v>
      </c>
      <c r="B15" s="27" t="s">
        <v>93</v>
      </c>
      <c r="C15" s="31">
        <v>746000</v>
      </c>
      <c r="D15" s="31">
        <v>746000</v>
      </c>
      <c r="E15" s="34">
        <v>746000</v>
      </c>
      <c r="O15" t="str">
        <f ca="1">INDEX(INDIRECT($N$5),11,$Q$4)</f>
        <v>Not feasible</v>
      </c>
    </row>
    <row r="16" spans="1:52" x14ac:dyDescent="0.45">
      <c r="A16">
        <v>23000</v>
      </c>
      <c r="B16" s="27" t="s">
        <v>93</v>
      </c>
      <c r="C16" s="31">
        <v>746000</v>
      </c>
      <c r="D16" s="31">
        <v>746000</v>
      </c>
      <c r="E16" s="34">
        <v>746000</v>
      </c>
      <c r="O16" t="str">
        <f ca="1">INDEX(INDIRECT($N$5),12,$Q$4)</f>
        <v>Not feasible</v>
      </c>
    </row>
    <row r="17" spans="1:15" x14ac:dyDescent="0.45">
      <c r="A17">
        <v>24000</v>
      </c>
      <c r="B17" s="28">
        <v>885000</v>
      </c>
      <c r="C17" s="31">
        <v>746000</v>
      </c>
      <c r="D17" s="31">
        <v>746000</v>
      </c>
      <c r="E17" s="34">
        <v>746000</v>
      </c>
      <c r="O17">
        <f ca="1">INDEX(INDIRECT($N$5),13,$Q$4)</f>
        <v>885000</v>
      </c>
    </row>
    <row r="18" spans="1:15" x14ac:dyDescent="0.45">
      <c r="A18">
        <v>25000</v>
      </c>
      <c r="B18" s="29">
        <v>885000</v>
      </c>
      <c r="C18" s="32">
        <v>746000</v>
      </c>
      <c r="D18" s="32">
        <v>746000</v>
      </c>
      <c r="E18" s="35">
        <v>746000</v>
      </c>
      <c r="O18">
        <f ca="1">INDEX(INDIRECT($N$5),14,$Q$4)</f>
        <v>885000</v>
      </c>
    </row>
  </sheetData>
  <dataValidations count="3">
    <dataValidation type="list" allowBlank="1" showInputMessage="1" showErrorMessage="1" sqref="K4 O4" xr:uid="{8F58D6EE-0D41-4EB7-92F9-B500DA231DD9}">
      <formula1>OutputAddresses</formula1>
    </dataValidation>
    <dataValidation type="list" allowBlank="1" showInputMessage="1" showErrorMessage="1" sqref="L4" xr:uid="{505AF2C7-4144-414E-882E-5CA206746E70}">
      <formula1>InputValues1</formula1>
    </dataValidation>
    <dataValidation type="list" allowBlank="1" showInputMessage="1" showErrorMessage="1" sqref="P4" xr:uid="{B94F6841-FBD8-40B0-8315-91D162B33879}">
      <formula1>InputValues2</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F33B0-CADE-45A7-9667-B318FAF89864}">
  <dimension ref="A1:O33"/>
  <sheetViews>
    <sheetView topLeftCell="D1" zoomScale="115" zoomScaleNormal="115" workbookViewId="0">
      <selection activeCell="G30" sqref="G30"/>
    </sheetView>
  </sheetViews>
  <sheetFormatPr defaultRowHeight="14.25" x14ac:dyDescent="0.45"/>
  <cols>
    <col min="1" max="1" width="25.9296875" bestFit="1" customWidth="1"/>
    <col min="2" max="2" width="53.9296875" bestFit="1" customWidth="1"/>
    <col min="3" max="3" width="13.19921875" bestFit="1" customWidth="1"/>
    <col min="4" max="4" width="11.53125" bestFit="1" customWidth="1"/>
    <col min="14" max="14" width="38.73046875" bestFit="1" customWidth="1"/>
    <col min="15" max="15" width="19" bestFit="1" customWidth="1"/>
  </cols>
  <sheetData>
    <row r="1" spans="1:15" x14ac:dyDescent="0.45">
      <c r="A1" s="1" t="s">
        <v>159</v>
      </c>
      <c r="B1" s="2"/>
      <c r="C1" s="2"/>
      <c r="D1" s="2"/>
      <c r="E1" s="2"/>
      <c r="N1" s="16" t="s">
        <v>191</v>
      </c>
    </row>
    <row r="2" spans="1:15" x14ac:dyDescent="0.45">
      <c r="A2" s="2"/>
      <c r="B2" s="2"/>
      <c r="C2" s="2"/>
      <c r="D2" s="2"/>
      <c r="E2" s="2"/>
      <c r="N2" t="s">
        <v>38</v>
      </c>
      <c r="O2" t="s">
        <v>158</v>
      </c>
    </row>
    <row r="3" spans="1:15" x14ac:dyDescent="0.45">
      <c r="A3" s="2"/>
      <c r="B3" s="44" t="s">
        <v>183</v>
      </c>
      <c r="C3" s="17" t="s">
        <v>160</v>
      </c>
      <c r="D3" s="17"/>
      <c r="E3" s="17"/>
      <c r="N3" t="s">
        <v>190</v>
      </c>
      <c r="O3" t="s">
        <v>192</v>
      </c>
    </row>
    <row r="4" spans="1:15" x14ac:dyDescent="0.45">
      <c r="A4" s="3"/>
      <c r="B4" s="45"/>
      <c r="C4" s="3" t="s">
        <v>161</v>
      </c>
      <c r="D4" s="3" t="s">
        <v>162</v>
      </c>
      <c r="E4" s="24" t="s">
        <v>163</v>
      </c>
      <c r="N4" t="s">
        <v>193</v>
      </c>
      <c r="O4" t="s">
        <v>194</v>
      </c>
    </row>
    <row r="5" spans="1:15" x14ac:dyDescent="0.45">
      <c r="A5" s="2" t="s">
        <v>164</v>
      </c>
      <c r="B5" s="36">
        <v>50</v>
      </c>
      <c r="C5" s="36">
        <v>11.5</v>
      </c>
      <c r="D5" s="36">
        <v>21.3</v>
      </c>
      <c r="E5" s="36">
        <v>23.3</v>
      </c>
      <c r="N5" t="s">
        <v>195</v>
      </c>
      <c r="O5" t="s">
        <v>196</v>
      </c>
    </row>
    <row r="6" spans="1:15" x14ac:dyDescent="0.45">
      <c r="A6" s="2" t="s">
        <v>165</v>
      </c>
      <c r="B6" s="36">
        <v>40</v>
      </c>
      <c r="C6" s="36">
        <v>11.7</v>
      </c>
      <c r="D6" s="36">
        <v>20.9</v>
      </c>
      <c r="E6" s="36">
        <v>22.9</v>
      </c>
      <c r="N6" t="s">
        <v>197</v>
      </c>
      <c r="O6" t="s">
        <v>198</v>
      </c>
    </row>
    <row r="7" spans="1:15" x14ac:dyDescent="0.45">
      <c r="A7" s="2" t="s">
        <v>166</v>
      </c>
      <c r="B7" s="36">
        <v>20</v>
      </c>
      <c r="C7" s="36">
        <v>12.4</v>
      </c>
      <c r="D7" s="36">
        <v>21.4</v>
      </c>
      <c r="E7" s="36">
        <v>23.4</v>
      </c>
      <c r="N7" t="s">
        <v>199</v>
      </c>
      <c r="O7" t="s">
        <v>200</v>
      </c>
    </row>
    <row r="8" spans="1:15" x14ac:dyDescent="0.45">
      <c r="A8" s="2" t="s">
        <v>167</v>
      </c>
      <c r="B8" s="36">
        <v>10</v>
      </c>
      <c r="C8" s="36">
        <v>12.699999809265137</v>
      </c>
      <c r="D8" s="36">
        <v>22.5</v>
      </c>
      <c r="E8" s="36">
        <v>24.5</v>
      </c>
      <c r="N8" t="s">
        <v>201</v>
      </c>
      <c r="O8" t="s">
        <v>202</v>
      </c>
    </row>
    <row r="9" spans="1:15" x14ac:dyDescent="0.45">
      <c r="N9" t="s">
        <v>180</v>
      </c>
      <c r="O9" t="s">
        <v>203</v>
      </c>
    </row>
    <row r="10" spans="1:15" x14ac:dyDescent="0.45">
      <c r="A10" s="2" t="s">
        <v>7</v>
      </c>
      <c r="B10" t="s">
        <v>168</v>
      </c>
      <c r="N10" t="s">
        <v>204</v>
      </c>
      <c r="O10" t="s">
        <v>205</v>
      </c>
    </row>
    <row r="11" spans="1:15" x14ac:dyDescent="0.45">
      <c r="N11" t="s">
        <v>206</v>
      </c>
      <c r="O11" t="s">
        <v>207</v>
      </c>
    </row>
    <row r="12" spans="1:15" x14ac:dyDescent="0.45">
      <c r="A12" s="2" t="s">
        <v>54</v>
      </c>
      <c r="B12" t="s">
        <v>169</v>
      </c>
      <c r="N12" t="s">
        <v>208</v>
      </c>
      <c r="O12" t="s">
        <v>209</v>
      </c>
    </row>
    <row r="13" spans="1:15" x14ac:dyDescent="0.45">
      <c r="B13" t="s">
        <v>170</v>
      </c>
      <c r="N13" t="s">
        <v>181</v>
      </c>
      <c r="O13" t="s">
        <v>210</v>
      </c>
    </row>
    <row r="14" spans="1:15" x14ac:dyDescent="0.45">
      <c r="B14" t="s">
        <v>171</v>
      </c>
      <c r="N14" t="s">
        <v>211</v>
      </c>
      <c r="O14" t="s">
        <v>212</v>
      </c>
    </row>
    <row r="15" spans="1:15" x14ac:dyDescent="0.45">
      <c r="N15" t="s">
        <v>213</v>
      </c>
      <c r="O15" t="s">
        <v>214</v>
      </c>
    </row>
    <row r="16" spans="1:15" x14ac:dyDescent="0.45">
      <c r="A16" t="s">
        <v>58</v>
      </c>
      <c r="B16" t="s">
        <v>172</v>
      </c>
      <c r="N16" t="s">
        <v>215</v>
      </c>
      <c r="O16" t="s">
        <v>216</v>
      </c>
    </row>
    <row r="17" spans="1:15" x14ac:dyDescent="0.45">
      <c r="N17" t="s">
        <v>217</v>
      </c>
      <c r="O17" t="s">
        <v>218</v>
      </c>
    </row>
    <row r="18" spans="1:15" x14ac:dyDescent="0.45">
      <c r="N18" t="s">
        <v>219</v>
      </c>
      <c r="O18" t="s">
        <v>220</v>
      </c>
    </row>
    <row r="19" spans="1:15" x14ac:dyDescent="0.45">
      <c r="B19" t="s">
        <v>180</v>
      </c>
      <c r="C19" t="s">
        <v>181</v>
      </c>
      <c r="D19" t="s">
        <v>182</v>
      </c>
      <c r="E19" t="s">
        <v>173</v>
      </c>
      <c r="G19" t="s">
        <v>175</v>
      </c>
      <c r="N19" t="s">
        <v>182</v>
      </c>
      <c r="O19" t="s">
        <v>221</v>
      </c>
    </row>
    <row r="20" spans="1:15" x14ac:dyDescent="0.45">
      <c r="A20" t="s">
        <v>176</v>
      </c>
      <c r="B20" s="5">
        <v>0</v>
      </c>
      <c r="C20" s="5">
        <v>0</v>
      </c>
      <c r="D20" s="5">
        <v>0</v>
      </c>
      <c r="E20">
        <f>SUM(Plant_1_active)</f>
        <v>0</v>
      </c>
      <c r="F20" s="22" t="s">
        <v>77</v>
      </c>
      <c r="G20" s="4">
        <v>1</v>
      </c>
      <c r="N20" t="s">
        <v>222</v>
      </c>
      <c r="O20" t="s">
        <v>223</v>
      </c>
    </row>
    <row r="21" spans="1:15" x14ac:dyDescent="0.45">
      <c r="A21" t="s">
        <v>177</v>
      </c>
      <c r="B21" s="5">
        <v>0</v>
      </c>
      <c r="C21" s="5">
        <v>1</v>
      </c>
      <c r="D21" s="5">
        <v>0</v>
      </c>
      <c r="E21">
        <f>SUM(Plant_2_active)</f>
        <v>1</v>
      </c>
      <c r="F21" s="22" t="s">
        <v>77</v>
      </c>
      <c r="G21" s="4">
        <v>1</v>
      </c>
      <c r="N21" t="s">
        <v>224</v>
      </c>
      <c r="O21" t="s">
        <v>225</v>
      </c>
    </row>
    <row r="22" spans="1:15" x14ac:dyDescent="0.45">
      <c r="A22" t="s">
        <v>178</v>
      </c>
      <c r="B22" s="5">
        <v>0</v>
      </c>
      <c r="C22" s="5">
        <v>0</v>
      </c>
      <c r="D22" s="5">
        <v>1</v>
      </c>
      <c r="E22">
        <f>SUM(Plant_3_active)</f>
        <v>1</v>
      </c>
      <c r="F22" s="22" t="s">
        <v>77</v>
      </c>
      <c r="G22" s="4">
        <v>1</v>
      </c>
      <c r="N22" t="s">
        <v>226</v>
      </c>
      <c r="O22" t="s">
        <v>227</v>
      </c>
    </row>
    <row r="23" spans="1:15" x14ac:dyDescent="0.45">
      <c r="A23" t="s">
        <v>179</v>
      </c>
      <c r="B23" s="5">
        <v>1</v>
      </c>
      <c r="C23" s="5">
        <v>0</v>
      </c>
      <c r="D23" s="5">
        <v>0</v>
      </c>
      <c r="E23">
        <f>SUM(Plant_4_active)</f>
        <v>1</v>
      </c>
      <c r="F23" s="22" t="s">
        <v>77</v>
      </c>
      <c r="G23" s="4">
        <v>1</v>
      </c>
      <c r="N23" t="s">
        <v>228</v>
      </c>
      <c r="O23" t="s">
        <v>229</v>
      </c>
    </row>
    <row r="24" spans="1:15" x14ac:dyDescent="0.45">
      <c r="A24" t="s">
        <v>155</v>
      </c>
      <c r="B24">
        <f>SUM(Focus_prod)</f>
        <v>1</v>
      </c>
      <c r="C24">
        <f>SUM(Mustang_prod)</f>
        <v>1</v>
      </c>
      <c r="D24">
        <f>SUM(Taurus_prod)</f>
        <v>1</v>
      </c>
      <c r="N24" t="s">
        <v>173</v>
      </c>
      <c r="O24" t="s">
        <v>230</v>
      </c>
    </row>
    <row r="25" spans="1:15" x14ac:dyDescent="0.45">
      <c r="B25" s="23" t="s">
        <v>74</v>
      </c>
      <c r="C25" s="23" t="s">
        <v>74</v>
      </c>
      <c r="D25" s="23" t="s">
        <v>74</v>
      </c>
      <c r="N25" t="s">
        <v>155</v>
      </c>
      <c r="O25" t="s">
        <v>231</v>
      </c>
    </row>
    <row r="26" spans="1:15" x14ac:dyDescent="0.45">
      <c r="A26" t="s">
        <v>174</v>
      </c>
      <c r="B26" s="4">
        <v>1</v>
      </c>
      <c r="C26" s="4">
        <v>1</v>
      </c>
      <c r="D26" s="4">
        <v>1</v>
      </c>
    </row>
    <row r="27" spans="1:15" x14ac:dyDescent="0.45">
      <c r="A27" t="s">
        <v>185</v>
      </c>
      <c r="B27" s="4">
        <v>5000000</v>
      </c>
    </row>
    <row r="28" spans="1:15" x14ac:dyDescent="0.45">
      <c r="A28" t="s">
        <v>187</v>
      </c>
      <c r="B28" s="4">
        <v>1000</v>
      </c>
    </row>
    <row r="29" spans="1:15" x14ac:dyDescent="0.45">
      <c r="A29" t="s">
        <v>190</v>
      </c>
      <c r="B29" s="4">
        <v>1000000000</v>
      </c>
    </row>
    <row r="31" spans="1:15" x14ac:dyDescent="0.45">
      <c r="A31" t="s">
        <v>184</v>
      </c>
      <c r="B31" s="21">
        <f>SUMPRODUCT(Total1,fixed_costs)</f>
        <v>70</v>
      </c>
      <c r="C31" t="s">
        <v>189</v>
      </c>
    </row>
    <row r="32" spans="1:15" x14ac:dyDescent="0.45">
      <c r="A32" t="s">
        <v>186</v>
      </c>
      <c r="B32" s="21">
        <f>((SUMPRODUCT(car_prod_solution_matrix,C5:E8)*Demand_for_each_type_of_car*Factor_mutiplier)/Billion_Conversion)</f>
        <v>284.99999904632568</v>
      </c>
      <c r="C32" t="s">
        <v>189</v>
      </c>
    </row>
    <row r="33" spans="1:3" x14ac:dyDescent="0.45">
      <c r="A33" t="s">
        <v>188</v>
      </c>
      <c r="B33" s="37">
        <f>SUM(Total_variable_production_cost,Total_Fixed_production_cost)</f>
        <v>354.99999904632568</v>
      </c>
      <c r="C33" t="s">
        <v>189</v>
      </c>
    </row>
  </sheetData>
  <mergeCells count="1">
    <mergeCell ref="B3:B4"/>
  </mergeCells>
  <phoneticPr fontId="6" type="noConversion"/>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28CFD-F0D3-4FF1-99AC-F1F312BFA930}">
  <dimension ref="A1:K14"/>
  <sheetViews>
    <sheetView workbookViewId="0">
      <selection activeCell="F28" sqref="F28"/>
    </sheetView>
  </sheetViews>
  <sheetFormatPr defaultRowHeight="14.25" x14ac:dyDescent="0.45"/>
  <sheetData>
    <row r="1" spans="1:11" x14ac:dyDescent="0.45">
      <c r="A1" s="9" t="s">
        <v>234</v>
      </c>
      <c r="K1" s="12" t="str">
        <f>CONCATENATE("Sensitivity of ",$K$4," to ","Demand")</f>
        <v>Sensitivity of Total_final_car_prod_cost to Demand</v>
      </c>
    </row>
    <row r="3" spans="1:11" x14ac:dyDescent="0.45">
      <c r="A3" t="s">
        <v>315</v>
      </c>
      <c r="K3" t="s">
        <v>25</v>
      </c>
    </row>
    <row r="4" spans="1:11" ht="120.4" x14ac:dyDescent="0.45">
      <c r="B4" s="10" t="s">
        <v>224</v>
      </c>
      <c r="J4" s="12">
        <f>MATCH($K$4,OutputAddresses,0)</f>
        <v>1</v>
      </c>
      <c r="K4" s="11" t="s">
        <v>224</v>
      </c>
    </row>
    <row r="5" spans="1:11" x14ac:dyDescent="0.45">
      <c r="A5">
        <v>1000000</v>
      </c>
      <c r="B5" s="38">
        <v>127</v>
      </c>
      <c r="K5">
        <f>INDEX(OutputValues,1,$J$4)</f>
        <v>127</v>
      </c>
    </row>
    <row r="6" spans="1:11" x14ac:dyDescent="0.45">
      <c r="A6">
        <v>2000000</v>
      </c>
      <c r="B6" s="39">
        <v>184</v>
      </c>
      <c r="K6">
        <f>INDEX(OutputValues,2,$J$4)</f>
        <v>184</v>
      </c>
    </row>
    <row r="7" spans="1:11" x14ac:dyDescent="0.45">
      <c r="A7">
        <v>3000000</v>
      </c>
      <c r="B7" s="39">
        <v>241</v>
      </c>
      <c r="K7">
        <f>INDEX(OutputValues,3,$J$4)</f>
        <v>241</v>
      </c>
    </row>
    <row r="8" spans="1:11" x14ac:dyDescent="0.45">
      <c r="A8">
        <v>4000000</v>
      </c>
      <c r="B8" s="39">
        <v>298</v>
      </c>
      <c r="K8">
        <f>INDEX(OutputValues,4,$J$4)</f>
        <v>298</v>
      </c>
    </row>
    <row r="9" spans="1:11" x14ac:dyDescent="0.45">
      <c r="A9">
        <v>5000000</v>
      </c>
      <c r="B9" s="39">
        <v>355</v>
      </c>
      <c r="K9">
        <f>INDEX(OutputValues,5,$J$4)</f>
        <v>355</v>
      </c>
    </row>
    <row r="10" spans="1:11" x14ac:dyDescent="0.45">
      <c r="A10">
        <v>6000000</v>
      </c>
      <c r="B10" s="39">
        <v>412</v>
      </c>
      <c r="K10">
        <f>INDEX(OutputValues,6,$J$4)</f>
        <v>412</v>
      </c>
    </row>
    <row r="11" spans="1:11" x14ac:dyDescent="0.45">
      <c r="A11">
        <v>7000000</v>
      </c>
      <c r="B11" s="39">
        <v>469</v>
      </c>
      <c r="K11">
        <f>INDEX(OutputValues,7,$J$4)</f>
        <v>469</v>
      </c>
    </row>
    <row r="12" spans="1:11" x14ac:dyDescent="0.45">
      <c r="A12">
        <v>8000000</v>
      </c>
      <c r="B12" s="39">
        <v>526</v>
      </c>
      <c r="K12">
        <f>INDEX(OutputValues,8,$J$4)</f>
        <v>526</v>
      </c>
    </row>
    <row r="13" spans="1:11" x14ac:dyDescent="0.45">
      <c r="A13">
        <v>9000000</v>
      </c>
      <c r="B13" s="39">
        <v>583</v>
      </c>
      <c r="K13">
        <f>INDEX(OutputValues,9,$J$4)</f>
        <v>583</v>
      </c>
    </row>
    <row r="14" spans="1:11" x14ac:dyDescent="0.45">
      <c r="A14">
        <v>10000000</v>
      </c>
      <c r="B14" s="40">
        <v>640</v>
      </c>
      <c r="K14">
        <f>INDEX(OutputValues,10,$J$4)</f>
        <v>640</v>
      </c>
    </row>
  </sheetData>
  <dataValidations count="1">
    <dataValidation type="list" allowBlank="1" showInputMessage="1" showErrorMessage="1" sqref="K4" xr:uid="{8360738C-C127-4512-B426-D49F65020806}">
      <formula1>OutputAddresses</formula1>
    </dataValidation>
  </dataValidation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4E6BE-95DA-4E9C-8BA1-079AF172EFC9}">
  <dimension ref="A1:K25"/>
  <sheetViews>
    <sheetView topLeftCell="A4" workbookViewId="0">
      <selection activeCell="G47" sqref="G47"/>
    </sheetView>
  </sheetViews>
  <sheetFormatPr defaultRowHeight="14.25" x14ac:dyDescent="0.45"/>
  <sheetData>
    <row r="1" spans="1:11" x14ac:dyDescent="0.45">
      <c r="A1" s="9" t="s">
        <v>234</v>
      </c>
      <c r="K1" s="12" t="str">
        <f>CONCATENATE("Sensitivity of ",$K$4," to ","variable cost of producing mustang in plant 4")</f>
        <v>Sensitivity of Total_final_car_prod_cost to variable cost of producing mustang in plant 4</v>
      </c>
    </row>
    <row r="3" spans="1:11" x14ac:dyDescent="0.45">
      <c r="A3" t="s">
        <v>235</v>
      </c>
      <c r="K3" t="s">
        <v>25</v>
      </c>
    </row>
    <row r="4" spans="1:11" ht="120.4" x14ac:dyDescent="0.45">
      <c r="B4" s="10" t="s">
        <v>224</v>
      </c>
      <c r="J4" s="12">
        <f>MATCH($K$4,OutputAddresses,0)</f>
        <v>1</v>
      </c>
      <c r="K4" s="11" t="s">
        <v>224</v>
      </c>
    </row>
    <row r="5" spans="1:11" x14ac:dyDescent="0.45">
      <c r="A5" s="31">
        <v>15</v>
      </c>
      <c r="B5" s="38">
        <v>320.5</v>
      </c>
      <c r="K5">
        <f>INDEX(OutputValues,1,$J$4)</f>
        <v>320.5</v>
      </c>
    </row>
    <row r="6" spans="1:11" x14ac:dyDescent="0.45">
      <c r="A6" s="31">
        <v>15.5</v>
      </c>
      <c r="B6" s="39">
        <v>323</v>
      </c>
      <c r="K6">
        <f>INDEX(OutputValues,2,$J$4)</f>
        <v>323</v>
      </c>
    </row>
    <row r="7" spans="1:11" x14ac:dyDescent="0.45">
      <c r="A7" s="31">
        <v>16</v>
      </c>
      <c r="B7" s="39">
        <v>325.5</v>
      </c>
      <c r="K7">
        <f>INDEX(OutputValues,3,$J$4)</f>
        <v>325.5</v>
      </c>
    </row>
    <row r="8" spans="1:11" x14ac:dyDescent="0.45">
      <c r="A8" s="31">
        <v>16.5</v>
      </c>
      <c r="B8" s="39">
        <v>328</v>
      </c>
      <c r="K8">
        <f>INDEX(OutputValues,4,$J$4)</f>
        <v>328</v>
      </c>
    </row>
    <row r="9" spans="1:11" x14ac:dyDescent="0.45">
      <c r="A9" s="31">
        <v>17</v>
      </c>
      <c r="B9" s="39">
        <v>330.5</v>
      </c>
      <c r="K9">
        <f>INDEX(OutputValues,5,$J$4)</f>
        <v>330.5</v>
      </c>
    </row>
    <row r="10" spans="1:11" x14ac:dyDescent="0.45">
      <c r="A10" s="31">
        <v>17.5</v>
      </c>
      <c r="B10" s="39">
        <v>333</v>
      </c>
      <c r="K10">
        <f>INDEX(OutputValues,6,$J$4)</f>
        <v>333</v>
      </c>
    </row>
    <row r="11" spans="1:11" x14ac:dyDescent="0.45">
      <c r="A11" s="31">
        <v>18</v>
      </c>
      <c r="B11" s="39">
        <v>335.5</v>
      </c>
      <c r="K11">
        <f>INDEX(OutputValues,7,$J$4)</f>
        <v>335.5</v>
      </c>
    </row>
    <row r="12" spans="1:11" x14ac:dyDescent="0.45">
      <c r="A12" s="31">
        <v>18.5</v>
      </c>
      <c r="B12" s="39">
        <v>338</v>
      </c>
      <c r="K12">
        <f>INDEX(OutputValues,8,$J$4)</f>
        <v>338</v>
      </c>
    </row>
    <row r="13" spans="1:11" x14ac:dyDescent="0.45">
      <c r="A13" s="31">
        <v>19</v>
      </c>
      <c r="B13" s="39">
        <v>340.5</v>
      </c>
      <c r="K13">
        <f>INDEX(OutputValues,9,$J$4)</f>
        <v>340.5</v>
      </c>
    </row>
    <row r="14" spans="1:11" x14ac:dyDescent="0.45">
      <c r="A14" s="31">
        <v>19.5</v>
      </c>
      <c r="B14" s="39">
        <v>343</v>
      </c>
      <c r="K14">
        <f>INDEX(OutputValues,10,$J$4)</f>
        <v>343</v>
      </c>
    </row>
    <row r="15" spans="1:11" x14ac:dyDescent="0.45">
      <c r="A15" s="31">
        <v>20</v>
      </c>
      <c r="B15" s="39">
        <v>345.5</v>
      </c>
      <c r="K15">
        <f>INDEX(OutputValues,11,$J$4)</f>
        <v>345.5</v>
      </c>
    </row>
    <row r="16" spans="1:11" x14ac:dyDescent="0.45">
      <c r="A16" s="31">
        <v>20.5</v>
      </c>
      <c r="B16" s="39">
        <v>348</v>
      </c>
      <c r="K16">
        <f>INDEX(OutputValues,12,$J$4)</f>
        <v>348</v>
      </c>
    </row>
    <row r="17" spans="1:11" x14ac:dyDescent="0.45">
      <c r="A17" s="31">
        <v>21</v>
      </c>
      <c r="B17" s="39">
        <v>350.5</v>
      </c>
      <c r="K17">
        <f>INDEX(OutputValues,13,$J$4)</f>
        <v>350.5</v>
      </c>
    </row>
    <row r="18" spans="1:11" x14ac:dyDescent="0.45">
      <c r="A18" s="31">
        <v>21.5</v>
      </c>
      <c r="B18" s="39">
        <v>353</v>
      </c>
      <c r="K18">
        <f>INDEX(OutputValues,14,$J$4)</f>
        <v>353</v>
      </c>
    </row>
    <row r="19" spans="1:11" x14ac:dyDescent="0.45">
      <c r="A19" s="31">
        <v>22</v>
      </c>
      <c r="B19" s="39">
        <v>355</v>
      </c>
      <c r="K19">
        <f>INDEX(OutputValues,15,$J$4)</f>
        <v>355</v>
      </c>
    </row>
    <row r="20" spans="1:11" x14ac:dyDescent="0.45">
      <c r="A20" s="31">
        <v>22.5</v>
      </c>
      <c r="B20" s="39">
        <v>355</v>
      </c>
      <c r="K20">
        <f>INDEX(OutputValues,16,$J$4)</f>
        <v>355</v>
      </c>
    </row>
    <row r="21" spans="1:11" x14ac:dyDescent="0.45">
      <c r="A21" s="31">
        <v>23</v>
      </c>
      <c r="B21" s="39">
        <v>355</v>
      </c>
      <c r="K21">
        <f>INDEX(OutputValues,17,$J$4)</f>
        <v>355</v>
      </c>
    </row>
    <row r="22" spans="1:11" x14ac:dyDescent="0.45">
      <c r="A22" s="31">
        <v>23.5</v>
      </c>
      <c r="B22" s="39">
        <v>355</v>
      </c>
      <c r="K22">
        <f>INDEX(OutputValues,18,$J$4)</f>
        <v>355</v>
      </c>
    </row>
    <row r="23" spans="1:11" x14ac:dyDescent="0.45">
      <c r="A23" s="31">
        <v>24</v>
      </c>
      <c r="B23" s="39">
        <v>355</v>
      </c>
      <c r="K23">
        <f>INDEX(OutputValues,19,$J$4)</f>
        <v>355</v>
      </c>
    </row>
    <row r="24" spans="1:11" x14ac:dyDescent="0.45">
      <c r="A24" s="31">
        <v>24.5</v>
      </c>
      <c r="B24" s="39">
        <v>355</v>
      </c>
      <c r="K24">
        <f>INDEX(OutputValues,20,$J$4)</f>
        <v>355</v>
      </c>
    </row>
    <row r="25" spans="1:11" x14ac:dyDescent="0.45">
      <c r="A25" s="31">
        <v>25</v>
      </c>
      <c r="B25" s="40">
        <v>355</v>
      </c>
      <c r="K25">
        <f>INDEX(OutputValues,21,$J$4)</f>
        <v>355</v>
      </c>
    </row>
  </sheetData>
  <dataValidations count="1">
    <dataValidation type="list" allowBlank="1" showInputMessage="1" showErrorMessage="1" sqref="K4" xr:uid="{287BCC55-045E-4A0D-A364-663B34AE1526}">
      <formula1>OutputAddresses</formula1>
    </dataValidation>
  </dataValidation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C22D1-90F9-4874-A4EE-9B9BC5C12EA7}">
  <dimension ref="A1:K25"/>
  <sheetViews>
    <sheetView topLeftCell="A7" workbookViewId="0">
      <selection activeCell="H28" sqref="H28"/>
    </sheetView>
  </sheetViews>
  <sheetFormatPr defaultRowHeight="14.25" x14ac:dyDescent="0.45"/>
  <sheetData>
    <row r="1" spans="1:11" x14ac:dyDescent="0.45">
      <c r="A1" s="9" t="s">
        <v>234</v>
      </c>
      <c r="K1" s="12" t="str">
        <f>CONCATENATE("Sensitivity of ",$K$4," to ","variable cost plant 4 focus")</f>
        <v>Sensitivity of Total_final_car_prod_cost to variable cost plant 4 focus</v>
      </c>
    </row>
    <row r="3" spans="1:11" x14ac:dyDescent="0.45">
      <c r="A3" t="s">
        <v>318</v>
      </c>
      <c r="K3" t="s">
        <v>25</v>
      </c>
    </row>
    <row r="4" spans="1:11" ht="120.4" x14ac:dyDescent="0.45">
      <c r="B4" s="10" t="s">
        <v>224</v>
      </c>
      <c r="J4" s="12">
        <f>MATCH($K$4,OutputAddresses,0)</f>
        <v>1</v>
      </c>
      <c r="K4" s="11" t="s">
        <v>224</v>
      </c>
    </row>
    <row r="5" spans="1:11" x14ac:dyDescent="0.45">
      <c r="A5" s="31">
        <v>7</v>
      </c>
      <c r="B5" s="38">
        <v>326.5</v>
      </c>
      <c r="K5">
        <f>INDEX(OutputValues,1,$J$4)</f>
        <v>326.5</v>
      </c>
    </row>
    <row r="6" spans="1:11" x14ac:dyDescent="0.45">
      <c r="A6" s="31">
        <v>7.5</v>
      </c>
      <c r="B6" s="39">
        <v>329</v>
      </c>
      <c r="K6">
        <f>INDEX(OutputValues,2,$J$4)</f>
        <v>329</v>
      </c>
    </row>
    <row r="7" spans="1:11" x14ac:dyDescent="0.45">
      <c r="A7" s="31">
        <v>8</v>
      </c>
      <c r="B7" s="39">
        <v>331.5</v>
      </c>
      <c r="K7">
        <f>INDEX(OutputValues,3,$J$4)</f>
        <v>331.5</v>
      </c>
    </row>
    <row r="8" spans="1:11" x14ac:dyDescent="0.45">
      <c r="A8" s="31">
        <v>8.5</v>
      </c>
      <c r="B8" s="39">
        <v>334</v>
      </c>
      <c r="K8">
        <f>INDEX(OutputValues,4,$J$4)</f>
        <v>334</v>
      </c>
    </row>
    <row r="9" spans="1:11" x14ac:dyDescent="0.45">
      <c r="A9" s="31">
        <v>9</v>
      </c>
      <c r="B9" s="39">
        <v>336.5</v>
      </c>
      <c r="K9">
        <f>INDEX(OutputValues,5,$J$4)</f>
        <v>336.5</v>
      </c>
    </row>
    <row r="10" spans="1:11" x14ac:dyDescent="0.45">
      <c r="A10" s="31">
        <v>9.5</v>
      </c>
      <c r="B10" s="39">
        <v>339</v>
      </c>
      <c r="K10">
        <f>INDEX(OutputValues,6,$J$4)</f>
        <v>339</v>
      </c>
    </row>
    <row r="11" spans="1:11" x14ac:dyDescent="0.45">
      <c r="A11" s="31">
        <v>10</v>
      </c>
      <c r="B11" s="39">
        <v>341.5</v>
      </c>
      <c r="K11">
        <f>INDEX(OutputValues,7,$J$4)</f>
        <v>341.5</v>
      </c>
    </row>
    <row r="12" spans="1:11" x14ac:dyDescent="0.45">
      <c r="A12" s="31">
        <v>10.5</v>
      </c>
      <c r="B12" s="39">
        <v>344</v>
      </c>
      <c r="K12">
        <f>INDEX(OutputValues,8,$J$4)</f>
        <v>344</v>
      </c>
    </row>
    <row r="13" spans="1:11" x14ac:dyDescent="0.45">
      <c r="A13" s="31">
        <v>11</v>
      </c>
      <c r="B13" s="39">
        <v>346.5</v>
      </c>
      <c r="K13">
        <f>INDEX(OutputValues,9,$J$4)</f>
        <v>346.5</v>
      </c>
    </row>
    <row r="14" spans="1:11" x14ac:dyDescent="0.45">
      <c r="A14" s="31">
        <v>11.5</v>
      </c>
      <c r="B14" s="39">
        <v>349</v>
      </c>
      <c r="K14">
        <f>INDEX(OutputValues,10,$J$4)</f>
        <v>349</v>
      </c>
    </row>
    <row r="15" spans="1:11" x14ac:dyDescent="0.45">
      <c r="A15" s="31">
        <v>12</v>
      </c>
      <c r="B15" s="39">
        <v>351.5</v>
      </c>
      <c r="K15">
        <f>INDEX(OutputValues,11,$J$4)</f>
        <v>351.5</v>
      </c>
    </row>
    <row r="16" spans="1:11" x14ac:dyDescent="0.45">
      <c r="A16" s="31">
        <v>12.5</v>
      </c>
      <c r="B16" s="39">
        <v>354</v>
      </c>
      <c r="K16">
        <f>INDEX(OutputValues,12,$J$4)</f>
        <v>354</v>
      </c>
    </row>
    <row r="17" spans="1:11" x14ac:dyDescent="0.45">
      <c r="A17" s="31">
        <v>13</v>
      </c>
      <c r="B17" s="39">
        <v>356.5</v>
      </c>
      <c r="K17">
        <f>INDEX(OutputValues,13,$J$4)</f>
        <v>356.5</v>
      </c>
    </row>
    <row r="18" spans="1:11" x14ac:dyDescent="0.45">
      <c r="A18" s="31">
        <v>13.5</v>
      </c>
      <c r="B18" s="39">
        <v>358</v>
      </c>
      <c r="K18">
        <f>INDEX(OutputValues,14,$J$4)</f>
        <v>358</v>
      </c>
    </row>
    <row r="19" spans="1:11" x14ac:dyDescent="0.45">
      <c r="A19" s="31">
        <v>14</v>
      </c>
      <c r="B19" s="39">
        <v>358</v>
      </c>
      <c r="K19">
        <f>INDEX(OutputValues,15,$J$4)</f>
        <v>358</v>
      </c>
    </row>
    <row r="20" spans="1:11" x14ac:dyDescent="0.45">
      <c r="A20" s="31">
        <v>14.5</v>
      </c>
      <c r="B20" s="39">
        <v>358</v>
      </c>
      <c r="K20">
        <f>INDEX(OutputValues,16,$J$4)</f>
        <v>358</v>
      </c>
    </row>
    <row r="21" spans="1:11" x14ac:dyDescent="0.45">
      <c r="A21" s="31">
        <v>15</v>
      </c>
      <c r="B21" s="39">
        <v>358</v>
      </c>
      <c r="K21">
        <f>INDEX(OutputValues,17,$J$4)</f>
        <v>358</v>
      </c>
    </row>
    <row r="22" spans="1:11" x14ac:dyDescent="0.45">
      <c r="A22" s="31">
        <v>15.5</v>
      </c>
      <c r="B22" s="39">
        <v>358</v>
      </c>
      <c r="K22">
        <f>INDEX(OutputValues,18,$J$4)</f>
        <v>358</v>
      </c>
    </row>
    <row r="23" spans="1:11" x14ac:dyDescent="0.45">
      <c r="A23" s="31">
        <v>16</v>
      </c>
      <c r="B23" s="39">
        <v>358</v>
      </c>
      <c r="K23">
        <f>INDEX(OutputValues,19,$J$4)</f>
        <v>358</v>
      </c>
    </row>
    <row r="24" spans="1:11" x14ac:dyDescent="0.45">
      <c r="A24" s="31">
        <v>16.5</v>
      </c>
      <c r="B24" s="39">
        <v>358</v>
      </c>
      <c r="K24">
        <f>INDEX(OutputValues,20,$J$4)</f>
        <v>358</v>
      </c>
    </row>
    <row r="25" spans="1:11" x14ac:dyDescent="0.45">
      <c r="A25" s="31">
        <v>17</v>
      </c>
      <c r="B25" s="40">
        <v>358</v>
      </c>
      <c r="K25">
        <f>INDEX(OutputValues,21,$J$4)</f>
        <v>358</v>
      </c>
    </row>
  </sheetData>
  <dataValidations count="1">
    <dataValidation type="list" allowBlank="1" showInputMessage="1" showErrorMessage="1" sqref="K4" xr:uid="{B68A3BDE-21FB-4CFB-A976-831961AE752C}">
      <formula1>OutputAddresses</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7772-DA58-4117-96D6-2C4FD91E3989}">
  <dimension ref="A1:X40"/>
  <sheetViews>
    <sheetView zoomScale="85" zoomScaleNormal="85" workbookViewId="0">
      <selection activeCell="W1" sqref="W1"/>
    </sheetView>
  </sheetViews>
  <sheetFormatPr defaultRowHeight="14.25" x14ac:dyDescent="0.45"/>
  <cols>
    <col min="1" max="1" width="17.06640625" bestFit="1" customWidth="1"/>
    <col min="2" max="2" width="18" customWidth="1"/>
    <col min="6" max="6" width="10.53125" bestFit="1" customWidth="1"/>
    <col min="23" max="23" width="38.73046875" bestFit="1" customWidth="1"/>
    <col min="24" max="24" width="21.265625" bestFit="1" customWidth="1"/>
  </cols>
  <sheetData>
    <row r="1" spans="1:24" x14ac:dyDescent="0.45">
      <c r="A1" s="41" t="s">
        <v>52</v>
      </c>
      <c r="B1" t="s">
        <v>236</v>
      </c>
      <c r="W1" s="16" t="s">
        <v>191</v>
      </c>
    </row>
    <row r="2" spans="1:24" x14ac:dyDescent="0.45">
      <c r="A2" s="41" t="s">
        <v>237</v>
      </c>
      <c r="B2" t="s">
        <v>238</v>
      </c>
      <c r="W2" t="s">
        <v>38</v>
      </c>
      <c r="X2" t="s">
        <v>158</v>
      </c>
    </row>
    <row r="3" spans="1:24" x14ac:dyDescent="0.45">
      <c r="A3" s="41"/>
      <c r="B3" t="s">
        <v>239</v>
      </c>
      <c r="W3" t="s">
        <v>275</v>
      </c>
      <c r="X3" t="s">
        <v>276</v>
      </c>
    </row>
    <row r="4" spans="1:24" x14ac:dyDescent="0.45">
      <c r="A4" s="41"/>
      <c r="W4" t="s">
        <v>277</v>
      </c>
      <c r="X4" t="s">
        <v>278</v>
      </c>
    </row>
    <row r="5" spans="1:24" x14ac:dyDescent="0.45">
      <c r="A5" s="41" t="s">
        <v>54</v>
      </c>
      <c r="B5" t="s">
        <v>240</v>
      </c>
      <c r="W5" t="s">
        <v>248</v>
      </c>
      <c r="X5" t="s">
        <v>279</v>
      </c>
    </row>
    <row r="6" spans="1:24" x14ac:dyDescent="0.45">
      <c r="A6" s="42"/>
      <c r="B6" t="s">
        <v>241</v>
      </c>
      <c r="W6" t="s">
        <v>280</v>
      </c>
      <c r="X6" t="s">
        <v>281</v>
      </c>
    </row>
    <row r="7" spans="1:24" x14ac:dyDescent="0.45">
      <c r="W7" t="s">
        <v>282</v>
      </c>
      <c r="X7" t="s">
        <v>283</v>
      </c>
    </row>
    <row r="8" spans="1:24" ht="28.5" x14ac:dyDescent="0.45">
      <c r="A8" s="41" t="s">
        <v>242</v>
      </c>
      <c r="B8" s="43">
        <v>120000</v>
      </c>
      <c r="W8" t="s">
        <v>284</v>
      </c>
      <c r="X8" t="s">
        <v>285</v>
      </c>
    </row>
    <row r="9" spans="1:24" ht="42.75" x14ac:dyDescent="0.45">
      <c r="A9" s="41" t="s">
        <v>243</v>
      </c>
      <c r="B9" s="43">
        <v>120</v>
      </c>
      <c r="F9" s="42" t="s">
        <v>264</v>
      </c>
      <c r="G9" s="4">
        <v>1000</v>
      </c>
      <c r="W9" t="s">
        <v>286</v>
      </c>
      <c r="X9" t="s">
        <v>287</v>
      </c>
    </row>
    <row r="10" spans="1:24" ht="42.75" x14ac:dyDescent="0.45">
      <c r="A10" s="41" t="s">
        <v>244</v>
      </c>
      <c r="B10" s="43">
        <v>25</v>
      </c>
      <c r="F10" t="s">
        <v>260</v>
      </c>
      <c r="G10">
        <f>3*SUM(Demand)</f>
        <v>810000</v>
      </c>
      <c r="W10" t="s">
        <v>247</v>
      </c>
      <c r="X10" t="s">
        <v>288</v>
      </c>
    </row>
    <row r="11" spans="1:24" ht="28.5" x14ac:dyDescent="0.45">
      <c r="A11" s="41" t="s">
        <v>245</v>
      </c>
      <c r="B11" s="43">
        <v>12</v>
      </c>
      <c r="W11" t="s">
        <v>249</v>
      </c>
      <c r="X11" t="s">
        <v>289</v>
      </c>
    </row>
    <row r="12" spans="1:24" ht="28.5" x14ac:dyDescent="0.45">
      <c r="A12" s="41" t="s">
        <v>246</v>
      </c>
      <c r="B12" s="43">
        <v>80</v>
      </c>
      <c r="W12" t="s">
        <v>290</v>
      </c>
      <c r="X12" t="s">
        <v>291</v>
      </c>
    </row>
    <row r="13" spans="1:24" x14ac:dyDescent="0.45">
      <c r="W13" t="s">
        <v>292</v>
      </c>
      <c r="X13" t="s">
        <v>293</v>
      </c>
    </row>
    <row r="14" spans="1:24" x14ac:dyDescent="0.45">
      <c r="W14" t="s">
        <v>294</v>
      </c>
      <c r="X14" t="s">
        <v>295</v>
      </c>
    </row>
    <row r="15" spans="1:24" x14ac:dyDescent="0.45">
      <c r="B15" s="9">
        <v>1</v>
      </c>
      <c r="C15" s="9">
        <f>B15+1</f>
        <v>2</v>
      </c>
      <c r="D15" s="9">
        <f t="shared" ref="D15:U15" si="0">C15+1</f>
        <v>3</v>
      </c>
      <c r="E15" s="9">
        <f t="shared" si="0"/>
        <v>4</v>
      </c>
      <c r="F15" s="9">
        <f t="shared" si="0"/>
        <v>5</v>
      </c>
      <c r="G15" s="9">
        <f t="shared" si="0"/>
        <v>6</v>
      </c>
      <c r="H15" s="9">
        <f t="shared" si="0"/>
        <v>7</v>
      </c>
      <c r="I15" s="9">
        <f t="shared" si="0"/>
        <v>8</v>
      </c>
      <c r="J15" s="9">
        <f t="shared" si="0"/>
        <v>9</v>
      </c>
      <c r="K15" s="9">
        <f t="shared" si="0"/>
        <v>10</v>
      </c>
      <c r="L15" s="9">
        <f t="shared" si="0"/>
        <v>11</v>
      </c>
      <c r="M15" s="9">
        <f t="shared" si="0"/>
        <v>12</v>
      </c>
      <c r="N15" s="9">
        <f t="shared" si="0"/>
        <v>13</v>
      </c>
      <c r="O15" s="9">
        <f t="shared" si="0"/>
        <v>14</v>
      </c>
      <c r="P15" s="9">
        <f t="shared" si="0"/>
        <v>15</v>
      </c>
      <c r="Q15" s="9">
        <f t="shared" si="0"/>
        <v>16</v>
      </c>
      <c r="R15" s="9">
        <f t="shared" si="0"/>
        <v>17</v>
      </c>
      <c r="S15" s="9">
        <f t="shared" si="0"/>
        <v>18</v>
      </c>
      <c r="T15" s="9">
        <f t="shared" si="0"/>
        <v>19</v>
      </c>
      <c r="U15" s="9">
        <f t="shared" si="0"/>
        <v>20</v>
      </c>
      <c r="W15" t="s">
        <v>252</v>
      </c>
      <c r="X15" t="s">
        <v>296</v>
      </c>
    </row>
    <row r="16" spans="1:24" x14ac:dyDescent="0.45">
      <c r="A16" s="9" t="s">
        <v>247</v>
      </c>
      <c r="B16" s="5">
        <v>0</v>
      </c>
      <c r="C16" s="5">
        <v>0</v>
      </c>
      <c r="D16" s="5">
        <v>1</v>
      </c>
      <c r="E16" s="5">
        <v>1</v>
      </c>
      <c r="F16" s="5">
        <v>1</v>
      </c>
      <c r="G16" s="5">
        <v>1</v>
      </c>
      <c r="H16" s="5">
        <v>1</v>
      </c>
      <c r="I16" s="5">
        <v>1</v>
      </c>
      <c r="J16" s="5">
        <v>1</v>
      </c>
      <c r="K16" s="5">
        <v>1</v>
      </c>
      <c r="L16" s="5">
        <v>1</v>
      </c>
      <c r="M16" s="5">
        <v>1</v>
      </c>
      <c r="N16" s="5">
        <v>1</v>
      </c>
      <c r="O16" s="5">
        <v>1</v>
      </c>
      <c r="P16" s="5">
        <v>1</v>
      </c>
      <c r="Q16" s="5">
        <v>1</v>
      </c>
      <c r="R16" s="5">
        <v>1</v>
      </c>
      <c r="S16" s="5">
        <v>1</v>
      </c>
      <c r="T16" s="5">
        <v>1</v>
      </c>
      <c r="U16" s="5">
        <v>1</v>
      </c>
      <c r="W16" t="s">
        <v>297</v>
      </c>
      <c r="X16" t="s">
        <v>298</v>
      </c>
    </row>
    <row r="17" spans="1:24" x14ac:dyDescent="0.45">
      <c r="A17" s="9" t="s">
        <v>261</v>
      </c>
      <c r="B17">
        <f t="shared" ref="B17:U17" si="1">B16*Big_Number</f>
        <v>0</v>
      </c>
      <c r="C17">
        <f t="shared" si="1"/>
        <v>0</v>
      </c>
      <c r="D17">
        <f t="shared" si="1"/>
        <v>810000</v>
      </c>
      <c r="E17">
        <f t="shared" si="1"/>
        <v>810000</v>
      </c>
      <c r="F17">
        <f t="shared" si="1"/>
        <v>810000</v>
      </c>
      <c r="G17">
        <f t="shared" si="1"/>
        <v>810000</v>
      </c>
      <c r="H17">
        <f t="shared" si="1"/>
        <v>810000</v>
      </c>
      <c r="I17">
        <f t="shared" si="1"/>
        <v>810000</v>
      </c>
      <c r="J17">
        <f t="shared" si="1"/>
        <v>810000</v>
      </c>
      <c r="K17">
        <f t="shared" si="1"/>
        <v>810000</v>
      </c>
      <c r="L17">
        <f t="shared" si="1"/>
        <v>810000</v>
      </c>
      <c r="M17">
        <f t="shared" si="1"/>
        <v>810000</v>
      </c>
      <c r="N17">
        <f t="shared" si="1"/>
        <v>810000</v>
      </c>
      <c r="O17">
        <f t="shared" si="1"/>
        <v>810000</v>
      </c>
      <c r="P17">
        <f t="shared" si="1"/>
        <v>810000</v>
      </c>
      <c r="Q17">
        <f t="shared" si="1"/>
        <v>810000</v>
      </c>
      <c r="R17">
        <f t="shared" si="1"/>
        <v>810000</v>
      </c>
      <c r="S17">
        <f t="shared" si="1"/>
        <v>810000</v>
      </c>
      <c r="T17">
        <f t="shared" si="1"/>
        <v>810000</v>
      </c>
      <c r="U17">
        <f t="shared" si="1"/>
        <v>810000</v>
      </c>
      <c r="W17" t="s">
        <v>259</v>
      </c>
      <c r="X17" t="s">
        <v>299</v>
      </c>
    </row>
    <row r="18" spans="1:24" x14ac:dyDescent="0.45">
      <c r="B18" s="22" t="s">
        <v>78</v>
      </c>
      <c r="C18" s="22" t="s">
        <v>78</v>
      </c>
      <c r="D18" s="22" t="s">
        <v>78</v>
      </c>
      <c r="E18" s="22" t="s">
        <v>78</v>
      </c>
      <c r="F18" s="22" t="s">
        <v>78</v>
      </c>
      <c r="G18" s="22" t="s">
        <v>78</v>
      </c>
      <c r="H18" s="22" t="s">
        <v>78</v>
      </c>
      <c r="I18" s="22" t="s">
        <v>78</v>
      </c>
      <c r="J18" s="22" t="s">
        <v>78</v>
      </c>
      <c r="K18" s="22" t="s">
        <v>78</v>
      </c>
      <c r="L18" s="22" t="s">
        <v>78</v>
      </c>
      <c r="M18" s="22" t="s">
        <v>78</v>
      </c>
      <c r="N18" s="22" t="s">
        <v>78</v>
      </c>
      <c r="O18" s="22" t="s">
        <v>78</v>
      </c>
      <c r="P18" s="22" t="s">
        <v>78</v>
      </c>
      <c r="Q18" s="22" t="s">
        <v>78</v>
      </c>
      <c r="R18" s="22" t="s">
        <v>78</v>
      </c>
      <c r="S18" s="22" t="s">
        <v>78</v>
      </c>
      <c r="T18" s="22" t="s">
        <v>78</v>
      </c>
      <c r="U18" s="22" t="s">
        <v>78</v>
      </c>
      <c r="W18" t="s">
        <v>300</v>
      </c>
      <c r="X18" t="s">
        <v>301</v>
      </c>
    </row>
    <row r="19" spans="1:24" x14ac:dyDescent="0.45">
      <c r="A19" s="9" t="s">
        <v>248</v>
      </c>
      <c r="B19" s="5">
        <v>0</v>
      </c>
      <c r="C19" s="5">
        <v>0</v>
      </c>
      <c r="D19" s="5">
        <v>1000</v>
      </c>
      <c r="E19" s="5">
        <v>1000</v>
      </c>
      <c r="F19" s="5">
        <v>1000</v>
      </c>
      <c r="G19" s="5">
        <v>1000</v>
      </c>
      <c r="H19" s="5">
        <v>1000</v>
      </c>
      <c r="I19" s="5">
        <v>1000</v>
      </c>
      <c r="J19" s="5">
        <v>1000</v>
      </c>
      <c r="K19" s="5">
        <v>1000</v>
      </c>
      <c r="L19" s="5">
        <v>1000</v>
      </c>
      <c r="M19" s="5">
        <v>1000</v>
      </c>
      <c r="N19" s="5">
        <v>1000</v>
      </c>
      <c r="O19" s="5">
        <v>1000</v>
      </c>
      <c r="P19" s="5">
        <v>1000</v>
      </c>
      <c r="Q19" s="5">
        <v>1000</v>
      </c>
      <c r="R19" s="5">
        <v>1000</v>
      </c>
      <c r="S19" s="5">
        <v>1000</v>
      </c>
      <c r="T19" s="5">
        <v>1000</v>
      </c>
      <c r="U19" s="5">
        <v>1000</v>
      </c>
      <c r="W19" t="s">
        <v>302</v>
      </c>
      <c r="X19" t="s">
        <v>303</v>
      </c>
    </row>
    <row r="20" spans="1:24" x14ac:dyDescent="0.45">
      <c r="A20" s="9"/>
      <c r="B20" s="22" t="s">
        <v>77</v>
      </c>
      <c r="C20" s="22" t="s">
        <v>77</v>
      </c>
      <c r="D20" s="22" t="s">
        <v>77</v>
      </c>
      <c r="E20" s="22" t="s">
        <v>77</v>
      </c>
      <c r="F20" s="22" t="s">
        <v>77</v>
      </c>
      <c r="G20" s="22" t="s">
        <v>77</v>
      </c>
      <c r="H20" s="22" t="s">
        <v>77</v>
      </c>
      <c r="I20" s="22" t="s">
        <v>77</v>
      </c>
      <c r="J20" s="22" t="s">
        <v>77</v>
      </c>
      <c r="K20" s="22" t="s">
        <v>77</v>
      </c>
      <c r="L20" s="22" t="s">
        <v>77</v>
      </c>
      <c r="M20" s="22" t="s">
        <v>77</v>
      </c>
      <c r="N20" s="22" t="s">
        <v>77</v>
      </c>
      <c r="O20" s="22" t="s">
        <v>77</v>
      </c>
      <c r="P20" s="22" t="s">
        <v>77</v>
      </c>
      <c r="Q20" s="22" t="s">
        <v>77</v>
      </c>
      <c r="R20" s="22" t="s">
        <v>77</v>
      </c>
      <c r="S20" s="22" t="s">
        <v>77</v>
      </c>
      <c r="T20" s="22" t="s">
        <v>77</v>
      </c>
      <c r="U20" s="22" t="s">
        <v>77</v>
      </c>
      <c r="W20" t="s">
        <v>304</v>
      </c>
      <c r="X20" t="s">
        <v>305</v>
      </c>
    </row>
    <row r="21" spans="1:24" x14ac:dyDescent="0.45">
      <c r="A21" s="9" t="s">
        <v>249</v>
      </c>
      <c r="B21">
        <v>10000</v>
      </c>
      <c r="C21">
        <v>10000</v>
      </c>
      <c r="D21">
        <v>10000</v>
      </c>
      <c r="E21">
        <v>10000</v>
      </c>
      <c r="F21">
        <v>10000</v>
      </c>
      <c r="G21">
        <v>10000</v>
      </c>
      <c r="H21">
        <v>10000</v>
      </c>
      <c r="I21">
        <v>10000</v>
      </c>
      <c r="J21">
        <v>10000</v>
      </c>
      <c r="K21">
        <v>10000</v>
      </c>
      <c r="L21">
        <v>10000</v>
      </c>
      <c r="M21">
        <v>10000</v>
      </c>
      <c r="N21">
        <v>10000</v>
      </c>
      <c r="O21">
        <v>10000</v>
      </c>
      <c r="P21">
        <v>10000</v>
      </c>
      <c r="Q21">
        <v>10000</v>
      </c>
      <c r="R21">
        <v>10000</v>
      </c>
      <c r="S21">
        <v>10000</v>
      </c>
      <c r="T21">
        <v>10000</v>
      </c>
      <c r="U21">
        <v>10000</v>
      </c>
      <c r="W21" t="s">
        <v>306</v>
      </c>
      <c r="X21" t="s">
        <v>307</v>
      </c>
    </row>
    <row r="22" spans="1:24" x14ac:dyDescent="0.45">
      <c r="A22" s="9" t="s">
        <v>250</v>
      </c>
      <c r="B22" s="4">
        <v>5000</v>
      </c>
      <c r="C22">
        <f>B23</f>
        <v>5000</v>
      </c>
      <c r="D22">
        <f>C23</f>
        <v>5000</v>
      </c>
      <c r="E22">
        <f t="shared" ref="E22:U22" si="2">D23</f>
        <v>6000</v>
      </c>
      <c r="F22">
        <f t="shared" si="2"/>
        <v>7000</v>
      </c>
      <c r="G22">
        <f t="shared" si="2"/>
        <v>8000</v>
      </c>
      <c r="H22">
        <f t="shared" si="2"/>
        <v>9000</v>
      </c>
      <c r="I22">
        <f t="shared" si="2"/>
        <v>10000</v>
      </c>
      <c r="J22">
        <f t="shared" si="2"/>
        <v>11000</v>
      </c>
      <c r="K22">
        <f t="shared" si="2"/>
        <v>12000</v>
      </c>
      <c r="L22">
        <f t="shared" si="2"/>
        <v>13000</v>
      </c>
      <c r="M22">
        <f t="shared" si="2"/>
        <v>14000</v>
      </c>
      <c r="N22">
        <f t="shared" si="2"/>
        <v>15000</v>
      </c>
      <c r="O22">
        <f t="shared" si="2"/>
        <v>16000</v>
      </c>
      <c r="P22">
        <f t="shared" si="2"/>
        <v>17000</v>
      </c>
      <c r="Q22">
        <f t="shared" si="2"/>
        <v>18000</v>
      </c>
      <c r="R22">
        <f t="shared" si="2"/>
        <v>19000</v>
      </c>
      <c r="S22">
        <f t="shared" si="2"/>
        <v>20000</v>
      </c>
      <c r="T22">
        <f t="shared" si="2"/>
        <v>21000</v>
      </c>
      <c r="U22">
        <f t="shared" si="2"/>
        <v>22000</v>
      </c>
      <c r="W22" t="s">
        <v>308</v>
      </c>
      <c r="X22" t="s">
        <v>309</v>
      </c>
    </row>
    <row r="23" spans="1:24" x14ac:dyDescent="0.45">
      <c r="A23" s="9" t="s">
        <v>251</v>
      </c>
      <c r="B23">
        <f>B22+B19</f>
        <v>5000</v>
      </c>
      <c r="C23">
        <f>C22+C19</f>
        <v>5000</v>
      </c>
      <c r="D23">
        <f>D22+D19</f>
        <v>6000</v>
      </c>
      <c r="E23">
        <f>E22+E19</f>
        <v>7000</v>
      </c>
      <c r="F23">
        <f>F22+F19</f>
        <v>8000</v>
      </c>
      <c r="G23">
        <f t="shared" ref="G23:U23" si="3">G22+G19</f>
        <v>9000</v>
      </c>
      <c r="H23">
        <f t="shared" si="3"/>
        <v>10000</v>
      </c>
      <c r="I23">
        <f t="shared" si="3"/>
        <v>11000</v>
      </c>
      <c r="J23">
        <f t="shared" si="3"/>
        <v>12000</v>
      </c>
      <c r="K23">
        <f t="shared" si="3"/>
        <v>13000</v>
      </c>
      <c r="L23">
        <f t="shared" si="3"/>
        <v>14000</v>
      </c>
      <c r="M23">
        <f t="shared" si="3"/>
        <v>15000</v>
      </c>
      <c r="N23">
        <f t="shared" si="3"/>
        <v>16000</v>
      </c>
      <c r="O23">
        <f t="shared" si="3"/>
        <v>17000</v>
      </c>
      <c r="P23">
        <f t="shared" si="3"/>
        <v>18000</v>
      </c>
      <c r="Q23">
        <f t="shared" si="3"/>
        <v>19000</v>
      </c>
      <c r="R23">
        <f t="shared" si="3"/>
        <v>20000</v>
      </c>
      <c r="S23">
        <f t="shared" si="3"/>
        <v>21000</v>
      </c>
      <c r="T23">
        <f t="shared" si="3"/>
        <v>22000</v>
      </c>
      <c r="U23">
        <f t="shared" si="3"/>
        <v>23000</v>
      </c>
      <c r="W23" t="s">
        <v>262</v>
      </c>
      <c r="X23" t="s">
        <v>310</v>
      </c>
    </row>
    <row r="24" spans="1:24" x14ac:dyDescent="0.45">
      <c r="A24" s="9"/>
      <c r="B24" s="22" t="s">
        <v>78</v>
      </c>
      <c r="C24" s="22" t="s">
        <v>78</v>
      </c>
      <c r="D24" s="22" t="s">
        <v>78</v>
      </c>
      <c r="E24" s="22" t="s">
        <v>78</v>
      </c>
      <c r="F24" s="22" t="s">
        <v>78</v>
      </c>
      <c r="G24" s="22" t="s">
        <v>78</v>
      </c>
      <c r="H24" s="22" t="s">
        <v>78</v>
      </c>
      <c r="I24" s="22" t="s">
        <v>78</v>
      </c>
      <c r="J24" s="22" t="s">
        <v>78</v>
      </c>
      <c r="K24" s="22" t="s">
        <v>78</v>
      </c>
      <c r="L24" s="22" t="s">
        <v>78</v>
      </c>
      <c r="M24" s="22" t="s">
        <v>78</v>
      </c>
      <c r="N24" s="22" t="s">
        <v>78</v>
      </c>
      <c r="O24" s="22" t="s">
        <v>78</v>
      </c>
      <c r="P24" s="22" t="s">
        <v>78</v>
      </c>
      <c r="Q24" s="22" t="s">
        <v>78</v>
      </c>
      <c r="R24" s="22" t="s">
        <v>78</v>
      </c>
      <c r="S24" s="22" t="s">
        <v>78</v>
      </c>
      <c r="T24" s="22" t="s">
        <v>78</v>
      </c>
      <c r="U24" s="22" t="s">
        <v>78</v>
      </c>
      <c r="W24" t="s">
        <v>311</v>
      </c>
      <c r="X24" t="s">
        <v>312</v>
      </c>
    </row>
    <row r="25" spans="1:24" x14ac:dyDescent="0.45">
      <c r="A25" s="9" t="s">
        <v>263</v>
      </c>
      <c r="B25" s="5">
        <v>4000</v>
      </c>
      <c r="C25" s="5">
        <v>5000</v>
      </c>
      <c r="D25" s="5">
        <v>6000</v>
      </c>
      <c r="E25" s="5">
        <v>7000</v>
      </c>
      <c r="F25" s="5">
        <v>8000</v>
      </c>
      <c r="G25" s="5">
        <v>9000</v>
      </c>
      <c r="H25" s="5">
        <v>10000</v>
      </c>
      <c r="I25" s="5">
        <v>11000</v>
      </c>
      <c r="J25" s="5">
        <v>12000</v>
      </c>
      <c r="K25" s="5">
        <v>13000</v>
      </c>
      <c r="L25" s="5">
        <v>14000</v>
      </c>
      <c r="M25" s="5">
        <v>15000</v>
      </c>
      <c r="N25" s="5">
        <v>16000</v>
      </c>
      <c r="O25" s="5">
        <v>17000</v>
      </c>
      <c r="P25" s="5">
        <v>18000</v>
      </c>
      <c r="Q25" s="5">
        <v>19000</v>
      </c>
      <c r="R25" s="5">
        <v>20000</v>
      </c>
      <c r="S25" s="5">
        <v>21000</v>
      </c>
      <c r="T25" s="5">
        <v>22000</v>
      </c>
      <c r="U25" s="5">
        <v>23000</v>
      </c>
      <c r="W25" t="s">
        <v>313</v>
      </c>
      <c r="X25" t="s">
        <v>314</v>
      </c>
    </row>
    <row r="26" spans="1:24" x14ac:dyDescent="0.45">
      <c r="A26" s="9"/>
      <c r="B26" s="22" t="s">
        <v>78</v>
      </c>
      <c r="C26" s="22" t="s">
        <v>78</v>
      </c>
      <c r="D26" s="22" t="s">
        <v>78</v>
      </c>
      <c r="E26" s="22" t="s">
        <v>78</v>
      </c>
      <c r="F26" s="22" t="s">
        <v>78</v>
      </c>
      <c r="G26" s="22" t="s">
        <v>78</v>
      </c>
      <c r="H26" s="22" t="s">
        <v>78</v>
      </c>
      <c r="I26" s="22" t="s">
        <v>78</v>
      </c>
      <c r="J26" s="22" t="s">
        <v>78</v>
      </c>
      <c r="K26" s="22" t="s">
        <v>78</v>
      </c>
      <c r="L26" s="22" t="s">
        <v>78</v>
      </c>
      <c r="M26" s="22" t="s">
        <v>78</v>
      </c>
      <c r="N26" s="22" t="s">
        <v>78</v>
      </c>
      <c r="O26" s="22" t="s">
        <v>78</v>
      </c>
      <c r="P26" s="22" t="s">
        <v>78</v>
      </c>
      <c r="Q26" s="22" t="s">
        <v>78</v>
      </c>
      <c r="R26" s="22" t="s">
        <v>78</v>
      </c>
      <c r="S26" s="22" t="s">
        <v>78</v>
      </c>
      <c r="T26" s="22" t="s">
        <v>78</v>
      </c>
      <c r="U26" s="22" t="s">
        <v>78</v>
      </c>
    </row>
    <row r="27" spans="1:24" x14ac:dyDescent="0.45">
      <c r="A27" s="9" t="s">
        <v>66</v>
      </c>
      <c r="B27" s="4">
        <v>4000</v>
      </c>
      <c r="C27">
        <f t="shared" ref="C27:U27" si="4">B27+Projected__Increase</f>
        <v>5000</v>
      </c>
      <c r="D27">
        <f t="shared" si="4"/>
        <v>6000</v>
      </c>
      <c r="E27">
        <f t="shared" si="4"/>
        <v>7000</v>
      </c>
      <c r="F27">
        <f t="shared" si="4"/>
        <v>8000</v>
      </c>
      <c r="G27">
        <f t="shared" si="4"/>
        <v>9000</v>
      </c>
      <c r="H27">
        <f t="shared" si="4"/>
        <v>10000</v>
      </c>
      <c r="I27">
        <f t="shared" si="4"/>
        <v>11000</v>
      </c>
      <c r="J27">
        <f t="shared" si="4"/>
        <v>12000</v>
      </c>
      <c r="K27">
        <f t="shared" si="4"/>
        <v>13000</v>
      </c>
      <c r="L27">
        <f t="shared" si="4"/>
        <v>14000</v>
      </c>
      <c r="M27">
        <f t="shared" si="4"/>
        <v>15000</v>
      </c>
      <c r="N27">
        <f t="shared" si="4"/>
        <v>16000</v>
      </c>
      <c r="O27">
        <f t="shared" si="4"/>
        <v>17000</v>
      </c>
      <c r="P27">
        <f t="shared" si="4"/>
        <v>18000</v>
      </c>
      <c r="Q27">
        <f t="shared" si="4"/>
        <v>19000</v>
      </c>
      <c r="R27">
        <f t="shared" si="4"/>
        <v>20000</v>
      </c>
      <c r="S27">
        <f t="shared" si="4"/>
        <v>21000</v>
      </c>
      <c r="T27">
        <f t="shared" si="4"/>
        <v>22000</v>
      </c>
      <c r="U27">
        <f t="shared" si="4"/>
        <v>23000</v>
      </c>
    </row>
    <row r="28" spans="1:24" x14ac:dyDescent="0.45">
      <c r="A28" s="9"/>
    </row>
    <row r="29" spans="1:24" x14ac:dyDescent="0.45">
      <c r="A29" s="9"/>
    </row>
    <row r="30" spans="1:24" x14ac:dyDescent="0.45">
      <c r="A30" s="9" t="s">
        <v>252</v>
      </c>
      <c r="B30">
        <f t="shared" ref="B30:U30" si="5">IF(B27&gt;B23,B27-B23,0)</f>
        <v>0</v>
      </c>
      <c r="C30">
        <f t="shared" si="5"/>
        <v>0</v>
      </c>
      <c r="D30">
        <f t="shared" si="5"/>
        <v>0</v>
      </c>
      <c r="E30">
        <f t="shared" si="5"/>
        <v>0</v>
      </c>
      <c r="F30">
        <f t="shared" si="5"/>
        <v>0</v>
      </c>
      <c r="G30">
        <f t="shared" si="5"/>
        <v>0</v>
      </c>
      <c r="H30">
        <f t="shared" si="5"/>
        <v>0</v>
      </c>
      <c r="I30">
        <f t="shared" si="5"/>
        <v>0</v>
      </c>
      <c r="J30">
        <f t="shared" si="5"/>
        <v>0</v>
      </c>
      <c r="K30">
        <f t="shared" si="5"/>
        <v>0</v>
      </c>
      <c r="L30">
        <f t="shared" si="5"/>
        <v>0</v>
      </c>
      <c r="M30">
        <f t="shared" si="5"/>
        <v>0</v>
      </c>
      <c r="N30">
        <f t="shared" si="5"/>
        <v>0</v>
      </c>
      <c r="O30">
        <f t="shared" si="5"/>
        <v>0</v>
      </c>
      <c r="P30">
        <f t="shared" si="5"/>
        <v>0</v>
      </c>
      <c r="Q30">
        <f t="shared" si="5"/>
        <v>0</v>
      </c>
      <c r="R30">
        <f t="shared" si="5"/>
        <v>0</v>
      </c>
      <c r="S30">
        <f t="shared" si="5"/>
        <v>0</v>
      </c>
      <c r="T30">
        <f t="shared" si="5"/>
        <v>0</v>
      </c>
      <c r="U30">
        <f t="shared" si="5"/>
        <v>0</v>
      </c>
    </row>
    <row r="31" spans="1:24" x14ac:dyDescent="0.45">
      <c r="B31" s="22" t="s">
        <v>78</v>
      </c>
      <c r="C31" s="22" t="s">
        <v>78</v>
      </c>
      <c r="D31" s="22" t="s">
        <v>78</v>
      </c>
      <c r="E31" s="22" t="s">
        <v>78</v>
      </c>
      <c r="F31" s="22" t="s">
        <v>78</v>
      </c>
      <c r="G31" s="22" t="s">
        <v>78</v>
      </c>
      <c r="H31" s="22" t="s">
        <v>78</v>
      </c>
      <c r="I31" s="22" t="s">
        <v>78</v>
      </c>
      <c r="J31" s="22" t="s">
        <v>78</v>
      </c>
      <c r="K31" s="22" t="s">
        <v>78</v>
      </c>
      <c r="L31" s="22" t="s">
        <v>78</v>
      </c>
      <c r="M31" s="22" t="s">
        <v>78</v>
      </c>
      <c r="N31" s="22" t="s">
        <v>78</v>
      </c>
      <c r="O31" s="22" t="s">
        <v>78</v>
      </c>
      <c r="P31" s="22" t="s">
        <v>78</v>
      </c>
      <c r="Q31" s="22" t="s">
        <v>78</v>
      </c>
      <c r="R31" s="22" t="s">
        <v>78</v>
      </c>
      <c r="S31" s="22" t="s">
        <v>78</v>
      </c>
      <c r="T31" s="22" t="s">
        <v>78</v>
      </c>
      <c r="U31" s="22" t="s">
        <v>78</v>
      </c>
    </row>
    <row r="32" spans="1:24" x14ac:dyDescent="0.45">
      <c r="A32" s="9" t="s">
        <v>265</v>
      </c>
      <c r="B32">
        <v>0</v>
      </c>
      <c r="C32">
        <v>0</v>
      </c>
      <c r="D32">
        <v>0</v>
      </c>
      <c r="E32">
        <v>0</v>
      </c>
      <c r="F32">
        <v>0</v>
      </c>
      <c r="G32">
        <v>0</v>
      </c>
      <c r="H32">
        <v>0</v>
      </c>
      <c r="I32">
        <v>0</v>
      </c>
      <c r="J32">
        <v>0</v>
      </c>
      <c r="K32">
        <v>0</v>
      </c>
      <c r="L32">
        <v>0</v>
      </c>
      <c r="M32">
        <v>0</v>
      </c>
      <c r="N32">
        <v>0</v>
      </c>
      <c r="O32">
        <v>0</v>
      </c>
      <c r="P32">
        <v>0</v>
      </c>
      <c r="Q32">
        <v>0</v>
      </c>
      <c r="R32">
        <v>0</v>
      </c>
      <c r="S32">
        <v>0</v>
      </c>
      <c r="T32">
        <v>0</v>
      </c>
      <c r="U32">
        <v>0</v>
      </c>
    </row>
    <row r="34" spans="1:2" x14ac:dyDescent="0.45">
      <c r="A34" t="s">
        <v>253</v>
      </c>
      <c r="B34" s="21">
        <f>SUM(IsCapacityAdded)*Fixed_Cost_Capacity_Add</f>
        <v>2160000</v>
      </c>
    </row>
    <row r="35" spans="1:2" x14ac:dyDescent="0.45">
      <c r="A35" t="s">
        <v>254</v>
      </c>
      <c r="B35" s="21">
        <f>SUM(CapacityAdded)*Variable_Cost_of_Capacity_Add_per_KwH</f>
        <v>2160000</v>
      </c>
    </row>
    <row r="36" spans="1:2" x14ac:dyDescent="0.45">
      <c r="A36" t="s">
        <v>255</v>
      </c>
      <c r="B36" s="21">
        <f>SUM(Final_Capacity)*Variable_Cost_of_Maintaining_per_KwH</f>
        <v>6775000</v>
      </c>
    </row>
    <row r="37" spans="1:2" x14ac:dyDescent="0.45">
      <c r="A37" t="s">
        <v>256</v>
      </c>
      <c r="B37" s="21">
        <f>SUM(Amount_Produced)*Production_Cost_per_KwH</f>
        <v>3240000</v>
      </c>
    </row>
    <row r="38" spans="1:2" x14ac:dyDescent="0.45">
      <c r="A38" t="s">
        <v>257</v>
      </c>
      <c r="B38" s="21">
        <f>SUM(Shortage)*Shortage_Cost_per_KwH</f>
        <v>0</v>
      </c>
    </row>
    <row r="39" spans="1:2" x14ac:dyDescent="0.45">
      <c r="B39" s="21"/>
    </row>
    <row r="40" spans="1:2" x14ac:dyDescent="0.45">
      <c r="A40" t="s">
        <v>258</v>
      </c>
      <c r="B40" s="37">
        <f>SUM(Total_fixed_cost,Total_variable_cost,Total_Maint._Cost,Total_Prod._Cost,Total_Shortage_cost)</f>
        <v>12175000</v>
      </c>
    </row>
  </sheetData>
  <pageMargins left="0.7" right="0.7" top="0.75" bottom="0.75" header="0.3" footer="0.3"/>
  <pageSetup paperSize="9" orientation="portrait" horizontalDpi="1200" verticalDpi="120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118</vt:i4>
      </vt:variant>
    </vt:vector>
  </HeadingPairs>
  <TitlesOfParts>
    <vt:vector size="128" baseType="lpstr">
      <vt:lpstr>6.42</vt:lpstr>
      <vt:lpstr>6.42(Additional)</vt:lpstr>
      <vt:lpstr>6.50</vt:lpstr>
      <vt:lpstr>6.50(Additional)</vt:lpstr>
      <vt:lpstr>6.60(a)</vt:lpstr>
      <vt:lpstr>6.60(b)</vt:lpstr>
      <vt:lpstr>6.60(c)</vt:lpstr>
      <vt:lpstr>6.60(Additional)</vt:lpstr>
      <vt:lpstr>6.87</vt:lpstr>
      <vt:lpstr>6.87(Additional)</vt:lpstr>
      <vt:lpstr>Amount_Produced</vt:lpstr>
      <vt:lpstr>Benefit</vt:lpstr>
      <vt:lpstr>Big_Number</vt:lpstr>
      <vt:lpstr>Billion_Conversion</vt:lpstr>
      <vt:lpstr>Capacity</vt:lpstr>
      <vt:lpstr>CapacityAdded</vt:lpstr>
      <vt:lpstr>car_prod_solution_matrix</vt:lpstr>
      <vt:lpstr>'6.42(Additional)'!ChartData</vt:lpstr>
      <vt:lpstr>'6.60(Additional)'!ChartData</vt:lpstr>
      <vt:lpstr>'6.60(b)'!ChartData</vt:lpstr>
      <vt:lpstr>'6.60(c)'!ChartData</vt:lpstr>
      <vt:lpstr>'6.87(Additional)'!ChartData</vt:lpstr>
      <vt:lpstr>'6.50(Additional)'!ChartData1</vt:lpstr>
      <vt:lpstr>'6.50(Additional)'!ChartData2</vt:lpstr>
      <vt:lpstr>cost_atlanta</vt:lpstr>
      <vt:lpstr>cost_chicagi</vt:lpstr>
      <vt:lpstr>cost_chicago</vt:lpstr>
      <vt:lpstr>cost_LA</vt:lpstr>
      <vt:lpstr>cost_matrix</vt:lpstr>
      <vt:lpstr>cost_NY</vt:lpstr>
      <vt:lpstr>'6.87'!Demand</vt:lpstr>
      <vt:lpstr>Demand</vt:lpstr>
      <vt:lpstr>Demand_for_each_type_of_car</vt:lpstr>
      <vt:lpstr>EachPlantCapacity</vt:lpstr>
      <vt:lpstr>Factor_mutiplier</vt:lpstr>
      <vt:lpstr>Final_Capacity</vt:lpstr>
      <vt:lpstr>Fixed_Cost</vt:lpstr>
      <vt:lpstr>Fixed_cost__in__billions</vt:lpstr>
      <vt:lpstr>Fixed_Cost_Capacity_Add</vt:lpstr>
      <vt:lpstr>fixed_costs</vt:lpstr>
      <vt:lpstr>Focus_prod</vt:lpstr>
      <vt:lpstr>focus_variable</vt:lpstr>
      <vt:lpstr>Forcing_Constraint</vt:lpstr>
      <vt:lpstr>Initial_Capacity</vt:lpstr>
      <vt:lpstr>'6.42(Additional)'!InputValues</vt:lpstr>
      <vt:lpstr>'6.60(Additional)'!InputValues</vt:lpstr>
      <vt:lpstr>'6.60(b)'!InputValues</vt:lpstr>
      <vt:lpstr>'6.60(c)'!InputValues</vt:lpstr>
      <vt:lpstr>'6.87(Additional)'!InputValues</vt:lpstr>
      <vt:lpstr>'6.50(Additional)'!InputValues1</vt:lpstr>
      <vt:lpstr>'6.50(Additional)'!InputValues2</vt:lpstr>
      <vt:lpstr>isAtlanta_OpenOrClosed</vt:lpstr>
      <vt:lpstr>IsCapacityAdded</vt:lpstr>
      <vt:lpstr>isChicago_OpenOrClosed</vt:lpstr>
      <vt:lpstr>IsEitherAtlantaOrLA_Open</vt:lpstr>
      <vt:lpstr>isLA_OpenorClosed</vt:lpstr>
      <vt:lpstr>isNY_OpenorClosed</vt:lpstr>
      <vt:lpstr>IsWarehouseOpen</vt:lpstr>
      <vt:lpstr>item_matrix</vt:lpstr>
      <vt:lpstr>Max_Per_Plant</vt:lpstr>
      <vt:lpstr>Max_Per_Type</vt:lpstr>
      <vt:lpstr>MaxCapacityAdded</vt:lpstr>
      <vt:lpstr>Maximum_available_capacity</vt:lpstr>
      <vt:lpstr>maximum_weight</vt:lpstr>
      <vt:lpstr>MaxLAorAtlanta</vt:lpstr>
      <vt:lpstr>MaxWareHouseOpen</vt:lpstr>
      <vt:lpstr>Min_Items</vt:lpstr>
      <vt:lpstr>Minimum_Shortage</vt:lpstr>
      <vt:lpstr>Mustang_prod</vt:lpstr>
      <vt:lpstr>mustang_variable</vt:lpstr>
      <vt:lpstr>No_of_items</vt:lpstr>
      <vt:lpstr>'6.42(Additional)'!OutputAddresses</vt:lpstr>
      <vt:lpstr>'6.50(Additional)'!OutputAddresses</vt:lpstr>
      <vt:lpstr>'6.60(Additional)'!OutputAddresses</vt:lpstr>
      <vt:lpstr>'6.60(b)'!OutputAddresses</vt:lpstr>
      <vt:lpstr>'6.60(c)'!OutputAddresses</vt:lpstr>
      <vt:lpstr>'6.87(Additional)'!OutputAddresses</vt:lpstr>
      <vt:lpstr>'6.42(Additional)'!OutputValues</vt:lpstr>
      <vt:lpstr>'6.60(Additional)'!OutputValues</vt:lpstr>
      <vt:lpstr>'6.60(b)'!OutputValues</vt:lpstr>
      <vt:lpstr>'6.60(c)'!OutputValues</vt:lpstr>
      <vt:lpstr>'6.87(Additional)'!OutputValues</vt:lpstr>
      <vt:lpstr>'6.50(Additional)'!OutputValues_1</vt:lpstr>
      <vt:lpstr>Plant_1_active</vt:lpstr>
      <vt:lpstr>Plant_2_active</vt:lpstr>
      <vt:lpstr>Plant_3_active</vt:lpstr>
      <vt:lpstr>Plant_4_active</vt:lpstr>
      <vt:lpstr>Production_Cost_per_KwH</vt:lpstr>
      <vt:lpstr>Projected__Increase</vt:lpstr>
      <vt:lpstr>Region_1</vt:lpstr>
      <vt:lpstr>Region_1_items</vt:lpstr>
      <vt:lpstr>Region_2</vt:lpstr>
      <vt:lpstr>Region_2_items</vt:lpstr>
      <vt:lpstr>Region_3</vt:lpstr>
      <vt:lpstr>Region_3_items</vt:lpstr>
      <vt:lpstr>shipped_from_atlanta</vt:lpstr>
      <vt:lpstr>shipped_from_chicago</vt:lpstr>
      <vt:lpstr>shipped_from_LA</vt:lpstr>
      <vt:lpstr>shipped_from_NY</vt:lpstr>
      <vt:lpstr>Shortage</vt:lpstr>
      <vt:lpstr>Shortage_Cost_per_KwH</vt:lpstr>
      <vt:lpstr>solution_matrix</vt:lpstr>
      <vt:lpstr>Taurus_prod</vt:lpstr>
      <vt:lpstr>taurus_variable</vt:lpstr>
      <vt:lpstr>Total</vt:lpstr>
      <vt:lpstr>Total_benefit</vt:lpstr>
      <vt:lpstr>Total_costs</vt:lpstr>
      <vt:lpstr>Total_final_car_prod_cost</vt:lpstr>
      <vt:lpstr>Total_Final_Cost</vt:lpstr>
      <vt:lpstr>Total_fixed_cost</vt:lpstr>
      <vt:lpstr>Total_fixed_costs__week</vt:lpstr>
      <vt:lpstr>Total_Fixed_production_cost</vt:lpstr>
      <vt:lpstr>Total_Maint._Cost</vt:lpstr>
      <vt:lpstr>Total_Prod._Cost</vt:lpstr>
      <vt:lpstr>Total_shipping_and_production_cost__week</vt:lpstr>
      <vt:lpstr>Total_Shortage_cost</vt:lpstr>
      <vt:lpstr>Total_variable_cost</vt:lpstr>
      <vt:lpstr>Total_variable_production_cost</vt:lpstr>
      <vt:lpstr>Total_weight</vt:lpstr>
      <vt:lpstr>Total1</vt:lpstr>
      <vt:lpstr>'6.60(a)'!Total2</vt:lpstr>
      <vt:lpstr>Total2</vt:lpstr>
      <vt:lpstr>TotalWareHousesOpen</vt:lpstr>
      <vt:lpstr>Variable_Cost_of_Capacity_Add_per_KwH</vt:lpstr>
      <vt:lpstr>Variable_Cost_of_Maintaining_per_KwH</vt:lpstr>
      <vt:lpstr>variable_cost_prod_Focus_plant1</vt:lpstr>
      <vt:lpstr>variablecost_prod_mustang_plant4</vt:lpstr>
      <vt:lpstr>Weight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Mishra</dc:creator>
  <cp:lastModifiedBy>Asutosh Mishra</cp:lastModifiedBy>
  <dcterms:created xsi:type="dcterms:W3CDTF">2022-04-14T21:15:40Z</dcterms:created>
  <dcterms:modified xsi:type="dcterms:W3CDTF">2024-05-27T02:10:03Z</dcterms:modified>
</cp:coreProperties>
</file>