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7.xml" ContentType="application/vnd.openxmlformats-officedocument.drawing+xml"/>
  <Override PartName="/xl/tables/table2.xml" ContentType="application/vnd.openxmlformats-officedocument.spreadsheetml.table+xml"/>
  <Override PartName="/xl/drawings/drawing8.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14807\Downloads\"/>
    </mc:Choice>
  </mc:AlternateContent>
  <xr:revisionPtr revIDLastSave="0" documentId="13_ncr:1_{325B06D8-07AD-487D-8C9B-3B41BED6F9C5}" xr6:coauthVersionLast="47" xr6:coauthVersionMax="47" xr10:uidLastSave="{00000000-0000-0000-0000-000000000000}"/>
  <bookViews>
    <workbookView xWindow="-98" yWindow="-98" windowWidth="23236" windowHeight="13875" firstSheet="2" activeTab="10" xr2:uid="{567736D8-0719-423D-80EB-21F77601B592}"/>
  </bookViews>
  <sheets>
    <sheet name="7.54" sheetId="1" r:id="rId1"/>
    <sheet name="7.54 (Sensitivity Analysis)" sheetId="6" r:id="rId2"/>
    <sheet name="7.60" sheetId="2" r:id="rId3"/>
    <sheet name="7.60(Additional)" sheetId="13" r:id="rId4"/>
    <sheet name="8.15" sheetId="3" r:id="rId5"/>
    <sheet name="8.15_STS" sheetId="9" state="veryHidden" r:id="rId6"/>
    <sheet name="7.60_STS" sheetId="7" state="veryHidden" r:id="rId7"/>
    <sheet name="7.54_STS" sheetId="5" state="veryHidden" r:id="rId8"/>
    <sheet name="8.15 (Sensitivity Analysis)" sheetId="10" r:id="rId9"/>
    <sheet name="8.35" sheetId="11" r:id="rId10"/>
    <sheet name="8.35(additional)" sheetId="12" r:id="rId11"/>
  </sheets>
  <definedNames>
    <definedName name="Area_Serviced">'7.60'!$B$6</definedName>
    <definedName name="attribute1_level">'8.35'!$A$5:$A$7</definedName>
    <definedName name="Attribute1_matrix">'8.35'!$B$5:$F$7</definedName>
    <definedName name="attribute2_level">'8.35'!$A$9:$A$11</definedName>
    <definedName name="Attribute2_matrix">'8.35'!$B$9:$F$11</definedName>
    <definedName name="attribute3_level">'8.35'!$A$13:$A$15</definedName>
    <definedName name="Attribute3_matrix">'8.35'!$B$13:$F$15</definedName>
    <definedName name="attribute4_level">'8.35'!$A$17:$A$19</definedName>
    <definedName name="Attribute4_matrix">'8.35'!$B$17:$F$19</definedName>
    <definedName name="Average_Dist_War_to_Cust">'7.60'!$B$11</definedName>
    <definedName name="ChartData" localSheetId="1">'7.54 (Sensitivity Analysis)'!$K$5:$K$19</definedName>
    <definedName name="ChartData" localSheetId="3">'7.60(Additional)'!$K$5:$K$25</definedName>
    <definedName name="ChartData" localSheetId="8">'8.15 (Sensitivity Analysis)'!$K$5:$K$23</definedName>
    <definedName name="ChartData" localSheetId="10">'8.35(additional)'!$K$5:$K$7</definedName>
    <definedName name="Cost_of_Operating_War">'7.60'!#REF!</definedName>
    <definedName name="Cost_to_Build_War">'7.60'!$B$3</definedName>
    <definedName name="Cost_to_Build_War__year">'7.60'!$B$3</definedName>
    <definedName name="current_product_level_mix">'8.35'!$B$28:$B$31</definedName>
    <definedName name="customer_segment_array">'8.35'!$B$4:$F$4</definedName>
    <definedName name="Days_per_item">'8.15'!$C$4:$C$13</definedName>
    <definedName name="Due_date">'8.15'!$D$4:$D$13</definedName>
    <definedName name="Fixed_Cost_War_Main">'7.60'!$B$2</definedName>
    <definedName name="InputValues" localSheetId="1">'7.54 (Sensitivity Analysis)'!$A$5:$A$19</definedName>
    <definedName name="InputValues" localSheetId="3">'7.60(Additional)'!$A$5:$A$25</definedName>
    <definedName name="InputValues" localSheetId="8">'8.15 (Sensitivity Analysis)'!$A$5:$A$23</definedName>
    <definedName name="InputValues" localSheetId="10">'8.35(additional)'!$A$5:$A$7</definedName>
    <definedName name="Items">'8.15'!$B$4:$B$13</definedName>
    <definedName name="Job">'8.15'!$A$4:$A$13</definedName>
    <definedName name="Lateness">'8.15'!$H$20:$H$29</definedName>
    <definedName name="Maximum_score__from_any_product_line_for_customer_segment">'8.35'!$B$36:$B$40</definedName>
    <definedName name="No_Of_Segments_who_purchase_between_our_products">'8.35'!$C$36:$C$40</definedName>
    <definedName name="Number_of_War">'7.60'!$B$13</definedName>
    <definedName name="Orders_Filled_Per_Year">'7.60'!$B$4</definedName>
    <definedName name="OutputAddresses" localSheetId="1">'7.54 (Sensitivity Analysis)'!$B$4</definedName>
    <definedName name="OutputAddresses" localSheetId="3">'7.60(Additional)'!$B$4</definedName>
    <definedName name="OutputAddresses" localSheetId="8">'8.15 (Sensitivity Analysis)'!$B$4</definedName>
    <definedName name="OutputAddresses" localSheetId="10">'8.35(additional)'!$B$4</definedName>
    <definedName name="OutputValues" localSheetId="1">'7.54 (Sensitivity Analysis)'!$B$5:$B$19</definedName>
    <definedName name="OutputValues" localSheetId="3">'7.60(Additional)'!$B$5:$B$25</definedName>
    <definedName name="OutputValues" localSheetId="8">'8.15 (Sensitivity Analysis)'!$B$5:$B$23</definedName>
    <definedName name="OutputValues" localSheetId="10">'8.35(additional)'!$B$5:$B$7</definedName>
    <definedName name="Power">'7.60'!$B$7</definedName>
    <definedName name="Profit_Q1">'7.54'!$B$14</definedName>
    <definedName name="Profit_Q2">'7.54'!$B$15</definedName>
    <definedName name="Q1_cost_to_produce">'7.54'!$B$1</definedName>
    <definedName name="Q1_Price">'7.54'!$B$8</definedName>
    <definedName name="Q1_Quanty">'7.54'!$B$11</definedName>
    <definedName name="Q2_cost_to_produce">'7.54'!$B$2</definedName>
    <definedName name="Q2_Price">'7.54'!$B$9</definedName>
    <definedName name="Q2_Quantity">'7.54'!$B$12</definedName>
    <definedName name="Razor1_level_matrix">'8.35'!$J$28:$J$31</definedName>
    <definedName name="razor2_level_matrix">'8.35'!$R$28:$R$31</definedName>
    <definedName name="Shipping_Cost_per_Order">'7.60'!$B$5</definedName>
    <definedName name="solver_adj" localSheetId="0" hidden="1">'7.54'!$B$8:$B$9</definedName>
    <definedName name="solver_adj" localSheetId="2" hidden="1">'7.60'!$B$13</definedName>
    <definedName name="solver_adj" localSheetId="4" hidden="1">'8.15'!$B$20:$B$29</definedName>
    <definedName name="solver_adj" localSheetId="9" hidden="1">'8.35'!$J$28:$J$31,'8.35'!$R$28:$R$31</definedName>
    <definedName name="solver_cvg" localSheetId="0" hidden="1">0.0001</definedName>
    <definedName name="solver_cvg" localSheetId="2" hidden="1">0.0001</definedName>
    <definedName name="solver_cvg" localSheetId="4" hidden="1">0.0001</definedName>
    <definedName name="solver_cvg" localSheetId="9" hidden="1">0.0001</definedName>
    <definedName name="solver_drv" localSheetId="0" hidden="1">2</definedName>
    <definedName name="solver_drv" localSheetId="2" hidden="1">2</definedName>
    <definedName name="solver_drv" localSheetId="4" hidden="1">1</definedName>
    <definedName name="solver_drv" localSheetId="9" hidden="1">2</definedName>
    <definedName name="solver_eng" localSheetId="0" hidden="1">1</definedName>
    <definedName name="solver_eng" localSheetId="2" hidden="1">1</definedName>
    <definedName name="solver_eng" localSheetId="4" hidden="1">3</definedName>
    <definedName name="solver_eng" localSheetId="9" hidden="1">3</definedName>
    <definedName name="solver_est" localSheetId="0" hidden="1">1</definedName>
    <definedName name="solver_est" localSheetId="2" hidden="1">1</definedName>
    <definedName name="solver_est" localSheetId="4" hidden="1">1</definedName>
    <definedName name="solver_est" localSheetId="9" hidden="1">1</definedName>
    <definedName name="solver_itr" localSheetId="0" hidden="1">2147483647</definedName>
    <definedName name="solver_itr" localSheetId="2" hidden="1">2147483647</definedName>
    <definedName name="solver_itr" localSheetId="4" hidden="1">2147483647</definedName>
    <definedName name="solver_itr" localSheetId="9" hidden="1">2147483647</definedName>
    <definedName name="solver_lhs1" localSheetId="2" hidden="1">'7.60'!$B$13</definedName>
    <definedName name="solver_lhs1" localSheetId="4" hidden="1">'8.15'!$B$20:$B$29</definedName>
    <definedName name="solver_lhs1" localSheetId="9" hidden="1">'8.35'!$J$28:$J$31</definedName>
    <definedName name="solver_lhs2" localSheetId="4" hidden="1">'8.15'!$B$20:$B$29</definedName>
    <definedName name="solver_lhs2" localSheetId="9" hidden="1">'8.35'!$J$28:$J$31</definedName>
    <definedName name="solver_lhs3" localSheetId="4" hidden="1">'8.15'!#REF!</definedName>
    <definedName name="solver_lhs3" localSheetId="9" hidden="1">'8.35'!$R$28:$R$31</definedName>
    <definedName name="solver_lhs4" localSheetId="4" hidden="1">'8.15'!#REF!</definedName>
    <definedName name="solver_lhs4" localSheetId="9" hidden="1">'8.35'!$R$28:$R$31</definedName>
    <definedName name="solver_mip" localSheetId="0" hidden="1">2147483647</definedName>
    <definedName name="solver_mip" localSheetId="2" hidden="1">2147483647</definedName>
    <definedName name="solver_mip" localSheetId="4" hidden="1">2147483647</definedName>
    <definedName name="solver_mip" localSheetId="9" hidden="1">2147483647</definedName>
    <definedName name="solver_mni" localSheetId="0" hidden="1">30</definedName>
    <definedName name="solver_mni" localSheetId="2" hidden="1">30</definedName>
    <definedName name="solver_mni" localSheetId="4" hidden="1">30</definedName>
    <definedName name="solver_mni" localSheetId="9" hidden="1">30</definedName>
    <definedName name="solver_mrt" localSheetId="0" hidden="1">0.075</definedName>
    <definedName name="solver_mrt" localSheetId="2" hidden="1">0.075</definedName>
    <definedName name="solver_mrt" localSheetId="4" hidden="1">0.075</definedName>
    <definedName name="solver_mrt" localSheetId="9" hidden="1">0.075</definedName>
    <definedName name="solver_msl" localSheetId="0" hidden="1">2</definedName>
    <definedName name="solver_msl" localSheetId="2" hidden="1">2</definedName>
    <definedName name="solver_msl" localSheetId="4" hidden="1">2</definedName>
    <definedName name="solver_msl" localSheetId="9" hidden="1">2</definedName>
    <definedName name="solver_neg" localSheetId="0" hidden="1">1</definedName>
    <definedName name="solver_neg" localSheetId="2" hidden="1">1</definedName>
    <definedName name="solver_neg" localSheetId="4" hidden="1">1</definedName>
    <definedName name="solver_neg" localSheetId="9" hidden="1">1</definedName>
    <definedName name="solver_nod" localSheetId="0" hidden="1">2147483647</definedName>
    <definedName name="solver_nod" localSheetId="2" hidden="1">2147483647</definedName>
    <definedName name="solver_nod" localSheetId="4" hidden="1">2147483647</definedName>
    <definedName name="solver_nod" localSheetId="9" hidden="1">2147483647</definedName>
    <definedName name="solver_num" localSheetId="0" hidden="1">0</definedName>
    <definedName name="solver_num" localSheetId="2" hidden="1">1</definedName>
    <definedName name="solver_num" localSheetId="4" hidden="1">2</definedName>
    <definedName name="solver_num" localSheetId="9" hidden="1">4</definedName>
    <definedName name="solver_nwt" localSheetId="0" hidden="1">1</definedName>
    <definedName name="solver_nwt" localSheetId="2" hidden="1">1</definedName>
    <definedName name="solver_nwt" localSheetId="4" hidden="1">1</definedName>
    <definedName name="solver_nwt" localSheetId="9" hidden="1">1</definedName>
    <definedName name="solver_opt" localSheetId="0" hidden="1">'7.54'!$B$17</definedName>
    <definedName name="solver_opt" localSheetId="2" hidden="1">'7.60'!$B$23</definedName>
    <definedName name="solver_opt" localSheetId="4" hidden="1">'8.15'!$B$31</definedName>
    <definedName name="solver_opt" localSheetId="9" hidden="1">'8.35'!$B$43</definedName>
    <definedName name="solver_pre" localSheetId="0" hidden="1">0.000001</definedName>
    <definedName name="solver_pre" localSheetId="2" hidden="1">0.000001</definedName>
    <definedName name="solver_pre" localSheetId="4" hidden="1">0.000001</definedName>
    <definedName name="solver_pre" localSheetId="9" hidden="1">0.000001</definedName>
    <definedName name="solver_rbv" localSheetId="0" hidden="1">2</definedName>
    <definedName name="solver_rbv" localSheetId="2" hidden="1">2</definedName>
    <definedName name="solver_rbv" localSheetId="4" hidden="1">1</definedName>
    <definedName name="solver_rbv" localSheetId="9" hidden="1">2</definedName>
    <definedName name="solver_rel1" localSheetId="2" hidden="1">4</definedName>
    <definedName name="solver_rel1" localSheetId="4" hidden="1">1</definedName>
    <definedName name="solver_rel1" localSheetId="9" hidden="1">1</definedName>
    <definedName name="solver_rel2" localSheetId="4" hidden="1">6</definedName>
    <definedName name="solver_rel2" localSheetId="9" hidden="1">4</definedName>
    <definedName name="solver_rel3" localSheetId="4" hidden="1">1</definedName>
    <definedName name="solver_rel3" localSheetId="9" hidden="1">1</definedName>
    <definedName name="solver_rel4" localSheetId="4" hidden="1">1</definedName>
    <definedName name="solver_rel4" localSheetId="9" hidden="1">4</definedName>
    <definedName name="solver_rhs1" localSheetId="2" hidden="1">"integer"</definedName>
    <definedName name="solver_rhs1" localSheetId="4" hidden="1">10</definedName>
    <definedName name="solver_rhs1" localSheetId="9" hidden="1">3</definedName>
    <definedName name="solver_rhs2" localSheetId="4" hidden="1">"AllDifferent"</definedName>
    <definedName name="solver_rhs2" localSheetId="9" hidden="1">"integer"</definedName>
    <definedName name="solver_rhs3" localSheetId="4" hidden="1">Lateness</definedName>
    <definedName name="solver_rhs3" localSheetId="9" hidden="1">3</definedName>
    <definedName name="solver_rhs4" localSheetId="4" hidden="1">Lateness</definedName>
    <definedName name="solver_rhs4" localSheetId="9" hidden="1">"integer"</definedName>
    <definedName name="solver_rlx" localSheetId="0" hidden="1">2</definedName>
    <definedName name="solver_rlx" localSheetId="2" hidden="1">2</definedName>
    <definedName name="solver_rlx" localSheetId="4" hidden="1">2</definedName>
    <definedName name="solver_rlx" localSheetId="9" hidden="1">2</definedName>
    <definedName name="solver_rsd" localSheetId="0" hidden="1">0</definedName>
    <definedName name="solver_rsd" localSheetId="2" hidden="1">0</definedName>
    <definedName name="solver_rsd" localSheetId="4" hidden="1">0</definedName>
    <definedName name="solver_rsd" localSheetId="9" hidden="1">0</definedName>
    <definedName name="solver_scl" localSheetId="0" hidden="1">2</definedName>
    <definedName name="solver_scl" localSheetId="2" hidden="1">2</definedName>
    <definedName name="solver_scl" localSheetId="4" hidden="1">1</definedName>
    <definedName name="solver_scl" localSheetId="9" hidden="1">2</definedName>
    <definedName name="solver_sho" localSheetId="0" hidden="1">2</definedName>
    <definedName name="solver_sho" localSheetId="2" hidden="1">2</definedName>
    <definedName name="solver_sho" localSheetId="4" hidden="1">2</definedName>
    <definedName name="solver_sho" localSheetId="9" hidden="1">2</definedName>
    <definedName name="solver_ssz" localSheetId="0" hidden="1">100</definedName>
    <definedName name="solver_ssz" localSheetId="2" hidden="1">100</definedName>
    <definedName name="solver_ssz" localSheetId="4" hidden="1">100</definedName>
    <definedName name="solver_ssz" localSheetId="9" hidden="1">100</definedName>
    <definedName name="solver_tim" localSheetId="0" hidden="1">2147483647</definedName>
    <definedName name="solver_tim" localSheetId="2" hidden="1">2147483647</definedName>
    <definedName name="solver_tim" localSheetId="4" hidden="1">2147483647</definedName>
    <definedName name="solver_tim" localSheetId="9" hidden="1">2147483647</definedName>
    <definedName name="solver_tol" localSheetId="0" hidden="1">0.01</definedName>
    <definedName name="solver_tol" localSheetId="2" hidden="1">0.01</definedName>
    <definedName name="solver_tol" localSheetId="4" hidden="1">0.01</definedName>
    <definedName name="solver_tol" localSheetId="9" hidden="1">0.01</definedName>
    <definedName name="solver_typ" localSheetId="0" hidden="1">1</definedName>
    <definedName name="solver_typ" localSheetId="2" hidden="1">2</definedName>
    <definedName name="solver_typ" localSheetId="4" hidden="1">2</definedName>
    <definedName name="solver_typ" localSheetId="9" hidden="1">1</definedName>
    <definedName name="solver_val" localSheetId="0" hidden="1">0</definedName>
    <definedName name="solver_val" localSheetId="2" hidden="1">0</definedName>
    <definedName name="solver_val" localSheetId="4" hidden="1">0</definedName>
    <definedName name="solver_val" localSheetId="9" hidden="1">0</definedName>
    <definedName name="solver_ver" localSheetId="0" hidden="1">3</definedName>
    <definedName name="solver_ver" localSheetId="2" hidden="1">3</definedName>
    <definedName name="solver_ver" localSheetId="4" hidden="1">3</definedName>
    <definedName name="solver_ver" localSheetId="9" hidden="1">3</definedName>
    <definedName name="Tota_Fixed_Cost_Main">'7.60'!$B$19</definedName>
    <definedName name="Total_Cost">'7.60'!$B$23</definedName>
    <definedName name="Total_Cost_of_Building__Indef">'7.60'!#REF!</definedName>
    <definedName name="Total_Cost_of_Building_War">'7.60'!$B$20</definedName>
    <definedName name="Total_Cost_of_Operating_War">'7.60'!#REF!</definedName>
    <definedName name="Total_Cost_of_Shipping">'7.60'!$B$21</definedName>
    <definedName name="Total_no_of_segments__purchasing_from_our__productline">'8.35'!$B$43</definedName>
    <definedName name="Total_Profit">'7.54'!$B$17</definedName>
    <definedName name="Totalworth_to_each_segment_for_current_product">'8.35'!$C$32:$G$32</definedName>
    <definedName name="Totalworth_to_each_segment_for_razor1">'8.35'!$K$32:$O$32</definedName>
    <definedName name="Totalworth_to_each_segment_for_razor2">'8.35'!$S$32:$W$32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 i="13" l="1"/>
  <c r="K25" i="13"/>
  <c r="K24" i="13"/>
  <c r="K23" i="13"/>
  <c r="K22" i="13"/>
  <c r="K21" i="13"/>
  <c r="K20" i="13"/>
  <c r="K19" i="13"/>
  <c r="K18" i="13"/>
  <c r="K17" i="13"/>
  <c r="K16" i="13"/>
  <c r="K15" i="13"/>
  <c r="K14" i="13"/>
  <c r="K13" i="13"/>
  <c r="K12" i="13"/>
  <c r="K11" i="13"/>
  <c r="K10" i="13"/>
  <c r="K9" i="13"/>
  <c r="K8" i="13"/>
  <c r="K7" i="13"/>
  <c r="K6" i="13"/>
  <c r="K5" i="13"/>
  <c r="J4" i="13"/>
  <c r="B19" i="2"/>
  <c r="B3" i="2"/>
  <c r="B20" i="2" s="1"/>
  <c r="K1" i="12"/>
  <c r="J4" i="12"/>
  <c r="K5" i="12" s="1"/>
  <c r="C28" i="11"/>
  <c r="D28" i="11"/>
  <c r="E28" i="11"/>
  <c r="F28" i="11"/>
  <c r="F32" i="11" s="1"/>
  <c r="G28" i="11"/>
  <c r="K28" i="11"/>
  <c r="L28" i="11"/>
  <c r="M28" i="11"/>
  <c r="M32" i="11" s="1"/>
  <c r="N28" i="11"/>
  <c r="O28" i="11"/>
  <c r="S28" i="11"/>
  <c r="T28" i="11"/>
  <c r="T32" i="11" s="1"/>
  <c r="U28" i="11"/>
  <c r="V28" i="11"/>
  <c r="W28" i="11"/>
  <c r="C29" i="11"/>
  <c r="C32" i="11" s="1"/>
  <c r="D29" i="11"/>
  <c r="E29" i="11"/>
  <c r="F29" i="11"/>
  <c r="G29" i="11"/>
  <c r="K29" i="11"/>
  <c r="L29" i="11"/>
  <c r="M29" i="11"/>
  <c r="N29" i="11"/>
  <c r="N32" i="11" s="1"/>
  <c r="O29" i="11"/>
  <c r="S29" i="11"/>
  <c r="T29" i="11"/>
  <c r="U29" i="11"/>
  <c r="V29" i="11"/>
  <c r="W29" i="11"/>
  <c r="C30" i="11"/>
  <c r="D30" i="11"/>
  <c r="E30" i="11"/>
  <c r="F30" i="11"/>
  <c r="G30" i="11"/>
  <c r="K30" i="11"/>
  <c r="L30" i="11"/>
  <c r="M30" i="11"/>
  <c r="N30" i="11"/>
  <c r="O30" i="11"/>
  <c r="S30" i="11"/>
  <c r="T30" i="11"/>
  <c r="U30" i="11"/>
  <c r="V30" i="11"/>
  <c r="W30" i="11"/>
  <c r="W32" i="11" s="1"/>
  <c r="C31" i="11"/>
  <c r="D31" i="11"/>
  <c r="E31" i="11"/>
  <c r="E32" i="11" s="1"/>
  <c r="F31" i="11"/>
  <c r="G31" i="11"/>
  <c r="K31" i="11"/>
  <c r="L31" i="11"/>
  <c r="M31" i="11"/>
  <c r="N31" i="11"/>
  <c r="O31" i="11"/>
  <c r="S31" i="11"/>
  <c r="S32" i="11" s="1"/>
  <c r="T31" i="11"/>
  <c r="U31" i="11"/>
  <c r="V31" i="11"/>
  <c r="W31" i="11"/>
  <c r="K1" i="10"/>
  <c r="K21" i="10"/>
  <c r="K5" i="10"/>
  <c r="J4" i="10"/>
  <c r="K20" i="10" s="1"/>
  <c r="B11" i="2"/>
  <c r="B21" i="2" s="1"/>
  <c r="K1" i="6"/>
  <c r="J4" i="6"/>
  <c r="K17" i="6" s="1"/>
  <c r="D20" i="3"/>
  <c r="C20" i="3"/>
  <c r="F20" i="3"/>
  <c r="B12" i="1"/>
  <c r="B15" i="1" s="1"/>
  <c r="B11" i="1"/>
  <c r="B14" i="1" s="1"/>
  <c r="B23" i="2" l="1"/>
  <c r="K13" i="10"/>
  <c r="K19" i="6"/>
  <c r="K8" i="6"/>
  <c r="K10" i="6"/>
  <c r="K14" i="10"/>
  <c r="K11" i="6"/>
  <c r="K13" i="6"/>
  <c r="K22" i="10"/>
  <c r="V32" i="11"/>
  <c r="K32" i="11"/>
  <c r="K16" i="6"/>
  <c r="K18" i="6"/>
  <c r="K5" i="6"/>
  <c r="K6" i="10"/>
  <c r="L32" i="11"/>
  <c r="K7" i="12"/>
  <c r="K6" i="12"/>
  <c r="K12" i="6"/>
  <c r="K7" i="10"/>
  <c r="K15" i="10"/>
  <c r="K23" i="10"/>
  <c r="K8" i="10"/>
  <c r="K16" i="10"/>
  <c r="K6" i="6"/>
  <c r="K14" i="6"/>
  <c r="K9" i="10"/>
  <c r="K17" i="10"/>
  <c r="U32" i="11"/>
  <c r="G32" i="11"/>
  <c r="K7" i="6"/>
  <c r="K15" i="6"/>
  <c r="K10" i="10"/>
  <c r="K18" i="10"/>
  <c r="K11" i="10"/>
  <c r="K19" i="10"/>
  <c r="O32" i="11"/>
  <c r="D32" i="11"/>
  <c r="K9" i="6"/>
  <c r="K12" i="10"/>
  <c r="B36" i="11"/>
  <c r="C36" i="11" s="1"/>
  <c r="B38" i="11"/>
  <c r="C38" i="11" s="1"/>
  <c r="B39" i="11"/>
  <c r="C39" i="11" s="1"/>
  <c r="B37" i="11"/>
  <c r="C37" i="11" s="1"/>
  <c r="E20" i="3"/>
  <c r="G20" i="3" s="1"/>
  <c r="H20" i="3" s="1"/>
  <c r="F21" i="3"/>
  <c r="F22" i="3"/>
  <c r="F23" i="3"/>
  <c r="F24" i="3"/>
  <c r="F25" i="3"/>
  <c r="F26" i="3"/>
  <c r="F27" i="3"/>
  <c r="F28" i="3"/>
  <c r="F29" i="3"/>
  <c r="D21" i="3"/>
  <c r="D22" i="3"/>
  <c r="D23" i="3"/>
  <c r="D24" i="3"/>
  <c r="D25" i="3"/>
  <c r="D26" i="3"/>
  <c r="D27" i="3"/>
  <c r="D28" i="3"/>
  <c r="D29" i="3"/>
  <c r="C21" i="3"/>
  <c r="C22" i="3"/>
  <c r="C23" i="3"/>
  <c r="C24" i="3"/>
  <c r="C25" i="3"/>
  <c r="C26" i="3"/>
  <c r="C27" i="3"/>
  <c r="C28" i="3"/>
  <c r="C29" i="3"/>
  <c r="B40" i="11" l="1"/>
  <c r="C40" i="11" s="1"/>
  <c r="B43" i="11" s="1"/>
  <c r="E23" i="3"/>
  <c r="E22" i="3"/>
  <c r="E26" i="3"/>
  <c r="E29" i="3"/>
  <c r="E25" i="3"/>
  <c r="E28" i="3"/>
  <c r="E27" i="3"/>
  <c r="E24" i="3"/>
  <c r="E21" i="3"/>
  <c r="B17" i="1"/>
  <c r="G22" i="3" l="1"/>
  <c r="H22" i="3" s="1"/>
  <c r="G21" i="3"/>
  <c r="H21" i="3" s="1"/>
  <c r="G23" i="3"/>
  <c r="H23" i="3" s="1"/>
  <c r="G27" i="3"/>
  <c r="H27" i="3" s="1"/>
  <c r="G26" i="3"/>
  <c r="H26" i="3" s="1"/>
  <c r="G25" i="3"/>
  <c r="H25" i="3" s="1"/>
  <c r="G24" i="3"/>
  <c r="H24" i="3" s="1"/>
  <c r="G28" i="3"/>
  <c r="H28" i="3" s="1"/>
  <c r="G29" i="3"/>
  <c r="H29" i="3" s="1"/>
  <c r="B3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Zubair Porbunderwala</author>
  </authors>
  <commentList>
    <comment ref="B5" authorId="0" shapeId="0" xr:uid="{6D8D81AA-7CBE-419F-BDB9-AA01E6BD0CAD}">
      <text>
        <r>
          <rPr>
            <sz val="9"/>
            <color indexed="81"/>
            <rFont val="Tahoma"/>
            <family val="2"/>
          </rPr>
          <t>Solver converged in probability to a global solution.</t>
        </r>
      </text>
    </comment>
    <comment ref="B6" authorId="0" shapeId="0" xr:uid="{BAB30DA9-E1FE-46C1-9E8A-B4D2EB7C2C9D}">
      <text>
        <r>
          <rPr>
            <sz val="9"/>
            <color indexed="81"/>
            <rFont val="Tahoma"/>
            <family val="2"/>
          </rPr>
          <t>Solver converged in probability to a global solution.</t>
        </r>
      </text>
    </comment>
    <comment ref="B7" authorId="0" shapeId="0" xr:uid="{D16FD362-0F9A-467C-94CF-12C242050545}">
      <text>
        <r>
          <rPr>
            <sz val="9"/>
            <color indexed="81"/>
            <rFont val="Tahoma"/>
            <family val="2"/>
          </rPr>
          <t>Solver converged in probability to a global solution.</t>
        </r>
      </text>
    </comment>
    <comment ref="B8" authorId="0" shapeId="0" xr:uid="{56221683-630D-424A-A652-09E23260BD65}">
      <text>
        <r>
          <rPr>
            <sz val="9"/>
            <color indexed="81"/>
            <rFont val="Tahoma"/>
            <family val="2"/>
          </rPr>
          <t>Solver converged in probability to a global solution.</t>
        </r>
      </text>
    </comment>
    <comment ref="B9" authorId="0" shapeId="0" xr:uid="{B240637F-AE51-45DD-94A9-6B6DFDC06900}">
      <text>
        <r>
          <rPr>
            <sz val="9"/>
            <color indexed="81"/>
            <rFont val="Tahoma"/>
            <family val="2"/>
          </rPr>
          <t>Solver converged in probability to a global solution.</t>
        </r>
      </text>
    </comment>
    <comment ref="B10" authorId="0" shapeId="0" xr:uid="{6A112F12-154F-4077-B799-0B4975391A57}">
      <text>
        <r>
          <rPr>
            <sz val="9"/>
            <color indexed="81"/>
            <rFont val="Tahoma"/>
            <family val="2"/>
          </rPr>
          <t>Solver converged in probability to a global solution.</t>
        </r>
      </text>
    </comment>
    <comment ref="B11" authorId="0" shapeId="0" xr:uid="{B8CDDA9D-E0D2-41B1-9C8C-2A79883846DE}">
      <text>
        <r>
          <rPr>
            <sz val="9"/>
            <color indexed="81"/>
            <rFont val="Tahoma"/>
            <family val="2"/>
          </rPr>
          <t>Solver converged in probability to a global solution.</t>
        </r>
      </text>
    </comment>
    <comment ref="B12" authorId="0" shapeId="0" xr:uid="{158E667D-19F2-4CAA-B26D-5354F9F5EB4A}">
      <text>
        <r>
          <rPr>
            <sz val="9"/>
            <color indexed="81"/>
            <rFont val="Tahoma"/>
            <family val="2"/>
          </rPr>
          <t>Solver converged in probability to a global solution.</t>
        </r>
      </text>
    </comment>
    <comment ref="B13" authorId="0" shapeId="0" xr:uid="{64B82011-10B7-4C6E-8858-3C97B6CB4BD1}">
      <text>
        <r>
          <rPr>
            <sz val="9"/>
            <color indexed="81"/>
            <rFont val="Tahoma"/>
            <family val="2"/>
          </rPr>
          <t>Solver converged in probability to a global solution.</t>
        </r>
      </text>
    </comment>
    <comment ref="B14" authorId="0" shapeId="0" xr:uid="{108CBF8D-F151-4E60-9D34-1FF2BF42A78E}">
      <text>
        <r>
          <rPr>
            <sz val="9"/>
            <color indexed="81"/>
            <rFont val="Tahoma"/>
            <family val="2"/>
          </rPr>
          <t>Solver converged in probability to a global solution.</t>
        </r>
      </text>
    </comment>
    <comment ref="B15" authorId="0" shapeId="0" xr:uid="{711974E5-5A34-451A-9D37-DA8C3FADFFEF}">
      <text>
        <r>
          <rPr>
            <sz val="9"/>
            <color indexed="81"/>
            <rFont val="Tahoma"/>
            <family val="2"/>
          </rPr>
          <t>Solver converged in probability to a global solution.</t>
        </r>
      </text>
    </comment>
    <comment ref="B16" authorId="0" shapeId="0" xr:uid="{94F8E39D-04AD-4964-A8EA-E3831C802341}">
      <text>
        <r>
          <rPr>
            <sz val="9"/>
            <color indexed="81"/>
            <rFont val="Tahoma"/>
            <family val="2"/>
          </rPr>
          <t>Solver converged in probability to a global solution.</t>
        </r>
      </text>
    </comment>
    <comment ref="B17" authorId="0" shapeId="0" xr:uid="{C6BE7B62-9969-4ED6-B30F-62F630F6F955}">
      <text>
        <r>
          <rPr>
            <sz val="9"/>
            <color indexed="81"/>
            <rFont val="Tahoma"/>
            <family val="2"/>
          </rPr>
          <t>Solver converged in probability to a global solution.</t>
        </r>
      </text>
    </comment>
    <comment ref="B18" authorId="0" shapeId="0" xr:uid="{791C3F6D-424C-4CCB-A6DD-E7EA5D6154AB}">
      <text>
        <r>
          <rPr>
            <sz val="9"/>
            <color indexed="81"/>
            <rFont val="Tahoma"/>
            <family val="2"/>
          </rPr>
          <t>Solver converged in probability to a global solution.</t>
        </r>
      </text>
    </comment>
    <comment ref="B19" authorId="0" shapeId="0" xr:uid="{3F19AB27-07C9-4AD3-AAFD-988C9FF508A7}">
      <text>
        <r>
          <rPr>
            <sz val="9"/>
            <color indexed="81"/>
            <rFont val="Tahoma"/>
            <family val="2"/>
          </rPr>
          <t>Solver converged in probability to a global solution.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3953D43D-0104-4FC1-983A-9F9E821AB89A}">
      <text>
        <r>
          <rPr>
            <sz val="9"/>
            <color indexed="81"/>
            <rFont val="Tahoma"/>
            <family val="2"/>
          </rPr>
          <t>Solver found a solution. All constraints and optimality conditions are satisfied.</t>
        </r>
      </text>
    </comment>
    <comment ref="B6" authorId="0" shapeId="0" xr:uid="{5C662048-CF35-4B6A-83AC-678BA3721974}">
      <text>
        <r>
          <rPr>
            <sz val="9"/>
            <color indexed="81"/>
            <rFont val="Tahoma"/>
            <family val="2"/>
          </rPr>
          <t>Solver found a solution. All constraints and optimality conditions are satisfied.</t>
        </r>
      </text>
    </comment>
    <comment ref="B7" authorId="0" shapeId="0" xr:uid="{182B4578-399B-4760-88E7-0E913F39C5CA}">
      <text>
        <r>
          <rPr>
            <sz val="9"/>
            <color indexed="81"/>
            <rFont val="Tahoma"/>
            <family val="2"/>
          </rPr>
          <t>Solver found a solution. All constraints and optimality conditions are satisfied.</t>
        </r>
      </text>
    </comment>
    <comment ref="B8" authorId="0" shapeId="0" xr:uid="{C6F73710-3A53-4780-8000-F4BE86C8EDB0}">
      <text>
        <r>
          <rPr>
            <sz val="9"/>
            <color indexed="81"/>
            <rFont val="Tahoma"/>
            <family val="2"/>
          </rPr>
          <t>Solver found a solution. All constraints and optimality conditions are satisfied.</t>
        </r>
      </text>
    </comment>
    <comment ref="B9" authorId="0" shapeId="0" xr:uid="{311D0D93-DBF6-418B-998D-65382430D91D}">
      <text>
        <r>
          <rPr>
            <sz val="9"/>
            <color indexed="81"/>
            <rFont val="Tahoma"/>
            <family val="2"/>
          </rPr>
          <t>Solver found a solution. All constraints and optimality conditions are satisfied.</t>
        </r>
      </text>
    </comment>
    <comment ref="B10" authorId="0" shapeId="0" xr:uid="{335E0576-11AD-495C-8723-999EDDE66B8B}">
      <text>
        <r>
          <rPr>
            <sz val="9"/>
            <color indexed="81"/>
            <rFont val="Tahoma"/>
            <family val="2"/>
          </rPr>
          <t>Solver found a solution. All constraints and optimality conditions are satisfied.</t>
        </r>
      </text>
    </comment>
    <comment ref="B11" authorId="0" shapeId="0" xr:uid="{7D39CB61-CBD4-486D-A44F-748FD2B46917}">
      <text>
        <r>
          <rPr>
            <sz val="9"/>
            <color indexed="81"/>
            <rFont val="Tahoma"/>
            <family val="2"/>
          </rPr>
          <t>Solver found a solution. All constraints and optimality conditions are satisfied.</t>
        </r>
      </text>
    </comment>
    <comment ref="B12" authorId="0" shapeId="0" xr:uid="{FB3E586E-6F18-424C-88C5-DEAFF480C92E}">
      <text>
        <r>
          <rPr>
            <sz val="9"/>
            <color indexed="81"/>
            <rFont val="Tahoma"/>
            <family val="2"/>
          </rPr>
          <t>Solver found a solution. All constraints and optimality conditions are satisfied.</t>
        </r>
      </text>
    </comment>
    <comment ref="B13" authorId="0" shapeId="0" xr:uid="{6E89BD70-A59E-4FB7-A68F-3CC5237F6A72}">
      <text>
        <r>
          <rPr>
            <sz val="9"/>
            <color indexed="81"/>
            <rFont val="Tahoma"/>
            <family val="2"/>
          </rPr>
          <t>Solver found a solution. All constraints and optimality conditions are satisfied.</t>
        </r>
      </text>
    </comment>
    <comment ref="B14" authorId="0" shapeId="0" xr:uid="{012B43B0-AE99-40BE-88A3-4BF6560B1EBC}">
      <text>
        <r>
          <rPr>
            <sz val="9"/>
            <color indexed="81"/>
            <rFont val="Tahoma"/>
            <family val="2"/>
          </rPr>
          <t>Solver found a solution. All constraints and optimality conditions are satisfied.</t>
        </r>
      </text>
    </comment>
    <comment ref="B15" authorId="0" shapeId="0" xr:uid="{9580A09B-482D-4CC7-8DB8-01EEC607A4DD}">
      <text>
        <r>
          <rPr>
            <sz val="9"/>
            <color indexed="81"/>
            <rFont val="Tahoma"/>
            <family val="2"/>
          </rPr>
          <t>Solver found a solution. All constraints and optimality conditions are satisfied.</t>
        </r>
      </text>
    </comment>
    <comment ref="B16" authorId="0" shapeId="0" xr:uid="{919C0F6B-65BF-4C4F-A227-227A496401C7}">
      <text>
        <r>
          <rPr>
            <sz val="9"/>
            <color indexed="81"/>
            <rFont val="Tahoma"/>
            <family val="2"/>
          </rPr>
          <t>Solver found a solution. All constraints and optimality conditions are satisfied.</t>
        </r>
      </text>
    </comment>
    <comment ref="B17" authorId="0" shapeId="0" xr:uid="{C5506936-260A-427E-83A4-E214A0497D08}">
      <text>
        <r>
          <rPr>
            <sz val="9"/>
            <color indexed="81"/>
            <rFont val="Tahoma"/>
            <family val="2"/>
          </rPr>
          <t>Solver found a solution. All constraints and optimality conditions are satisfied.</t>
        </r>
      </text>
    </comment>
    <comment ref="B18" authorId="0" shapeId="0" xr:uid="{F09AE1F7-C6B6-4FDF-9F03-245C10FB3214}">
      <text>
        <r>
          <rPr>
            <sz val="9"/>
            <color indexed="81"/>
            <rFont val="Tahoma"/>
            <family val="2"/>
          </rPr>
          <t>Solver found a solution. All constraints and optimality conditions are satisfied.</t>
        </r>
      </text>
    </comment>
    <comment ref="B19" authorId="0" shapeId="0" xr:uid="{1C86D732-6B79-4FBD-AE70-D918ECE05B29}">
      <text>
        <r>
          <rPr>
            <sz val="9"/>
            <color indexed="81"/>
            <rFont val="Tahoma"/>
            <family val="2"/>
          </rPr>
          <t>Solver found a solution. All constraints and optimality conditions are satisfied.</t>
        </r>
      </text>
    </comment>
    <comment ref="B20" authorId="0" shapeId="0" xr:uid="{510870A0-3533-40E7-884A-AAD7E70E943A}">
      <text>
        <r>
          <rPr>
            <sz val="9"/>
            <color indexed="81"/>
            <rFont val="Tahoma"/>
            <family val="2"/>
          </rPr>
          <t>Solver found a solution. All constraints and optimality conditions are satisfied.</t>
        </r>
      </text>
    </comment>
    <comment ref="B21" authorId="0" shapeId="0" xr:uid="{F6303386-5334-4722-85BF-F842080991A5}">
      <text>
        <r>
          <rPr>
            <sz val="9"/>
            <color indexed="81"/>
            <rFont val="Tahoma"/>
            <family val="2"/>
          </rPr>
          <t>Solver found a solution. All constraints and optimality conditions are satisfied.</t>
        </r>
      </text>
    </comment>
    <comment ref="B22" authorId="0" shapeId="0" xr:uid="{05C0D832-36A7-4A1D-8B90-2E45DDD2B29E}">
      <text>
        <r>
          <rPr>
            <sz val="9"/>
            <color indexed="81"/>
            <rFont val="Tahoma"/>
            <family val="2"/>
          </rPr>
          <t>Solver found a solution. All constraints and optimality conditions are satisfied.</t>
        </r>
      </text>
    </comment>
    <comment ref="B23" authorId="0" shapeId="0" xr:uid="{BD003A50-55C4-4DFE-9BA2-BD7C4F464F77}">
      <text>
        <r>
          <rPr>
            <sz val="9"/>
            <color indexed="81"/>
            <rFont val="Tahoma"/>
            <family val="2"/>
          </rPr>
          <t>Solver found a solution. All constraints and optimality conditions are satisfied.</t>
        </r>
      </text>
    </comment>
    <comment ref="B24" authorId="0" shapeId="0" xr:uid="{55FFB8A6-7776-4BDA-B3BD-DA065309A1C0}">
      <text>
        <r>
          <rPr>
            <sz val="9"/>
            <color indexed="81"/>
            <rFont val="Tahoma"/>
            <family val="2"/>
          </rPr>
          <t>Solver found a solution. All constraints and optimality conditions are satisfied.</t>
        </r>
      </text>
    </comment>
    <comment ref="B25" authorId="0" shapeId="0" xr:uid="{51002892-9EA9-48B5-B8EB-00B07B418CE1}">
      <text>
        <r>
          <rPr>
            <sz val="9"/>
            <color indexed="81"/>
            <rFont val="Tahoma"/>
            <family val="2"/>
          </rPr>
          <t>Solver found a solution. All constraints and optimality conditions are satisfied.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Zubair Porbunderwala</author>
  </authors>
  <commentList>
    <comment ref="B5" authorId="0" shapeId="0" xr:uid="{9B80DA87-79E2-4F4E-8DBE-D866EEFD5123}">
      <text>
        <r>
          <rPr>
            <sz val="9"/>
            <color indexed="81"/>
            <rFont val="Tahoma"/>
            <family val="2"/>
          </rPr>
          <t>Solver has converged to the current solution. All constraints are satisfied.</t>
        </r>
      </text>
    </comment>
    <comment ref="B6" authorId="0" shapeId="0" xr:uid="{9982BFED-A540-49A5-A64F-9D83E3F08625}">
      <text>
        <r>
          <rPr>
            <sz val="9"/>
            <color indexed="81"/>
            <rFont val="Tahoma"/>
            <family val="2"/>
          </rPr>
          <t>Solver has converged to the current solution. All constraints are satisfied.</t>
        </r>
      </text>
    </comment>
    <comment ref="B7" authorId="0" shapeId="0" xr:uid="{57D5C39C-73F4-4DF1-943B-7F96D07DF7A7}">
      <text>
        <r>
          <rPr>
            <sz val="9"/>
            <color indexed="81"/>
            <rFont val="Tahoma"/>
            <family val="2"/>
          </rPr>
          <t>Solver has converged to the current solution. All constraints are satisfied.</t>
        </r>
      </text>
    </comment>
    <comment ref="B8" authorId="0" shapeId="0" xr:uid="{E7383CCC-DAD6-4E45-BDF9-35776F778702}">
      <text>
        <r>
          <rPr>
            <sz val="9"/>
            <color indexed="81"/>
            <rFont val="Tahoma"/>
            <family val="2"/>
          </rPr>
          <t>Solver has converged to the current solution. All constraints are satisfied.</t>
        </r>
      </text>
    </comment>
    <comment ref="B9" authorId="0" shapeId="0" xr:uid="{46E118A8-7F0C-43E1-8C3A-94BC4D4A96A3}">
      <text>
        <r>
          <rPr>
            <sz val="9"/>
            <color indexed="81"/>
            <rFont val="Tahoma"/>
            <family val="2"/>
          </rPr>
          <t>Solver has converged to the current solution. All constraints are satisfied.</t>
        </r>
      </text>
    </comment>
    <comment ref="B10" authorId="0" shapeId="0" xr:uid="{34E5D260-D7EA-45A3-AE36-28C7A0107CF7}">
      <text>
        <r>
          <rPr>
            <sz val="9"/>
            <color indexed="81"/>
            <rFont val="Tahoma"/>
            <family val="2"/>
          </rPr>
          <t>Solver has converged to the current solution. All constraints are satisfied.</t>
        </r>
      </text>
    </comment>
    <comment ref="B11" authorId="0" shapeId="0" xr:uid="{902ED219-BE0C-47E4-9B82-47A2E581FCAF}">
      <text>
        <r>
          <rPr>
            <sz val="9"/>
            <color indexed="81"/>
            <rFont val="Tahoma"/>
            <family val="2"/>
          </rPr>
          <t>Solver has converged to the current solution. All constraints are satisfied.</t>
        </r>
      </text>
    </comment>
    <comment ref="B12" authorId="0" shapeId="0" xr:uid="{E98D687D-AF3F-459D-AC1B-A04811358639}">
      <text>
        <r>
          <rPr>
            <sz val="9"/>
            <color indexed="81"/>
            <rFont val="Tahoma"/>
            <family val="2"/>
          </rPr>
          <t>Solver has converged to the current solution. All constraints are satisfied.</t>
        </r>
      </text>
    </comment>
    <comment ref="B13" authorId="0" shapeId="0" xr:uid="{4E52D989-AB98-4A38-9FF1-A2C67621D9A0}">
      <text>
        <r>
          <rPr>
            <sz val="9"/>
            <color indexed="81"/>
            <rFont val="Tahoma"/>
            <family val="2"/>
          </rPr>
          <t>Solver has converged to the current solution. All constraints are satisfied.</t>
        </r>
      </text>
    </comment>
    <comment ref="B14" authorId="0" shapeId="0" xr:uid="{C4AF1CAE-C3E9-4439-AA01-E1F251BDCA23}">
      <text>
        <r>
          <rPr>
            <sz val="9"/>
            <color indexed="81"/>
            <rFont val="Tahoma"/>
            <family val="2"/>
          </rPr>
          <t>Solver has converged to the current solution. All constraints are satisfied.</t>
        </r>
      </text>
    </comment>
    <comment ref="B15" authorId="0" shapeId="0" xr:uid="{E3F1D1E8-625D-49D7-81CE-28D612C76A9A}">
      <text>
        <r>
          <rPr>
            <sz val="9"/>
            <color indexed="81"/>
            <rFont val="Tahoma"/>
            <family val="2"/>
          </rPr>
          <t>Solver has converged to the current solution. All constraints are satisfied.</t>
        </r>
      </text>
    </comment>
    <comment ref="B16" authorId="0" shapeId="0" xr:uid="{F151F652-5207-4F8A-8AA2-2782B32A58FB}">
      <text>
        <r>
          <rPr>
            <sz val="9"/>
            <color indexed="81"/>
            <rFont val="Tahoma"/>
            <family val="2"/>
          </rPr>
          <t>Solver has converged to the current solution. All constraints are satisfied.</t>
        </r>
      </text>
    </comment>
    <comment ref="B17" authorId="0" shapeId="0" xr:uid="{8DD07EB1-D571-4081-9E69-30F9CA5F832E}">
      <text>
        <r>
          <rPr>
            <sz val="9"/>
            <color indexed="81"/>
            <rFont val="Tahoma"/>
            <family val="2"/>
          </rPr>
          <t>Solver has converged to the current solution. All constraints are satisfied.</t>
        </r>
      </text>
    </comment>
    <comment ref="B18" authorId="0" shapeId="0" xr:uid="{16263A21-75D7-4862-B957-35F6D033E65D}">
      <text>
        <r>
          <rPr>
            <sz val="9"/>
            <color indexed="81"/>
            <rFont val="Tahoma"/>
            <family val="2"/>
          </rPr>
          <t>Solver has converged to the current solution. All constraints are satisfied.</t>
        </r>
      </text>
    </comment>
    <comment ref="B19" authorId="0" shapeId="0" xr:uid="{F4A7387D-C7FD-4DC0-B411-E66CFDFA10F8}">
      <text>
        <r>
          <rPr>
            <sz val="9"/>
            <color indexed="81"/>
            <rFont val="Tahoma"/>
            <family val="2"/>
          </rPr>
          <t>Solver has converged to the current solution. All constraints are satisfied.</t>
        </r>
      </text>
    </comment>
    <comment ref="B20" authorId="0" shapeId="0" xr:uid="{FBEBCBE6-95E9-46A5-8BE5-B0C759A0BAB5}">
      <text>
        <r>
          <rPr>
            <sz val="9"/>
            <color indexed="81"/>
            <rFont val="Tahoma"/>
            <family val="2"/>
          </rPr>
          <t>Solver has converged to the current solution. All constraints are satisfied.</t>
        </r>
      </text>
    </comment>
    <comment ref="B21" authorId="0" shapeId="0" xr:uid="{1F4BCBA6-E095-4546-BA5D-46B12DE29203}">
      <text>
        <r>
          <rPr>
            <sz val="9"/>
            <color indexed="81"/>
            <rFont val="Tahoma"/>
            <family val="2"/>
          </rPr>
          <t>Solver has converged to the current solution. All constraints are satisfied.</t>
        </r>
      </text>
    </comment>
    <comment ref="B22" authorId="0" shapeId="0" xr:uid="{DD64B164-7F7F-4ACA-B500-C57794C884D4}">
      <text>
        <r>
          <rPr>
            <sz val="9"/>
            <color indexed="81"/>
            <rFont val="Tahoma"/>
            <family val="2"/>
          </rPr>
          <t>Solver has converged to the current solution. All constraints are satisfied.</t>
        </r>
      </text>
    </comment>
    <comment ref="B23" authorId="0" shapeId="0" xr:uid="{F4580590-B76F-4C5F-B3A3-ADE840C0420E}">
      <text>
        <r>
          <rPr>
            <sz val="9"/>
            <color indexed="81"/>
            <rFont val="Tahoma"/>
            <family val="2"/>
          </rPr>
          <t>Solver has converged to the current solution. All constraints are satisfied.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E3AEC330-D399-4970-B8B3-6FECF69F6BAC}">
      <text>
        <r>
          <rPr>
            <sz val="9"/>
            <color indexed="81"/>
            <rFont val="Tahoma"/>
            <family val="2"/>
          </rPr>
          <t>Solver cannot improve the current solution. All constraints are satisfied.</t>
        </r>
      </text>
    </comment>
    <comment ref="B6" authorId="0" shapeId="0" xr:uid="{B1D7F6B6-DD72-42CF-B4FB-41D4A2E64A0E}">
      <text>
        <r>
          <rPr>
            <sz val="9"/>
            <color indexed="81"/>
            <rFont val="Tahoma"/>
            <family val="2"/>
          </rPr>
          <t>Solver cannot improve the current solution. All constraints are satisfied.</t>
        </r>
      </text>
    </comment>
    <comment ref="B7" authorId="0" shapeId="0" xr:uid="{6B0B192C-2301-44F3-8714-4ADC1408E980}">
      <text>
        <r>
          <rPr>
            <sz val="9"/>
            <color indexed="81"/>
            <rFont val="Tahoma"/>
            <family val="2"/>
          </rPr>
          <t>Solver has converged to the current solution. All constraints are satisfied.</t>
        </r>
      </text>
    </comment>
  </commentList>
</comments>
</file>

<file path=xl/sharedStrings.xml><?xml version="1.0" encoding="utf-8"?>
<sst xmlns="http://schemas.openxmlformats.org/spreadsheetml/2006/main" count="224" uniqueCount="185">
  <si>
    <t>Q1 cost to produce</t>
  </si>
  <si>
    <t>Q2 cost to produce</t>
  </si>
  <si>
    <t>Objective</t>
  </si>
  <si>
    <t>Maximize profits</t>
  </si>
  <si>
    <t>DV</t>
  </si>
  <si>
    <t>Price to charge</t>
  </si>
  <si>
    <t>Constraint</t>
  </si>
  <si>
    <t>None</t>
  </si>
  <si>
    <t>Q1 Price</t>
  </si>
  <si>
    <t xml:space="preserve"> </t>
  </si>
  <si>
    <t>Q2 Price</t>
  </si>
  <si>
    <t>Q1 Quanty</t>
  </si>
  <si>
    <t>Q2 Quantity</t>
  </si>
  <si>
    <t>Profit Q1</t>
  </si>
  <si>
    <t>Profit Q2</t>
  </si>
  <si>
    <t>Total Profit</t>
  </si>
  <si>
    <t>Average Dist War to Cust</t>
  </si>
  <si>
    <t>Fixed Cost War Main</t>
  </si>
  <si>
    <t>Orders Filled Per Year</t>
  </si>
  <si>
    <t>Shipping Cost per Order</t>
  </si>
  <si>
    <t>Area Serviced</t>
  </si>
  <si>
    <t>Power</t>
  </si>
  <si>
    <t>Number of War</t>
  </si>
  <si>
    <t>Number of warehouses</t>
  </si>
  <si>
    <t>Constraints</t>
  </si>
  <si>
    <t>Total Cost</t>
  </si>
  <si>
    <t>Tota Fixed Cost Main</t>
  </si>
  <si>
    <t>Total Cost of Shipping</t>
  </si>
  <si>
    <t>Job sequencing data</t>
  </si>
  <si>
    <t>Job</t>
  </si>
  <si>
    <t>Items</t>
  </si>
  <si>
    <t>Days per item</t>
  </si>
  <si>
    <t>Due date</t>
  </si>
  <si>
    <t>Profit_Q1</t>
  </si>
  <si>
    <t>='7.54'!$B$14</t>
  </si>
  <si>
    <t>Profit_Q2</t>
  </si>
  <si>
    <t>='7.54'!$B$15</t>
  </si>
  <si>
    <t>Q1_cost_to_produce</t>
  </si>
  <si>
    <t>='7.54'!$B$1</t>
  </si>
  <si>
    <t>Q1_Price</t>
  </si>
  <si>
    <t>='7.54'!$B$8</t>
  </si>
  <si>
    <t>Q1_Quanty</t>
  </si>
  <si>
    <t>='7.54'!$B$11</t>
  </si>
  <si>
    <t>Q2_cost_to_produce</t>
  </si>
  <si>
    <t>='7.54'!$B$2</t>
  </si>
  <si>
    <t>Q2_Price</t>
  </si>
  <si>
    <t>='7.54'!$B$9</t>
  </si>
  <si>
    <t>Q2_Quantity</t>
  </si>
  <si>
    <t>='7.54'!$B$12</t>
  </si>
  <si>
    <t>Total_Profit</t>
  </si>
  <si>
    <t>='7.54'!$B$17</t>
  </si>
  <si>
    <t>Sequence jobs to minimize lateness</t>
  </si>
  <si>
    <t>Sequence of jobs</t>
  </si>
  <si>
    <t>Step</t>
  </si>
  <si>
    <t>Days Per Item</t>
  </si>
  <si>
    <t>Due Date</t>
  </si>
  <si>
    <t>Days Taken</t>
  </si>
  <si>
    <t>Lateness</t>
  </si>
  <si>
    <t>Total Lateness</t>
  </si>
  <si>
    <t>Day Finished</t>
  </si>
  <si>
    <t>Lateness Days</t>
  </si>
  <si>
    <t>Total Cost of Building</t>
  </si>
  <si>
    <t>$B$1</t>
  </si>
  <si>
    <t>$B$17</t>
  </si>
  <si>
    <t>Q1 Cost to produce</t>
  </si>
  <si>
    <t>Oneway analysis for Solver model in 7.54 worksheet</t>
  </si>
  <si>
    <t>Q1 Cost to produce (cell $B$1) values along side, output cell(s) along top</t>
  </si>
  <si>
    <t>Data for chart</t>
  </si>
  <si>
    <t>$B$23</t>
  </si>
  <si>
    <t>Oneway analysis for Solver model in 7.60 worksheet</t>
  </si>
  <si>
    <t>Area_Serviced</t>
  </si>
  <si>
    <t>='7.60'!$B$7</t>
  </si>
  <si>
    <t>Average_Dist_War_to_Cust</t>
  </si>
  <si>
    <t>='7.60'!$B$11</t>
  </si>
  <si>
    <t>Cost_of_Operating_War</t>
  </si>
  <si>
    <t>='7.60'!$B$4</t>
  </si>
  <si>
    <t>Cost_to_Build_War</t>
  </si>
  <si>
    <t>='7.60'!$B$3</t>
  </si>
  <si>
    <t>Days_per_item</t>
  </si>
  <si>
    <t>='8.15'!$C$4:$C$13</t>
  </si>
  <si>
    <t>Due_date</t>
  </si>
  <si>
    <t>='8.15'!$D$4:$D$13</t>
  </si>
  <si>
    <t>Fixed_Cost_War_Main</t>
  </si>
  <si>
    <t>='7.60'!$B$2</t>
  </si>
  <si>
    <t>='8.15'!$B$4:$B$13</t>
  </si>
  <si>
    <t>='8.15'!$A$4:$A$13</t>
  </si>
  <si>
    <t>='8.15'!$H$20:$H$29</t>
  </si>
  <si>
    <t>Number_of_War</t>
  </si>
  <si>
    <t>='7.60'!$B$13</t>
  </si>
  <si>
    <t>Orders_Filled_Per_Year</t>
  </si>
  <si>
    <t>='7.60'!$B$5</t>
  </si>
  <si>
    <t>Shipping_Cost_per_Order</t>
  </si>
  <si>
    <t>='7.60'!$B$6</t>
  </si>
  <si>
    <t>Tota_Fixed_Cost_Main</t>
  </si>
  <si>
    <t>='7.60'!$B$19</t>
  </si>
  <si>
    <t>Total_Cost_of_Building__Indef</t>
  </si>
  <si>
    <t>Total_Cost_of_Building_War</t>
  </si>
  <si>
    <t>='7.60'!$B$20</t>
  </si>
  <si>
    <t>Total_Cost_of_Shipping</t>
  </si>
  <si>
    <t>='7.60'!$B$21</t>
  </si>
  <si>
    <t>$C$7</t>
  </si>
  <si>
    <t>$B$31</t>
  </si>
  <si>
    <t>Job 4 Days Taken</t>
  </si>
  <si>
    <t>Oneway analysis for Solver model in 8.15 worksheet</t>
  </si>
  <si>
    <t>Job 4 Days Taken (cell $C$7) values along side, output cell(s) along top</t>
  </si>
  <si>
    <t>DV:</t>
  </si>
  <si>
    <t>minimizes cost for no of warehouses constructed</t>
  </si>
  <si>
    <t>Figure out the price of q1 and q2 to maximize total profit.</t>
  </si>
  <si>
    <t>price for q1 and q2</t>
  </si>
  <si>
    <t>No constraints</t>
  </si>
  <si>
    <t>Total_no_of_segments_
purchasing_from_our_
productline</t>
  </si>
  <si>
    <t>No Of Segments
who purchase between
our products</t>
  </si>
  <si>
    <t>Maximum score 
from any product line
for customer segment</t>
  </si>
  <si>
    <t>Customer Segment</t>
  </si>
  <si>
    <t>Total_3</t>
  </si>
  <si>
    <t>Total_2</t>
  </si>
  <si>
    <t>Total_1</t>
  </si>
  <si>
    <t>Levels</t>
  </si>
  <si>
    <t>Attribute</t>
  </si>
  <si>
    <t>Razor_2</t>
  </si>
  <si>
    <t>Razor_1</t>
  </si>
  <si>
    <t>Razor_Current (Baseline)</t>
  </si>
  <si>
    <t>Product Line Mix</t>
  </si>
  <si>
    <t>='8.35'!$S$32:$W$32</t>
  </si>
  <si>
    <t>Totalworth_to_each_segment_for_razor2</t>
  </si>
  <si>
    <t>='8.35'!$K$32:$O$32</t>
  </si>
  <si>
    <t>Totalworth_to_each_segment_for_razor1</t>
  </si>
  <si>
    <t>='8.35'!$C$32:$G$32</t>
  </si>
  <si>
    <t>Totalworth_to_each_segment_for_current_product</t>
  </si>
  <si>
    <t>='8.35'!$B$43</t>
  </si>
  <si>
    <t>Total_no_of_segments__purchasing_from_our__productline</t>
  </si>
  <si>
    <t>='8.35'!$R$28:$R$31</t>
  </si>
  <si>
    <t>razor2_level_matrix</t>
  </si>
  <si>
    <t>Attribute 4</t>
  </si>
  <si>
    <t>='8.35'!$J$28:$J$31</t>
  </si>
  <si>
    <t>Razor1_level_matrix</t>
  </si>
  <si>
    <t>='8.35'!$C$36:$C$40</t>
  </si>
  <si>
    <t>No_Of_Segments_who_purchase_between_our_products</t>
  </si>
  <si>
    <t>='8.35'!$B$36:$B$40</t>
  </si>
  <si>
    <t>Maximum_score__from_any_product_line_for_customer_segment</t>
  </si>
  <si>
    <t>='8.35'!$B$4:$F$4</t>
  </si>
  <si>
    <t>customer_segment_array</t>
  </si>
  <si>
    <t>Attribute 3</t>
  </si>
  <si>
    <t>='8.35'!$B$28:$B$31</t>
  </si>
  <si>
    <t>current_product_level_mix</t>
  </si>
  <si>
    <t>='8.35'!$B$17:$F$19</t>
  </si>
  <si>
    <t>Attribute4_matrix</t>
  </si>
  <si>
    <t>='8.35'!$A$17:$A$19</t>
  </si>
  <si>
    <t>attribute4_level</t>
  </si>
  <si>
    <t>='8.35'!$B$13:$F$15</t>
  </si>
  <si>
    <t>Attribute3_matrix</t>
  </si>
  <si>
    <t>Attribute 2</t>
  </si>
  <si>
    <t>='8.35'!$A$13:$A$15</t>
  </si>
  <si>
    <t>attribute3_level</t>
  </si>
  <si>
    <t>='8.35'!$B$9:$F$11</t>
  </si>
  <si>
    <t>Attribute2_matrix</t>
  </si>
  <si>
    <t>='8.35'!$A$9:$A$11</t>
  </si>
  <si>
    <t>attribute2_level</t>
  </si>
  <si>
    <t>='8.35'!$B$5:$F$7</t>
  </si>
  <si>
    <t>Attribute1_matrix</t>
  </si>
  <si>
    <t>Attribute 1</t>
  </si>
  <si>
    <t>='8.35'!$A$5:$A$7</t>
  </si>
  <si>
    <t>attribute1_level</t>
  </si>
  <si>
    <t>Attribute level pertaining to each attribute for razor 1 and 2.</t>
  </si>
  <si>
    <t xml:space="preserve">DV: </t>
  </si>
  <si>
    <t>Segment</t>
  </si>
  <si>
    <t>Reference</t>
  </si>
  <si>
    <t>Cell Name</t>
  </si>
  <si>
    <t>Level varies from 1 to 3 for each product's each attribute</t>
  </si>
  <si>
    <t>Constraint:</t>
  </si>
  <si>
    <t>Cell Names:</t>
  </si>
  <si>
    <t>Design two razors with specific attribute mix such that all customer segments buy from our product line mix</t>
  </si>
  <si>
    <t>Objective:</t>
  </si>
  <si>
    <t>Data for conjoint analysis</t>
  </si>
  <si>
    <t>currentproduct_attribute2_level (cell $B$29) values along side, output cell(s) along top</t>
  </si>
  <si>
    <t>Oneway analysis for Solver model in 8.35 worksheet</t>
  </si>
  <si>
    <t>(As per the
assumption statement)</t>
  </si>
  <si>
    <t>Cost to Build War/ year</t>
  </si>
  <si>
    <t>='7.60'!#REF!</t>
  </si>
  <si>
    <t>Cost_to_Build_War__year</t>
  </si>
  <si>
    <t>Total_Cost</t>
  </si>
  <si>
    <t>='7.60'!$B$23</t>
  </si>
  <si>
    <t>Total_Cost_of_Operating_War</t>
  </si>
  <si>
    <t>$B$6</t>
  </si>
  <si>
    <t>Area Serviced (cell $B$6) values along side, output cell(s) along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</si>
</sst>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1"/>
      <name val="Calibri"/>
      <family val="2"/>
    </font>
    <font>
      <b/>
      <sz val="11"/>
      <name val="Calibri"/>
      <family val="2"/>
    </font>
    <font>
      <sz val="11"/>
      <color rgb="FFFFFFFF"/>
      <name val="Calibri"/>
      <family val="2"/>
      <scheme val="minor"/>
    </font>
    <font>
      <sz val="9"/>
      <color indexed="81"/>
      <name val="Tahoma"/>
      <family val="2"/>
    </font>
    <font>
      <b/>
      <i/>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theme="4" tint="0.59999389629810485"/>
        <bgColor indexed="65"/>
      </patternFill>
    </fill>
    <fill>
      <patternFill patternType="solid">
        <fgColor theme="5" tint="0.59999389629810485"/>
        <bgColor indexed="65"/>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0" borderId="0"/>
  </cellStyleXfs>
  <cellXfs count="74">
    <xf numFmtId="0" fontId="0" fillId="0" borderId="0" xfId="0"/>
    <xf numFmtId="0" fontId="1" fillId="4" borderId="0" xfId="5"/>
    <xf numFmtId="0" fontId="1" fillId="3" borderId="0" xfId="4"/>
    <xf numFmtId="0" fontId="2" fillId="2" borderId="0" xfId="3"/>
    <xf numFmtId="44" fontId="1" fillId="3" borderId="0" xfId="2" applyFill="1"/>
    <xf numFmtId="44" fontId="1" fillId="4" borderId="0" xfId="2" applyFill="1"/>
    <xf numFmtId="44" fontId="2" fillId="2" borderId="0" xfId="2" applyFont="1" applyFill="1"/>
    <xf numFmtId="2" fontId="0" fillId="0" borderId="0" xfId="0" applyNumberFormat="1"/>
    <xf numFmtId="164" fontId="0" fillId="0" borderId="0" xfId="2" applyNumberFormat="1" applyFont="1"/>
    <xf numFmtId="165" fontId="0" fillId="0" borderId="0" xfId="1" applyNumberFormat="1" applyFont="1"/>
    <xf numFmtId="1" fontId="1" fillId="4" borderId="0" xfId="5" applyNumberFormat="1"/>
    <xf numFmtId="164" fontId="2" fillId="2" borderId="0" xfId="2" applyNumberFormat="1" applyFont="1" applyFill="1"/>
    <xf numFmtId="0" fontId="4" fillId="0" borderId="0" xfId="6"/>
    <xf numFmtId="0" fontId="5" fillId="0" borderId="0" xfId="6" applyFont="1"/>
    <xf numFmtId="0" fontId="3" fillId="0" borderId="0" xfId="0" applyFont="1"/>
    <xf numFmtId="0" fontId="4" fillId="0" borderId="0" xfId="6" applyAlignment="1">
      <alignment horizontal="right"/>
    </xf>
    <xf numFmtId="0" fontId="1" fillId="3" borderId="0" xfId="4" applyAlignment="1">
      <alignment horizontal="center"/>
    </xf>
    <xf numFmtId="0" fontId="0" fillId="0" borderId="0" xfId="0" applyAlignment="1">
      <alignment wrapText="1"/>
    </xf>
    <xf numFmtId="0" fontId="3" fillId="0" borderId="0" xfId="0" applyFont="1" applyAlignment="1">
      <alignment wrapText="1"/>
    </xf>
    <xf numFmtId="0" fontId="5" fillId="0" borderId="0" xfId="6" applyFont="1" applyAlignment="1">
      <alignment horizontal="center" vertical="center"/>
    </xf>
    <xf numFmtId="49" fontId="0" fillId="0" borderId="0" xfId="0" applyNumberFormat="1"/>
    <xf numFmtId="44" fontId="0" fillId="0" borderId="0" xfId="0" applyNumberFormat="1"/>
    <xf numFmtId="0" fontId="0" fillId="0" borderId="0" xfId="0" applyAlignment="1">
      <alignment horizontal="right" textRotation="90"/>
    </xf>
    <xf numFmtId="0" fontId="0" fillId="5" borderId="0" xfId="0" applyFill="1" applyAlignment="1">
      <alignment horizontal="right" textRotation="90"/>
    </xf>
    <xf numFmtId="0" fontId="6" fillId="0" borderId="0" xfId="0" applyFont="1"/>
    <xf numFmtId="44" fontId="0" fillId="0" borderId="1" xfId="0" applyNumberFormat="1" applyBorder="1"/>
    <xf numFmtId="44" fontId="0" fillId="0" borderId="2" xfId="0" applyNumberFormat="1" applyBorder="1"/>
    <xf numFmtId="44" fontId="0" fillId="0" borderId="3" xfId="0" applyNumberFormat="1" applyBorder="1"/>
    <xf numFmtId="165" fontId="0" fillId="0" borderId="0" xfId="0" applyNumberFormat="1"/>
    <xf numFmtId="164" fontId="0" fillId="0" borderId="2" xfId="0" applyNumberFormat="1" applyBorder="1"/>
    <xf numFmtId="164" fontId="0" fillId="0" borderId="3" xfId="0" applyNumberFormat="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 fillId="4" borderId="0" xfId="5" applyBorder="1" applyAlignment="1">
      <alignment horizontal="center"/>
    </xf>
    <xf numFmtId="0" fontId="3" fillId="0" borderId="10" xfId="0" applyFont="1" applyBorder="1" applyAlignment="1">
      <alignment horizontal="center"/>
    </xf>
    <xf numFmtId="0" fontId="1" fillId="3" borderId="0" xfId="4" applyBorder="1" applyAlignment="1">
      <alignment horizontal="center"/>
    </xf>
    <xf numFmtId="0" fontId="3" fillId="0" borderId="0" xfId="0" applyFont="1" applyAlignment="1">
      <alignment horizontal="center"/>
    </xf>
    <xf numFmtId="0" fontId="0" fillId="0" borderId="10" xfId="0" applyBorder="1"/>
    <xf numFmtId="0" fontId="3" fillId="0" borderId="6" xfId="0" applyFont="1" applyBorder="1"/>
    <xf numFmtId="0" fontId="8" fillId="0" borderId="0" xfId="0" applyFont="1"/>
    <xf numFmtId="0" fontId="1" fillId="3" borderId="11" xfId="4" applyBorder="1"/>
    <xf numFmtId="0" fontId="1" fillId="3" borderId="7" xfId="4" applyBorder="1"/>
    <xf numFmtId="0" fontId="1" fillId="3" borderId="8" xfId="4" applyBorder="1"/>
    <xf numFmtId="0" fontId="4" fillId="0" borderId="0" xfId="0" applyFont="1" applyAlignment="1">
      <alignment horizontal="center"/>
    </xf>
    <xf numFmtId="0" fontId="1" fillId="3" borderId="9" xfId="4" applyBorder="1"/>
    <xf numFmtId="0" fontId="1" fillId="3" borderId="10" xfId="4" applyBorder="1"/>
    <xf numFmtId="0" fontId="1" fillId="3" borderId="12" xfId="4" applyBorder="1"/>
    <xf numFmtId="0" fontId="1" fillId="3" borderId="13" xfId="4" applyBorder="1"/>
    <xf numFmtId="0" fontId="1" fillId="3" borderId="14" xfId="4" applyBorder="1"/>
    <xf numFmtId="0" fontId="4" fillId="0" borderId="0" xfId="0" applyFont="1"/>
    <xf numFmtId="0" fontId="5" fillId="0" borderId="0" xfId="0" applyFont="1" applyAlignment="1">
      <alignment horizontal="center"/>
    </xf>
    <xf numFmtId="0" fontId="5" fillId="0" borderId="0" xfId="0" applyFont="1"/>
    <xf numFmtId="165" fontId="1" fillId="3" borderId="0" xfId="4" applyNumberFormat="1"/>
    <xf numFmtId="44" fontId="1" fillId="3" borderId="0" xfId="4" applyNumberFormat="1"/>
    <xf numFmtId="164" fontId="1" fillId="3" borderId="0" xfId="4" applyNumberFormat="1"/>
    <xf numFmtId="164" fontId="0" fillId="0" borderId="1" xfId="0" applyNumberFormat="1" applyBorder="1"/>
    <xf numFmtId="0" fontId="8" fillId="0" borderId="0" xfId="0" applyFont="1" applyAlignment="1">
      <alignment horizontal="center"/>
    </xf>
    <xf numFmtId="0" fontId="8" fillId="0" borderId="9" xfId="0" applyFont="1" applyBorder="1" applyAlignment="1">
      <alignment horizontal="center"/>
    </xf>
    <xf numFmtId="0" fontId="8" fillId="0" borderId="10" xfId="0" applyFont="1" applyBorder="1" applyAlignment="1">
      <alignment horizontal="center"/>
    </xf>
    <xf numFmtId="0" fontId="3" fillId="0" borderId="0" xfId="0" applyFont="1" applyAlignment="1">
      <alignment horizontal="center"/>
    </xf>
    <xf numFmtId="0" fontId="3" fillId="0" borderId="9" xfId="0" applyFont="1" applyBorder="1" applyAlignment="1">
      <alignment horizontal="center"/>
    </xf>
  </cellXfs>
  <cellStyles count="7">
    <cellStyle name="40% - Accent1" xfId="4" builtinId="31"/>
    <cellStyle name="40% - Accent2" xfId="5" builtinId="35"/>
    <cellStyle name="Comma" xfId="1" builtinId="3"/>
    <cellStyle name="Currency" xfId="2" builtinId="4"/>
    <cellStyle name="Good" xfId="3" builtinId="26"/>
    <cellStyle name="Normal" xfId="0" builtinId="0"/>
    <cellStyle name="Normal 2" xfId="6" xr:uid="{8331FEA4-F131-4852-AEBE-C53A3174B1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'7.54 (Sensitivity Analysis)'!$K$1</c:f>
          <c:strCache>
            <c:ptCount val="1"/>
            <c:pt idx="0">
              <c:v>Sensitivity of Total_Profit to Q1 Cost to produce</c:v>
            </c:pt>
          </c:strCache>
        </c:strRef>
      </c:tx>
      <c:overlay val="0"/>
      <c:txPr>
        <a:bodyPr/>
        <a:lstStyle/>
        <a:p>
          <a:pPr>
            <a:defRPr sz="1200"/>
          </a:pPr>
          <a:endParaRPr lang="en-US"/>
        </a:p>
      </c:txPr>
    </c:title>
    <c:autoTitleDeleted val="0"/>
    <c:plotArea>
      <c:layout/>
      <c:lineChart>
        <c:grouping val="standard"/>
        <c:varyColors val="0"/>
        <c:ser>
          <c:idx val="0"/>
          <c:order val="0"/>
          <c:cat>
            <c:numRef>
              <c:f>'7.54 (Sensitivity Analysis)'!$A$5:$A$19</c:f>
              <c:numCache>
                <c:formatCode>_("$"* #,##0.00_);_("$"* \(#,##0.00\);_("$"* "-"??_);_(@_)</c:formatCode>
                <c:ptCount val="15"/>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numCache>
            </c:numRef>
          </c:cat>
          <c:val>
            <c:numRef>
              <c:f>'7.54 (Sensitivity Analysis)'!$K$5:$K$19</c:f>
              <c:numCache>
                <c:formatCode>General</c:formatCode>
                <c:ptCount val="15"/>
                <c:pt idx="0">
                  <c:v>2085.75</c:v>
                </c:pt>
                <c:pt idx="1">
                  <c:v>1996.75</c:v>
                </c:pt>
                <c:pt idx="2">
                  <c:v>1911.75</c:v>
                </c:pt>
                <c:pt idx="3">
                  <c:v>1830.75</c:v>
                </c:pt>
                <c:pt idx="4">
                  <c:v>1753.75</c:v>
                </c:pt>
                <c:pt idx="5">
                  <c:v>1680.75</c:v>
                </c:pt>
                <c:pt idx="6">
                  <c:v>1611.75</c:v>
                </c:pt>
                <c:pt idx="7">
                  <c:v>1546.75</c:v>
                </c:pt>
                <c:pt idx="8">
                  <c:v>1485.75</c:v>
                </c:pt>
                <c:pt idx="9">
                  <c:v>1428.75</c:v>
                </c:pt>
                <c:pt idx="10">
                  <c:v>1375.75</c:v>
                </c:pt>
                <c:pt idx="11">
                  <c:v>1326.75</c:v>
                </c:pt>
                <c:pt idx="12">
                  <c:v>1281.75</c:v>
                </c:pt>
                <c:pt idx="13">
                  <c:v>1240.75</c:v>
                </c:pt>
                <c:pt idx="14">
                  <c:v>1203.75</c:v>
                </c:pt>
              </c:numCache>
            </c:numRef>
          </c:val>
          <c:smooth val="0"/>
          <c:extLst>
            <c:ext xmlns:c16="http://schemas.microsoft.com/office/drawing/2014/chart" uri="{C3380CC4-5D6E-409C-BE32-E72D297353CC}">
              <c16:uniqueId val="{00000001-CF6E-40D0-9500-A30C3986972C}"/>
            </c:ext>
          </c:extLst>
        </c:ser>
        <c:dLbls>
          <c:showLegendKey val="0"/>
          <c:showVal val="0"/>
          <c:showCatName val="0"/>
          <c:showSerName val="0"/>
          <c:showPercent val="0"/>
          <c:showBubbleSize val="0"/>
        </c:dLbls>
        <c:marker val="1"/>
        <c:smooth val="0"/>
        <c:axId val="695186959"/>
        <c:axId val="695187791"/>
      </c:lineChart>
      <c:catAx>
        <c:axId val="695186959"/>
        <c:scaling>
          <c:orientation val="minMax"/>
        </c:scaling>
        <c:delete val="0"/>
        <c:axPos val="b"/>
        <c:title>
          <c:tx>
            <c:rich>
              <a:bodyPr/>
              <a:lstStyle/>
              <a:p>
                <a:pPr>
                  <a:defRPr/>
                </a:pPr>
                <a:r>
                  <a:rPr lang="en-US"/>
                  <a:t>Q1 Cost to produce ($B$1)</a:t>
                </a:r>
              </a:p>
            </c:rich>
          </c:tx>
          <c:overlay val="0"/>
        </c:title>
        <c:numFmt formatCode="_(&quot;$&quot;* #,##0.00_);_(&quot;$&quot;* \(#,##0.00\);_(&quot;$&quot;* &quot;-&quot;??_);_(@_)" sourceLinked="1"/>
        <c:majorTickMark val="out"/>
        <c:minorTickMark val="none"/>
        <c:tickLblPos val="nextTo"/>
        <c:crossAx val="695187791"/>
        <c:crosses val="autoZero"/>
        <c:auto val="1"/>
        <c:lblAlgn val="ctr"/>
        <c:lblOffset val="100"/>
        <c:noMultiLvlLbl val="0"/>
      </c:catAx>
      <c:valAx>
        <c:axId val="695187791"/>
        <c:scaling>
          <c:orientation val="minMax"/>
        </c:scaling>
        <c:delete val="0"/>
        <c:axPos val="l"/>
        <c:majorGridlines/>
        <c:numFmt formatCode="General" sourceLinked="1"/>
        <c:majorTickMark val="out"/>
        <c:minorTickMark val="none"/>
        <c:tickLblPos val="nextTo"/>
        <c:crossAx val="69518695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'7.60(Additional)'!$K$1</c:f>
          <c:strCache>
            <c:ptCount val="1"/>
            <c:pt idx="0">
              <c:v>Sensitivity of Total_Cost to Area Serviced</c:v>
            </c:pt>
          </c:strCache>
        </c:strRef>
      </c:tx>
      <c:overlay val="0"/>
      <c:txPr>
        <a:bodyPr/>
        <a:lstStyle/>
        <a:p>
          <a:pPr>
            <a:defRPr sz="1200"/>
          </a:pPr>
          <a:endParaRPr lang="en-US"/>
        </a:p>
      </c:txPr>
    </c:title>
    <c:autoTitleDeleted val="0"/>
    <c:plotArea>
      <c:layout/>
      <c:lineChart>
        <c:grouping val="standard"/>
        <c:varyColors val="0"/>
        <c:ser>
          <c:idx val="0"/>
          <c:order val="0"/>
          <c:cat>
            <c:numRef>
              <c:f>'7.60(Additional)'!$A$5:$A$25</c:f>
              <c:numCache>
                <c:formatCode>_(* #,##0_);_(* \(#,##0\);_(* "-"??_);_(@_)</c:formatCode>
                <c:ptCount val="21"/>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numCache>
            </c:numRef>
          </c:cat>
          <c:val>
            <c:numRef>
              <c:f>'7.60(Additional)'!$K$5:$K$25</c:f>
              <c:numCache>
                <c:formatCode>General</c:formatCode>
                <c:ptCount val="21"/>
                <c:pt idx="0">
                  <c:v>1308558.6499999999</c:v>
                </c:pt>
                <c:pt idx="1">
                  <c:v>1391421.25</c:v>
                </c:pt>
                <c:pt idx="2">
                  <c:v>1461242.53</c:v>
                </c:pt>
                <c:pt idx="3">
                  <c:v>1526230.59</c:v>
                </c:pt>
                <c:pt idx="4">
                  <c:v>1587268.71</c:v>
                </c:pt>
                <c:pt idx="5">
                  <c:v>1645000</c:v>
                </c:pt>
                <c:pt idx="6">
                  <c:v>1699909.95</c:v>
                </c:pt>
                <c:pt idx="7">
                  <c:v>1752270.38</c:v>
                </c:pt>
                <c:pt idx="8">
                  <c:v>1797279.39</c:v>
                </c:pt>
                <c:pt idx="9">
                  <c:v>1840588.09</c:v>
                </c:pt>
                <c:pt idx="10">
                  <c:v>1882375.75</c:v>
                </c:pt>
                <c:pt idx="11">
                  <c:v>1922792.21</c:v>
                </c:pt>
                <c:pt idx="12">
                  <c:v>1961964.18</c:v>
                </c:pt>
                <c:pt idx="13">
                  <c:v>2000000</c:v>
                </c:pt>
                <c:pt idx="14">
                  <c:v>2036993.15</c:v>
                </c:pt>
                <c:pt idx="15">
                  <c:v>2073024.95</c:v>
                </c:pt>
                <c:pt idx="16">
                  <c:v>2108166.66</c:v>
                </c:pt>
                <c:pt idx="17">
                  <c:v>2142442.66</c:v>
                </c:pt>
                <c:pt idx="18">
                  <c:v>2173063.17</c:v>
                </c:pt>
                <c:pt idx="19">
                  <c:v>2203024.9500000002</c:v>
                </c:pt>
                <c:pt idx="20">
                  <c:v>2232368.75</c:v>
                </c:pt>
              </c:numCache>
            </c:numRef>
          </c:val>
          <c:smooth val="0"/>
          <c:extLst>
            <c:ext xmlns:c16="http://schemas.microsoft.com/office/drawing/2014/chart" uri="{C3380CC4-5D6E-409C-BE32-E72D297353CC}">
              <c16:uniqueId val="{00000001-FF1E-4CB8-B6C0-62F6E7C129B2}"/>
            </c:ext>
          </c:extLst>
        </c:ser>
        <c:dLbls>
          <c:showLegendKey val="0"/>
          <c:showVal val="0"/>
          <c:showCatName val="0"/>
          <c:showSerName val="0"/>
          <c:showPercent val="0"/>
          <c:showBubbleSize val="0"/>
        </c:dLbls>
        <c:marker val="1"/>
        <c:smooth val="0"/>
        <c:axId val="680503839"/>
        <c:axId val="680507999"/>
      </c:lineChart>
      <c:catAx>
        <c:axId val="680503839"/>
        <c:scaling>
          <c:orientation val="minMax"/>
        </c:scaling>
        <c:delete val="0"/>
        <c:axPos val="b"/>
        <c:title>
          <c:tx>
            <c:rich>
              <a:bodyPr/>
              <a:lstStyle/>
              <a:p>
                <a:pPr>
                  <a:defRPr/>
                </a:pPr>
                <a:r>
                  <a:rPr lang="en-IN"/>
                  <a:t>Area Serviced ($B$6)</a:t>
                </a:r>
              </a:p>
            </c:rich>
          </c:tx>
          <c:overlay val="0"/>
        </c:title>
        <c:numFmt formatCode="_(* #,##0_);_(* \(#,##0\);_(* &quot;-&quot;??_);_(@_)" sourceLinked="1"/>
        <c:majorTickMark val="out"/>
        <c:minorTickMark val="none"/>
        <c:tickLblPos val="nextTo"/>
        <c:crossAx val="680507999"/>
        <c:crosses val="autoZero"/>
        <c:auto val="1"/>
        <c:lblAlgn val="ctr"/>
        <c:lblOffset val="100"/>
        <c:noMultiLvlLbl val="0"/>
      </c:catAx>
      <c:valAx>
        <c:axId val="680507999"/>
        <c:scaling>
          <c:orientation val="minMax"/>
        </c:scaling>
        <c:delete val="0"/>
        <c:axPos val="l"/>
        <c:majorGridlines/>
        <c:numFmt formatCode="General" sourceLinked="1"/>
        <c:majorTickMark val="out"/>
        <c:minorTickMark val="none"/>
        <c:tickLblPos val="nextTo"/>
        <c:crossAx val="68050383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'8.15 (Sensitivity Analysis)'!$K$1</c:f>
          <c:strCache>
            <c:ptCount val="1"/>
            <c:pt idx="0">
              <c:v>Sensitivity of $B$31 to Job 4 Days Taken</c:v>
            </c:pt>
          </c:strCache>
        </c:strRef>
      </c:tx>
      <c:overlay val="0"/>
      <c:txPr>
        <a:bodyPr/>
        <a:lstStyle/>
        <a:p>
          <a:pPr>
            <a:defRPr sz="1200"/>
          </a:pPr>
          <a:endParaRPr lang="en-US"/>
        </a:p>
      </c:txPr>
    </c:title>
    <c:autoTitleDeleted val="0"/>
    <c:plotArea>
      <c:layout/>
      <c:lineChart>
        <c:grouping val="standard"/>
        <c:varyColors val="0"/>
        <c:ser>
          <c:idx val="0"/>
          <c:order val="0"/>
          <c:cat>
            <c:numRef>
              <c:f>'8.15 (Sensitivity Analysis)'!$A$5:$A$23</c:f>
              <c:numCache>
                <c:formatCode>General</c:formatCode>
                <c:ptCount val="19"/>
                <c:pt idx="0">
                  <c:v>0.5</c:v>
                </c:pt>
                <c:pt idx="1">
                  <c:v>0.75</c:v>
                </c:pt>
                <c:pt idx="2">
                  <c:v>1</c:v>
                </c:pt>
                <c:pt idx="3">
                  <c:v>1.25</c:v>
                </c:pt>
                <c:pt idx="4">
                  <c:v>1.5</c:v>
                </c:pt>
                <c:pt idx="5">
                  <c:v>1.75</c:v>
                </c:pt>
                <c:pt idx="6">
                  <c:v>2</c:v>
                </c:pt>
                <c:pt idx="7">
                  <c:v>2.25</c:v>
                </c:pt>
                <c:pt idx="8">
                  <c:v>2.5</c:v>
                </c:pt>
                <c:pt idx="9">
                  <c:v>2.75</c:v>
                </c:pt>
                <c:pt idx="10">
                  <c:v>3</c:v>
                </c:pt>
                <c:pt idx="11">
                  <c:v>3.25</c:v>
                </c:pt>
                <c:pt idx="12">
                  <c:v>3.5</c:v>
                </c:pt>
                <c:pt idx="13">
                  <c:v>3.75</c:v>
                </c:pt>
                <c:pt idx="14">
                  <c:v>4</c:v>
                </c:pt>
                <c:pt idx="15">
                  <c:v>4.25</c:v>
                </c:pt>
                <c:pt idx="16">
                  <c:v>4.5</c:v>
                </c:pt>
                <c:pt idx="17">
                  <c:v>4.75</c:v>
                </c:pt>
                <c:pt idx="18">
                  <c:v>5</c:v>
                </c:pt>
              </c:numCache>
            </c:numRef>
          </c:cat>
          <c:val>
            <c:numRef>
              <c:f>'8.15 (Sensitivity Analysis)'!$K$5:$K$23</c:f>
              <c:numCache>
                <c:formatCode>General</c:formatCode>
                <c:ptCount val="19"/>
                <c:pt idx="0">
                  <c:v>42.5</c:v>
                </c:pt>
                <c:pt idx="1">
                  <c:v>46.5</c:v>
                </c:pt>
                <c:pt idx="2">
                  <c:v>50.5</c:v>
                </c:pt>
                <c:pt idx="3">
                  <c:v>54.5</c:v>
                </c:pt>
                <c:pt idx="4">
                  <c:v>56.5</c:v>
                </c:pt>
                <c:pt idx="5">
                  <c:v>58.5</c:v>
                </c:pt>
                <c:pt idx="6">
                  <c:v>60</c:v>
                </c:pt>
                <c:pt idx="7">
                  <c:v>61</c:v>
                </c:pt>
                <c:pt idx="8">
                  <c:v>62</c:v>
                </c:pt>
                <c:pt idx="9">
                  <c:v>63</c:v>
                </c:pt>
                <c:pt idx="10">
                  <c:v>64</c:v>
                </c:pt>
                <c:pt idx="11">
                  <c:v>65</c:v>
                </c:pt>
                <c:pt idx="12">
                  <c:v>66</c:v>
                </c:pt>
                <c:pt idx="13">
                  <c:v>67</c:v>
                </c:pt>
                <c:pt idx="14">
                  <c:v>68</c:v>
                </c:pt>
                <c:pt idx="15">
                  <c:v>69</c:v>
                </c:pt>
                <c:pt idx="16">
                  <c:v>70</c:v>
                </c:pt>
                <c:pt idx="17">
                  <c:v>71</c:v>
                </c:pt>
                <c:pt idx="18">
                  <c:v>72</c:v>
                </c:pt>
              </c:numCache>
            </c:numRef>
          </c:val>
          <c:smooth val="0"/>
          <c:extLst>
            <c:ext xmlns:c16="http://schemas.microsoft.com/office/drawing/2014/chart" uri="{C3380CC4-5D6E-409C-BE32-E72D297353CC}">
              <c16:uniqueId val="{00000001-C0AF-4A6D-B538-0E5597288257}"/>
            </c:ext>
          </c:extLst>
        </c:ser>
        <c:dLbls>
          <c:showLegendKey val="0"/>
          <c:showVal val="0"/>
          <c:showCatName val="0"/>
          <c:showSerName val="0"/>
          <c:showPercent val="0"/>
          <c:showBubbleSize val="0"/>
        </c:dLbls>
        <c:marker val="1"/>
        <c:smooth val="0"/>
        <c:axId val="756511055"/>
        <c:axId val="756511471"/>
      </c:lineChart>
      <c:catAx>
        <c:axId val="756511055"/>
        <c:scaling>
          <c:orientation val="minMax"/>
        </c:scaling>
        <c:delete val="0"/>
        <c:axPos val="b"/>
        <c:title>
          <c:tx>
            <c:rich>
              <a:bodyPr/>
              <a:lstStyle/>
              <a:p>
                <a:pPr>
                  <a:defRPr/>
                </a:pPr>
                <a:r>
                  <a:rPr lang="en-US"/>
                  <a:t>Job 4 Days Taken ($C$7)</a:t>
                </a:r>
              </a:p>
            </c:rich>
          </c:tx>
          <c:overlay val="0"/>
        </c:title>
        <c:numFmt formatCode="General" sourceLinked="1"/>
        <c:majorTickMark val="out"/>
        <c:minorTickMark val="none"/>
        <c:tickLblPos val="nextTo"/>
        <c:crossAx val="756511471"/>
        <c:crosses val="autoZero"/>
        <c:auto val="1"/>
        <c:lblAlgn val="ctr"/>
        <c:lblOffset val="100"/>
        <c:noMultiLvlLbl val="0"/>
      </c:catAx>
      <c:valAx>
        <c:axId val="756511471"/>
        <c:scaling>
          <c:orientation val="minMax"/>
        </c:scaling>
        <c:delete val="0"/>
        <c:axPos val="l"/>
        <c:majorGridlines/>
        <c:numFmt formatCode="General" sourceLinked="1"/>
        <c:majorTickMark val="out"/>
        <c:minorTickMark val="none"/>
        <c:tickLblPos val="nextTo"/>
        <c:crossAx val="75651105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'8.35(additional)'!$K$1</c:f>
          <c:strCache>
            <c:ptCount val="1"/>
            <c:pt idx="0">
              <c:v>Sensitivity of Total_no_of_segments__purchasing_from_our__productline to currentproduct_attribute2_level</c:v>
            </c:pt>
          </c:strCache>
        </c:strRef>
      </c:tx>
      <c:overlay val="0"/>
      <c:txPr>
        <a:bodyPr/>
        <a:lstStyle/>
        <a:p>
          <a:pPr>
            <a:defRPr sz="1200"/>
          </a:pPr>
          <a:endParaRPr lang="en-US"/>
        </a:p>
      </c:txPr>
    </c:title>
    <c:autoTitleDeleted val="0"/>
    <c:plotArea>
      <c:layout/>
      <c:lineChart>
        <c:grouping val="standard"/>
        <c:varyColors val="0"/>
        <c:ser>
          <c:idx val="0"/>
          <c:order val="0"/>
          <c:cat>
            <c:numRef>
              <c:f>'8.35(additional)'!$A$5:$A$7</c:f>
              <c:numCache>
                <c:formatCode>General</c:formatCode>
                <c:ptCount val="3"/>
                <c:pt idx="0">
                  <c:v>1</c:v>
                </c:pt>
                <c:pt idx="1">
                  <c:v>2</c:v>
                </c:pt>
                <c:pt idx="2">
                  <c:v>3</c:v>
                </c:pt>
              </c:numCache>
            </c:numRef>
          </c:cat>
          <c:val>
            <c:numRef>
              <c:f>'8.35(additional)'!$K$5:$K$7</c:f>
              <c:numCache>
                <c:formatCode>General</c:formatCode>
                <c:ptCount val="3"/>
                <c:pt idx="0">
                  <c:v>5</c:v>
                </c:pt>
                <c:pt idx="1">
                  <c:v>5</c:v>
                </c:pt>
                <c:pt idx="2">
                  <c:v>5</c:v>
                </c:pt>
              </c:numCache>
            </c:numRef>
          </c:val>
          <c:smooth val="0"/>
          <c:extLst>
            <c:ext xmlns:c16="http://schemas.microsoft.com/office/drawing/2014/chart" uri="{C3380CC4-5D6E-409C-BE32-E72D297353CC}">
              <c16:uniqueId val="{00000000-9FFD-4C87-9EE5-4F5D5513632B}"/>
            </c:ext>
          </c:extLst>
        </c:ser>
        <c:dLbls>
          <c:showLegendKey val="0"/>
          <c:showVal val="0"/>
          <c:showCatName val="0"/>
          <c:showSerName val="0"/>
          <c:showPercent val="0"/>
          <c:showBubbleSize val="0"/>
        </c:dLbls>
        <c:marker val="1"/>
        <c:smooth val="0"/>
        <c:axId val="357894367"/>
        <c:axId val="357891455"/>
      </c:lineChart>
      <c:catAx>
        <c:axId val="357894367"/>
        <c:scaling>
          <c:orientation val="minMax"/>
        </c:scaling>
        <c:delete val="0"/>
        <c:axPos val="b"/>
        <c:title>
          <c:tx>
            <c:rich>
              <a:bodyPr/>
              <a:lstStyle/>
              <a:p>
                <a:pPr>
                  <a:defRPr/>
                </a:pPr>
                <a:r>
                  <a:rPr lang="en-IN"/>
                  <a:t>currentproduct_attribute2_level ($B$29)</a:t>
                </a:r>
              </a:p>
            </c:rich>
          </c:tx>
          <c:overlay val="0"/>
        </c:title>
        <c:numFmt formatCode="General" sourceLinked="1"/>
        <c:majorTickMark val="out"/>
        <c:minorTickMark val="none"/>
        <c:tickLblPos val="nextTo"/>
        <c:crossAx val="357891455"/>
        <c:crosses val="autoZero"/>
        <c:auto val="1"/>
        <c:lblAlgn val="ctr"/>
        <c:lblOffset val="100"/>
        <c:noMultiLvlLbl val="0"/>
      </c:catAx>
      <c:valAx>
        <c:axId val="357891455"/>
        <c:scaling>
          <c:orientation val="minMax"/>
        </c:scaling>
        <c:delete val="0"/>
        <c:axPos val="l"/>
        <c:majorGridlines/>
        <c:numFmt formatCode="General" sourceLinked="1"/>
        <c:majorTickMark val="out"/>
        <c:minorTickMark val="none"/>
        <c:tickLblPos val="nextTo"/>
        <c:crossAx val="35789436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336550</xdr:colOff>
      <xdr:row>0</xdr:row>
      <xdr:rowOff>44450</xdr:rowOff>
    </xdr:from>
    <xdr:to>
      <xdr:col>6</xdr:col>
      <xdr:colOff>349250</xdr:colOff>
      <xdr:row>18</xdr:row>
      <xdr:rowOff>31750</xdr:rowOff>
    </xdr:to>
    <xdr:sp macro="" textlink="">
      <xdr:nvSpPr>
        <xdr:cNvPr id="2" name="TextBox 1">
          <a:extLst>
            <a:ext uri="{FF2B5EF4-FFF2-40B4-BE49-F238E27FC236}">
              <a16:creationId xmlns:a16="http://schemas.microsoft.com/office/drawing/2014/main" id="{67C78F88-7C83-4CB4-8CF2-D9EFF73BA910}"/>
            </a:ext>
          </a:extLst>
        </xdr:cNvPr>
        <xdr:cNvSpPr txBox="1"/>
      </xdr:nvSpPr>
      <xdr:spPr>
        <a:xfrm>
          <a:off x="2647950" y="44450"/>
          <a:ext cx="2451100" cy="330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Our results show that for the given</a:t>
          </a:r>
          <a:r>
            <a:rPr lang="en-US" sz="1100" baseline="0"/>
            <a:t> data, the price which should be charged for Product 1 and 2 is $ 38 and $ 35.5 respectively. At this amount, we will produce ~ 40 units of P1 and 32 units of P2 giving us a total profit of $ 1830.75.</a:t>
          </a:r>
        </a:p>
        <a:p>
          <a:endParaRPr lang="en-US" sz="1100" baseline="0"/>
        </a:p>
        <a:p>
          <a:r>
            <a:rPr lang="en-US" sz="1100" b="1" baseline="0"/>
            <a:t>SENSITIVITY ANALYSIS</a:t>
          </a:r>
          <a:endParaRPr lang="en-US" sz="1100" b="0" baseline="0"/>
        </a:p>
        <a:p>
          <a:r>
            <a:rPr lang="en-US" sz="1100" b="0" baseline="0"/>
            <a:t>For our sensitivity analysis we saw what would happen to overall profit if we changed the price of Q1 from $ 2 to $ 30.</a:t>
          </a:r>
        </a:p>
        <a:p>
          <a:endParaRPr lang="en-US" sz="1100" b="0" baseline="0"/>
        </a:p>
        <a:p>
          <a:r>
            <a:rPr lang="en-US" sz="1100" b="0" baseline="0"/>
            <a:t>We have a downward slopping non-linear curve, which would be expected as overall profits would reduce till the quantity of P1 reaches zero and all the profits are only coming from P2. </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514350</xdr:colOff>
      <xdr:row>20</xdr:row>
      <xdr:rowOff>120650</xdr:rowOff>
    </xdr:from>
    <xdr:to>
      <xdr:col>17</xdr:col>
      <xdr:colOff>514350</xdr:colOff>
      <xdr:row>36</xdr:row>
      <xdr:rowOff>31750</xdr:rowOff>
    </xdr:to>
    <xdr:graphicFrame macro="">
      <xdr:nvGraphicFramePr>
        <xdr:cNvPr id="2" name="STS_1_Chart">
          <a:extLst>
            <a:ext uri="{FF2B5EF4-FFF2-40B4-BE49-F238E27FC236}">
              <a16:creationId xmlns:a16="http://schemas.microsoft.com/office/drawing/2014/main" id="{C81F39AE-CDBE-43A4-A80A-3D2C6AAF7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514350</xdr:colOff>
      <xdr:row>3</xdr:row>
      <xdr:rowOff>19050</xdr:rowOff>
    </xdr:from>
    <xdr:to>
      <xdr:col>15</xdr:col>
      <xdr:colOff>514350</xdr:colOff>
      <xdr:row>4</xdr:row>
      <xdr:rowOff>44450</xdr:rowOff>
    </xdr:to>
    <xdr:sp macro="" textlink="">
      <xdr:nvSpPr>
        <xdr:cNvPr id="3" name="TextBox 2">
          <a:extLst>
            <a:ext uri="{FF2B5EF4-FFF2-40B4-BE49-F238E27FC236}">
              <a16:creationId xmlns:a16="http://schemas.microsoft.com/office/drawing/2014/main" id="{E54B1AFD-72DA-4C85-B618-5F68E123DF6F}"/>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31750</xdr:colOff>
      <xdr:row>1</xdr:row>
      <xdr:rowOff>0</xdr:rowOff>
    </xdr:from>
    <xdr:to>
      <xdr:col>10</xdr:col>
      <xdr:colOff>0</xdr:colOff>
      <xdr:row>16</xdr:row>
      <xdr:rowOff>133350</xdr:rowOff>
    </xdr:to>
    <xdr:sp macro="" textlink="">
      <xdr:nvSpPr>
        <xdr:cNvPr id="2" name="TextBox 1">
          <a:extLst>
            <a:ext uri="{FF2B5EF4-FFF2-40B4-BE49-F238E27FC236}">
              <a16:creationId xmlns:a16="http://schemas.microsoft.com/office/drawing/2014/main" id="{88198808-7D84-4CAF-AA66-D832E7214F1D}"/>
            </a:ext>
          </a:extLst>
        </xdr:cNvPr>
        <xdr:cNvSpPr txBox="1"/>
      </xdr:nvSpPr>
      <xdr:spPr>
        <a:xfrm>
          <a:off x="4667250" y="184150"/>
          <a:ext cx="3016250" cy="326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Our model shows that given</a:t>
          </a:r>
          <a:r>
            <a:rPr lang="en-US" sz="1100" baseline="0"/>
            <a:t> the cost model and the average distance of warehouse from customer formula, it is optimal to build warehouse for a total cost of $1,752,270.</a:t>
          </a:r>
        </a:p>
        <a:p>
          <a:endParaRPr lang="en-US" sz="1100" baseline="0"/>
        </a:p>
        <a:p>
          <a:r>
            <a:rPr lang="en-US" sz="1100" b="1" baseline="0"/>
            <a:t>SENSITIVITY ANALYSIS</a:t>
          </a:r>
        </a:p>
        <a:p>
          <a:r>
            <a:rPr lang="en-US" sz="1100" b="0" baseline="0"/>
            <a:t>For our analysis we wanted to see what would happen as we change the area serviced. </a:t>
          </a:r>
        </a:p>
        <a:p>
          <a:r>
            <a:rPr lang="en-US" sz="1100" b="0" baseline="0"/>
            <a:t>As we change the are serviced from 50 to 250 in increments of 10, we notice there is the non-linear curve is slopping upward with total cost changing from $1,308,558 to $2,232,368, which makes sense as more areas would require more cost on part of warehouses.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450850</xdr:colOff>
      <xdr:row>26</xdr:row>
      <xdr:rowOff>158750</xdr:rowOff>
    </xdr:from>
    <xdr:to>
      <xdr:col>17</xdr:col>
      <xdr:colOff>450850</xdr:colOff>
      <xdr:row>42</xdr:row>
      <xdr:rowOff>69850</xdr:rowOff>
    </xdr:to>
    <xdr:graphicFrame macro="">
      <xdr:nvGraphicFramePr>
        <xdr:cNvPr id="2" name="STS_1_Chart">
          <a:extLst>
            <a:ext uri="{FF2B5EF4-FFF2-40B4-BE49-F238E27FC236}">
              <a16:creationId xmlns:a16="http://schemas.microsoft.com/office/drawing/2014/main" id="{8E41DC0C-1438-43C3-B912-D732CA975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450850</xdr:colOff>
      <xdr:row>3</xdr:row>
      <xdr:rowOff>19050</xdr:rowOff>
    </xdr:from>
    <xdr:to>
      <xdr:col>15</xdr:col>
      <xdr:colOff>450850</xdr:colOff>
      <xdr:row>4</xdr:row>
      <xdr:rowOff>107950</xdr:rowOff>
    </xdr:to>
    <xdr:sp macro="" textlink="">
      <xdr:nvSpPr>
        <xdr:cNvPr id="3" name="TextBox 2">
          <a:extLst>
            <a:ext uri="{FF2B5EF4-FFF2-40B4-BE49-F238E27FC236}">
              <a16:creationId xmlns:a16="http://schemas.microsoft.com/office/drawing/2014/main" id="{C249E257-5980-4434-B2B0-0034818806BE}"/>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596900</xdr:colOff>
      <xdr:row>0</xdr:row>
      <xdr:rowOff>165100</xdr:rowOff>
    </xdr:from>
    <xdr:to>
      <xdr:col>14</xdr:col>
      <xdr:colOff>0</xdr:colOff>
      <xdr:row>21</xdr:row>
      <xdr:rowOff>31750</xdr:rowOff>
    </xdr:to>
    <xdr:sp macro="" textlink="">
      <xdr:nvSpPr>
        <xdr:cNvPr id="2" name="TextBox 1">
          <a:extLst>
            <a:ext uri="{FF2B5EF4-FFF2-40B4-BE49-F238E27FC236}">
              <a16:creationId xmlns:a16="http://schemas.microsoft.com/office/drawing/2014/main" id="{805DC53F-9576-4A0A-B047-37EF1484378E}"/>
            </a:ext>
          </a:extLst>
        </xdr:cNvPr>
        <xdr:cNvSpPr txBox="1"/>
      </xdr:nvSpPr>
      <xdr:spPr>
        <a:xfrm>
          <a:off x="7372350" y="165100"/>
          <a:ext cx="3187700" cy="373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cannot solve this question Linearly</a:t>
          </a:r>
          <a:r>
            <a:rPr lang="en-US" sz="1100" baseline="0"/>
            <a:t> because lateness was calculated based off an IF function (we could have tried to rattle our minds and add a binary) however complexity is further added because each job that is selected will open up several more possibilities for which job should follow (which is why the GRG Solver isn't much use either).</a:t>
          </a:r>
        </a:p>
        <a:p>
          <a:endParaRPr lang="en-US" sz="1100" baseline="0"/>
        </a:p>
        <a:p>
          <a:r>
            <a:rPr lang="en-US" sz="1100" baseline="0"/>
            <a:t>Our model shows that the given order of jobs is ideal and reduces total lateness to 60 days. </a:t>
          </a:r>
        </a:p>
        <a:p>
          <a:endParaRPr lang="en-US" sz="1100" baseline="0"/>
        </a:p>
        <a:p>
          <a:r>
            <a:rPr lang="en-US" sz="1100" b="1" baseline="0"/>
            <a:t>SENSITIVITY ANALYSIS</a:t>
          </a:r>
        </a:p>
        <a:p>
          <a:r>
            <a:rPr lang="en-US" sz="1100" b="0" baseline="0"/>
            <a:t>For our sensitivity analysis we wanted to see how our bottleneck (that is Job 4 since it takes the most time) impacts the overall Lateness. We can see that by reducing the days per item below 2 massively reduces our overall lateness and then increasing it causes a non-linear downward slopping curve to exist as lateness keeps increasing and flattens out at approx 70 days.</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10</xdr:col>
      <xdr:colOff>0</xdr:colOff>
      <xdr:row>24</xdr:row>
      <xdr:rowOff>146050</xdr:rowOff>
    </xdr:from>
    <xdr:to>
      <xdr:col>18</xdr:col>
      <xdr:colOff>0</xdr:colOff>
      <xdr:row>40</xdr:row>
      <xdr:rowOff>57150</xdr:rowOff>
    </xdr:to>
    <xdr:graphicFrame macro="">
      <xdr:nvGraphicFramePr>
        <xdr:cNvPr id="2" name="STS_1_Chart">
          <a:extLst>
            <a:ext uri="{FF2B5EF4-FFF2-40B4-BE49-F238E27FC236}">
              <a16:creationId xmlns:a16="http://schemas.microsoft.com/office/drawing/2014/main" id="{06CD3D66-8AD5-4D0F-AA49-992476808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6</xdr:row>
      <xdr:rowOff>0</xdr:rowOff>
    </xdr:to>
    <xdr:sp macro="" textlink="">
      <xdr:nvSpPr>
        <xdr:cNvPr id="3" name="TextBox 2">
          <a:extLst>
            <a:ext uri="{FF2B5EF4-FFF2-40B4-BE49-F238E27FC236}">
              <a16:creationId xmlns:a16="http://schemas.microsoft.com/office/drawing/2014/main" id="{9026FDF1-38A5-444E-B004-ADF43A997FAE}"/>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600364</xdr:colOff>
      <xdr:row>4</xdr:row>
      <xdr:rowOff>46182</xdr:rowOff>
    </xdr:from>
    <xdr:to>
      <xdr:col>17</xdr:col>
      <xdr:colOff>438728</xdr:colOff>
      <xdr:row>20</xdr:row>
      <xdr:rowOff>127000</xdr:rowOff>
    </xdr:to>
    <xdr:sp macro="" textlink="">
      <xdr:nvSpPr>
        <xdr:cNvPr id="2" name="TextBox 1">
          <a:extLst>
            <a:ext uri="{FF2B5EF4-FFF2-40B4-BE49-F238E27FC236}">
              <a16:creationId xmlns:a16="http://schemas.microsoft.com/office/drawing/2014/main" id="{FAAD0DB4-9CCD-425A-8D3B-3DCB4B007A87}"/>
            </a:ext>
          </a:extLst>
        </xdr:cNvPr>
        <xdr:cNvSpPr txBox="1"/>
      </xdr:nvSpPr>
      <xdr:spPr>
        <a:xfrm>
          <a:off x="4257964" y="782782"/>
          <a:ext cx="6543964" cy="3027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a:t>
          </a:r>
          <a:r>
            <a:rPr lang="en-IN" sz="1100" baseline="0"/>
            <a:t> Using solver and evolutionary method, we get the result that we can maximize the no of customer segments who buy product from our product line mix when we </a:t>
          </a:r>
          <a:r>
            <a:rPr lang="en-IN" sz="1100" b="1" baseline="0"/>
            <a:t>design razor 1 with levels for attribute 1,2 3,4 as 3,1,1,1 respectively and razor 2 with level for attribute 1,2,3,4 as 1,1,3,1 respectively</a:t>
          </a:r>
          <a:r>
            <a:rPr lang="en-IN" sz="1100" baseline="0"/>
            <a:t>. In this case, we are able to sell products to all 5 customer segments.</a:t>
          </a:r>
        </a:p>
        <a:p>
          <a:endParaRPr lang="en-IN" sz="1100" baseline="0"/>
        </a:p>
        <a:p>
          <a:r>
            <a:rPr lang="en-IN" sz="1100" baseline="0"/>
            <a:t>Additional:) Using solvertable, we try to analyze the impact of variance of value of level pertaining to attribute2 of our current product on maximizing no of customer segments who buy from our product line. As we increase the value from 1 to 3, we realize that total final value remains unchanged at 5 i.e, varying the level of attribute 2 of current product doesnt impact our bottomline.</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absoluteAnchor>
    <xdr:pos x="6096000" y="4991100"/>
    <xdr:ext cx="4876800" cy="2857500"/>
    <xdr:graphicFrame macro="">
      <xdr:nvGraphicFramePr>
        <xdr:cNvPr id="2" name="STS_1_Chart">
          <a:extLst>
            <a:ext uri="{FF2B5EF4-FFF2-40B4-BE49-F238E27FC236}">
              <a16:creationId xmlns:a16="http://schemas.microsoft.com/office/drawing/2014/main" id="{50E8CF74-5C47-4720-B3DB-84C4F5C3F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7315200" y="571500"/>
    <xdr:ext cx="2438400" cy="762000"/>
    <xdr:sp macro="" textlink="">
      <xdr:nvSpPr>
        <xdr:cNvPr id="3" name="TextBox 2">
          <a:extLst>
            <a:ext uri="{FF2B5EF4-FFF2-40B4-BE49-F238E27FC236}">
              <a16:creationId xmlns:a16="http://schemas.microsoft.com/office/drawing/2014/main" id="{391565B3-9BDF-456F-AF84-CE6289BB437D}"/>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3089AA-90AB-4154-BD20-D74C1709BBF1}" name="Table2" displayName="Table2" ref="L2:M18" totalsRowShown="0">
  <autoFilter ref="L2:M18" xr:uid="{363089AA-90AB-4154-BD20-D74C1709BBF1}"/>
  <tableColumns count="2">
    <tableColumn id="1" xr3:uid="{1E177ED5-7F1E-4E71-9CFA-82535F301FE5}" name="Cell Name"/>
    <tableColumn id="2" xr3:uid="{B6A77F09-3582-4EDE-9116-A8DA51B6FDC2}" name="Referen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5039FD-B171-4C55-AD47-059BFF955BD4}" name="Table1" displayName="Table1" ref="Y2:Z20" totalsRowShown="0">
  <autoFilter ref="Y2:Z20" xr:uid="{762140DD-AEE0-4407-87AA-A8736970FFDC}"/>
  <tableColumns count="2">
    <tableColumn id="1" xr3:uid="{E03F5064-01F4-4671-AA9A-C40F0EB8FE6B}" name="Cell Name"/>
    <tableColumn id="2" xr3:uid="{DAD282B4-5403-43A2-BDDD-9D239EE987EB}" name="Referenc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FD7E7-AE32-4B62-84C7-A519A1DBAFB4}">
  <dimension ref="A1:I17"/>
  <sheetViews>
    <sheetView workbookViewId="0">
      <selection activeCell="B17" sqref="B17"/>
    </sheetView>
  </sheetViews>
  <sheetFormatPr defaultRowHeight="14.25" x14ac:dyDescent="0.45"/>
  <cols>
    <col min="1" max="1" width="16.59765625" bestFit="1" customWidth="1"/>
    <col min="2" max="2" width="16.46484375" bestFit="1" customWidth="1"/>
    <col min="8" max="8" width="18.33203125" bestFit="1" customWidth="1"/>
    <col min="9" max="9" width="12" bestFit="1" customWidth="1"/>
  </cols>
  <sheetData>
    <row r="1" spans="1:9" x14ac:dyDescent="0.45">
      <c r="A1" t="s">
        <v>0</v>
      </c>
      <c r="B1" s="4">
        <v>8</v>
      </c>
      <c r="H1" t="s">
        <v>33</v>
      </c>
      <c r="I1" t="s">
        <v>34</v>
      </c>
    </row>
    <row r="2" spans="1:9" x14ac:dyDescent="0.45">
      <c r="A2" t="s">
        <v>1</v>
      </c>
      <c r="B2" s="4">
        <v>15</v>
      </c>
      <c r="H2" t="s">
        <v>35</v>
      </c>
      <c r="I2" t="s">
        <v>36</v>
      </c>
    </row>
    <row r="3" spans="1:9" x14ac:dyDescent="0.45">
      <c r="H3" t="s">
        <v>37</v>
      </c>
      <c r="I3" t="s">
        <v>38</v>
      </c>
    </row>
    <row r="4" spans="1:9" x14ac:dyDescent="0.45">
      <c r="A4" t="s">
        <v>2</v>
      </c>
      <c r="B4" t="s">
        <v>3</v>
      </c>
      <c r="H4" t="s">
        <v>39</v>
      </c>
      <c r="I4" t="s">
        <v>40</v>
      </c>
    </row>
    <row r="5" spans="1:9" x14ac:dyDescent="0.45">
      <c r="A5" t="s">
        <v>4</v>
      </c>
      <c r="B5" t="s">
        <v>5</v>
      </c>
      <c r="H5" t="s">
        <v>41</v>
      </c>
      <c r="I5" t="s">
        <v>42</v>
      </c>
    </row>
    <row r="6" spans="1:9" x14ac:dyDescent="0.45">
      <c r="A6" t="s">
        <v>6</v>
      </c>
      <c r="B6" t="s">
        <v>7</v>
      </c>
      <c r="H6" t="s">
        <v>43</v>
      </c>
      <c r="I6" t="s">
        <v>44</v>
      </c>
    </row>
    <row r="7" spans="1:9" x14ac:dyDescent="0.45">
      <c r="H7" t="s">
        <v>45</v>
      </c>
      <c r="I7" t="s">
        <v>46</v>
      </c>
    </row>
    <row r="8" spans="1:9" x14ac:dyDescent="0.45">
      <c r="A8" t="s">
        <v>8</v>
      </c>
      <c r="B8" s="5">
        <v>38</v>
      </c>
      <c r="H8" t="s">
        <v>47</v>
      </c>
      <c r="I8" t="s">
        <v>48</v>
      </c>
    </row>
    <row r="9" spans="1:9" x14ac:dyDescent="0.45">
      <c r="A9" t="s">
        <v>10</v>
      </c>
      <c r="B9" s="5">
        <v>35.5</v>
      </c>
      <c r="H9" t="s">
        <v>49</v>
      </c>
      <c r="I9" t="s">
        <v>50</v>
      </c>
    </row>
    <row r="10" spans="1:9" x14ac:dyDescent="0.45">
      <c r="A10" t="s">
        <v>9</v>
      </c>
    </row>
    <row r="11" spans="1:9" x14ac:dyDescent="0.45">
      <c r="A11" t="s">
        <v>11</v>
      </c>
      <c r="B11" s="7">
        <f>80-2*(Q1_Price)+Q2_Price</f>
        <v>39.5</v>
      </c>
    </row>
    <row r="12" spans="1:9" x14ac:dyDescent="0.45">
      <c r="A12" t="s">
        <v>12</v>
      </c>
      <c r="B12" s="7">
        <f>100-3*(Q2_Price)+Q1_Price</f>
        <v>31.5</v>
      </c>
      <c r="H12" s="14" t="s">
        <v>2</v>
      </c>
      <c r="I12" t="s">
        <v>107</v>
      </c>
    </row>
    <row r="13" spans="1:9" x14ac:dyDescent="0.45">
      <c r="H13" s="14" t="s">
        <v>24</v>
      </c>
      <c r="I13" t="s">
        <v>109</v>
      </c>
    </row>
    <row r="14" spans="1:9" x14ac:dyDescent="0.45">
      <c r="A14" t="s">
        <v>13</v>
      </c>
      <c r="B14">
        <f>(Q1_Quanty*Q1_Price)-(Q1_Quanty*Q1_cost_to_produce)</f>
        <v>1185</v>
      </c>
      <c r="H14" s="14" t="s">
        <v>105</v>
      </c>
      <c r="I14" t="s">
        <v>108</v>
      </c>
    </row>
    <row r="15" spans="1:9" x14ac:dyDescent="0.45">
      <c r="A15" t="s">
        <v>14</v>
      </c>
      <c r="B15">
        <f>(Q2_Price*Q2_Quantity)-(Q2_cost_to_produce*Q2_Quantity)</f>
        <v>645.75</v>
      </c>
    </row>
    <row r="17" spans="1:2" x14ac:dyDescent="0.45">
      <c r="A17" t="s">
        <v>15</v>
      </c>
      <c r="B17" s="6">
        <f>Profit_Q2+Profit_Q1</f>
        <v>1830.75</v>
      </c>
    </row>
  </sheetData>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B1826-D71B-4128-B174-6E1E4ADDEB1B}">
  <dimension ref="A1:Z43"/>
  <sheetViews>
    <sheetView zoomScale="55" zoomScaleNormal="55" workbookViewId="0">
      <selection activeCell="W23" sqref="W23"/>
    </sheetView>
  </sheetViews>
  <sheetFormatPr defaultRowHeight="14.25" x14ac:dyDescent="0.45"/>
  <cols>
    <col min="1" max="1" width="22.33203125" bestFit="1" customWidth="1"/>
    <col min="2" max="2" width="23" customWidth="1"/>
    <col min="3" max="3" width="17.46484375" bestFit="1" customWidth="1"/>
    <col min="8" max="8" width="10.796875" bestFit="1" customWidth="1"/>
    <col min="25" max="25" width="61.73046875" bestFit="1" customWidth="1"/>
    <col min="26" max="26" width="18.73046875" bestFit="1" customWidth="1"/>
  </cols>
  <sheetData>
    <row r="1" spans="1:26" x14ac:dyDescent="0.45">
      <c r="A1" s="64" t="s">
        <v>173</v>
      </c>
      <c r="B1" s="62"/>
      <c r="C1" s="62"/>
      <c r="D1" s="62"/>
      <c r="E1" s="62"/>
      <c r="F1" s="62"/>
      <c r="H1" s="14" t="s">
        <v>172</v>
      </c>
      <c r="I1" t="s">
        <v>171</v>
      </c>
      <c r="Y1" s="52" t="s">
        <v>170</v>
      </c>
    </row>
    <row r="2" spans="1:26" x14ac:dyDescent="0.45">
      <c r="A2" s="62"/>
      <c r="B2" s="62"/>
      <c r="C2" s="62"/>
      <c r="D2" s="62"/>
      <c r="E2" s="62"/>
      <c r="F2" s="62"/>
      <c r="H2" s="14" t="s">
        <v>169</v>
      </c>
      <c r="I2" t="s">
        <v>168</v>
      </c>
      <c r="Y2" t="s">
        <v>167</v>
      </c>
      <c r="Z2" t="s">
        <v>166</v>
      </c>
    </row>
    <row r="3" spans="1:26" x14ac:dyDescent="0.45">
      <c r="A3" s="62"/>
      <c r="B3" s="64" t="s">
        <v>165</v>
      </c>
      <c r="C3" s="62"/>
      <c r="D3" s="62"/>
      <c r="E3" s="62"/>
      <c r="F3" s="62"/>
      <c r="H3" s="14" t="s">
        <v>164</v>
      </c>
      <c r="I3" t="s">
        <v>163</v>
      </c>
      <c r="Y3" t="s">
        <v>162</v>
      </c>
      <c r="Z3" t="s">
        <v>161</v>
      </c>
    </row>
    <row r="4" spans="1:26" x14ac:dyDescent="0.45">
      <c r="A4" s="63" t="s">
        <v>160</v>
      </c>
      <c r="B4" s="62">
        <v>1</v>
      </c>
      <c r="C4" s="62">
        <v>2</v>
      </c>
      <c r="D4" s="62">
        <v>3</v>
      </c>
      <c r="E4" s="62">
        <v>4</v>
      </c>
      <c r="F4" s="62">
        <v>5</v>
      </c>
      <c r="Y4" t="s">
        <v>159</v>
      </c>
      <c r="Z4" t="s">
        <v>158</v>
      </c>
    </row>
    <row r="5" spans="1:26" x14ac:dyDescent="0.45">
      <c r="A5" s="56">
        <v>1</v>
      </c>
      <c r="B5" s="61">
        <v>1</v>
      </c>
      <c r="C5" s="60">
        <v>1</v>
      </c>
      <c r="D5" s="60">
        <v>1</v>
      </c>
      <c r="E5" s="60">
        <v>4</v>
      </c>
      <c r="F5" s="59">
        <v>4</v>
      </c>
      <c r="Y5" t="s">
        <v>157</v>
      </c>
      <c r="Z5" t="s">
        <v>156</v>
      </c>
    </row>
    <row r="6" spans="1:26" x14ac:dyDescent="0.45">
      <c r="A6" s="56">
        <v>2</v>
      </c>
      <c r="B6" s="58">
        <v>1</v>
      </c>
      <c r="C6" s="2">
        <v>1</v>
      </c>
      <c r="D6" s="2">
        <v>4</v>
      </c>
      <c r="E6" s="2">
        <v>3</v>
      </c>
      <c r="F6" s="57">
        <v>4</v>
      </c>
      <c r="Y6" t="s">
        <v>155</v>
      </c>
      <c r="Z6" t="s">
        <v>154</v>
      </c>
    </row>
    <row r="7" spans="1:26" x14ac:dyDescent="0.45">
      <c r="A7" s="56">
        <v>3</v>
      </c>
      <c r="B7" s="55">
        <v>2</v>
      </c>
      <c r="C7" s="54">
        <v>4</v>
      </c>
      <c r="D7" s="54">
        <v>3</v>
      </c>
      <c r="E7" s="54">
        <v>3</v>
      </c>
      <c r="F7" s="53">
        <v>3</v>
      </c>
      <c r="Y7" t="s">
        <v>153</v>
      </c>
      <c r="Z7" t="s">
        <v>152</v>
      </c>
    </row>
    <row r="8" spans="1:26" x14ac:dyDescent="0.45">
      <c r="A8" s="63" t="s">
        <v>151</v>
      </c>
      <c r="B8" s="62"/>
      <c r="C8" s="62"/>
      <c r="D8" s="62"/>
      <c r="E8" s="62"/>
      <c r="F8" s="62"/>
      <c r="Y8" t="s">
        <v>150</v>
      </c>
      <c r="Z8" t="s">
        <v>149</v>
      </c>
    </row>
    <row r="9" spans="1:26" x14ac:dyDescent="0.45">
      <c r="A9" s="56">
        <v>1</v>
      </c>
      <c r="B9" s="61">
        <v>4</v>
      </c>
      <c r="C9" s="60">
        <v>1</v>
      </c>
      <c r="D9" s="60">
        <v>3</v>
      </c>
      <c r="E9" s="60">
        <v>2</v>
      </c>
      <c r="F9" s="59">
        <v>4</v>
      </c>
      <c r="Y9" t="s">
        <v>148</v>
      </c>
      <c r="Z9" t="s">
        <v>147</v>
      </c>
    </row>
    <row r="10" spans="1:26" x14ac:dyDescent="0.45">
      <c r="A10" s="56">
        <v>2</v>
      </c>
      <c r="B10" s="58">
        <v>1</v>
      </c>
      <c r="C10" s="2">
        <v>4</v>
      </c>
      <c r="D10" s="2">
        <v>4</v>
      </c>
      <c r="E10" s="2">
        <v>1</v>
      </c>
      <c r="F10" s="57">
        <v>3</v>
      </c>
      <c r="Y10" t="s">
        <v>146</v>
      </c>
      <c r="Z10" t="s">
        <v>145</v>
      </c>
    </row>
    <row r="11" spans="1:26" x14ac:dyDescent="0.45">
      <c r="A11" s="56">
        <v>3</v>
      </c>
      <c r="B11" s="55">
        <v>4</v>
      </c>
      <c r="C11" s="54">
        <v>1</v>
      </c>
      <c r="D11" s="54">
        <v>3</v>
      </c>
      <c r="E11" s="54">
        <v>1</v>
      </c>
      <c r="F11" s="53">
        <v>1</v>
      </c>
      <c r="Y11" t="s">
        <v>144</v>
      </c>
      <c r="Z11" t="s">
        <v>143</v>
      </c>
    </row>
    <row r="12" spans="1:26" x14ac:dyDescent="0.45">
      <c r="A12" s="63" t="s">
        <v>142</v>
      </c>
      <c r="B12" s="62"/>
      <c r="C12" s="62"/>
      <c r="D12" s="62"/>
      <c r="E12" s="62"/>
      <c r="F12" s="62"/>
      <c r="Y12" t="s">
        <v>141</v>
      </c>
      <c r="Z12" t="s">
        <v>140</v>
      </c>
    </row>
    <row r="13" spans="1:26" x14ac:dyDescent="0.45">
      <c r="A13" s="56">
        <v>1</v>
      </c>
      <c r="B13" s="61">
        <v>4</v>
      </c>
      <c r="C13" s="60">
        <v>1</v>
      </c>
      <c r="D13" s="60">
        <v>3</v>
      </c>
      <c r="E13" s="60">
        <v>3</v>
      </c>
      <c r="F13" s="59">
        <v>1</v>
      </c>
      <c r="Y13" t="s">
        <v>139</v>
      </c>
      <c r="Z13" t="s">
        <v>138</v>
      </c>
    </row>
    <row r="14" spans="1:26" x14ac:dyDescent="0.45">
      <c r="A14" s="56">
        <v>2</v>
      </c>
      <c r="B14" s="58">
        <v>1</v>
      </c>
      <c r="C14" s="2">
        <v>4</v>
      </c>
      <c r="D14" s="2">
        <v>4</v>
      </c>
      <c r="E14" s="2">
        <v>3</v>
      </c>
      <c r="F14" s="57">
        <v>1</v>
      </c>
      <c r="Y14" t="s">
        <v>137</v>
      </c>
      <c r="Z14" t="s">
        <v>136</v>
      </c>
    </row>
    <row r="15" spans="1:26" x14ac:dyDescent="0.45">
      <c r="A15" s="56">
        <v>3</v>
      </c>
      <c r="B15" s="55">
        <v>3</v>
      </c>
      <c r="C15" s="54">
        <v>2</v>
      </c>
      <c r="D15" s="54">
        <v>2</v>
      </c>
      <c r="E15" s="54">
        <v>4</v>
      </c>
      <c r="F15" s="53">
        <v>4</v>
      </c>
      <c r="Y15" t="s">
        <v>135</v>
      </c>
      <c r="Z15" t="s">
        <v>134</v>
      </c>
    </row>
    <row r="16" spans="1:26" x14ac:dyDescent="0.45">
      <c r="A16" s="63" t="s">
        <v>133</v>
      </c>
      <c r="B16" s="62"/>
      <c r="C16" s="62"/>
      <c r="D16" s="62"/>
      <c r="E16" s="62"/>
      <c r="F16" s="62"/>
      <c r="Y16" t="s">
        <v>132</v>
      </c>
      <c r="Z16" t="s">
        <v>131</v>
      </c>
    </row>
    <row r="17" spans="1:26" x14ac:dyDescent="0.45">
      <c r="A17" s="56">
        <v>1</v>
      </c>
      <c r="B17" s="61">
        <v>4</v>
      </c>
      <c r="C17" s="60">
        <v>4</v>
      </c>
      <c r="D17" s="60">
        <v>3</v>
      </c>
      <c r="E17" s="60">
        <v>4</v>
      </c>
      <c r="F17" s="59">
        <v>4</v>
      </c>
      <c r="Y17" t="s">
        <v>130</v>
      </c>
      <c r="Z17" t="s">
        <v>129</v>
      </c>
    </row>
    <row r="18" spans="1:26" x14ac:dyDescent="0.45">
      <c r="A18" s="56">
        <v>2</v>
      </c>
      <c r="B18" s="58">
        <v>2</v>
      </c>
      <c r="C18" s="2">
        <v>2</v>
      </c>
      <c r="D18" s="2">
        <v>2</v>
      </c>
      <c r="E18" s="2">
        <v>2</v>
      </c>
      <c r="F18" s="57">
        <v>3</v>
      </c>
      <c r="Y18" t="s">
        <v>128</v>
      </c>
      <c r="Z18" t="s">
        <v>127</v>
      </c>
    </row>
    <row r="19" spans="1:26" x14ac:dyDescent="0.45">
      <c r="A19" s="56">
        <v>3</v>
      </c>
      <c r="B19" s="55">
        <v>2</v>
      </c>
      <c r="C19" s="54">
        <v>2</v>
      </c>
      <c r="D19" s="54">
        <v>2</v>
      </c>
      <c r="E19" s="54">
        <v>2</v>
      </c>
      <c r="F19" s="53">
        <v>4</v>
      </c>
      <c r="Y19" t="s">
        <v>126</v>
      </c>
      <c r="Z19" t="s">
        <v>125</v>
      </c>
    </row>
    <row r="20" spans="1:26" x14ac:dyDescent="0.45">
      <c r="Y20" t="s">
        <v>124</v>
      </c>
      <c r="Z20" t="s">
        <v>123</v>
      </c>
    </row>
    <row r="23" spans="1:26" x14ac:dyDescent="0.45">
      <c r="A23" s="52" t="s">
        <v>122</v>
      </c>
    </row>
    <row r="25" spans="1:26" x14ac:dyDescent="0.45">
      <c r="A25" s="51" t="s">
        <v>121</v>
      </c>
      <c r="B25" s="35"/>
      <c r="C25" s="35"/>
      <c r="D25" s="35"/>
      <c r="E25" s="35"/>
      <c r="F25" s="35"/>
      <c r="G25" s="34"/>
      <c r="I25" s="51" t="s">
        <v>120</v>
      </c>
      <c r="J25" s="35"/>
      <c r="K25" s="35"/>
      <c r="L25" s="35"/>
      <c r="M25" s="35"/>
      <c r="N25" s="35"/>
      <c r="O25" s="34"/>
      <c r="Q25" s="51" t="s">
        <v>119</v>
      </c>
      <c r="R25" s="35"/>
      <c r="S25" s="35"/>
      <c r="T25" s="35"/>
      <c r="U25" s="35"/>
      <c r="V25" s="35"/>
      <c r="W25" s="34"/>
    </row>
    <row r="26" spans="1:26" x14ac:dyDescent="0.45">
      <c r="A26" s="50"/>
      <c r="C26" s="72" t="s">
        <v>113</v>
      </c>
      <c r="D26" s="72"/>
      <c r="E26" s="72"/>
      <c r="F26" s="72"/>
      <c r="G26" s="73"/>
      <c r="I26" s="50"/>
      <c r="K26" s="72" t="s">
        <v>113</v>
      </c>
      <c r="L26" s="72"/>
      <c r="M26" s="72"/>
      <c r="N26" s="72"/>
      <c r="O26" s="73"/>
      <c r="Q26" s="50"/>
      <c r="S26" s="72" t="s">
        <v>113</v>
      </c>
      <c r="T26" s="72"/>
      <c r="U26" s="72"/>
      <c r="V26" s="72"/>
      <c r="W26" s="73"/>
    </row>
    <row r="27" spans="1:26" x14ac:dyDescent="0.45">
      <c r="A27" s="47" t="s">
        <v>118</v>
      </c>
      <c r="B27" s="49" t="s">
        <v>117</v>
      </c>
      <c r="C27" s="69">
        <v>1</v>
      </c>
      <c r="D27" s="69">
        <v>2</v>
      </c>
      <c r="E27" s="69">
        <v>3</v>
      </c>
      <c r="F27" s="69">
        <v>4</v>
      </c>
      <c r="G27" s="70">
        <v>5</v>
      </c>
      <c r="I27" s="47" t="s">
        <v>118</v>
      </c>
      <c r="J27" s="49" t="s">
        <v>117</v>
      </c>
      <c r="K27" s="69">
        <v>1</v>
      </c>
      <c r="L27" s="69">
        <v>2</v>
      </c>
      <c r="M27" s="69">
        <v>3</v>
      </c>
      <c r="N27" s="69">
        <v>4</v>
      </c>
      <c r="O27" s="70">
        <v>5</v>
      </c>
      <c r="Q27" s="47" t="s">
        <v>118</v>
      </c>
      <c r="R27" s="49" t="s">
        <v>117</v>
      </c>
      <c r="S27" s="69">
        <v>1</v>
      </c>
      <c r="T27" s="69">
        <v>2</v>
      </c>
      <c r="U27" s="69">
        <v>3</v>
      </c>
      <c r="V27" s="69">
        <v>4</v>
      </c>
      <c r="W27" s="70">
        <v>5</v>
      </c>
    </row>
    <row r="28" spans="1:26" x14ac:dyDescent="0.45">
      <c r="A28" s="71">
        <v>1</v>
      </c>
      <c r="B28" s="48">
        <v>1</v>
      </c>
      <c r="C28" s="45">
        <f>INDEX(Attribute1_matrix,MATCH($B$28,attribute1_level,0),MATCH(C27,customer_segment_array,0))</f>
        <v>1</v>
      </c>
      <c r="D28" s="45">
        <f>INDEX(Attribute1_matrix,MATCH($B$28,attribute1_level,0),MATCH(D27,customer_segment_array,0))</f>
        <v>1</v>
      </c>
      <c r="E28" s="45">
        <f>INDEX(Attribute1_matrix,MATCH($B$28,attribute1_level,0),MATCH(E27,customer_segment_array,0))</f>
        <v>1</v>
      </c>
      <c r="F28" s="45">
        <f>INDEX(Attribute1_matrix,MATCH($B$28,attribute1_level,0),MATCH(F27,customer_segment_array,0))</f>
        <v>4</v>
      </c>
      <c r="G28" s="44">
        <f>INDEX(Attribute1_matrix,MATCH($B$28,attribute1_level,0),MATCH(G27,customer_segment_array,0))</f>
        <v>4</v>
      </c>
      <c r="I28" s="71">
        <v>1</v>
      </c>
      <c r="J28" s="46">
        <v>3</v>
      </c>
      <c r="K28" s="45">
        <f>INDEX(Attribute1_matrix,MATCH($J$28,attribute1_level,0),MATCH(K27,customer_segment_array,0))</f>
        <v>2</v>
      </c>
      <c r="L28" s="45">
        <f>INDEX(Attribute1_matrix,MATCH($J$28,attribute1_level,0),MATCH(L27,customer_segment_array,0))</f>
        <v>4</v>
      </c>
      <c r="M28" s="45">
        <f>INDEX(Attribute1_matrix,MATCH($J$28,attribute1_level,0),MATCH(M27,customer_segment_array,0))</f>
        <v>3</v>
      </c>
      <c r="N28" s="45">
        <f>INDEX(Attribute1_matrix,MATCH($J$28,attribute1_level,0),MATCH(N27,customer_segment_array,0))</f>
        <v>3</v>
      </c>
      <c r="O28" s="44">
        <f>INDEX(Attribute1_matrix,MATCH($J$28,attribute1_level,0),MATCH(O27,customer_segment_array,0))</f>
        <v>3</v>
      </c>
      <c r="Q28" s="71">
        <v>1</v>
      </c>
      <c r="R28" s="46">
        <v>1</v>
      </c>
      <c r="S28" s="45">
        <f>INDEX(Attribute1_matrix,MATCH($R$28,attribute1_level,0),MATCH(S27,customer_segment_array,0))</f>
        <v>1</v>
      </c>
      <c r="T28" s="45">
        <f>INDEX(Attribute1_matrix,MATCH($R$28,attribute1_level,0),MATCH(T27,customer_segment_array,0))</f>
        <v>1</v>
      </c>
      <c r="U28" s="45">
        <f>INDEX(Attribute1_matrix,MATCH($R$28,attribute1_level,0),MATCH(U27,customer_segment_array,0))</f>
        <v>1</v>
      </c>
      <c r="V28" s="45">
        <f>INDEX(Attribute1_matrix,MATCH($R$28,attribute1_level,0),MATCH(V27,customer_segment_array,0))</f>
        <v>4</v>
      </c>
      <c r="W28" s="44">
        <f>INDEX(Attribute1_matrix,MATCH($R$28,attribute1_level,0),MATCH(W27,customer_segment_array,0))</f>
        <v>4</v>
      </c>
    </row>
    <row r="29" spans="1:26" x14ac:dyDescent="0.45">
      <c r="A29" s="71">
        <v>2</v>
      </c>
      <c r="B29" s="48">
        <v>1</v>
      </c>
      <c r="C29" s="45">
        <f>INDEX(Attribute2_matrix,MATCH($B$29,attribute2_level,0),MATCH(C27,customer_segment_array,0))</f>
        <v>4</v>
      </c>
      <c r="D29" s="45">
        <f>INDEX(Attribute2_matrix,MATCH($B$29,attribute2_level,0),MATCH(D27,customer_segment_array,0))</f>
        <v>1</v>
      </c>
      <c r="E29" s="45">
        <f>INDEX(Attribute2_matrix,MATCH($B$29,attribute2_level,0),MATCH(E27,customer_segment_array,0))</f>
        <v>3</v>
      </c>
      <c r="F29" s="45">
        <f>INDEX(Attribute2_matrix,MATCH($B$29,attribute2_level,0),MATCH(F27,customer_segment_array,0))</f>
        <v>2</v>
      </c>
      <c r="G29" s="44">
        <f>INDEX(Attribute2_matrix,MATCH($B$29,attribute2_level,0),MATCH(G27,customer_segment_array,0))</f>
        <v>4</v>
      </c>
      <c r="I29" s="71">
        <v>2</v>
      </c>
      <c r="J29" s="46">
        <v>1</v>
      </c>
      <c r="K29" s="45">
        <f>INDEX(Attribute2_matrix,MATCH($J$29,attribute2_level,0),MATCH(K27,customer_segment_array,0))</f>
        <v>4</v>
      </c>
      <c r="L29" s="45">
        <f>INDEX(Attribute2_matrix,MATCH($J$29,attribute2_level,0),MATCH(L27,customer_segment_array,0))</f>
        <v>1</v>
      </c>
      <c r="M29" s="45">
        <f>INDEX(Attribute2_matrix,MATCH($J$29,attribute2_level,0),MATCH(M27,customer_segment_array,0))</f>
        <v>3</v>
      </c>
      <c r="N29" s="45">
        <f>INDEX(Attribute2_matrix,MATCH($J$29,attribute2_level,0),MATCH(N27,customer_segment_array,0))</f>
        <v>2</v>
      </c>
      <c r="O29" s="44">
        <f>INDEX(Attribute2_matrix,MATCH($J$29,attribute2_level,0),MATCH(O27,customer_segment_array,0))</f>
        <v>4</v>
      </c>
      <c r="Q29" s="71">
        <v>2</v>
      </c>
      <c r="R29" s="46">
        <v>1</v>
      </c>
      <c r="S29" s="45">
        <f>INDEX(Attribute2_matrix,MATCH($R$29,attribute2_level,0),MATCH(S27,customer_segment_array,0))</f>
        <v>4</v>
      </c>
      <c r="T29" s="45">
        <f>INDEX(Attribute2_matrix,MATCH($R$29,attribute2_level,0),MATCH(T27,customer_segment_array,0))</f>
        <v>1</v>
      </c>
      <c r="U29" s="45">
        <f>INDEX(Attribute2_matrix,MATCH($R$29,attribute2_level,0),MATCH(U27,customer_segment_array,0))</f>
        <v>3</v>
      </c>
      <c r="V29" s="45">
        <f>INDEX(Attribute2_matrix,MATCH($R$29,attribute2_level,0),MATCH(V27,customer_segment_array,0))</f>
        <v>2</v>
      </c>
      <c r="W29" s="44">
        <f>INDEX(Attribute2_matrix,MATCH($R$29,attribute2_level,0),MATCH(W27,customer_segment_array,0))</f>
        <v>4</v>
      </c>
    </row>
    <row r="30" spans="1:26" x14ac:dyDescent="0.45">
      <c r="A30" s="71">
        <v>3</v>
      </c>
      <c r="B30" s="48">
        <v>1</v>
      </c>
      <c r="C30" s="45">
        <f>INDEX(Attribute3_matrix,MATCH($B$30,attribute3_level,0),MATCH(C27,customer_segment_array,0))</f>
        <v>4</v>
      </c>
      <c r="D30" s="45">
        <f>INDEX(Attribute3_matrix,MATCH($B$30,attribute3_level,0),MATCH(D27,customer_segment_array,0))</f>
        <v>1</v>
      </c>
      <c r="E30" s="45">
        <f>INDEX(Attribute3_matrix,MATCH($B$30,attribute3_level,0),MATCH(E27,customer_segment_array,0))</f>
        <v>3</v>
      </c>
      <c r="F30" s="45">
        <f>INDEX(Attribute3_matrix,MATCH($B$30,attribute3_level,0),MATCH(F27,customer_segment_array,0))</f>
        <v>3</v>
      </c>
      <c r="G30" s="44">
        <f>INDEX(Attribute3_matrix,MATCH($B$30,attribute3_level,0),MATCH(G27,customer_segment_array,0))</f>
        <v>1</v>
      </c>
      <c r="I30" s="71">
        <v>3</v>
      </c>
      <c r="J30" s="46">
        <v>1</v>
      </c>
      <c r="K30" s="45">
        <f>INDEX(Attribute3_matrix,MATCH($J$30,attribute3_level,0),MATCH(K27,customer_segment_array,0))</f>
        <v>4</v>
      </c>
      <c r="L30" s="45">
        <f>INDEX(Attribute3_matrix,MATCH($J$30,attribute3_level,0),MATCH(L27,customer_segment_array,0))</f>
        <v>1</v>
      </c>
      <c r="M30" s="45">
        <f>INDEX(Attribute3_matrix,MATCH($J$30,attribute3_level,0),MATCH(M27,customer_segment_array,0))</f>
        <v>3</v>
      </c>
      <c r="N30" s="45">
        <f>INDEX(Attribute3_matrix,MATCH($J$30,attribute3_level,0),MATCH(N27,customer_segment_array,0))</f>
        <v>3</v>
      </c>
      <c r="O30" s="44">
        <f>INDEX(Attribute3_matrix,MATCH($J$30,attribute3_level,0),MATCH(O27,customer_segment_array,0))</f>
        <v>1</v>
      </c>
      <c r="Q30" s="71">
        <v>3</v>
      </c>
      <c r="R30" s="46">
        <v>3</v>
      </c>
      <c r="S30" s="45">
        <f>INDEX(Attribute3_matrix,MATCH($R$30,attribute3_level,0),MATCH(S27,customer_segment_array,0))</f>
        <v>3</v>
      </c>
      <c r="T30" s="45">
        <f>INDEX(Attribute3_matrix,MATCH($R$30,attribute3_level,0),MATCH(T27,customer_segment_array,0))</f>
        <v>2</v>
      </c>
      <c r="U30" s="45">
        <f>INDEX(Attribute3_matrix,MATCH($R$30,attribute3_level,0),MATCH(U27,customer_segment_array,0))</f>
        <v>2</v>
      </c>
      <c r="V30" s="45">
        <f>INDEX(Attribute3_matrix,MATCH($R$30,attribute3_level,0),MATCH(V27,customer_segment_array,0))</f>
        <v>4</v>
      </c>
      <c r="W30" s="44">
        <f>INDEX(Attribute3_matrix,MATCH($R$30,attribute3_level,0),MATCH(W27,customer_segment_array,0))</f>
        <v>4</v>
      </c>
    </row>
    <row r="31" spans="1:26" x14ac:dyDescent="0.45">
      <c r="A31" s="71">
        <v>4</v>
      </c>
      <c r="B31" s="48">
        <v>1</v>
      </c>
      <c r="C31" s="45">
        <f>INDEX(Attribute4_matrix,MATCH($B$31,attribute4_level,0),MATCH(C27,customer_segment_array,0))</f>
        <v>4</v>
      </c>
      <c r="D31" s="45">
        <f>INDEX(Attribute4_matrix,MATCH($B$31,attribute4_level,0),MATCH(D27,customer_segment_array,0))</f>
        <v>4</v>
      </c>
      <c r="E31" s="45">
        <f>INDEX(Attribute4_matrix,MATCH($B$31,attribute4_level,0),MATCH(E27,customer_segment_array,0))</f>
        <v>3</v>
      </c>
      <c r="F31" s="45">
        <f>INDEX(Attribute4_matrix,MATCH($B$31,attribute4_level,0),MATCH(F27,customer_segment_array,0))</f>
        <v>4</v>
      </c>
      <c r="G31" s="44">
        <f>INDEX(Attribute4_matrix,MATCH($B$31,attribute4_level,0),MATCH(G27,customer_segment_array,0))</f>
        <v>4</v>
      </c>
      <c r="I31" s="71">
        <v>4</v>
      </c>
      <c r="J31" s="46">
        <v>1</v>
      </c>
      <c r="K31" s="45">
        <f>INDEX(Attribute4_matrix,MATCH($J$31,attribute4_level,0),MATCH(K27,customer_segment_array,0))</f>
        <v>4</v>
      </c>
      <c r="L31" s="45">
        <f>INDEX(Attribute4_matrix,MATCH($J$31,attribute4_level,0),MATCH(L27,customer_segment_array,0))</f>
        <v>4</v>
      </c>
      <c r="M31" s="45">
        <f>INDEX(Attribute4_matrix,MATCH($J$31,attribute4_level,0),MATCH(M27,customer_segment_array,0))</f>
        <v>3</v>
      </c>
      <c r="N31" s="45">
        <f>INDEX(Attribute4_matrix,MATCH($J$31,attribute4_level,0),MATCH(N27,customer_segment_array,0))</f>
        <v>4</v>
      </c>
      <c r="O31" s="44">
        <f>INDEX(Attribute4_matrix,MATCH($J$31,attribute4_level,0),MATCH(O27,customer_segment_array,0))</f>
        <v>4</v>
      </c>
      <c r="Q31" s="71">
        <v>4</v>
      </c>
      <c r="R31" s="46">
        <v>1</v>
      </c>
      <c r="S31" s="45">
        <f>INDEX(Attribute4_matrix,MATCH($R$31,attribute4_level,0),MATCH(S27,customer_segment_array,0))</f>
        <v>4</v>
      </c>
      <c r="T31" s="45">
        <f>INDEX(Attribute4_matrix,MATCH($R$31,attribute4_level,0),MATCH(T27,customer_segment_array,0))</f>
        <v>4</v>
      </c>
      <c r="U31" s="45">
        <f>INDEX(Attribute4_matrix,MATCH($R$31,attribute4_level,0),MATCH(U27,customer_segment_array,0))</f>
        <v>3</v>
      </c>
      <c r="V31" s="45">
        <f>INDEX(Attribute4_matrix,MATCH($R$31,attribute4_level,0),MATCH(V27,customer_segment_array,0))</f>
        <v>4</v>
      </c>
      <c r="W31" s="44">
        <f>INDEX(Attribute4_matrix,MATCH($R$31,attribute4_level,0),MATCH(W27,customer_segment_array,0))</f>
        <v>4</v>
      </c>
    </row>
    <row r="32" spans="1:26" x14ac:dyDescent="0.45">
      <c r="A32" s="43"/>
      <c r="B32" s="42" t="s">
        <v>116</v>
      </c>
      <c r="C32" s="41">
        <f>SUM(C28:C31)</f>
        <v>13</v>
      </c>
      <c r="D32" s="40">
        <f>SUM(D28:D31)</f>
        <v>7</v>
      </c>
      <c r="E32" s="40">
        <f>SUM(E28:E31)</f>
        <v>10</v>
      </c>
      <c r="F32" s="40">
        <f>SUM(F28:F31)</f>
        <v>13</v>
      </c>
      <c r="G32" s="39">
        <f>SUM(G28:G31)</f>
        <v>13</v>
      </c>
      <c r="I32" s="38"/>
      <c r="J32" s="37" t="s">
        <v>115</v>
      </c>
      <c r="K32" s="36">
        <f>SUM(K28:K31)</f>
        <v>14</v>
      </c>
      <c r="L32" s="35">
        <f>SUM(L28:L31)</f>
        <v>10</v>
      </c>
      <c r="M32" s="35">
        <f>SUM(M28:M31)</f>
        <v>12</v>
      </c>
      <c r="N32" s="35">
        <f>SUM(N28:N31)</f>
        <v>12</v>
      </c>
      <c r="O32" s="34">
        <f>SUM(O28:O31)</f>
        <v>12</v>
      </c>
      <c r="Q32" s="38"/>
      <c r="R32" s="37" t="s">
        <v>114</v>
      </c>
      <c r="S32" s="36">
        <f>SUM(S28:S31)</f>
        <v>12</v>
      </c>
      <c r="T32" s="35">
        <f>SUM(T28:T31)</f>
        <v>8</v>
      </c>
      <c r="U32" s="35">
        <f>SUM(U28:U31)</f>
        <v>9</v>
      </c>
      <c r="V32" s="35">
        <f>SUM(V28:V31)</f>
        <v>14</v>
      </c>
      <c r="W32" s="34">
        <f>SUM(W28:W31)</f>
        <v>16</v>
      </c>
    </row>
    <row r="35" spans="1:3" ht="57" x14ac:dyDescent="0.45">
      <c r="A35" s="14" t="s">
        <v>113</v>
      </c>
      <c r="B35" s="18" t="s">
        <v>112</v>
      </c>
      <c r="C35" s="18" t="s">
        <v>111</v>
      </c>
    </row>
    <row r="36" spans="1:3" x14ac:dyDescent="0.45">
      <c r="A36">
        <v>1</v>
      </c>
      <c r="B36">
        <f>MAX(C32,K32,S32)</f>
        <v>14</v>
      </c>
      <c r="C36">
        <f>IF((C32&lt;B36),1,0)</f>
        <v>1</v>
      </c>
    </row>
    <row r="37" spans="1:3" x14ac:dyDescent="0.45">
      <c r="A37">
        <v>2</v>
      </c>
      <c r="B37">
        <f>MAX(D32,L32,T32)</f>
        <v>10</v>
      </c>
      <c r="C37">
        <f>IF((D32&lt;B37),1,0)</f>
        <v>1</v>
      </c>
    </row>
    <row r="38" spans="1:3" x14ac:dyDescent="0.45">
      <c r="A38">
        <v>3</v>
      </c>
      <c r="B38">
        <f>MAX(E32,M32,U32)</f>
        <v>12</v>
      </c>
      <c r="C38">
        <f>IF((E32&lt;B38),1,0)</f>
        <v>1</v>
      </c>
    </row>
    <row r="39" spans="1:3" x14ac:dyDescent="0.45">
      <c r="A39">
        <v>4</v>
      </c>
      <c r="B39">
        <f>MAX(F32,N32,V32)</f>
        <v>14</v>
      </c>
      <c r="C39">
        <f>IF((F32&lt;B39),1,0)</f>
        <v>1</v>
      </c>
    </row>
    <row r="40" spans="1:3" x14ac:dyDescent="0.45">
      <c r="A40">
        <v>5</v>
      </c>
      <c r="B40">
        <f>MAX(G32,O32,W32)</f>
        <v>16</v>
      </c>
      <c r="C40">
        <f>IF((G32&lt;B40),1,0)</f>
        <v>1</v>
      </c>
    </row>
    <row r="43" spans="1:3" ht="42.75" x14ac:dyDescent="0.45">
      <c r="A43" s="17" t="s">
        <v>110</v>
      </c>
      <c r="B43" s="3">
        <f>SUM(C36:C40)</f>
        <v>5</v>
      </c>
    </row>
  </sheetData>
  <mergeCells count="3">
    <mergeCell ref="C26:G26"/>
    <mergeCell ref="S26:W26"/>
    <mergeCell ref="K26:O26"/>
  </mergeCells>
  <pageMargins left="0.7" right="0.7" top="0.75" bottom="0.75" header="0.3" footer="0.3"/>
  <pageSetup paperSize="9" orientation="portrait" horizontalDpi="1200" verticalDpi="1200"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E57A6-FE35-4745-94AD-4FE4B4D7FE4D}">
  <dimension ref="A1:K7"/>
  <sheetViews>
    <sheetView tabSelected="1" topLeftCell="A4" workbookViewId="0">
      <selection activeCell="M6" sqref="M6"/>
    </sheetView>
  </sheetViews>
  <sheetFormatPr defaultRowHeight="14.25" x14ac:dyDescent="0.45"/>
  <sheetData>
    <row r="1" spans="1:11" x14ac:dyDescent="0.45">
      <c r="A1" s="14" t="s">
        <v>175</v>
      </c>
      <c r="K1" s="24" t="str">
        <f>CONCATENATE("Sensitivity of ",$K$4," to ","currentproduct_attribute2_level")</f>
        <v>Sensitivity of Total_no_of_segments__purchasing_from_our__productline to currentproduct_attribute2_level</v>
      </c>
    </row>
    <row r="3" spans="1:11" x14ac:dyDescent="0.45">
      <c r="A3" t="s">
        <v>174</v>
      </c>
      <c r="K3" t="s">
        <v>67</v>
      </c>
    </row>
    <row r="4" spans="1:11" ht="274.5" x14ac:dyDescent="0.45">
      <c r="B4" s="22" t="s">
        <v>130</v>
      </c>
      <c r="J4" s="24">
        <f>MATCH($K$4,OutputAddresses,0)</f>
        <v>1</v>
      </c>
      <c r="K4" s="23" t="s">
        <v>130</v>
      </c>
    </row>
    <row r="5" spans="1:11" x14ac:dyDescent="0.45">
      <c r="A5">
        <v>1</v>
      </c>
      <c r="B5" s="31">
        <v>5</v>
      </c>
      <c r="K5">
        <f>INDEX(OutputValues,1,$J$4)</f>
        <v>5</v>
      </c>
    </row>
    <row r="6" spans="1:11" x14ac:dyDescent="0.45">
      <c r="A6">
        <v>2</v>
      </c>
      <c r="B6" s="32">
        <v>5</v>
      </c>
      <c r="K6">
        <f>INDEX(OutputValues,2,$J$4)</f>
        <v>5</v>
      </c>
    </row>
    <row r="7" spans="1:11" x14ac:dyDescent="0.45">
      <c r="A7">
        <v>3</v>
      </c>
      <c r="B7" s="33">
        <v>5</v>
      </c>
      <c r="K7">
        <f>INDEX(OutputValues,3,$J$4)</f>
        <v>5</v>
      </c>
    </row>
  </sheetData>
  <dataValidations count="1">
    <dataValidation type="list" allowBlank="1" showInputMessage="1" showErrorMessage="1" sqref="K4" xr:uid="{EE35E8AE-4106-4555-BC38-AB667473C503}">
      <formula1>OutputAddresses</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56AC4-2CEF-4988-87E8-3D88659F2184}">
  <dimension ref="A1:K19"/>
  <sheetViews>
    <sheetView workbookViewId="0"/>
  </sheetViews>
  <sheetFormatPr defaultRowHeight="14.25" x14ac:dyDescent="0.45"/>
  <cols>
    <col min="2" max="2" width="10.06640625" bestFit="1" customWidth="1"/>
  </cols>
  <sheetData>
    <row r="1" spans="1:11" x14ac:dyDescent="0.45">
      <c r="A1" s="14" t="s">
        <v>65</v>
      </c>
      <c r="K1" s="24" t="str">
        <f>CONCATENATE("Sensitivity of ",$K$4," to ","Q1 Cost to produce")</f>
        <v>Sensitivity of Total_Profit to Q1 Cost to produce</v>
      </c>
    </row>
    <row r="3" spans="1:11" x14ac:dyDescent="0.45">
      <c r="A3" t="s">
        <v>66</v>
      </c>
      <c r="K3" t="s">
        <v>67</v>
      </c>
    </row>
    <row r="4" spans="1:11" ht="56.65" x14ac:dyDescent="0.45">
      <c r="B4" s="22" t="s">
        <v>49</v>
      </c>
      <c r="J4" s="24">
        <f>MATCH($K$4,OutputAddresses,0)</f>
        <v>1</v>
      </c>
      <c r="K4" s="23" t="s">
        <v>49</v>
      </c>
    </row>
    <row r="5" spans="1:11" x14ac:dyDescent="0.45">
      <c r="A5" s="21">
        <v>2</v>
      </c>
      <c r="B5" s="25">
        <v>2085.75</v>
      </c>
      <c r="K5">
        <f>INDEX(OutputValues,1,$J$4)</f>
        <v>2085.75</v>
      </c>
    </row>
    <row r="6" spans="1:11" x14ac:dyDescent="0.45">
      <c r="A6" s="21">
        <v>4</v>
      </c>
      <c r="B6" s="26">
        <v>1996.75</v>
      </c>
      <c r="K6">
        <f>INDEX(OutputValues,2,$J$4)</f>
        <v>1996.75</v>
      </c>
    </row>
    <row r="7" spans="1:11" x14ac:dyDescent="0.45">
      <c r="A7" s="21">
        <v>6</v>
      </c>
      <c r="B7" s="26">
        <v>1911.75</v>
      </c>
      <c r="K7">
        <f>INDEX(OutputValues,3,$J$4)</f>
        <v>1911.75</v>
      </c>
    </row>
    <row r="8" spans="1:11" x14ac:dyDescent="0.45">
      <c r="A8" s="21">
        <v>8</v>
      </c>
      <c r="B8" s="26">
        <v>1830.75</v>
      </c>
      <c r="K8">
        <f>INDEX(OutputValues,4,$J$4)</f>
        <v>1830.75</v>
      </c>
    </row>
    <row r="9" spans="1:11" x14ac:dyDescent="0.45">
      <c r="A9" s="21">
        <v>10</v>
      </c>
      <c r="B9" s="26">
        <v>1753.75</v>
      </c>
      <c r="K9">
        <f>INDEX(OutputValues,5,$J$4)</f>
        <v>1753.75</v>
      </c>
    </row>
    <row r="10" spans="1:11" x14ac:dyDescent="0.45">
      <c r="A10" s="21">
        <v>12</v>
      </c>
      <c r="B10" s="26">
        <v>1680.75</v>
      </c>
      <c r="K10">
        <f>INDEX(OutputValues,6,$J$4)</f>
        <v>1680.75</v>
      </c>
    </row>
    <row r="11" spans="1:11" x14ac:dyDescent="0.45">
      <c r="A11" s="21">
        <v>14</v>
      </c>
      <c r="B11" s="26">
        <v>1611.75</v>
      </c>
      <c r="K11">
        <f>INDEX(OutputValues,7,$J$4)</f>
        <v>1611.75</v>
      </c>
    </row>
    <row r="12" spans="1:11" x14ac:dyDescent="0.45">
      <c r="A12" s="21">
        <v>16</v>
      </c>
      <c r="B12" s="26">
        <v>1546.75</v>
      </c>
      <c r="K12">
        <f>INDEX(OutputValues,8,$J$4)</f>
        <v>1546.75</v>
      </c>
    </row>
    <row r="13" spans="1:11" x14ac:dyDescent="0.45">
      <c r="A13" s="21">
        <v>18</v>
      </c>
      <c r="B13" s="26">
        <v>1485.75</v>
      </c>
      <c r="K13">
        <f>INDEX(OutputValues,9,$J$4)</f>
        <v>1485.75</v>
      </c>
    </row>
    <row r="14" spans="1:11" x14ac:dyDescent="0.45">
      <c r="A14" s="21">
        <v>20</v>
      </c>
      <c r="B14" s="26">
        <v>1428.75</v>
      </c>
      <c r="K14">
        <f>INDEX(OutputValues,10,$J$4)</f>
        <v>1428.75</v>
      </c>
    </row>
    <row r="15" spans="1:11" x14ac:dyDescent="0.45">
      <c r="A15" s="21">
        <v>22</v>
      </c>
      <c r="B15" s="26">
        <v>1375.75</v>
      </c>
      <c r="K15">
        <f>INDEX(OutputValues,11,$J$4)</f>
        <v>1375.75</v>
      </c>
    </row>
    <row r="16" spans="1:11" x14ac:dyDescent="0.45">
      <c r="A16" s="21">
        <v>24</v>
      </c>
      <c r="B16" s="26">
        <v>1326.75</v>
      </c>
      <c r="K16">
        <f>INDEX(OutputValues,12,$J$4)</f>
        <v>1326.75</v>
      </c>
    </row>
    <row r="17" spans="1:11" x14ac:dyDescent="0.45">
      <c r="A17" s="21">
        <v>26</v>
      </c>
      <c r="B17" s="26">
        <v>1281.75</v>
      </c>
      <c r="K17">
        <f>INDEX(OutputValues,13,$J$4)</f>
        <v>1281.75</v>
      </c>
    </row>
    <row r="18" spans="1:11" x14ac:dyDescent="0.45">
      <c r="A18" s="21">
        <v>28</v>
      </c>
      <c r="B18" s="26">
        <v>1240.75</v>
      </c>
      <c r="K18">
        <f>INDEX(OutputValues,14,$J$4)</f>
        <v>1240.75</v>
      </c>
    </row>
    <row r="19" spans="1:11" x14ac:dyDescent="0.45">
      <c r="A19" s="21">
        <v>30</v>
      </c>
      <c r="B19" s="27">
        <v>1203.75</v>
      </c>
      <c r="K19">
        <f>INDEX(OutputValues,15,$J$4)</f>
        <v>1203.75</v>
      </c>
    </row>
  </sheetData>
  <dataValidations count="1">
    <dataValidation type="list" allowBlank="1" showInputMessage="1" showErrorMessage="1" sqref="K4" xr:uid="{299D1E9C-D839-4943-9E45-DFF9E42D3E63}">
      <formula1>OutputAddresses</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682CD-F311-42B8-B169-52009C7B9C85}">
  <dimension ref="A1:M23"/>
  <sheetViews>
    <sheetView workbookViewId="0">
      <selection activeCell="B13" sqref="B13"/>
    </sheetView>
  </sheetViews>
  <sheetFormatPr defaultRowHeight="14.25" x14ac:dyDescent="0.45"/>
  <cols>
    <col min="1" max="1" width="21.73046875" style="17" bestFit="1" customWidth="1"/>
    <col min="2" max="2" width="14.59765625" bestFit="1" customWidth="1"/>
    <col min="3" max="3" width="12.53125" bestFit="1" customWidth="1"/>
    <col min="11" max="12" width="26.73046875" bestFit="1" customWidth="1"/>
    <col min="13" max="13" width="12" bestFit="1" customWidth="1"/>
  </cols>
  <sheetData>
    <row r="1" spans="1:13" x14ac:dyDescent="0.45">
      <c r="L1" s="14" t="s">
        <v>170</v>
      </c>
    </row>
    <row r="2" spans="1:13" x14ac:dyDescent="0.45">
      <c r="A2" s="17" t="s">
        <v>17</v>
      </c>
      <c r="B2" s="67">
        <v>90000</v>
      </c>
      <c r="L2" t="s">
        <v>167</v>
      </c>
      <c r="M2" t="s">
        <v>166</v>
      </c>
    </row>
    <row r="3" spans="1:13" ht="42.75" x14ac:dyDescent="0.45">
      <c r="A3" s="17" t="s">
        <v>177</v>
      </c>
      <c r="B3" s="8">
        <f>400000 * 10%</f>
        <v>40000</v>
      </c>
      <c r="C3" s="17" t="s">
        <v>176</v>
      </c>
      <c r="L3" t="s">
        <v>70</v>
      </c>
      <c r="M3" t="s">
        <v>92</v>
      </c>
    </row>
    <row r="4" spans="1:13" x14ac:dyDescent="0.45">
      <c r="A4" s="17" t="s">
        <v>18</v>
      </c>
      <c r="B4" s="65">
        <v>180000</v>
      </c>
      <c r="L4" t="s">
        <v>72</v>
      </c>
      <c r="M4" t="s">
        <v>73</v>
      </c>
    </row>
    <row r="5" spans="1:13" x14ac:dyDescent="0.45">
      <c r="A5" s="17" t="s">
        <v>19</v>
      </c>
      <c r="B5" s="66">
        <v>1.25</v>
      </c>
      <c r="L5" t="s">
        <v>74</v>
      </c>
      <c r="M5" t="s">
        <v>178</v>
      </c>
    </row>
    <row r="6" spans="1:13" x14ac:dyDescent="0.45">
      <c r="A6" s="17" t="s">
        <v>20</v>
      </c>
      <c r="B6" s="65">
        <v>120</v>
      </c>
      <c r="L6" t="s">
        <v>76</v>
      </c>
      <c r="M6" t="s">
        <v>77</v>
      </c>
    </row>
    <row r="7" spans="1:13" x14ac:dyDescent="0.45">
      <c r="A7" s="17" t="s">
        <v>21</v>
      </c>
      <c r="B7">
        <v>0.5</v>
      </c>
      <c r="L7" t="s">
        <v>179</v>
      </c>
      <c r="M7" t="s">
        <v>77</v>
      </c>
    </row>
    <row r="8" spans="1:13" x14ac:dyDescent="0.45">
      <c r="L8" t="s">
        <v>82</v>
      </c>
      <c r="M8" t="s">
        <v>83</v>
      </c>
    </row>
    <row r="9" spans="1:13" x14ac:dyDescent="0.45">
      <c r="L9" t="s">
        <v>87</v>
      </c>
      <c r="M9" t="s">
        <v>88</v>
      </c>
    </row>
    <row r="10" spans="1:13" x14ac:dyDescent="0.45">
      <c r="L10" t="s">
        <v>89</v>
      </c>
      <c r="M10" t="s">
        <v>75</v>
      </c>
    </row>
    <row r="11" spans="1:13" x14ac:dyDescent="0.45">
      <c r="A11" s="17" t="s">
        <v>16</v>
      </c>
      <c r="B11">
        <f>(Area_Serviced/Number_of_War)^Power</f>
        <v>4.8989794855663558</v>
      </c>
      <c r="L11" t="s">
        <v>21</v>
      </c>
      <c r="M11" t="s">
        <v>71</v>
      </c>
    </row>
    <row r="12" spans="1:13" x14ac:dyDescent="0.45">
      <c r="L12" t="s">
        <v>91</v>
      </c>
      <c r="M12" t="s">
        <v>90</v>
      </c>
    </row>
    <row r="13" spans="1:13" x14ac:dyDescent="0.45">
      <c r="A13" s="17" t="s">
        <v>22</v>
      </c>
      <c r="B13" s="10">
        <v>5</v>
      </c>
      <c r="L13" t="s">
        <v>93</v>
      </c>
      <c r="M13" t="s">
        <v>94</v>
      </c>
    </row>
    <row r="14" spans="1:13" x14ac:dyDescent="0.45">
      <c r="L14" t="s">
        <v>180</v>
      </c>
      <c r="M14" t="s">
        <v>181</v>
      </c>
    </row>
    <row r="15" spans="1:13" x14ac:dyDescent="0.45">
      <c r="A15" s="18" t="s">
        <v>2</v>
      </c>
      <c r="B15" t="s">
        <v>106</v>
      </c>
      <c r="L15" t="s">
        <v>95</v>
      </c>
      <c r="M15" t="s">
        <v>178</v>
      </c>
    </row>
    <row r="16" spans="1:13" x14ac:dyDescent="0.45">
      <c r="A16" s="18" t="s">
        <v>4</v>
      </c>
      <c r="B16" t="s">
        <v>23</v>
      </c>
      <c r="L16" t="s">
        <v>96</v>
      </c>
      <c r="M16" t="s">
        <v>97</v>
      </c>
    </row>
    <row r="17" spans="1:13" x14ac:dyDescent="0.45">
      <c r="A17" s="18" t="s">
        <v>24</v>
      </c>
      <c r="B17" t="s">
        <v>7</v>
      </c>
      <c r="L17" t="s">
        <v>182</v>
      </c>
      <c r="M17" t="s">
        <v>178</v>
      </c>
    </row>
    <row r="18" spans="1:13" x14ac:dyDescent="0.45">
      <c r="L18" t="s">
        <v>98</v>
      </c>
      <c r="M18" t="s">
        <v>99</v>
      </c>
    </row>
    <row r="19" spans="1:13" x14ac:dyDescent="0.45">
      <c r="A19" s="17" t="s">
        <v>26</v>
      </c>
      <c r="B19" s="8">
        <f>Fixed_Cost_War_Main*Number_of_War</f>
        <v>450000</v>
      </c>
    </row>
    <row r="20" spans="1:13" x14ac:dyDescent="0.45">
      <c r="A20" s="17" t="s">
        <v>61</v>
      </c>
      <c r="B20" s="8">
        <f>Cost_to_Build_War__year*Number_of_War</f>
        <v>200000</v>
      </c>
    </row>
    <row r="21" spans="1:13" x14ac:dyDescent="0.45">
      <c r="A21" s="17" t="s">
        <v>27</v>
      </c>
      <c r="B21" s="8">
        <f>Average_Dist_War_to_Cust*Shipping_Cost_per_Order*Orders_Filled_Per_Year</f>
        <v>1102270.3842524302</v>
      </c>
    </row>
    <row r="22" spans="1:13" x14ac:dyDescent="0.45">
      <c r="A22"/>
    </row>
    <row r="23" spans="1:13" x14ac:dyDescent="0.45">
      <c r="A23" s="17" t="s">
        <v>25</v>
      </c>
      <c r="B23" s="11">
        <f>Total_Cost_of_Shipping+Total_Cost_of_Building_War+Tota_Fixed_Cost_Main</f>
        <v>1752270.3842524302</v>
      </c>
      <c r="C23" s="9"/>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29A70-E2D8-4BD1-8ED9-DD068441CF10}">
  <dimension ref="A1:K25"/>
  <sheetViews>
    <sheetView topLeftCell="A13" workbookViewId="0">
      <selection activeCell="E30" sqref="E30"/>
    </sheetView>
  </sheetViews>
  <sheetFormatPr defaultRowHeight="14.25" x14ac:dyDescent="0.45"/>
  <cols>
    <col min="2" max="2" width="11" bestFit="1" customWidth="1"/>
  </cols>
  <sheetData>
    <row r="1" spans="1:11" x14ac:dyDescent="0.45">
      <c r="A1" s="14" t="s">
        <v>69</v>
      </c>
      <c r="K1" s="24" t="str">
        <f>CONCATENATE("Sensitivity of ",$K$4," to ","Area Serviced")</f>
        <v>Sensitivity of Total_Cost to Area Serviced</v>
      </c>
    </row>
    <row r="3" spans="1:11" x14ac:dyDescent="0.45">
      <c r="A3" t="s">
        <v>184</v>
      </c>
      <c r="K3" t="s">
        <v>67</v>
      </c>
    </row>
    <row r="4" spans="1:11" ht="51" x14ac:dyDescent="0.45">
      <c r="B4" s="22" t="s">
        <v>180</v>
      </c>
      <c r="J4" s="24">
        <f>MATCH($K$4,OutputAddresses,0)</f>
        <v>1</v>
      </c>
      <c r="K4" s="23" t="s">
        <v>180</v>
      </c>
    </row>
    <row r="5" spans="1:11" x14ac:dyDescent="0.45">
      <c r="A5" s="28">
        <v>50</v>
      </c>
      <c r="B5" s="68">
        <v>1308558.6499999999</v>
      </c>
      <c r="K5">
        <f>INDEX(OutputValues,1,$J$4)</f>
        <v>1308558.6499999999</v>
      </c>
    </row>
    <row r="6" spans="1:11" x14ac:dyDescent="0.45">
      <c r="A6" s="28">
        <v>60</v>
      </c>
      <c r="B6" s="29">
        <v>1391421.25</v>
      </c>
      <c r="K6">
        <f>INDEX(OutputValues,2,$J$4)</f>
        <v>1391421.25</v>
      </c>
    </row>
    <row r="7" spans="1:11" x14ac:dyDescent="0.45">
      <c r="A7" s="28">
        <v>70</v>
      </c>
      <c r="B7" s="29">
        <v>1461242.53</v>
      </c>
      <c r="K7">
        <f>INDEX(OutputValues,3,$J$4)</f>
        <v>1461242.53</v>
      </c>
    </row>
    <row r="8" spans="1:11" x14ac:dyDescent="0.45">
      <c r="A8" s="28">
        <v>80</v>
      </c>
      <c r="B8" s="29">
        <v>1526230.59</v>
      </c>
      <c r="K8">
        <f>INDEX(OutputValues,4,$J$4)</f>
        <v>1526230.59</v>
      </c>
    </row>
    <row r="9" spans="1:11" x14ac:dyDescent="0.45">
      <c r="A9" s="28">
        <v>90</v>
      </c>
      <c r="B9" s="29">
        <v>1587268.71</v>
      </c>
      <c r="K9">
        <f>INDEX(OutputValues,5,$J$4)</f>
        <v>1587268.71</v>
      </c>
    </row>
    <row r="10" spans="1:11" x14ac:dyDescent="0.45">
      <c r="A10" s="28">
        <v>100</v>
      </c>
      <c r="B10" s="29">
        <v>1645000</v>
      </c>
      <c r="K10">
        <f>INDEX(OutputValues,6,$J$4)</f>
        <v>1645000</v>
      </c>
    </row>
    <row r="11" spans="1:11" x14ac:dyDescent="0.45">
      <c r="A11" s="28">
        <v>110</v>
      </c>
      <c r="B11" s="29">
        <v>1699909.95</v>
      </c>
      <c r="K11">
        <f>INDEX(OutputValues,7,$J$4)</f>
        <v>1699909.95</v>
      </c>
    </row>
    <row r="12" spans="1:11" x14ac:dyDescent="0.45">
      <c r="A12" s="28">
        <v>120</v>
      </c>
      <c r="B12" s="29">
        <v>1752270.38</v>
      </c>
      <c r="K12">
        <f>INDEX(OutputValues,8,$J$4)</f>
        <v>1752270.38</v>
      </c>
    </row>
    <row r="13" spans="1:11" x14ac:dyDescent="0.45">
      <c r="A13" s="28">
        <v>130</v>
      </c>
      <c r="B13" s="29">
        <v>1797279.39</v>
      </c>
      <c r="K13">
        <f>INDEX(OutputValues,9,$J$4)</f>
        <v>1797279.39</v>
      </c>
    </row>
    <row r="14" spans="1:11" x14ac:dyDescent="0.45">
      <c r="A14" s="28">
        <v>140</v>
      </c>
      <c r="B14" s="29">
        <v>1840588.09</v>
      </c>
      <c r="K14">
        <f>INDEX(OutputValues,10,$J$4)</f>
        <v>1840588.09</v>
      </c>
    </row>
    <row r="15" spans="1:11" x14ac:dyDescent="0.45">
      <c r="A15" s="28">
        <v>150</v>
      </c>
      <c r="B15" s="29">
        <v>1882375.75</v>
      </c>
      <c r="K15">
        <f>INDEX(OutputValues,11,$J$4)</f>
        <v>1882375.75</v>
      </c>
    </row>
    <row r="16" spans="1:11" x14ac:dyDescent="0.45">
      <c r="A16" s="28">
        <v>160</v>
      </c>
      <c r="B16" s="29">
        <v>1922792.21</v>
      </c>
      <c r="K16">
        <f>INDEX(OutputValues,12,$J$4)</f>
        <v>1922792.21</v>
      </c>
    </row>
    <row r="17" spans="1:11" x14ac:dyDescent="0.45">
      <c r="A17" s="28">
        <v>170</v>
      </c>
      <c r="B17" s="29">
        <v>1961964.18</v>
      </c>
      <c r="K17">
        <f>INDEX(OutputValues,13,$J$4)</f>
        <v>1961964.18</v>
      </c>
    </row>
    <row r="18" spans="1:11" x14ac:dyDescent="0.45">
      <c r="A18" s="28">
        <v>180</v>
      </c>
      <c r="B18" s="29">
        <v>2000000</v>
      </c>
      <c r="K18">
        <f>INDEX(OutputValues,14,$J$4)</f>
        <v>2000000</v>
      </c>
    </row>
    <row r="19" spans="1:11" x14ac:dyDescent="0.45">
      <c r="A19" s="28">
        <v>190</v>
      </c>
      <c r="B19" s="29">
        <v>2036993.15</v>
      </c>
      <c r="K19">
        <f>INDEX(OutputValues,15,$J$4)</f>
        <v>2036993.15</v>
      </c>
    </row>
    <row r="20" spans="1:11" x14ac:dyDescent="0.45">
      <c r="A20" s="28">
        <v>200</v>
      </c>
      <c r="B20" s="29">
        <v>2073024.95</v>
      </c>
      <c r="K20">
        <f>INDEX(OutputValues,16,$J$4)</f>
        <v>2073024.95</v>
      </c>
    </row>
    <row r="21" spans="1:11" x14ac:dyDescent="0.45">
      <c r="A21" s="28">
        <v>210</v>
      </c>
      <c r="B21" s="29">
        <v>2108166.66</v>
      </c>
      <c r="K21">
        <f>INDEX(OutputValues,17,$J$4)</f>
        <v>2108166.66</v>
      </c>
    </row>
    <row r="22" spans="1:11" x14ac:dyDescent="0.45">
      <c r="A22" s="28">
        <v>220</v>
      </c>
      <c r="B22" s="29">
        <v>2142442.66</v>
      </c>
      <c r="K22">
        <f>INDEX(OutputValues,18,$J$4)</f>
        <v>2142442.66</v>
      </c>
    </row>
    <row r="23" spans="1:11" x14ac:dyDescent="0.45">
      <c r="A23" s="28">
        <v>230</v>
      </c>
      <c r="B23" s="29">
        <v>2173063.17</v>
      </c>
      <c r="K23">
        <f>INDEX(OutputValues,19,$J$4)</f>
        <v>2173063.17</v>
      </c>
    </row>
    <row r="24" spans="1:11" x14ac:dyDescent="0.45">
      <c r="A24" s="28">
        <v>240</v>
      </c>
      <c r="B24" s="29">
        <v>2203024.9500000002</v>
      </c>
      <c r="K24">
        <f>INDEX(OutputValues,20,$J$4)</f>
        <v>2203024.9500000002</v>
      </c>
    </row>
    <row r="25" spans="1:11" x14ac:dyDescent="0.45">
      <c r="A25" s="28">
        <v>250</v>
      </c>
      <c r="B25" s="30">
        <v>2232368.75</v>
      </c>
      <c r="K25">
        <f>INDEX(OutputValues,21,$J$4)</f>
        <v>2232368.75</v>
      </c>
    </row>
  </sheetData>
  <dataValidations count="1">
    <dataValidation type="list" allowBlank="1" showInputMessage="1" showErrorMessage="1" sqref="K4" xr:uid="{54C5FCD9-88C0-4638-9157-B992DB2BCAFF}">
      <formula1>OutputAddresses</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DEF30-A02A-4628-9A76-25B4629026DD}">
  <dimension ref="A1:Q31"/>
  <sheetViews>
    <sheetView workbookViewId="0">
      <selection activeCell="P17" sqref="P17"/>
    </sheetView>
  </sheetViews>
  <sheetFormatPr defaultRowHeight="14.25" x14ac:dyDescent="0.45"/>
  <cols>
    <col min="1" max="1" width="17.9296875" bestFit="1" customWidth="1"/>
    <col min="3" max="4" width="12.265625" bestFit="1" customWidth="1"/>
    <col min="6" max="6" width="10.265625" bestFit="1" customWidth="1"/>
    <col min="7" max="7" width="11.33203125" bestFit="1" customWidth="1"/>
    <col min="8" max="8" width="15.46484375" bestFit="1" customWidth="1"/>
    <col min="10" max="10" width="10.53125" bestFit="1" customWidth="1"/>
    <col min="16" max="16" width="26.73046875" bestFit="1" customWidth="1"/>
    <col min="17" max="17" width="18.19921875" bestFit="1" customWidth="1"/>
  </cols>
  <sheetData>
    <row r="1" spans="1:17" x14ac:dyDescent="0.45">
      <c r="A1" s="13" t="s">
        <v>28</v>
      </c>
      <c r="B1" s="12"/>
      <c r="C1" s="12"/>
      <c r="D1" s="12"/>
    </row>
    <row r="2" spans="1:17" x14ac:dyDescent="0.45">
      <c r="P2" t="s">
        <v>78</v>
      </c>
      <c r="Q2" t="s">
        <v>79</v>
      </c>
    </row>
    <row r="3" spans="1:17" x14ac:dyDescent="0.45">
      <c r="A3" s="19" t="s">
        <v>29</v>
      </c>
      <c r="B3" s="19" t="s">
        <v>30</v>
      </c>
      <c r="C3" s="19" t="s">
        <v>31</v>
      </c>
      <c r="D3" s="19" t="s">
        <v>32</v>
      </c>
      <c r="E3" s="15"/>
      <c r="P3" t="s">
        <v>80</v>
      </c>
      <c r="Q3" t="s">
        <v>81</v>
      </c>
    </row>
    <row r="4" spans="1:17" x14ac:dyDescent="0.45">
      <c r="A4" s="16">
        <v>1</v>
      </c>
      <c r="B4" s="2">
        <v>7</v>
      </c>
      <c r="C4" s="2">
        <v>0.5</v>
      </c>
      <c r="D4" s="2">
        <v>13</v>
      </c>
      <c r="P4" t="s">
        <v>30</v>
      </c>
      <c r="Q4" t="s">
        <v>84</v>
      </c>
    </row>
    <row r="5" spans="1:17" x14ac:dyDescent="0.45">
      <c r="A5" s="16">
        <v>2</v>
      </c>
      <c r="B5" s="2">
        <v>5</v>
      </c>
      <c r="C5" s="2">
        <v>1</v>
      </c>
      <c r="D5" s="2">
        <v>10</v>
      </c>
      <c r="P5" t="s">
        <v>29</v>
      </c>
      <c r="Q5" t="s">
        <v>85</v>
      </c>
    </row>
    <row r="6" spans="1:17" x14ac:dyDescent="0.45">
      <c r="A6" s="16">
        <v>3</v>
      </c>
      <c r="B6" s="2">
        <v>5</v>
      </c>
      <c r="C6" s="2">
        <v>1</v>
      </c>
      <c r="D6" s="2">
        <v>11</v>
      </c>
      <c r="P6" t="s">
        <v>57</v>
      </c>
      <c r="Q6" t="s">
        <v>86</v>
      </c>
    </row>
    <row r="7" spans="1:17" x14ac:dyDescent="0.45">
      <c r="A7" s="16">
        <v>4</v>
      </c>
      <c r="B7" s="2">
        <v>4</v>
      </c>
      <c r="C7" s="2">
        <v>2</v>
      </c>
      <c r="D7" s="2">
        <v>17</v>
      </c>
    </row>
    <row r="8" spans="1:17" x14ac:dyDescent="0.45">
      <c r="A8" s="16">
        <v>5</v>
      </c>
      <c r="B8" s="2">
        <v>7</v>
      </c>
      <c r="C8" s="2">
        <v>0.5</v>
      </c>
      <c r="D8" s="2">
        <v>11</v>
      </c>
    </row>
    <row r="9" spans="1:17" x14ac:dyDescent="0.45">
      <c r="A9" s="16">
        <v>6</v>
      </c>
      <c r="B9" s="2">
        <v>6</v>
      </c>
      <c r="C9" s="2">
        <v>0.5</v>
      </c>
      <c r="D9" s="2">
        <v>7</v>
      </c>
    </row>
    <row r="10" spans="1:17" x14ac:dyDescent="0.45">
      <c r="A10" s="16">
        <v>7</v>
      </c>
      <c r="B10" s="2">
        <v>2</v>
      </c>
      <c r="C10" s="2">
        <v>1</v>
      </c>
      <c r="D10" s="2">
        <v>9</v>
      </c>
    </row>
    <row r="11" spans="1:17" x14ac:dyDescent="0.45">
      <c r="A11" s="16">
        <v>8</v>
      </c>
      <c r="B11" s="2">
        <v>5</v>
      </c>
      <c r="C11" s="2">
        <v>1.5</v>
      </c>
      <c r="D11" s="2">
        <v>20</v>
      </c>
    </row>
    <row r="12" spans="1:17" x14ac:dyDescent="0.45">
      <c r="A12" s="16">
        <v>9</v>
      </c>
      <c r="B12" s="2">
        <v>2</v>
      </c>
      <c r="C12" s="2">
        <v>1</v>
      </c>
      <c r="D12" s="2">
        <v>15</v>
      </c>
    </row>
    <row r="13" spans="1:17" x14ac:dyDescent="0.45">
      <c r="A13" s="16">
        <v>10</v>
      </c>
      <c r="B13" s="2">
        <v>2</v>
      </c>
      <c r="C13" s="2">
        <v>0.5</v>
      </c>
      <c r="D13" s="2">
        <v>8</v>
      </c>
    </row>
    <row r="15" spans="1:17" x14ac:dyDescent="0.45">
      <c r="A15" s="14" t="s">
        <v>2</v>
      </c>
      <c r="B15" t="s">
        <v>51</v>
      </c>
    </row>
    <row r="16" spans="1:17" x14ac:dyDescent="0.45">
      <c r="A16" s="14" t="s">
        <v>4</v>
      </c>
      <c r="B16" t="s">
        <v>52</v>
      </c>
    </row>
    <row r="17" spans="1:9" x14ac:dyDescent="0.45">
      <c r="A17" s="14" t="s">
        <v>24</v>
      </c>
      <c r="B17" t="s">
        <v>7</v>
      </c>
    </row>
    <row r="19" spans="1:9" x14ac:dyDescent="0.45">
      <c r="A19" s="14" t="s">
        <v>53</v>
      </c>
      <c r="B19" s="14" t="s">
        <v>29</v>
      </c>
      <c r="C19" s="14" t="s">
        <v>30</v>
      </c>
      <c r="D19" s="14" t="s">
        <v>54</v>
      </c>
      <c r="E19" s="14" t="s">
        <v>56</v>
      </c>
      <c r="F19" s="14" t="s">
        <v>55</v>
      </c>
      <c r="G19" s="14" t="s">
        <v>59</v>
      </c>
      <c r="H19" s="14" t="s">
        <v>60</v>
      </c>
      <c r="I19" s="14"/>
    </row>
    <row r="20" spans="1:9" x14ac:dyDescent="0.45">
      <c r="A20">
        <v>1</v>
      </c>
      <c r="B20" s="1">
        <v>6</v>
      </c>
      <c r="C20">
        <f>INDEX(Items, MATCH(B20,Job,0))</f>
        <v>6</v>
      </c>
      <c r="D20">
        <f>INDEX(Days_per_item,MATCH(B20,Job,0))</f>
        <v>0.5</v>
      </c>
      <c r="E20">
        <f>C20*D20</f>
        <v>3</v>
      </c>
      <c r="F20">
        <f t="shared" ref="F20:F29" si="0">INDEX(Due_date, MATCH(B20,Job,0))</f>
        <v>7</v>
      </c>
      <c r="G20">
        <f>E20</f>
        <v>3</v>
      </c>
      <c r="H20">
        <f>IF(G20-F20&lt;=0,0,G20-F20)</f>
        <v>0</v>
      </c>
    </row>
    <row r="21" spans="1:9" x14ac:dyDescent="0.45">
      <c r="A21">
        <v>2</v>
      </c>
      <c r="B21" s="1">
        <v>7</v>
      </c>
      <c r="C21">
        <f t="shared" ref="C21:C29" si="1">INDEX(Items, MATCH(B21,Job,0))</f>
        <v>2</v>
      </c>
      <c r="D21">
        <f t="shared" ref="D21:D29" si="2">INDEX(Days_per_item,MATCH(B21,Job,0))</f>
        <v>1</v>
      </c>
      <c r="E21">
        <f t="shared" ref="E21:E29" si="3">C21*D21</f>
        <v>2</v>
      </c>
      <c r="F21">
        <f t="shared" si="0"/>
        <v>9</v>
      </c>
      <c r="G21">
        <f>E20+E21</f>
        <v>5</v>
      </c>
      <c r="H21">
        <f>IF(G21-F21&lt;=0,0,G21-F21)</f>
        <v>0</v>
      </c>
    </row>
    <row r="22" spans="1:9" x14ac:dyDescent="0.45">
      <c r="A22">
        <v>3</v>
      </c>
      <c r="B22" s="1">
        <v>10</v>
      </c>
      <c r="C22">
        <f t="shared" si="1"/>
        <v>2</v>
      </c>
      <c r="D22">
        <f t="shared" si="2"/>
        <v>0.5</v>
      </c>
      <c r="E22">
        <f t="shared" si="3"/>
        <v>1</v>
      </c>
      <c r="F22">
        <f t="shared" si="0"/>
        <v>8</v>
      </c>
      <c r="G22">
        <f>E21+E22+E20</f>
        <v>6</v>
      </c>
      <c r="H22">
        <f t="shared" ref="H22:H29" si="4">IF(G22-F22&lt;=0,0,G22-F22)</f>
        <v>0</v>
      </c>
    </row>
    <row r="23" spans="1:9" x14ac:dyDescent="0.45">
      <c r="A23">
        <v>4</v>
      </c>
      <c r="B23" s="1">
        <v>5</v>
      </c>
      <c r="C23">
        <f t="shared" si="1"/>
        <v>7</v>
      </c>
      <c r="D23">
        <f t="shared" si="2"/>
        <v>0.5</v>
      </c>
      <c r="E23">
        <f t="shared" si="3"/>
        <v>3.5</v>
      </c>
      <c r="F23">
        <f t="shared" si="0"/>
        <v>11</v>
      </c>
      <c r="G23">
        <f>E23+E22+E21+E20</f>
        <v>9.5</v>
      </c>
      <c r="H23">
        <f t="shared" si="4"/>
        <v>0</v>
      </c>
    </row>
    <row r="24" spans="1:9" x14ac:dyDescent="0.45">
      <c r="A24">
        <v>5</v>
      </c>
      <c r="B24" s="1">
        <v>1</v>
      </c>
      <c r="C24">
        <f t="shared" si="1"/>
        <v>7</v>
      </c>
      <c r="D24">
        <f t="shared" si="2"/>
        <v>0.5</v>
      </c>
      <c r="E24">
        <f t="shared" si="3"/>
        <v>3.5</v>
      </c>
      <c r="F24">
        <f t="shared" si="0"/>
        <v>13</v>
      </c>
      <c r="G24">
        <f>E24+E23+E22+E21+E20</f>
        <v>13</v>
      </c>
      <c r="H24">
        <f t="shared" si="4"/>
        <v>0</v>
      </c>
    </row>
    <row r="25" spans="1:9" x14ac:dyDescent="0.45">
      <c r="A25">
        <v>6</v>
      </c>
      <c r="B25" s="1">
        <v>9</v>
      </c>
      <c r="C25">
        <f t="shared" si="1"/>
        <v>2</v>
      </c>
      <c r="D25">
        <f t="shared" si="2"/>
        <v>1</v>
      </c>
      <c r="E25">
        <f t="shared" si="3"/>
        <v>2</v>
      </c>
      <c r="F25">
        <f t="shared" si="0"/>
        <v>15</v>
      </c>
      <c r="G25">
        <f>E25+E24+E23+E22+E21+E20</f>
        <v>15</v>
      </c>
      <c r="H25">
        <f t="shared" si="4"/>
        <v>0</v>
      </c>
    </row>
    <row r="26" spans="1:9" x14ac:dyDescent="0.45">
      <c r="A26">
        <v>7</v>
      </c>
      <c r="B26" s="1">
        <v>3</v>
      </c>
      <c r="C26">
        <f t="shared" si="1"/>
        <v>5</v>
      </c>
      <c r="D26">
        <f t="shared" si="2"/>
        <v>1</v>
      </c>
      <c r="E26">
        <f t="shared" si="3"/>
        <v>5</v>
      </c>
      <c r="F26">
        <f t="shared" si="0"/>
        <v>11</v>
      </c>
      <c r="G26">
        <f>E26+E25+E24+E23+E22+E21+E20</f>
        <v>20</v>
      </c>
      <c r="H26">
        <f>IF(G26-F26&lt;=0,0,G26-F26)</f>
        <v>9</v>
      </c>
    </row>
    <row r="27" spans="1:9" x14ac:dyDescent="0.45">
      <c r="A27">
        <v>8</v>
      </c>
      <c r="B27" s="1">
        <v>2</v>
      </c>
      <c r="C27">
        <f t="shared" si="1"/>
        <v>5</v>
      </c>
      <c r="D27">
        <f t="shared" si="2"/>
        <v>1</v>
      </c>
      <c r="E27">
        <f t="shared" si="3"/>
        <v>5</v>
      </c>
      <c r="F27">
        <f t="shared" si="0"/>
        <v>10</v>
      </c>
      <c r="G27">
        <f>E27+E26+E25+E24+E23+E22+E21+E20</f>
        <v>25</v>
      </c>
      <c r="H27">
        <f t="shared" si="4"/>
        <v>15</v>
      </c>
    </row>
    <row r="28" spans="1:9" x14ac:dyDescent="0.45">
      <c r="A28">
        <v>9</v>
      </c>
      <c r="B28" s="1">
        <v>8</v>
      </c>
      <c r="C28">
        <f t="shared" si="1"/>
        <v>5</v>
      </c>
      <c r="D28">
        <f t="shared" si="2"/>
        <v>1.5</v>
      </c>
      <c r="E28">
        <f t="shared" si="3"/>
        <v>7.5</v>
      </c>
      <c r="F28">
        <f t="shared" si="0"/>
        <v>20</v>
      </c>
      <c r="G28">
        <f>E28+E27+E26+E25+E24+E23+E22+E21+E20</f>
        <v>32.5</v>
      </c>
      <c r="H28">
        <f t="shared" si="4"/>
        <v>12.5</v>
      </c>
    </row>
    <row r="29" spans="1:9" x14ac:dyDescent="0.45">
      <c r="A29">
        <v>10</v>
      </c>
      <c r="B29" s="1">
        <v>4</v>
      </c>
      <c r="C29">
        <f t="shared" si="1"/>
        <v>4</v>
      </c>
      <c r="D29">
        <f t="shared" si="2"/>
        <v>2</v>
      </c>
      <c r="E29">
        <f t="shared" si="3"/>
        <v>8</v>
      </c>
      <c r="F29">
        <f t="shared" si="0"/>
        <v>17</v>
      </c>
      <c r="G29">
        <f>E29+E28+E27+E26+E25+E24+E23+E22+E21+E20</f>
        <v>40.5</v>
      </c>
      <c r="H29">
        <f t="shared" si="4"/>
        <v>23.5</v>
      </c>
    </row>
    <row r="31" spans="1:9" x14ac:dyDescent="0.45">
      <c r="A31" s="14" t="s">
        <v>58</v>
      </c>
      <c r="B31" s="3">
        <f>SUM(Lateness)</f>
        <v>60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B010-A05B-4BA5-888D-6513BA6A2322}">
  <dimension ref="A1:B15"/>
  <sheetViews>
    <sheetView workbookViewId="0"/>
  </sheetViews>
  <sheetFormatPr defaultRowHeight="14.25" x14ac:dyDescent="0.45"/>
  <sheetData>
    <row r="1" spans="1:2" x14ac:dyDescent="0.45">
      <c r="A1">
        <v>1</v>
      </c>
    </row>
    <row r="2" spans="1:2" x14ac:dyDescent="0.45">
      <c r="A2" t="s">
        <v>100</v>
      </c>
    </row>
    <row r="3" spans="1:2" x14ac:dyDescent="0.45">
      <c r="A3">
        <v>1</v>
      </c>
    </row>
    <row r="4" spans="1:2" x14ac:dyDescent="0.45">
      <c r="A4">
        <v>0.5</v>
      </c>
    </row>
    <row r="5" spans="1:2" x14ac:dyDescent="0.45">
      <c r="A5">
        <v>5</v>
      </c>
    </row>
    <row r="6" spans="1:2" x14ac:dyDescent="0.45">
      <c r="A6">
        <v>0.25</v>
      </c>
    </row>
    <row r="8" spans="1:2" x14ac:dyDescent="0.45">
      <c r="A8" s="20"/>
      <c r="B8" s="20"/>
    </row>
    <row r="9" spans="1:2" x14ac:dyDescent="0.45">
      <c r="A9" t="s">
        <v>101</v>
      </c>
    </row>
    <row r="10" spans="1:2" x14ac:dyDescent="0.45">
      <c r="A10" t="s">
        <v>102</v>
      </c>
    </row>
    <row r="15" spans="1:2" x14ac:dyDescent="0.45">
      <c r="B15" s="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4F24-C41F-4184-81C8-BA0CF04B7162}">
  <dimension ref="A1:B15"/>
  <sheetViews>
    <sheetView workbookViewId="0"/>
  </sheetViews>
  <sheetFormatPr defaultRowHeight="14.25" x14ac:dyDescent="0.45"/>
  <sheetData>
    <row r="1" spans="1:2" x14ac:dyDescent="0.45">
      <c r="A1">
        <v>1</v>
      </c>
    </row>
    <row r="2" spans="1:2" x14ac:dyDescent="0.45">
      <c r="A2" t="s">
        <v>183</v>
      </c>
    </row>
    <row r="3" spans="1:2" x14ac:dyDescent="0.45">
      <c r="A3">
        <v>1</v>
      </c>
    </row>
    <row r="4" spans="1:2" x14ac:dyDescent="0.45">
      <c r="A4">
        <v>50</v>
      </c>
    </row>
    <row r="5" spans="1:2" x14ac:dyDescent="0.45">
      <c r="A5">
        <v>250</v>
      </c>
    </row>
    <row r="6" spans="1:2" x14ac:dyDescent="0.45">
      <c r="A6">
        <v>10</v>
      </c>
    </row>
    <row r="8" spans="1:2" x14ac:dyDescent="0.45">
      <c r="A8" s="20"/>
      <c r="B8" s="20"/>
    </row>
    <row r="9" spans="1:2" x14ac:dyDescent="0.45">
      <c r="A9" t="s">
        <v>68</v>
      </c>
    </row>
    <row r="10" spans="1:2" x14ac:dyDescent="0.45">
      <c r="A10" t="s">
        <v>20</v>
      </c>
    </row>
    <row r="15" spans="1:2" x14ac:dyDescent="0.45">
      <c r="B15"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2F1C-A789-41A4-96CF-2502ABBD682B}">
  <dimension ref="A1:B15"/>
  <sheetViews>
    <sheetView workbookViewId="0"/>
  </sheetViews>
  <sheetFormatPr defaultRowHeight="14.25" x14ac:dyDescent="0.45"/>
  <sheetData>
    <row r="1" spans="1:2" x14ac:dyDescent="0.45">
      <c r="A1">
        <v>1</v>
      </c>
    </row>
    <row r="2" spans="1:2" x14ac:dyDescent="0.45">
      <c r="A2" t="s">
        <v>62</v>
      </c>
    </row>
    <row r="3" spans="1:2" x14ac:dyDescent="0.45">
      <c r="A3">
        <v>1</v>
      </c>
    </row>
    <row r="4" spans="1:2" x14ac:dyDescent="0.45">
      <c r="A4">
        <v>2</v>
      </c>
    </row>
    <row r="5" spans="1:2" x14ac:dyDescent="0.45">
      <c r="A5">
        <v>30</v>
      </c>
    </row>
    <row r="6" spans="1:2" x14ac:dyDescent="0.45">
      <c r="A6">
        <v>2</v>
      </c>
    </row>
    <row r="8" spans="1:2" x14ac:dyDescent="0.45">
      <c r="A8" s="20"/>
      <c r="B8" s="20"/>
    </row>
    <row r="9" spans="1:2" x14ac:dyDescent="0.45">
      <c r="A9" t="s">
        <v>63</v>
      </c>
    </row>
    <row r="10" spans="1:2" x14ac:dyDescent="0.45">
      <c r="A10" t="s">
        <v>64</v>
      </c>
    </row>
    <row r="15" spans="1:2" x14ac:dyDescent="0.45">
      <c r="B15" s="2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D258-73F7-4CB1-94E5-204047FC57BE}">
  <dimension ref="A1:K23"/>
  <sheetViews>
    <sheetView workbookViewId="0"/>
  </sheetViews>
  <sheetFormatPr defaultRowHeight="14.25" x14ac:dyDescent="0.45"/>
  <sheetData>
    <row r="1" spans="1:11" x14ac:dyDescent="0.45">
      <c r="A1" s="14" t="s">
        <v>103</v>
      </c>
      <c r="K1" s="24" t="str">
        <f>CONCATENATE("Sensitivity of ",$K$4," to ","Job 4 Days Taken")</f>
        <v>Sensitivity of $B$31 to Job 4 Days Taken</v>
      </c>
    </row>
    <row r="3" spans="1:11" x14ac:dyDescent="0.45">
      <c r="A3" t="s">
        <v>104</v>
      </c>
      <c r="K3" t="s">
        <v>67</v>
      </c>
    </row>
    <row r="4" spans="1:11" ht="32.65" x14ac:dyDescent="0.45">
      <c r="B4" s="22" t="s">
        <v>101</v>
      </c>
      <c r="J4" s="24">
        <f>MATCH($K$4,OutputAddresses,0)</f>
        <v>1</v>
      </c>
      <c r="K4" s="23" t="s">
        <v>101</v>
      </c>
    </row>
    <row r="5" spans="1:11" x14ac:dyDescent="0.45">
      <c r="A5">
        <v>0.5</v>
      </c>
      <c r="B5" s="31">
        <v>42.5</v>
      </c>
      <c r="K5">
        <f>INDEX(OutputValues,1,$J$4)</f>
        <v>42.5</v>
      </c>
    </row>
    <row r="6" spans="1:11" x14ac:dyDescent="0.45">
      <c r="A6">
        <v>0.75</v>
      </c>
      <c r="B6" s="32">
        <v>46.5</v>
      </c>
      <c r="K6">
        <f>INDEX(OutputValues,2,$J$4)</f>
        <v>46.5</v>
      </c>
    </row>
    <row r="7" spans="1:11" x14ac:dyDescent="0.45">
      <c r="A7">
        <v>1</v>
      </c>
      <c r="B7" s="32">
        <v>50.5</v>
      </c>
      <c r="K7">
        <f>INDEX(OutputValues,3,$J$4)</f>
        <v>50.5</v>
      </c>
    </row>
    <row r="8" spans="1:11" x14ac:dyDescent="0.45">
      <c r="A8">
        <v>1.25</v>
      </c>
      <c r="B8" s="32">
        <v>54.5</v>
      </c>
      <c r="K8">
        <f>INDEX(OutputValues,4,$J$4)</f>
        <v>54.5</v>
      </c>
    </row>
    <row r="9" spans="1:11" x14ac:dyDescent="0.45">
      <c r="A9">
        <v>1.5</v>
      </c>
      <c r="B9" s="32">
        <v>56.5</v>
      </c>
      <c r="K9">
        <f>INDEX(OutputValues,5,$J$4)</f>
        <v>56.5</v>
      </c>
    </row>
    <row r="10" spans="1:11" x14ac:dyDescent="0.45">
      <c r="A10">
        <v>1.75</v>
      </c>
      <c r="B10" s="32">
        <v>58.5</v>
      </c>
      <c r="K10">
        <f>INDEX(OutputValues,6,$J$4)</f>
        <v>58.5</v>
      </c>
    </row>
    <row r="11" spans="1:11" x14ac:dyDescent="0.45">
      <c r="A11">
        <v>2</v>
      </c>
      <c r="B11" s="32">
        <v>60</v>
      </c>
      <c r="K11">
        <f>INDEX(OutputValues,7,$J$4)</f>
        <v>60</v>
      </c>
    </row>
    <row r="12" spans="1:11" x14ac:dyDescent="0.45">
      <c r="A12">
        <v>2.25</v>
      </c>
      <c r="B12" s="32">
        <v>61</v>
      </c>
      <c r="K12">
        <f>INDEX(OutputValues,8,$J$4)</f>
        <v>61</v>
      </c>
    </row>
    <row r="13" spans="1:11" x14ac:dyDescent="0.45">
      <c r="A13">
        <v>2.5</v>
      </c>
      <c r="B13" s="32">
        <v>62</v>
      </c>
      <c r="K13">
        <f>INDEX(OutputValues,9,$J$4)</f>
        <v>62</v>
      </c>
    </row>
    <row r="14" spans="1:11" x14ac:dyDescent="0.45">
      <c r="A14">
        <v>2.75</v>
      </c>
      <c r="B14" s="32">
        <v>63</v>
      </c>
      <c r="K14">
        <f>INDEX(OutputValues,10,$J$4)</f>
        <v>63</v>
      </c>
    </row>
    <row r="15" spans="1:11" x14ac:dyDescent="0.45">
      <c r="A15">
        <v>3</v>
      </c>
      <c r="B15" s="32">
        <v>64</v>
      </c>
      <c r="K15">
        <f>INDEX(OutputValues,11,$J$4)</f>
        <v>64</v>
      </c>
    </row>
    <row r="16" spans="1:11" x14ac:dyDescent="0.45">
      <c r="A16">
        <v>3.25</v>
      </c>
      <c r="B16" s="32">
        <v>65</v>
      </c>
      <c r="K16">
        <f>INDEX(OutputValues,12,$J$4)</f>
        <v>65</v>
      </c>
    </row>
    <row r="17" spans="1:11" x14ac:dyDescent="0.45">
      <c r="A17">
        <v>3.5</v>
      </c>
      <c r="B17" s="32">
        <v>66</v>
      </c>
      <c r="K17">
        <f>INDEX(OutputValues,13,$J$4)</f>
        <v>66</v>
      </c>
    </row>
    <row r="18" spans="1:11" x14ac:dyDescent="0.45">
      <c r="A18">
        <v>3.75</v>
      </c>
      <c r="B18" s="32">
        <v>67</v>
      </c>
      <c r="K18">
        <f>INDEX(OutputValues,14,$J$4)</f>
        <v>67</v>
      </c>
    </row>
    <row r="19" spans="1:11" x14ac:dyDescent="0.45">
      <c r="A19">
        <v>4</v>
      </c>
      <c r="B19" s="32">
        <v>68</v>
      </c>
      <c r="K19">
        <f>INDEX(OutputValues,15,$J$4)</f>
        <v>68</v>
      </c>
    </row>
    <row r="20" spans="1:11" x14ac:dyDescent="0.45">
      <c r="A20">
        <v>4.25</v>
      </c>
      <c r="B20" s="32">
        <v>69</v>
      </c>
      <c r="K20">
        <f>INDEX(OutputValues,16,$J$4)</f>
        <v>69</v>
      </c>
    </row>
    <row r="21" spans="1:11" x14ac:dyDescent="0.45">
      <c r="A21">
        <v>4.5</v>
      </c>
      <c r="B21" s="32">
        <v>70</v>
      </c>
      <c r="K21">
        <f>INDEX(OutputValues,17,$J$4)</f>
        <v>70</v>
      </c>
    </row>
    <row r="22" spans="1:11" x14ac:dyDescent="0.45">
      <c r="A22">
        <v>4.75</v>
      </c>
      <c r="B22" s="32">
        <v>71</v>
      </c>
      <c r="K22">
        <f>INDEX(OutputValues,18,$J$4)</f>
        <v>71</v>
      </c>
    </row>
    <row r="23" spans="1:11" x14ac:dyDescent="0.45">
      <c r="A23">
        <v>5</v>
      </c>
      <c r="B23" s="33">
        <v>72</v>
      </c>
      <c r="K23">
        <f>INDEX(OutputValues,19,$J$4)</f>
        <v>72</v>
      </c>
    </row>
  </sheetData>
  <dataValidations count="1">
    <dataValidation type="list" allowBlank="1" showInputMessage="1" showErrorMessage="1" sqref="K4" xr:uid="{8DF529E1-8EA4-4C77-B9FF-F3484CDE5A57}">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61</vt:i4>
      </vt:variant>
    </vt:vector>
  </HeadingPairs>
  <TitlesOfParts>
    <vt:vector size="69" baseType="lpstr">
      <vt:lpstr>7.54</vt:lpstr>
      <vt:lpstr>7.54 (Sensitivity Analysis)</vt:lpstr>
      <vt:lpstr>7.60</vt:lpstr>
      <vt:lpstr>7.60(Additional)</vt:lpstr>
      <vt:lpstr>8.15</vt:lpstr>
      <vt:lpstr>8.15 (Sensitivity Analysis)</vt:lpstr>
      <vt:lpstr>8.35</vt:lpstr>
      <vt:lpstr>8.35(additional)</vt:lpstr>
      <vt:lpstr>Area_Serviced</vt:lpstr>
      <vt:lpstr>attribute1_level</vt:lpstr>
      <vt:lpstr>Attribute1_matrix</vt:lpstr>
      <vt:lpstr>attribute2_level</vt:lpstr>
      <vt:lpstr>Attribute2_matrix</vt:lpstr>
      <vt:lpstr>attribute3_level</vt:lpstr>
      <vt:lpstr>Attribute3_matrix</vt:lpstr>
      <vt:lpstr>attribute4_level</vt:lpstr>
      <vt:lpstr>Attribute4_matrix</vt:lpstr>
      <vt:lpstr>Average_Dist_War_to_Cust</vt:lpstr>
      <vt:lpstr>'7.54 (Sensitivity Analysis)'!ChartData</vt:lpstr>
      <vt:lpstr>'7.60(Additional)'!ChartData</vt:lpstr>
      <vt:lpstr>'8.15 (Sensitivity Analysis)'!ChartData</vt:lpstr>
      <vt:lpstr>'8.35(additional)'!ChartData</vt:lpstr>
      <vt:lpstr>Cost_to_Build_War</vt:lpstr>
      <vt:lpstr>Cost_to_Build_War__year</vt:lpstr>
      <vt:lpstr>current_product_level_mix</vt:lpstr>
      <vt:lpstr>customer_segment_array</vt:lpstr>
      <vt:lpstr>Days_per_item</vt:lpstr>
      <vt:lpstr>Due_date</vt:lpstr>
      <vt:lpstr>Fixed_Cost_War_Main</vt:lpstr>
      <vt:lpstr>'7.54 (Sensitivity Analysis)'!InputValues</vt:lpstr>
      <vt:lpstr>'7.60(Additional)'!InputValues</vt:lpstr>
      <vt:lpstr>'8.15 (Sensitivity Analysis)'!InputValues</vt:lpstr>
      <vt:lpstr>'8.35(additional)'!InputValues</vt:lpstr>
      <vt:lpstr>Items</vt:lpstr>
      <vt:lpstr>Job</vt:lpstr>
      <vt:lpstr>Lateness</vt:lpstr>
      <vt:lpstr>Maximum_score__from_any_product_line_for_customer_segment</vt:lpstr>
      <vt:lpstr>No_Of_Segments_who_purchase_between_our_products</vt:lpstr>
      <vt:lpstr>Number_of_War</vt:lpstr>
      <vt:lpstr>Orders_Filled_Per_Year</vt:lpstr>
      <vt:lpstr>'7.54 (Sensitivity Analysis)'!OutputAddresses</vt:lpstr>
      <vt:lpstr>'7.60(Additional)'!OutputAddresses</vt:lpstr>
      <vt:lpstr>'8.15 (Sensitivity Analysis)'!OutputAddresses</vt:lpstr>
      <vt:lpstr>'8.35(additional)'!OutputAddresses</vt:lpstr>
      <vt:lpstr>'7.54 (Sensitivity Analysis)'!OutputValues</vt:lpstr>
      <vt:lpstr>'7.60(Additional)'!OutputValues</vt:lpstr>
      <vt:lpstr>'8.15 (Sensitivity Analysis)'!OutputValues</vt:lpstr>
      <vt:lpstr>'8.35(additional)'!OutputValues</vt:lpstr>
      <vt:lpstr>Power</vt:lpstr>
      <vt:lpstr>Profit_Q1</vt:lpstr>
      <vt:lpstr>Profit_Q2</vt:lpstr>
      <vt:lpstr>Q1_cost_to_produce</vt:lpstr>
      <vt:lpstr>Q1_Price</vt:lpstr>
      <vt:lpstr>Q1_Quanty</vt:lpstr>
      <vt:lpstr>Q2_cost_to_produce</vt:lpstr>
      <vt:lpstr>Q2_Price</vt:lpstr>
      <vt:lpstr>Q2_Quantity</vt:lpstr>
      <vt:lpstr>Razor1_level_matrix</vt:lpstr>
      <vt:lpstr>razor2_level_matrix</vt:lpstr>
      <vt:lpstr>Shipping_Cost_per_Order</vt:lpstr>
      <vt:lpstr>Tota_Fixed_Cost_Main</vt:lpstr>
      <vt:lpstr>Total_Cost</vt:lpstr>
      <vt:lpstr>Total_Cost_of_Building_War</vt:lpstr>
      <vt:lpstr>Total_Cost_of_Shipping</vt:lpstr>
      <vt:lpstr>Total_no_of_segments__purchasing_from_our__productline</vt:lpstr>
      <vt:lpstr>Total_Profit</vt:lpstr>
      <vt:lpstr>Totalworth_to_each_segment_for_current_product</vt:lpstr>
      <vt:lpstr>Totalworth_to_each_segment_for_razor1</vt:lpstr>
      <vt:lpstr>Totalworth_to_each_segment_for_razor2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Zubair Porbunderwala</dc:creator>
  <cp:lastModifiedBy>Asutosh Mishra</cp:lastModifiedBy>
  <dcterms:created xsi:type="dcterms:W3CDTF">2022-04-23T17:38:42Z</dcterms:created>
  <dcterms:modified xsi:type="dcterms:W3CDTF">2024-05-27T02:19:34Z</dcterms:modified>
</cp:coreProperties>
</file>