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drawings/drawing9.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comments7.xml" ContentType="application/vnd.openxmlformats-officedocument.spreadsheetml.comments+xml"/>
  <Override PartName="/xl/charts/chart10.xml" ContentType="application/vnd.openxmlformats-officedocument.drawingml.chart+xml"/>
  <Override PartName="/xl/drawings/drawing12.xml" ContentType="application/vnd.openxmlformats-officedocument.drawing+xml"/>
  <Override PartName="/xl/comments8.xml" ContentType="application/vnd.openxmlformats-officedocument.spreadsheetml.comments+xml"/>
  <Override PartName="/xl/charts/chart11.xml" ContentType="application/vnd.openxmlformats-officedocument.drawingml.chart+xml"/>
  <Override PartName="/xl/drawings/drawing13.xml" ContentType="application/vnd.openxmlformats-officedocument.drawing+xml"/>
  <Override PartName="/xl/comments9.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drawings/drawing14.xml" ContentType="application/vnd.openxmlformats-officedocument.drawing+xml"/>
  <Override PartName="/xl/comments10.xml" ContentType="application/vnd.openxmlformats-officedocument.spreadsheetml.comments+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14807\Downloads\"/>
    </mc:Choice>
  </mc:AlternateContent>
  <xr:revisionPtr revIDLastSave="0" documentId="13_ncr:1_{2B961F87-71FC-4DF1-935D-09FA65973FB6}" xr6:coauthVersionLast="47" xr6:coauthVersionMax="47" xr10:uidLastSave="{00000000-0000-0000-0000-000000000000}"/>
  <bookViews>
    <workbookView xWindow="-98" yWindow="-98" windowWidth="23236" windowHeight="13875" firstSheet="9" activeTab="11" xr2:uid="{58BDDD63-516C-4ED1-A157-D56DE9EB06FE}"/>
  </bookViews>
  <sheets>
    <sheet name="3.38(a)" sheetId="11" r:id="rId1"/>
    <sheet name="3.38(b)" sheetId="16" r:id="rId2"/>
    <sheet name="3.38(additional)" sheetId="26" r:id="rId3"/>
    <sheet name="3.42(a)" sheetId="1" r:id="rId4"/>
    <sheet name="3.42(b)" sheetId="5" r:id="rId5"/>
    <sheet name="3.42(additional)" sheetId="7" r:id="rId6"/>
    <sheet name="Office Schedulling" sheetId="2" r:id="rId7"/>
    <sheet name="4.46(a)_STS" sheetId="8" state="veryHidden" r:id="rId8"/>
    <sheet name="3.42(a)_STS" sheetId="3" state="veryHidden" r:id="rId9"/>
    <sheet name="4.46(b)" sheetId="9" r:id="rId10"/>
    <sheet name="4.46(additional)" sheetId="10" r:id="rId11"/>
    <sheet name="Profit Maximization" sheetId="17" r:id="rId12"/>
    <sheet name="4.50(b)" sheetId="21" r:id="rId13"/>
    <sheet name="4.50(a)_STS" sheetId="20" state="veryHidden" r:id="rId14"/>
    <sheet name="3.38(a)_STS" sheetId="12" state="veryHidden" r:id="rId15"/>
    <sheet name="4.50(c)" sheetId="24" r:id="rId16"/>
    <sheet name="4.50(d)" sheetId="25" r:id="rId17"/>
    <sheet name="4.50(additional)" sheetId="27" r:id="rId18"/>
  </sheets>
  <externalReferences>
    <externalReference r:id="rId19"/>
  </externalReferences>
  <definedNames>
    <definedName name="Actual_hours">'3.38(a)'!$B$46:$B$48</definedName>
    <definedName name="Actual_machine_hours_week">'3.42(a)'!$B$34:$B$35</definedName>
    <definedName name="Actual_Production" localSheetId="11">'Profit Maximization'!$B$26:$B$27</definedName>
    <definedName name="Actual_production">'3.42(a)'!$B$29:$B$30</definedName>
    <definedName name="Actual_Quality">'Profit Maximization'!$B$33:$B$34</definedName>
    <definedName name="Average_Quality_Bag">'Profit Maximization'!$B$34</definedName>
    <definedName name="Average_Quality_Juice">'Profit Maximization'!$B$33</definedName>
    <definedName name="Average_quality_of_oranges_sold_in_bags">'[1]4.50(a)'!$F$22</definedName>
    <definedName name="Average_quality_of_oranges_sold_in_juice">'[1]4.50(a)'!$F$21</definedName>
    <definedName name="Bag_cost_per_pound" localSheetId="11">'Profit Maximization'!$B$8</definedName>
    <definedName name="Bag_cost_per_pound">'[1]4.50(a)'!$B$8</definedName>
    <definedName name="Bag_revenue_per_pound" localSheetId="11">'Profit Maximization'!$B$7</definedName>
    <definedName name="Bag_revenue_per_pound">'[1]4.50(a)'!$B$7</definedName>
    <definedName name="ChartData" localSheetId="2">'3.38(additional)'!$K$5:$K$11</definedName>
    <definedName name="ChartData" localSheetId="10">'4.46(additional)'!$K$5:$K$12</definedName>
    <definedName name="ChartData" localSheetId="9">'4.46(b)'!$K$5:$K$11</definedName>
    <definedName name="ChartData" localSheetId="17">'4.50(additional)'!$K$5:$K$24</definedName>
    <definedName name="ChartData" localSheetId="12">'4.50(b)'!$K$5:$K$14</definedName>
    <definedName name="ChartData" localSheetId="15">'4.50(c)'!$K$5:$K$15</definedName>
    <definedName name="ChartData1" localSheetId="1">'3.38(b)'!$N$5:$N$15</definedName>
    <definedName name="ChartData1" localSheetId="5">'3.42(additional)'!$K$5:$K$8</definedName>
    <definedName name="ChartData1" localSheetId="4">'3.42(b)'!$K$5:$K$12</definedName>
    <definedName name="ChartData1" localSheetId="16">'4.50(d)'!$M$5:$M$14</definedName>
    <definedName name="ChartData2" localSheetId="1">'3.38(b)'!$R$5:$R$15</definedName>
    <definedName name="ChartData2" localSheetId="5">'3.42(additional)'!$O$5:$O$8</definedName>
    <definedName name="ChartData2" localSheetId="4">'3.42(b)'!$O$5:$O$11</definedName>
    <definedName name="ChartData2" localSheetId="16">'4.50(d)'!$Q$5:$Q$14</definedName>
    <definedName name="Grade_6_Oranges">'Profit Maximization'!$B$2</definedName>
    <definedName name="Grade_9_Oranges">'Profit Maximization'!$B$3</definedName>
    <definedName name="Grade_of_oranges">'[1]4.50(a)'!$B$20:$C$20</definedName>
    <definedName name="Hours_of_labor_required_per_unit_Machine1">'[1]3.38(a)'!$B$15:$B$16</definedName>
    <definedName name="Hours_of_labor_required_per_unit_Machine2">'[1]3.38(a)'!$C$15:$C$16</definedName>
    <definedName name="Hours_of_machine_time_per_unit_Machine1">'[1]3.38(a)'!$B$11:$B$12</definedName>
    <definedName name="Hours_of_machine_time_per_unit_Machine2">'[1]3.38(a)'!$C$11:$C$12</definedName>
    <definedName name="InputValues" localSheetId="2">'3.38(additional)'!$A$5:$A$11</definedName>
    <definedName name="InputValues" localSheetId="10">'4.46(additional)'!$A$5:$A$12</definedName>
    <definedName name="InputValues" localSheetId="9">'4.46(b)'!$A$5:$A$11</definedName>
    <definedName name="InputValues" localSheetId="17">'4.50(additional)'!$A$5:$A$24</definedName>
    <definedName name="InputValues" localSheetId="12">'4.50(b)'!$A$5:$A$14</definedName>
    <definedName name="InputValues" localSheetId="15">'4.50(c)'!$A$5:$A$15</definedName>
    <definedName name="InputValues1" localSheetId="1">'3.38(b)'!$A$5:$A$15</definedName>
    <definedName name="InputValues1" localSheetId="5">'3.42(additional)'!$A$5:$A$8</definedName>
    <definedName name="InputValues1" localSheetId="4">'3.42(b)'!$A$5:$A$11</definedName>
    <definedName name="InputValues1" localSheetId="16">'4.50(d)'!$A$5:$A$14</definedName>
    <definedName name="InputValues2" localSheetId="1">'3.38(b)'!$B$4:$L$4</definedName>
    <definedName name="InputValues2" localSheetId="5">'3.42(additional)'!$B$4:$E$4</definedName>
    <definedName name="InputValues2" localSheetId="4">'3.42(b)'!$B$4:$I$4</definedName>
    <definedName name="InputValues2" localSheetId="16">'4.50(d)'!$B$4:$K$4</definedName>
    <definedName name="Juice_cost_per_pound" localSheetId="11">'Profit Maximization'!$B$6</definedName>
    <definedName name="Juice_cost_per_pound">'[1]4.50(a)'!$B$6</definedName>
    <definedName name="Juice_revenue_per_pound" localSheetId="11">'Profit Maximization'!$B$5</definedName>
    <definedName name="Juice_revenue_per_pound">'[1]4.50(a)'!$B$5</definedName>
    <definedName name="Labor_Hours_Required_P1_M2">'3.38(a)'!$B$40</definedName>
    <definedName name="Labor_Hours_Required_P1_on_M1">'3.38(a)'!$B$34</definedName>
    <definedName name="Labor_Hours_Required_P2_M1">'3.38(a)'!$B$37</definedName>
    <definedName name="Labor_Hours_Required_P2_M2">'3.38(a)'!$B$43</definedName>
    <definedName name="Machine_and_Labor_Hour_Constraint">'3.38(a)'!$D$46:$D$48</definedName>
    <definedName name="Machine_Hours_Required_P1_M2">'3.38(a)'!$B$39</definedName>
    <definedName name="Machine_Hours_Required_P1_on_M1">'3.38(a)'!$B$33</definedName>
    <definedName name="Machine_Hours_Required_P2_M1">'3.38(a)'!$B$36</definedName>
    <definedName name="Machine_Hours_Required_P2_M2">'3.38(a)'!$B$42</definedName>
    <definedName name="Machine_hrs_week_Indianapolis">'3.42(a)'!$B$21:$C$21</definedName>
    <definedName name="Machine_hrs_week_Los_Angeles">'3.42(a)'!$B$22:$C$22</definedName>
    <definedName name="Max_grade">'[1]4.50(a)'!$B$9</definedName>
    <definedName name="Max_hrs_per_week">'3.42(a)'!$D$34:$D$35</definedName>
    <definedName name="Max_Quality_Constraint">'Profit Maximization'!$F$33:$F$34</definedName>
    <definedName name="Maximum_labour_hours_allotted">'[1]3.38(a)'!$D$40</definedName>
    <definedName name="Maximum_Machine_hours_on_Machines">'[1]3.38(a)'!$D$32:$D$33</definedName>
    <definedName name="Maximum_quality_constraint">'[1]4.50(a)'!$K$27:$K$28</definedName>
    <definedName name="Min_num_officers">'Office Schedulling'!$B$5:$G$5</definedName>
    <definedName name="Min_Production_Req_P1">'3.38(a)'!$F$24</definedName>
    <definedName name="Min_Production_Req_P2">'3.38(a)'!$F$29</definedName>
    <definedName name="Min_Quality_Constraint">'Profit Maximization'!$D$33:$D$34</definedName>
    <definedName name="Minimum_Product_1_Requirement">'3.38(a)'!$B$9</definedName>
    <definedName name="Minimum_Product_2_Requirement">'3.38(a)'!$B$10</definedName>
    <definedName name="Minimum_product_requirement">'[1]3.38(a)'!$F$27:$F$28</definedName>
    <definedName name="Minimum_quality_Constraint">'[1]4.50(a)'!$I$27:$I$28</definedName>
    <definedName name="Minimum_requirement">'3.42(a)'!$D$29:$D$30</definedName>
    <definedName name="no._of_officers_starting_on_this_shift">'Office Schedulling'!$B$8:$G$8</definedName>
    <definedName name="No_of_G6_oranges_bag">'Profit Maximization'!$B$23</definedName>
    <definedName name="No_of_G6_oranges_Juice">'Profit Maximization'!$B$21</definedName>
    <definedName name="No_of_G9_oranges_bag">'Profit Maximization'!$B$24</definedName>
    <definedName name="No_of_G9_oranges_juice">'Profit Maximization'!$B$22</definedName>
    <definedName name="no_of_officers_working_this_shift">'Office Schedulling'!$B$7:$G$7</definedName>
    <definedName name="no_of_units_of_Product1">'[1]3.38(a)'!$B$27:$C$27</definedName>
    <definedName name="no_of_units_of_Product2">'[1]3.38(a)'!$B$28:$C$28</definedName>
    <definedName name="No_of_units_produced_Machine1">'[1]3.38(a)'!$B$27:$B$28</definedName>
    <definedName name="No_of_units_produced_Machine2">'[1]3.38(a)'!$C$27:$C$28</definedName>
    <definedName name="OutputAddresses" localSheetId="2">'3.38(additional)'!$B$4</definedName>
    <definedName name="OutputAddresses" localSheetId="1">'3.38(b)'!$AZ$2</definedName>
    <definedName name="OutputAddresses" localSheetId="5">'3.42(additional)'!$AZ$2</definedName>
    <definedName name="OutputAddresses" localSheetId="4">'3.42(b)'!$AZ$2</definedName>
    <definedName name="OutputAddresses" localSheetId="10">'4.46(additional)'!$B$4</definedName>
    <definedName name="OutputAddresses" localSheetId="9">'4.46(b)'!$B$4</definedName>
    <definedName name="OutputAddresses" localSheetId="17">'4.50(additional)'!$B$4</definedName>
    <definedName name="OutputAddresses" localSheetId="12">'4.50(b)'!$B$4</definedName>
    <definedName name="OutputAddresses" localSheetId="15">'4.50(c)'!$B$4</definedName>
    <definedName name="OutputAddresses" localSheetId="16">'4.50(d)'!$AZ$2</definedName>
    <definedName name="OutputValues" localSheetId="2">'3.38(additional)'!$B$5:$B$11</definedName>
    <definedName name="OutputValues" localSheetId="10">'4.46(additional)'!$B$5:$B$12</definedName>
    <definedName name="OutputValues" localSheetId="9">'4.46(b)'!$B$5:$B$11</definedName>
    <definedName name="OutputValues" localSheetId="17">'4.50(additional)'!$B$5:$B$24</definedName>
    <definedName name="OutputValues" localSheetId="12">'4.50(b)'!$B$5:$B$14</definedName>
    <definedName name="OutputValues" localSheetId="15">'4.50(c)'!$B$5:$B$15</definedName>
    <definedName name="OutputValues_1" localSheetId="1">'3.38(b)'!$B$5:$L$15</definedName>
    <definedName name="OutputValues_1" localSheetId="5">'3.42(additional)'!$B$5:$E$8</definedName>
    <definedName name="OutputValues_1" localSheetId="4">'3.42(b)'!$B$5:$I$11</definedName>
    <definedName name="OutputValues_1" localSheetId="16">'4.50(d)'!$B$5:$K$14</definedName>
    <definedName name="Percent_of_P1_to_Produce_on_M2">'3.38(a)'!$B$11</definedName>
    <definedName name="Percent_of_P2_to_Produce_on_M1">'3.38(a)'!$B$12</definedName>
    <definedName name="pounds_of_oranges_for_bag">'[1]4.50(a)'!$B$22:$C$22</definedName>
    <definedName name="pounds_of_oranges_for_juice">'[1]4.50(a)'!$B$21:$C$21</definedName>
    <definedName name="pounds_produced_week_Drug1">'3.42(a)'!$B$26:$B$27</definedName>
    <definedName name="pounds_produced_week_Drug2">'3.42(a)'!$C$26:$C$27</definedName>
    <definedName name="pounds_produced_week_Indianpolis">'3.42(a)'!$B$26:$C$26</definedName>
    <definedName name="pounds_produced_week_Los_Angeles">'3.42(a)'!$B$27:$C$27</definedName>
    <definedName name="production_matrix">'3.42(a)'!$B$26:$C$27</definedName>
    <definedName name="Profit_Per_Pound_Bag" localSheetId="11">'Profit Maximization'!$B$37</definedName>
    <definedName name="Profit_per_pound_bag">'[1]4.50(a)'!$B$32</definedName>
    <definedName name="Profit_Per_Pound_Juice" localSheetId="11">'Profit Maximization'!$B$36</definedName>
    <definedName name="Profit_per_pound_juice">'[1]4.50(a)'!$B$31</definedName>
    <definedName name="Quality_Constraint">'Profit Maximization'!$D$33:$D$34</definedName>
    <definedName name="Quality_Requirement_Bag">'Profit Maximization'!$B$10</definedName>
    <definedName name="Quality_Requirement_Juice">'Profit Maximization'!$B$9</definedName>
    <definedName name="solver_adj" localSheetId="0" hidden="1">'3.38(a)'!$B$24:$C$24,'3.38(a)'!$B$29:$C$29</definedName>
    <definedName name="solver_adj" localSheetId="3" hidden="1">'3.42(a)'!$B$26:$C$27</definedName>
    <definedName name="solver_adj" localSheetId="6" hidden="1">'Office Schedulling'!$B$8:$G$8</definedName>
    <definedName name="solver_adj" localSheetId="11" hidden="1">'Profit Maximization'!$B$21:$B$24</definedName>
    <definedName name="solver_cvg" localSheetId="0" hidden="1">0.0001</definedName>
    <definedName name="solver_cvg" localSheetId="3" hidden="1">0.0001</definedName>
    <definedName name="solver_cvg" localSheetId="6" hidden="1">0.0001</definedName>
    <definedName name="solver_cvg" localSheetId="11" hidden="1">0.0001</definedName>
    <definedName name="solver_drv" localSheetId="0" hidden="1">1</definedName>
    <definedName name="solver_drv" localSheetId="3" hidden="1">2</definedName>
    <definedName name="solver_drv" localSheetId="6" hidden="1">2</definedName>
    <definedName name="solver_drv" localSheetId="11" hidden="1">1</definedName>
    <definedName name="solver_eng" localSheetId="0" hidden="1">2</definedName>
    <definedName name="solver_eng" localSheetId="3" hidden="1">2</definedName>
    <definedName name="solver_eng" localSheetId="5" hidden="1">1</definedName>
    <definedName name="solver_eng" localSheetId="10" hidden="1">1</definedName>
    <definedName name="solver_eng" localSheetId="9" hidden="1">1</definedName>
    <definedName name="solver_eng" localSheetId="16" hidden="1">1</definedName>
    <definedName name="solver_eng" localSheetId="6" hidden="1">2</definedName>
    <definedName name="solver_eng" localSheetId="11" hidden="1">2</definedName>
    <definedName name="solver_est" localSheetId="0" hidden="1">1</definedName>
    <definedName name="solver_est" localSheetId="3" hidden="1">1</definedName>
    <definedName name="solver_est" localSheetId="6" hidden="1">1</definedName>
    <definedName name="solver_est" localSheetId="11" hidden="1">1</definedName>
    <definedName name="solver_itr" localSheetId="0" hidden="1">2147483647</definedName>
    <definedName name="solver_itr" localSheetId="3" hidden="1">2147483647</definedName>
    <definedName name="solver_itr" localSheetId="6" hidden="1">2147483647</definedName>
    <definedName name="solver_itr" localSheetId="11" hidden="1">2147483647</definedName>
    <definedName name="solver_lhs1" localSheetId="0" hidden="1">'3.38(a)'!$B$29</definedName>
    <definedName name="solver_lhs1" localSheetId="3" hidden="1">'3.42(a)'!$B$34:$B$35</definedName>
    <definedName name="solver_lhs1" localSheetId="6" hidden="1">'Office Schedulling'!$B$7:$G$7</definedName>
    <definedName name="solver_lhs1" localSheetId="11" hidden="1">'Profit Maximization'!$B$21:$B$24</definedName>
    <definedName name="solver_lhs2" localSheetId="0" hidden="1">'3.38(a)'!$B$46:$B$48</definedName>
    <definedName name="solver_lhs2" localSheetId="3" hidden="1">'3.42(a)'!$B$29:$B$30</definedName>
    <definedName name="solver_lhs2" localSheetId="11" hidden="1">'Profit Maximization'!$B$26:$B$27</definedName>
    <definedName name="solver_lhs3" localSheetId="0" hidden="1">'3.38(a)'!$D$29</definedName>
    <definedName name="solver_lhs3" localSheetId="11" hidden="1">'Profit Maximization'!$B$33:$B$34</definedName>
    <definedName name="solver_lhs4" localSheetId="0" hidden="1">'3.38(a)'!$C$24</definedName>
    <definedName name="solver_lhs4" localSheetId="11" hidden="1">'Profit Maximization'!$B$27</definedName>
    <definedName name="solver_lhs5" localSheetId="0" hidden="1">'3.38(a)'!$D$24</definedName>
    <definedName name="solver_lhs5" localSheetId="11" hidden="1">'Profit Maximization'!$B$27</definedName>
    <definedName name="solver_lhs6" localSheetId="0" hidden="1">'3.38(a)'!$D$24</definedName>
    <definedName name="solver_lhs6" localSheetId="11" hidden="1">'Profit Maximization'!$B$27</definedName>
    <definedName name="solver_lhs7" localSheetId="0" hidden="1">'3.38(a)'!$D$24</definedName>
    <definedName name="solver_lhs8" localSheetId="0" hidden="1">'3.38(a)'!$D$29</definedName>
    <definedName name="solver_mip" localSheetId="0" hidden="1">2147483647</definedName>
    <definedName name="solver_mip" localSheetId="3" hidden="1">2147483647</definedName>
    <definedName name="solver_mip" localSheetId="6" hidden="1">2147483647</definedName>
    <definedName name="solver_mip" localSheetId="11" hidden="1">2147483647</definedName>
    <definedName name="solver_mni" localSheetId="0" hidden="1">30</definedName>
    <definedName name="solver_mni" localSheetId="3" hidden="1">30</definedName>
    <definedName name="solver_mni" localSheetId="6" hidden="1">30</definedName>
    <definedName name="solver_mni" localSheetId="11" hidden="1">30</definedName>
    <definedName name="solver_mrt" localSheetId="0" hidden="1">0.075</definedName>
    <definedName name="solver_mrt" localSheetId="3" hidden="1">0.075</definedName>
    <definedName name="solver_mrt" localSheetId="6" hidden="1">0.075</definedName>
    <definedName name="solver_mrt" localSheetId="11" hidden="1">0.075</definedName>
    <definedName name="solver_msl" localSheetId="0" hidden="1">2</definedName>
    <definedName name="solver_msl" localSheetId="3" hidden="1">2</definedName>
    <definedName name="solver_msl" localSheetId="6" hidden="1">2</definedName>
    <definedName name="solver_msl" localSheetId="11" hidden="1">2</definedName>
    <definedName name="solver_neg" localSheetId="0" hidden="1">1</definedName>
    <definedName name="solver_neg" localSheetId="3" hidden="1">1</definedName>
    <definedName name="solver_neg" localSheetId="5" hidden="1">1</definedName>
    <definedName name="solver_neg" localSheetId="10" hidden="1">1</definedName>
    <definedName name="solver_neg" localSheetId="9" hidden="1">1</definedName>
    <definedName name="solver_neg" localSheetId="16" hidden="1">1</definedName>
    <definedName name="solver_neg" localSheetId="6" hidden="1">1</definedName>
    <definedName name="solver_neg" localSheetId="11" hidden="1">1</definedName>
    <definedName name="solver_nod" localSheetId="0" hidden="1">2147483647</definedName>
    <definedName name="solver_nod" localSheetId="3" hidden="1">2147483647</definedName>
    <definedName name="solver_nod" localSheetId="6" hidden="1">2147483647</definedName>
    <definedName name="solver_nod" localSheetId="11" hidden="1">2147483647</definedName>
    <definedName name="solver_num" localSheetId="0" hidden="1">5</definedName>
    <definedName name="solver_num" localSheetId="3" hidden="1">2</definedName>
    <definedName name="solver_num" localSheetId="5" hidden="1">0</definedName>
    <definedName name="solver_num" localSheetId="10" hidden="1">0</definedName>
    <definedName name="solver_num" localSheetId="9" hidden="1">0</definedName>
    <definedName name="solver_num" localSheetId="16" hidden="1">0</definedName>
    <definedName name="solver_num" localSheetId="6" hidden="1">1</definedName>
    <definedName name="solver_num" localSheetId="11" hidden="1">3</definedName>
    <definedName name="solver_nwt" localSheetId="0" hidden="1">1</definedName>
    <definedName name="solver_nwt" localSheetId="3" hidden="1">1</definedName>
    <definedName name="solver_nwt" localSheetId="6" hidden="1">1</definedName>
    <definedName name="solver_nwt" localSheetId="11" hidden="1">1</definedName>
    <definedName name="solver_opt" localSheetId="0" hidden="1">'3.38(a)'!$B$54</definedName>
    <definedName name="solver_opt" localSheetId="3" hidden="1">'3.42(a)'!$B$37</definedName>
    <definedName name="solver_opt" localSheetId="5" hidden="1">'3.42(additional)'!$E$25</definedName>
    <definedName name="solver_opt" localSheetId="10" hidden="1">'4.46(additional)'!$E$17</definedName>
    <definedName name="solver_opt" localSheetId="9" hidden="1">'4.46(b)'!$G$26</definedName>
    <definedName name="solver_opt" localSheetId="16" hidden="1">'4.50(d)'!$A$5</definedName>
    <definedName name="solver_opt" localSheetId="6" hidden="1">'Office Schedulling'!$B$10</definedName>
    <definedName name="solver_opt" localSheetId="11" hidden="1">'Profit Maximization'!$B$41</definedName>
    <definedName name="solver_pre" localSheetId="0" hidden="1">0.000001</definedName>
    <definedName name="solver_pre" localSheetId="3" hidden="1">0.000001</definedName>
    <definedName name="solver_pre" localSheetId="6" hidden="1">0.000001</definedName>
    <definedName name="solver_pre" localSheetId="11" hidden="1">0.000001</definedName>
    <definedName name="solver_rbv" localSheetId="0" hidden="1">1</definedName>
    <definedName name="solver_rbv" localSheetId="3" hidden="1">2</definedName>
    <definedName name="solver_rbv" localSheetId="6" hidden="1">2</definedName>
    <definedName name="solver_rbv" localSheetId="11" hidden="1">1</definedName>
    <definedName name="solver_rel1" localSheetId="0" hidden="1">3</definedName>
    <definedName name="solver_rel1" localSheetId="3" hidden="1">1</definedName>
    <definedName name="solver_rel1" localSheetId="6" hidden="1">3</definedName>
    <definedName name="solver_rel1" localSheetId="11" hidden="1">4</definedName>
    <definedName name="solver_rel2" localSheetId="0" hidden="1">1</definedName>
    <definedName name="solver_rel2" localSheetId="3" hidden="1">3</definedName>
    <definedName name="solver_rel2" localSheetId="11" hidden="1">1</definedName>
    <definedName name="solver_rel3" localSheetId="0" hidden="1">3</definedName>
    <definedName name="solver_rel3" localSheetId="11" hidden="1">3</definedName>
    <definedName name="solver_rel4" localSheetId="0" hidden="1">3</definedName>
    <definedName name="solver_rel4" localSheetId="11" hidden="1">1</definedName>
    <definedName name="solver_rel5" localSheetId="0" hidden="1">3</definedName>
    <definedName name="solver_rel5" localSheetId="11" hidden="1">1</definedName>
    <definedName name="solver_rel6" localSheetId="0" hidden="1">3</definedName>
    <definedName name="solver_rel6" localSheetId="11" hidden="1">1</definedName>
    <definedName name="solver_rel7" localSheetId="0" hidden="1">3</definedName>
    <definedName name="solver_rel8" localSheetId="0" hidden="1">3</definedName>
    <definedName name="solver_rhs1" localSheetId="0" hidden="1">'3.38(a)'!$B$31</definedName>
    <definedName name="solver_rhs1" localSheetId="3" hidden="1">Max_hrs_per_week</definedName>
    <definedName name="solver_rhs1" localSheetId="6" hidden="1">Min_num_officers</definedName>
    <definedName name="solver_rhs1" localSheetId="11" hidden="1">"integer"</definedName>
    <definedName name="solver_rhs2" localSheetId="0" hidden="1">Machine_and_Labor_Hour_Constraint</definedName>
    <definedName name="solver_rhs2" localSheetId="3" hidden="1">Minimum_requirement</definedName>
    <definedName name="solver_rhs2" localSheetId="11" hidden="1">'Profit Maximization'!$D$26:$D$27</definedName>
    <definedName name="solver_rhs3" localSheetId="0" hidden="1">Min_Production_Req_P2</definedName>
    <definedName name="solver_rhs3" localSheetId="11" hidden="1">Min_Quality_Constraint</definedName>
    <definedName name="solver_rhs4" localSheetId="0" hidden="1">'3.38(a)'!$C$26</definedName>
    <definedName name="solver_rhs4" localSheetId="11" hidden="1">'Profit Maximization'!$D$27</definedName>
    <definedName name="solver_rhs5" localSheetId="0" hidden="1">Min_Production_Req_P1</definedName>
    <definedName name="solver_rhs5" localSheetId="11" hidden="1">'Profit Maximization'!$D$27</definedName>
    <definedName name="solver_rhs6" localSheetId="0" hidden="1">Min_Production_Req_P1</definedName>
    <definedName name="solver_rhs6" localSheetId="11" hidden="1">'Profit Maximization'!$D$27</definedName>
    <definedName name="solver_rhs7" localSheetId="0" hidden="1">Min_Production_Req_P1</definedName>
    <definedName name="solver_rhs8" localSheetId="0" hidden="1">'3.38(a)'!$F$29</definedName>
    <definedName name="solver_rlx" localSheetId="0" hidden="1">2</definedName>
    <definedName name="solver_rlx" localSheetId="3" hidden="1">2</definedName>
    <definedName name="solver_rlx" localSheetId="6" hidden="1">2</definedName>
    <definedName name="solver_rlx" localSheetId="11" hidden="1">2</definedName>
    <definedName name="solver_rsd" localSheetId="0" hidden="1">0</definedName>
    <definedName name="solver_rsd" localSheetId="3" hidden="1">0</definedName>
    <definedName name="solver_rsd" localSheetId="6" hidden="1">0</definedName>
    <definedName name="solver_rsd" localSheetId="11" hidden="1">0</definedName>
    <definedName name="solver_scl" localSheetId="0" hidden="1">1</definedName>
    <definedName name="solver_scl" localSheetId="3" hidden="1">1</definedName>
    <definedName name="solver_scl" localSheetId="6" hidden="1">1</definedName>
    <definedName name="solver_scl" localSheetId="11" hidden="1">1</definedName>
    <definedName name="solver_sho" localSheetId="0" hidden="1">2</definedName>
    <definedName name="solver_sho" localSheetId="3" hidden="1">2</definedName>
    <definedName name="solver_sho" localSheetId="6" hidden="1">2</definedName>
    <definedName name="solver_sho" localSheetId="11" hidden="1">2</definedName>
    <definedName name="solver_ssz" localSheetId="0" hidden="1">100</definedName>
    <definedName name="solver_ssz" localSheetId="3" hidden="1">100</definedName>
    <definedName name="solver_ssz" localSheetId="6" hidden="1">100</definedName>
    <definedName name="solver_ssz" localSheetId="11" hidden="1">100</definedName>
    <definedName name="solver_tim" localSheetId="0" hidden="1">2147483647</definedName>
    <definedName name="solver_tim" localSheetId="3" hidden="1">2147483647</definedName>
    <definedName name="solver_tim" localSheetId="6" hidden="1">2147483647</definedName>
    <definedName name="solver_tim" localSheetId="11" hidden="1">2147483647</definedName>
    <definedName name="solver_tol" localSheetId="0" hidden="1">0.01</definedName>
    <definedName name="solver_tol" localSheetId="3" hidden="1">0.01</definedName>
    <definedName name="solver_tol" localSheetId="6" hidden="1">0.01</definedName>
    <definedName name="solver_tol" localSheetId="11" hidden="1">0.01</definedName>
    <definedName name="solver_typ" localSheetId="0" hidden="1">2</definedName>
    <definedName name="solver_typ" localSheetId="3" hidden="1">2</definedName>
    <definedName name="solver_typ" localSheetId="5" hidden="1">1</definedName>
    <definedName name="solver_typ" localSheetId="10" hidden="1">1</definedName>
    <definedName name="solver_typ" localSheetId="9" hidden="1">1</definedName>
    <definedName name="solver_typ" localSheetId="16" hidden="1">1</definedName>
    <definedName name="solver_typ" localSheetId="6" hidden="1">2</definedName>
    <definedName name="solver_typ" localSheetId="11" hidden="1">1</definedName>
    <definedName name="solver_val" localSheetId="0" hidden="1">0</definedName>
    <definedName name="solver_val" localSheetId="3" hidden="1">0</definedName>
    <definedName name="solver_val" localSheetId="5" hidden="1">0</definedName>
    <definedName name="solver_val" localSheetId="10" hidden="1">0</definedName>
    <definedName name="solver_val" localSheetId="9" hidden="1">0</definedName>
    <definedName name="solver_val" localSheetId="16" hidden="1">0</definedName>
    <definedName name="solver_val" localSheetId="6" hidden="1">0</definedName>
    <definedName name="solver_val" localSheetId="11" hidden="1">0</definedName>
    <definedName name="solver_ver" localSheetId="0" hidden="1">3</definedName>
    <definedName name="solver_ver" localSheetId="3" hidden="1">3</definedName>
    <definedName name="solver_ver" localSheetId="5" hidden="1">3</definedName>
    <definedName name="solver_ver" localSheetId="10" hidden="1">3</definedName>
    <definedName name="solver_ver" localSheetId="9" hidden="1">3</definedName>
    <definedName name="solver_ver" localSheetId="16" hidden="1">3</definedName>
    <definedName name="solver_ver" localSheetId="6" hidden="1">3</definedName>
    <definedName name="solver_ver" localSheetId="11" hidden="1">3</definedName>
    <definedName name="Sum_of_Labor_Hours">'3.38(a)'!$B$48</definedName>
    <definedName name="Sum_of_Machine_Hours_M1">'3.38(a)'!$B$46</definedName>
    <definedName name="Sum_of_Machine_Hours_M2">'3.38(a)'!$B$47</definedName>
    <definedName name="Total_cost">'3.42(a)'!$B$37</definedName>
    <definedName name="Total_Cost_of_Production">'3.38(a)'!$B$54</definedName>
    <definedName name="Total_G6_oranges">'Profit Maximization'!$B$26</definedName>
    <definedName name="Total_G9_oranges">'Profit Maximization'!$B$27</definedName>
    <definedName name="Total_Labor_hours_used_Machine1">'[1]3.38(a)'!$B$37</definedName>
    <definedName name="Total_Labor_hours_used_Machine2">'[1]3.38(a)'!$B$38</definedName>
    <definedName name="Total_no_of_officers">'Office Schedulling'!$B$10</definedName>
    <definedName name="Total_Pound_Constraint" localSheetId="11">'Profit Maximization'!$D$26:$D$27</definedName>
    <definedName name="Total_pound_constraint">'[1]4.50(a)'!$D$27:$D$28</definedName>
    <definedName name="Total_pounds_bag">'Profit Maximization'!$B$30</definedName>
    <definedName name="Total_pounds_juice">'Profit Maximization'!$B$29</definedName>
    <definedName name="Total_Product_1">'3.38(a)'!$D$24</definedName>
    <definedName name="Total_Product_2">'3.38(a)'!$D$29</definedName>
    <definedName name="Total_Profit">'Profit Maximization'!$B$41</definedName>
    <definedName name="Total_Profit_Bag">'Profit Maximization'!$B$40</definedName>
    <definedName name="Total_profit_from_selling_bags">'[1]4.50(a)'!$B$35</definedName>
    <definedName name="Total_profit_from_selling_juice">'[1]4.50(a)'!$B$34</definedName>
    <definedName name="Total_Profit_Juice">'Profit Maximization'!$B$39</definedName>
    <definedName name="unit_cost_matrix">'[1]3.38(a)'!$B$19:$C$20</definedName>
    <definedName name="Unit_Cost_P1_M1">'3.38(a)'!$B$50</definedName>
    <definedName name="Unit_Cost_P1_M2">'3.38(a)'!$B$51</definedName>
    <definedName name="Unit_Cost_P2_M1">'3.38(a)'!$B$52</definedName>
    <definedName name="Unit_Cost_P2_M2">'3.38(a)'!$B$53</definedName>
    <definedName name="unitcost_perpound_matrix">'3.42(a)'!$B$17:$C$18</definedName>
    <definedName name="units_produced_matrix">'[1]3.38(a)'!$B$27:$C$28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 i="27" l="1"/>
  <c r="K24" i="27"/>
  <c r="K23" i="27"/>
  <c r="K22" i="27"/>
  <c r="K21" i="27"/>
  <c r="K20" i="27"/>
  <c r="K19" i="27"/>
  <c r="K18" i="27"/>
  <c r="K17" i="27"/>
  <c r="K16" i="27"/>
  <c r="K15" i="27"/>
  <c r="K14" i="27"/>
  <c r="K13" i="27"/>
  <c r="K12" i="27"/>
  <c r="K11" i="27"/>
  <c r="K10" i="27"/>
  <c r="K9" i="27"/>
  <c r="K8" i="27"/>
  <c r="K7" i="27"/>
  <c r="K6" i="27"/>
  <c r="K5" i="27"/>
  <c r="J4" i="27"/>
  <c r="K1" i="26"/>
  <c r="K11" i="26"/>
  <c r="K10" i="26"/>
  <c r="K9" i="26"/>
  <c r="K8" i="26"/>
  <c r="K7" i="26"/>
  <c r="K6" i="26"/>
  <c r="K5" i="26"/>
  <c r="J4" i="26"/>
  <c r="Q1" i="25"/>
  <c r="M1" i="25"/>
  <c r="S4" i="25"/>
  <c r="P5" i="25"/>
  <c r="P4" i="25"/>
  <c r="O4" i="25"/>
  <c r="L5" i="25"/>
  <c r="L4" i="25"/>
  <c r="K1" i="24"/>
  <c r="J4" i="24"/>
  <c r="K8" i="24" s="1"/>
  <c r="M10" i="25"/>
  <c r="M11" i="25"/>
  <c r="M13" i="25"/>
  <c r="M14" i="25"/>
  <c r="Q10" i="25"/>
  <c r="Q6" i="25"/>
  <c r="Q8" i="25"/>
  <c r="Q11" i="25"/>
  <c r="M8" i="25"/>
  <c r="Q5" i="25"/>
  <c r="M7" i="25"/>
  <c r="M9" i="25"/>
  <c r="M5" i="25"/>
  <c r="Q14" i="25"/>
  <c r="Q9" i="25"/>
  <c r="Q7" i="25"/>
  <c r="Q13" i="25"/>
  <c r="Q12" i="25"/>
  <c r="M6" i="25"/>
  <c r="M12" i="25"/>
  <c r="K9" i="24" l="1"/>
  <c r="K11" i="24"/>
  <c r="K5" i="24"/>
  <c r="K13" i="24"/>
  <c r="K10" i="24"/>
  <c r="K12" i="24"/>
  <c r="K6" i="24"/>
  <c r="K14" i="24"/>
  <c r="K7" i="24"/>
  <c r="K15" i="24"/>
  <c r="K1" i="21"/>
  <c r="J4" i="21"/>
  <c r="K11" i="21" s="1"/>
  <c r="B4" i="17"/>
  <c r="B26" i="17"/>
  <c r="D26" i="17"/>
  <c r="B27" i="17"/>
  <c r="D27" i="17"/>
  <c r="B29" i="17"/>
  <c r="D33" i="17" s="1"/>
  <c r="B30" i="17"/>
  <c r="D34" i="17" s="1"/>
  <c r="B33" i="17"/>
  <c r="B34" i="17"/>
  <c r="B36" i="17"/>
  <c r="B37" i="17"/>
  <c r="K12" i="21" l="1"/>
  <c r="K5" i="21"/>
  <c r="K13" i="21"/>
  <c r="K6" i="21"/>
  <c r="K7" i="21"/>
  <c r="K8" i="21"/>
  <c r="K9" i="21"/>
  <c r="K10" i="21"/>
  <c r="K14" i="21"/>
  <c r="B40" i="17"/>
  <c r="B39" i="17"/>
  <c r="R1" i="16"/>
  <c r="N1" i="16"/>
  <c r="T4" i="16"/>
  <c r="Q4" i="16"/>
  <c r="Q5" i="16" s="1"/>
  <c r="P4" i="16"/>
  <c r="M4" i="16"/>
  <c r="M5" i="16" s="1"/>
  <c r="R15" i="16"/>
  <c r="R6" i="16"/>
  <c r="N11" i="16"/>
  <c r="R12" i="16"/>
  <c r="R7" i="16"/>
  <c r="N7" i="16"/>
  <c r="R5" i="16"/>
  <c r="N10" i="16"/>
  <c r="R14" i="16"/>
  <c r="N9" i="16"/>
  <c r="R13" i="16"/>
  <c r="R11" i="16"/>
  <c r="N6" i="16"/>
  <c r="N8" i="16"/>
  <c r="N13" i="16"/>
  <c r="R9" i="16"/>
  <c r="N12" i="16"/>
  <c r="N14" i="16"/>
  <c r="R10" i="16"/>
  <c r="R8" i="16"/>
  <c r="N5" i="16"/>
  <c r="N15" i="16"/>
  <c r="B41" i="17" l="1"/>
  <c r="C26" i="11"/>
  <c r="D24" i="11" l="1"/>
  <c r="D29" i="11"/>
  <c r="B31" i="11"/>
  <c r="B33" i="11"/>
  <c r="B34" i="11"/>
  <c r="B36" i="11"/>
  <c r="B37" i="11"/>
  <c r="B39" i="11"/>
  <c r="B40" i="11"/>
  <c r="B42" i="11"/>
  <c r="B43" i="11"/>
  <c r="B50" i="11"/>
  <c r="B51" i="11"/>
  <c r="B52" i="11"/>
  <c r="B53" i="11"/>
  <c r="B46" i="11" l="1"/>
  <c r="B48" i="11"/>
  <c r="B54" i="11"/>
  <c r="B47" i="11"/>
  <c r="K1" i="10"/>
  <c r="J4" i="10"/>
  <c r="K5" i="10" s="1"/>
  <c r="K1" i="9"/>
  <c r="J4" i="9"/>
  <c r="K6" i="9" s="1"/>
  <c r="B10" i="2"/>
  <c r="G7" i="2"/>
  <c r="F7" i="2"/>
  <c r="E7" i="2"/>
  <c r="D7" i="2"/>
  <c r="C7" i="2"/>
  <c r="B7" i="2"/>
  <c r="K6" i="10" l="1"/>
  <c r="K8" i="9"/>
  <c r="K7" i="10"/>
  <c r="K8" i="10"/>
  <c r="K7" i="9"/>
  <c r="K9" i="9"/>
  <c r="K10" i="9"/>
  <c r="K9" i="10"/>
  <c r="K11" i="9"/>
  <c r="K10" i="10"/>
  <c r="K11" i="10"/>
  <c r="K12" i="10"/>
  <c r="K5" i="9"/>
  <c r="O1" i="7"/>
  <c r="K1" i="7"/>
  <c r="Q4" i="7"/>
  <c r="N4" i="7"/>
  <c r="N5" i="7" s="1"/>
  <c r="M4" i="7"/>
  <c r="J4" i="7"/>
  <c r="J5" i="7" s="1"/>
  <c r="O1" i="5"/>
  <c r="K1" i="5"/>
  <c r="Q4" i="5"/>
  <c r="N4" i="5"/>
  <c r="N5" i="5" s="1"/>
  <c r="M4" i="5"/>
  <c r="J4" i="5"/>
  <c r="J5" i="5" s="1"/>
  <c r="B34" i="1"/>
  <c r="B30" i="1"/>
  <c r="B35" i="1"/>
  <c r="B37" i="1"/>
  <c r="B29" i="1"/>
  <c r="K5" i="5"/>
  <c r="K8" i="7"/>
  <c r="O10" i="5"/>
  <c r="K5" i="7"/>
  <c r="O7" i="7"/>
  <c r="O8" i="5"/>
  <c r="O6" i="7"/>
  <c r="O5" i="5"/>
  <c r="O5" i="7"/>
  <c r="K7" i="7"/>
  <c r="K9" i="5"/>
  <c r="O11" i="5"/>
  <c r="K11" i="5"/>
  <c r="O6" i="5"/>
  <c r="K6" i="7"/>
  <c r="K7" i="5"/>
  <c r="K12" i="5"/>
  <c r="O9" i="5"/>
  <c r="O8" i="7"/>
  <c r="K6" i="5"/>
  <c r="K8" i="5"/>
  <c r="K10" i="5"/>
  <c r="O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90610BE6-40EC-4A46-9F1F-E589EF8F6947}">
      <text>
        <r>
          <rPr>
            <sz val="9"/>
            <color indexed="81"/>
            <rFont val="Tahoma"/>
            <family val="2"/>
          </rPr>
          <t>Solver found a solution. All constraints and optimality conditions are satisfied.</t>
        </r>
      </text>
    </comment>
    <comment ref="C5" authorId="0" shapeId="0" xr:uid="{0CB4CEC0-9F17-4BED-975E-31ECCFF09246}">
      <text>
        <r>
          <rPr>
            <sz val="9"/>
            <color indexed="81"/>
            <rFont val="Tahoma"/>
            <family val="2"/>
          </rPr>
          <t>Solver found a solution. All constraints and optimality conditions are satisfied.</t>
        </r>
      </text>
    </comment>
    <comment ref="D5" authorId="0" shapeId="0" xr:uid="{2CA0F1C3-AA6F-4B32-96AA-E4A694985AB2}">
      <text>
        <r>
          <rPr>
            <sz val="9"/>
            <color indexed="81"/>
            <rFont val="Tahoma"/>
            <family val="2"/>
          </rPr>
          <t>Solver found a solution. All constraints and optimality conditions are satisfied.</t>
        </r>
      </text>
    </comment>
    <comment ref="E5" authorId="0" shapeId="0" xr:uid="{D666FA59-BE18-45EF-8B86-757798A90EFB}">
      <text>
        <r>
          <rPr>
            <sz val="9"/>
            <color indexed="81"/>
            <rFont val="Tahoma"/>
            <family val="2"/>
          </rPr>
          <t>Solver found a solution. All constraints and optimality conditions are satisfied.</t>
        </r>
      </text>
    </comment>
    <comment ref="F5" authorId="0" shapeId="0" xr:uid="{C65E8D6E-ACE6-44D6-B60F-6EC77C48C1CC}">
      <text>
        <r>
          <rPr>
            <sz val="9"/>
            <color indexed="81"/>
            <rFont val="Tahoma"/>
            <family val="2"/>
          </rPr>
          <t>Solver found a solution. All constraints and optimality conditions are satisfied.</t>
        </r>
      </text>
    </comment>
    <comment ref="G5" authorId="0" shapeId="0" xr:uid="{AE70AE3B-0862-42B7-8485-C4CC6EF811D6}">
      <text>
        <r>
          <rPr>
            <sz val="9"/>
            <color indexed="81"/>
            <rFont val="Tahoma"/>
            <family val="2"/>
          </rPr>
          <t>Solver found a solution. All constraints and optimality conditions are satisfied.</t>
        </r>
      </text>
    </comment>
    <comment ref="H5" authorId="0" shapeId="0" xr:uid="{5D89FFCA-59D4-47AD-8D05-7D5B11BF2158}">
      <text>
        <r>
          <rPr>
            <sz val="9"/>
            <color indexed="81"/>
            <rFont val="Tahoma"/>
            <family val="2"/>
          </rPr>
          <t>Solver found a solution. All constraints and optimality conditions are satisfied.</t>
        </r>
      </text>
    </comment>
    <comment ref="I5" authorId="0" shapeId="0" xr:uid="{76EBF360-EC6B-4FA5-B265-751AEC528AE7}">
      <text>
        <r>
          <rPr>
            <sz val="9"/>
            <color indexed="81"/>
            <rFont val="Tahoma"/>
            <family val="2"/>
          </rPr>
          <t>Solver found a solution. All constraints and optimality conditions are satisfied.</t>
        </r>
      </text>
    </comment>
    <comment ref="J5" authorId="0" shapeId="0" xr:uid="{542DCFEC-9356-4D7A-8CFE-9575CFF94340}">
      <text>
        <r>
          <rPr>
            <sz val="9"/>
            <color indexed="81"/>
            <rFont val="Tahoma"/>
            <family val="2"/>
          </rPr>
          <t>Solver found a solution. All constraints and optimality conditions are satisfied.</t>
        </r>
      </text>
    </comment>
    <comment ref="K5" authorId="0" shapeId="0" xr:uid="{66911BE9-8C71-4141-BDE1-6677899BFF72}">
      <text>
        <r>
          <rPr>
            <sz val="9"/>
            <color indexed="81"/>
            <rFont val="Tahoma"/>
            <family val="2"/>
          </rPr>
          <t>Solver found a solution. All constraints and optimality conditions are satisfied.</t>
        </r>
      </text>
    </comment>
    <comment ref="L5" authorId="0" shapeId="0" xr:uid="{8A3E86A2-67FA-490A-9767-B529D7F60D17}">
      <text>
        <r>
          <rPr>
            <sz val="9"/>
            <color indexed="81"/>
            <rFont val="Tahoma"/>
            <family val="2"/>
          </rPr>
          <t>Solver found a solution. All constraints and optimality conditions are satisfied.</t>
        </r>
      </text>
    </comment>
    <comment ref="B6" authorId="0" shapeId="0" xr:uid="{C3E4ED13-4368-40A1-9E5D-13C55D6D27B6}">
      <text>
        <r>
          <rPr>
            <sz val="9"/>
            <color indexed="81"/>
            <rFont val="Tahoma"/>
            <family val="2"/>
          </rPr>
          <t>Solver found a solution. All constraints and optimality conditions are satisfied.</t>
        </r>
      </text>
    </comment>
    <comment ref="C6" authorId="0" shapeId="0" xr:uid="{FA0C176E-5725-4BCC-895A-E28A70CC96E9}">
      <text>
        <r>
          <rPr>
            <sz val="9"/>
            <color indexed="81"/>
            <rFont val="Tahoma"/>
            <family val="2"/>
          </rPr>
          <t>Solver found a solution. All constraints and optimality conditions are satisfied.</t>
        </r>
      </text>
    </comment>
    <comment ref="D6" authorId="0" shapeId="0" xr:uid="{C9192850-D962-4065-B523-04BB65F2EEF0}">
      <text>
        <r>
          <rPr>
            <sz val="9"/>
            <color indexed="81"/>
            <rFont val="Tahoma"/>
            <family val="2"/>
          </rPr>
          <t>Solver found a solution. All constraints and optimality conditions are satisfied.</t>
        </r>
      </text>
    </comment>
    <comment ref="E6" authorId="0" shapeId="0" xr:uid="{52493186-B390-4181-A3A1-91ED447B1CA6}">
      <text>
        <r>
          <rPr>
            <sz val="9"/>
            <color indexed="81"/>
            <rFont val="Tahoma"/>
            <family val="2"/>
          </rPr>
          <t>Solver found a solution. All constraints and optimality conditions are satisfied.</t>
        </r>
      </text>
    </comment>
    <comment ref="F6" authorId="0" shapeId="0" xr:uid="{AFE37512-879C-462C-8561-2BA952670FEA}">
      <text>
        <r>
          <rPr>
            <sz val="9"/>
            <color indexed="81"/>
            <rFont val="Tahoma"/>
            <family val="2"/>
          </rPr>
          <t>Solver found a solution. All constraints and optimality conditions are satisfied.</t>
        </r>
      </text>
    </comment>
    <comment ref="G6" authorId="0" shapeId="0" xr:uid="{0F97CD04-1AB2-488D-A905-BDEB46E2C940}">
      <text>
        <r>
          <rPr>
            <sz val="9"/>
            <color indexed="81"/>
            <rFont val="Tahoma"/>
            <family val="2"/>
          </rPr>
          <t>Solver found a solution. All constraints and optimality conditions are satisfied.</t>
        </r>
      </text>
    </comment>
    <comment ref="H6" authorId="0" shapeId="0" xr:uid="{1702166F-524D-4FF7-A47F-0668C68A2580}">
      <text>
        <r>
          <rPr>
            <sz val="9"/>
            <color indexed="81"/>
            <rFont val="Tahoma"/>
            <family val="2"/>
          </rPr>
          <t>Solver found a solution. All constraints and optimality conditions are satisfied.</t>
        </r>
      </text>
    </comment>
    <comment ref="I6" authorId="0" shapeId="0" xr:uid="{B39490A6-3920-40BE-B2BA-A244E93ED117}">
      <text>
        <r>
          <rPr>
            <sz val="9"/>
            <color indexed="81"/>
            <rFont val="Tahoma"/>
            <family val="2"/>
          </rPr>
          <t>Solver found a solution. All constraints and optimality conditions are satisfied.</t>
        </r>
      </text>
    </comment>
    <comment ref="J6" authorId="0" shapeId="0" xr:uid="{07460112-6886-490D-9AF4-23CE9E6223F6}">
      <text>
        <r>
          <rPr>
            <sz val="9"/>
            <color indexed="81"/>
            <rFont val="Tahoma"/>
            <family val="2"/>
          </rPr>
          <t>Solver found a solution. All constraints and optimality conditions are satisfied.</t>
        </r>
      </text>
    </comment>
    <comment ref="K6" authorId="0" shapeId="0" xr:uid="{4D0E65AC-EC28-400B-8336-04B2447352C4}">
      <text>
        <r>
          <rPr>
            <sz val="9"/>
            <color indexed="81"/>
            <rFont val="Tahoma"/>
            <family val="2"/>
          </rPr>
          <t>Solver found a solution. All constraints and optimality conditions are satisfied.</t>
        </r>
      </text>
    </comment>
    <comment ref="L6" authorId="0" shapeId="0" xr:uid="{95215EC9-30EB-441F-B1AB-C4D00F0C1EA6}">
      <text>
        <r>
          <rPr>
            <sz val="9"/>
            <color indexed="81"/>
            <rFont val="Tahoma"/>
            <family val="2"/>
          </rPr>
          <t>Solver found a solution. All constraints and optimality conditions are satisfied.</t>
        </r>
      </text>
    </comment>
    <comment ref="B7" authorId="0" shapeId="0" xr:uid="{DA40A7B1-68F4-4850-BC44-3BB9B85EFAA2}">
      <text>
        <r>
          <rPr>
            <sz val="9"/>
            <color indexed="81"/>
            <rFont val="Tahoma"/>
            <family val="2"/>
          </rPr>
          <t>Solver found a solution. All constraints and optimality conditions are satisfied.</t>
        </r>
      </text>
    </comment>
    <comment ref="C7" authorId="0" shapeId="0" xr:uid="{A86844A2-EFFF-4B64-847A-F9DC9C2E09E6}">
      <text>
        <r>
          <rPr>
            <sz val="9"/>
            <color indexed="81"/>
            <rFont val="Tahoma"/>
            <family val="2"/>
          </rPr>
          <t>Solver found a solution. All constraints and optimality conditions are satisfied.</t>
        </r>
      </text>
    </comment>
    <comment ref="D7" authorId="0" shapeId="0" xr:uid="{3D5950E7-F5E5-4E53-8A5E-C5553F1C7FC3}">
      <text>
        <r>
          <rPr>
            <sz val="9"/>
            <color indexed="81"/>
            <rFont val="Tahoma"/>
            <family val="2"/>
          </rPr>
          <t>Solver found a solution. All constraints and optimality conditions are satisfied.</t>
        </r>
      </text>
    </comment>
    <comment ref="E7" authorId="0" shapeId="0" xr:uid="{49A8D58B-6524-47C3-96C6-38D4254DB163}">
      <text>
        <r>
          <rPr>
            <sz val="9"/>
            <color indexed="81"/>
            <rFont val="Tahoma"/>
            <family val="2"/>
          </rPr>
          <t>Solver found a solution. All constraints and optimality conditions are satisfied.</t>
        </r>
      </text>
    </comment>
    <comment ref="F7" authorId="0" shapeId="0" xr:uid="{01CD044A-E395-4AA8-841A-822B38FD4DC7}">
      <text>
        <r>
          <rPr>
            <sz val="9"/>
            <color indexed="81"/>
            <rFont val="Tahoma"/>
            <family val="2"/>
          </rPr>
          <t>Solver found a solution. All constraints and optimality conditions are satisfied.</t>
        </r>
      </text>
    </comment>
    <comment ref="G7" authorId="0" shapeId="0" xr:uid="{7E4D8336-4080-4339-ADD8-F31CEEC1268C}">
      <text>
        <r>
          <rPr>
            <sz val="9"/>
            <color indexed="81"/>
            <rFont val="Tahoma"/>
            <family val="2"/>
          </rPr>
          <t>Solver found a solution. All constraints and optimality conditions are satisfied.</t>
        </r>
      </text>
    </comment>
    <comment ref="H7" authorId="0" shapeId="0" xr:uid="{B6C5B08F-1F59-4456-B43C-247470555347}">
      <text>
        <r>
          <rPr>
            <sz val="9"/>
            <color indexed="81"/>
            <rFont val="Tahoma"/>
            <family val="2"/>
          </rPr>
          <t>Solver found a solution. All constraints and optimality conditions are satisfied.</t>
        </r>
      </text>
    </comment>
    <comment ref="I7" authorId="0" shapeId="0" xr:uid="{EF23B372-07E5-43CF-A916-33232DC52F58}">
      <text>
        <r>
          <rPr>
            <sz val="9"/>
            <color indexed="81"/>
            <rFont val="Tahoma"/>
            <family val="2"/>
          </rPr>
          <t>Solver found a solution. All constraints and optimality conditions are satisfied.</t>
        </r>
      </text>
    </comment>
    <comment ref="J7" authorId="0" shapeId="0" xr:uid="{95409159-1490-41A5-B277-B9919B5A3D30}">
      <text>
        <r>
          <rPr>
            <sz val="9"/>
            <color indexed="81"/>
            <rFont val="Tahoma"/>
            <family val="2"/>
          </rPr>
          <t>Solver found a solution. All constraints and optimality conditions are satisfied.</t>
        </r>
      </text>
    </comment>
    <comment ref="K7" authorId="0" shapeId="0" xr:uid="{2FED299C-1BD9-4384-ADFC-84F9A7EE4C09}">
      <text>
        <r>
          <rPr>
            <sz val="9"/>
            <color indexed="81"/>
            <rFont val="Tahoma"/>
            <family val="2"/>
          </rPr>
          <t>Solver found a solution. All constraints and optimality conditions are satisfied.</t>
        </r>
      </text>
    </comment>
    <comment ref="L7" authorId="0" shapeId="0" xr:uid="{BABDF445-49D9-49BB-83F1-D5C5DAB0D4DB}">
      <text>
        <r>
          <rPr>
            <sz val="9"/>
            <color indexed="81"/>
            <rFont val="Tahoma"/>
            <family val="2"/>
          </rPr>
          <t>Solver found a solution. All constraints and optimality conditions are satisfied.</t>
        </r>
      </text>
    </comment>
    <comment ref="B8" authorId="0" shapeId="0" xr:uid="{C280AA7B-F805-4F67-A12F-F3584CE546CD}">
      <text>
        <r>
          <rPr>
            <sz val="9"/>
            <color indexed="81"/>
            <rFont val="Tahoma"/>
            <family val="2"/>
          </rPr>
          <t>Solver found a solution. All constraints and optimality conditions are satisfied.</t>
        </r>
      </text>
    </comment>
    <comment ref="C8" authorId="0" shapeId="0" xr:uid="{E9BEC556-DB82-47F2-8C97-47344CC1FE44}">
      <text>
        <r>
          <rPr>
            <sz val="9"/>
            <color indexed="81"/>
            <rFont val="Tahoma"/>
            <family val="2"/>
          </rPr>
          <t>Solver found a solution. All constraints and optimality conditions are satisfied.</t>
        </r>
      </text>
    </comment>
    <comment ref="D8" authorId="0" shapeId="0" xr:uid="{D27C5508-4B55-48C2-8FA6-9DDD016A2B8E}">
      <text>
        <r>
          <rPr>
            <sz val="9"/>
            <color indexed="81"/>
            <rFont val="Tahoma"/>
            <family val="2"/>
          </rPr>
          <t>Solver found a solution. All constraints and optimality conditions are satisfied.</t>
        </r>
      </text>
    </comment>
    <comment ref="E8" authorId="0" shapeId="0" xr:uid="{CDF23CC5-7098-40A7-B296-72DBCD0057A1}">
      <text>
        <r>
          <rPr>
            <sz val="9"/>
            <color indexed="81"/>
            <rFont val="Tahoma"/>
            <family val="2"/>
          </rPr>
          <t>Solver found a solution. All constraints and optimality conditions are satisfied.</t>
        </r>
      </text>
    </comment>
    <comment ref="F8" authorId="0" shapeId="0" xr:uid="{E64E5AF1-B527-4252-A327-6ED14F85ED17}">
      <text>
        <r>
          <rPr>
            <sz val="9"/>
            <color indexed="81"/>
            <rFont val="Tahoma"/>
            <family val="2"/>
          </rPr>
          <t>Solver found a solution. All constraints and optimality conditions are satisfied.</t>
        </r>
      </text>
    </comment>
    <comment ref="G8" authorId="0" shapeId="0" xr:uid="{136F34AD-FF74-4A8B-ABEA-9A01444BBDF4}">
      <text>
        <r>
          <rPr>
            <sz val="9"/>
            <color indexed="81"/>
            <rFont val="Tahoma"/>
            <family val="2"/>
          </rPr>
          <t>Solver found a solution. All constraints and optimality conditions are satisfied.</t>
        </r>
      </text>
    </comment>
    <comment ref="H8" authorId="0" shapeId="0" xr:uid="{9ECD924D-D8DB-4BC7-8EC8-FCA5A5FB5A4F}">
      <text>
        <r>
          <rPr>
            <sz val="9"/>
            <color indexed="81"/>
            <rFont val="Tahoma"/>
            <family val="2"/>
          </rPr>
          <t>Solver found a solution. All constraints and optimality conditions are satisfied.</t>
        </r>
      </text>
    </comment>
    <comment ref="I8" authorId="0" shapeId="0" xr:uid="{840769B9-98F8-47A5-8A69-F09E56BCDB80}">
      <text>
        <r>
          <rPr>
            <sz val="9"/>
            <color indexed="81"/>
            <rFont val="Tahoma"/>
            <family val="2"/>
          </rPr>
          <t>Solver found a solution. All constraints and optimality conditions are satisfied.</t>
        </r>
      </text>
    </comment>
    <comment ref="J8" authorId="0" shapeId="0" xr:uid="{1C9B0302-BFBC-45FA-9AC9-56D39A9C66A8}">
      <text>
        <r>
          <rPr>
            <sz val="9"/>
            <color indexed="81"/>
            <rFont val="Tahoma"/>
            <family val="2"/>
          </rPr>
          <t>Solver found a solution. All constraints and optimality conditions are satisfied.</t>
        </r>
      </text>
    </comment>
    <comment ref="K8" authorId="0" shapeId="0" xr:uid="{E5C12DFD-06F1-4347-8547-447C5BCE9F09}">
      <text>
        <r>
          <rPr>
            <sz val="9"/>
            <color indexed="81"/>
            <rFont val="Tahoma"/>
            <family val="2"/>
          </rPr>
          <t>Solver found a solution. All constraints and optimality conditions are satisfied.</t>
        </r>
      </text>
    </comment>
    <comment ref="L8" authorId="0" shapeId="0" xr:uid="{DEB853AE-85F8-4174-AA62-6095C744B027}">
      <text>
        <r>
          <rPr>
            <sz val="9"/>
            <color indexed="81"/>
            <rFont val="Tahoma"/>
            <family val="2"/>
          </rPr>
          <t>Solver found a solution. All constraints and optimality conditions are satisfied.</t>
        </r>
      </text>
    </comment>
    <comment ref="B9" authorId="0" shapeId="0" xr:uid="{6AC29B2C-74B7-4168-BF69-DC932A80AE9A}">
      <text>
        <r>
          <rPr>
            <sz val="9"/>
            <color indexed="81"/>
            <rFont val="Tahoma"/>
            <family val="2"/>
          </rPr>
          <t>Solver found a solution. All constraints and optimality conditions are satisfied.</t>
        </r>
      </text>
    </comment>
    <comment ref="C9" authorId="0" shapeId="0" xr:uid="{A27A243B-C151-4FB3-B9B8-3479FDB3FCC1}">
      <text>
        <r>
          <rPr>
            <sz val="9"/>
            <color indexed="81"/>
            <rFont val="Tahoma"/>
            <family val="2"/>
          </rPr>
          <t>Solver found a solution. All constraints and optimality conditions are satisfied.</t>
        </r>
      </text>
    </comment>
    <comment ref="D9" authorId="0" shapeId="0" xr:uid="{65155D0A-4C2A-4D4E-B9D5-37B37BDB5CE5}">
      <text>
        <r>
          <rPr>
            <sz val="9"/>
            <color indexed="81"/>
            <rFont val="Tahoma"/>
            <family val="2"/>
          </rPr>
          <t>Solver found a solution. All constraints and optimality conditions are satisfied.</t>
        </r>
      </text>
    </comment>
    <comment ref="E9" authorId="0" shapeId="0" xr:uid="{D3646632-C57F-41BA-A40B-7ECAB9D494C4}">
      <text>
        <r>
          <rPr>
            <sz val="9"/>
            <color indexed="81"/>
            <rFont val="Tahoma"/>
            <family val="2"/>
          </rPr>
          <t>Solver found a solution. All constraints and optimality conditions are satisfied.</t>
        </r>
      </text>
    </comment>
    <comment ref="F9" authorId="0" shapeId="0" xr:uid="{A6994DD3-29D2-4B55-98F5-C2840D0125FC}">
      <text>
        <r>
          <rPr>
            <sz val="9"/>
            <color indexed="81"/>
            <rFont val="Tahoma"/>
            <family val="2"/>
          </rPr>
          <t>Solver found a solution. All constraints and optimality conditions are satisfied.</t>
        </r>
      </text>
    </comment>
    <comment ref="G9" authorId="0" shapeId="0" xr:uid="{6CC81DD2-E445-4E55-89EC-CBE59027724F}">
      <text>
        <r>
          <rPr>
            <sz val="9"/>
            <color indexed="81"/>
            <rFont val="Tahoma"/>
            <family val="2"/>
          </rPr>
          <t>Solver found a solution. All constraints and optimality conditions are satisfied.</t>
        </r>
      </text>
    </comment>
    <comment ref="H9" authorId="0" shapeId="0" xr:uid="{87E7A08B-42C6-4C70-8742-7E5E46480F18}">
      <text>
        <r>
          <rPr>
            <sz val="9"/>
            <color indexed="81"/>
            <rFont val="Tahoma"/>
            <family val="2"/>
          </rPr>
          <t>Solver found a solution. All constraints and optimality conditions are satisfied.</t>
        </r>
      </text>
    </comment>
    <comment ref="I9" authorId="0" shapeId="0" xr:uid="{A21FDF91-BF18-4C93-9DE4-1647D11F9641}">
      <text>
        <r>
          <rPr>
            <sz val="9"/>
            <color indexed="81"/>
            <rFont val="Tahoma"/>
            <family val="2"/>
          </rPr>
          <t>Solver found a solution. All constraints and optimality conditions are satisfied.</t>
        </r>
      </text>
    </comment>
    <comment ref="J9" authorId="0" shapeId="0" xr:uid="{9D40A4B1-D39A-4E22-B514-F94D6D68FED9}">
      <text>
        <r>
          <rPr>
            <sz val="9"/>
            <color indexed="81"/>
            <rFont val="Tahoma"/>
            <family val="2"/>
          </rPr>
          <t>Solver found a solution. All constraints and optimality conditions are satisfied.</t>
        </r>
      </text>
    </comment>
    <comment ref="K9" authorId="0" shapeId="0" xr:uid="{C4CEB8A5-CC2E-4378-B568-8E2FFCEC8DB6}">
      <text>
        <r>
          <rPr>
            <sz val="9"/>
            <color indexed="81"/>
            <rFont val="Tahoma"/>
            <family val="2"/>
          </rPr>
          <t>Solver found a solution. All constraints and optimality conditions are satisfied.</t>
        </r>
      </text>
    </comment>
    <comment ref="L9" authorId="0" shapeId="0" xr:uid="{F2FD1336-741A-4479-A869-E1F461715BAF}">
      <text>
        <r>
          <rPr>
            <sz val="9"/>
            <color indexed="81"/>
            <rFont val="Tahoma"/>
            <family val="2"/>
          </rPr>
          <t>Solver found a solution. All constraints and optimality conditions are satisfied.</t>
        </r>
      </text>
    </comment>
    <comment ref="B10" authorId="0" shapeId="0" xr:uid="{9B8759E2-C140-4B0A-A98E-A6F8F013E478}">
      <text>
        <r>
          <rPr>
            <sz val="9"/>
            <color indexed="81"/>
            <rFont val="Tahoma"/>
            <family val="2"/>
          </rPr>
          <t>Solver found a solution. All constraints and optimality conditions are satisfied.</t>
        </r>
      </text>
    </comment>
    <comment ref="C10" authorId="0" shapeId="0" xr:uid="{8C3CE97E-27FA-4870-8774-2BB3CA0FF639}">
      <text>
        <r>
          <rPr>
            <sz val="9"/>
            <color indexed="81"/>
            <rFont val="Tahoma"/>
            <family val="2"/>
          </rPr>
          <t>Solver found a solution. All constraints and optimality conditions are satisfied.</t>
        </r>
      </text>
    </comment>
    <comment ref="D10" authorId="0" shapeId="0" xr:uid="{D00A1F6F-7231-4161-833C-10082706009B}">
      <text>
        <r>
          <rPr>
            <sz val="9"/>
            <color indexed="81"/>
            <rFont val="Tahoma"/>
            <family val="2"/>
          </rPr>
          <t>Solver found a solution. All constraints and optimality conditions are satisfied.</t>
        </r>
      </text>
    </comment>
    <comment ref="E10" authorId="0" shapeId="0" xr:uid="{B7F75DD5-88CC-4E7A-9FF3-FE0BA056ADCF}">
      <text>
        <r>
          <rPr>
            <sz val="9"/>
            <color indexed="81"/>
            <rFont val="Tahoma"/>
            <family val="2"/>
          </rPr>
          <t>Solver found a solution. All constraints and optimality conditions are satisfied.</t>
        </r>
      </text>
    </comment>
    <comment ref="F10" authorId="0" shapeId="0" xr:uid="{CF7BE76B-81FF-4BB0-8B78-F6D0A8AC84F6}">
      <text>
        <r>
          <rPr>
            <sz val="9"/>
            <color indexed="81"/>
            <rFont val="Tahoma"/>
            <family val="2"/>
          </rPr>
          <t>Solver found a solution. All constraints and optimality conditions are satisfied.</t>
        </r>
      </text>
    </comment>
    <comment ref="G10" authorId="0" shapeId="0" xr:uid="{CB749FA0-B080-4A54-B880-F8B356A52DA8}">
      <text>
        <r>
          <rPr>
            <sz val="9"/>
            <color indexed="81"/>
            <rFont val="Tahoma"/>
            <family val="2"/>
          </rPr>
          <t>Solver found a solution. All constraints and optimality conditions are satisfied.</t>
        </r>
      </text>
    </comment>
    <comment ref="H10" authorId="0" shapeId="0" xr:uid="{A2B27501-39EB-4557-B5DE-A63250514801}">
      <text>
        <r>
          <rPr>
            <sz val="9"/>
            <color indexed="81"/>
            <rFont val="Tahoma"/>
            <family val="2"/>
          </rPr>
          <t>Solver found a solution. All constraints and optimality conditions are satisfied.</t>
        </r>
      </text>
    </comment>
    <comment ref="I10" authorId="0" shapeId="0" xr:uid="{26E0C635-EDDF-464B-B68D-181DDE8F62F7}">
      <text>
        <r>
          <rPr>
            <sz val="9"/>
            <color indexed="81"/>
            <rFont val="Tahoma"/>
            <family val="2"/>
          </rPr>
          <t>Solver found a solution. All constraints and optimality conditions are satisfied.</t>
        </r>
      </text>
    </comment>
    <comment ref="J10" authorId="0" shapeId="0" xr:uid="{54C1E84B-C9FF-4FA4-9796-548F4E25EF66}">
      <text>
        <r>
          <rPr>
            <sz val="9"/>
            <color indexed="81"/>
            <rFont val="Tahoma"/>
            <family val="2"/>
          </rPr>
          <t>Solver found a solution. All constraints and optimality conditions are satisfied.</t>
        </r>
      </text>
    </comment>
    <comment ref="K10" authorId="0" shapeId="0" xr:uid="{9934FCA2-E200-497B-9C59-A2079BE6F8BC}">
      <text>
        <r>
          <rPr>
            <sz val="9"/>
            <color indexed="81"/>
            <rFont val="Tahoma"/>
            <family val="2"/>
          </rPr>
          <t>Solver found a solution. All constraints and optimality conditions are satisfied.</t>
        </r>
      </text>
    </comment>
    <comment ref="L10" authorId="0" shapeId="0" xr:uid="{1D31387A-DB19-4073-AA55-FD5372632D52}">
      <text>
        <r>
          <rPr>
            <sz val="9"/>
            <color indexed="81"/>
            <rFont val="Tahoma"/>
            <family val="2"/>
          </rPr>
          <t>Solver found a solution. All constraints and optimality conditions are satisfied.</t>
        </r>
      </text>
    </comment>
    <comment ref="B11" authorId="0" shapeId="0" xr:uid="{E458365B-B3A3-4F08-BDB4-A31208A3F740}">
      <text>
        <r>
          <rPr>
            <sz val="9"/>
            <color indexed="81"/>
            <rFont val="Tahoma"/>
            <family val="2"/>
          </rPr>
          <t>Solver found a solution. All constraints and optimality conditions are satisfied.</t>
        </r>
      </text>
    </comment>
    <comment ref="C11" authorId="0" shapeId="0" xr:uid="{6475B7BF-1D34-436E-8046-AB7ACC4901A8}">
      <text>
        <r>
          <rPr>
            <sz val="9"/>
            <color indexed="81"/>
            <rFont val="Tahoma"/>
            <family val="2"/>
          </rPr>
          <t>Solver found a solution. All constraints and optimality conditions are satisfied.</t>
        </r>
      </text>
    </comment>
    <comment ref="D11" authorId="0" shapeId="0" xr:uid="{BE2F61BE-5E67-4D0B-ADAE-2475D6435CFC}">
      <text>
        <r>
          <rPr>
            <sz val="9"/>
            <color indexed="81"/>
            <rFont val="Tahoma"/>
            <family val="2"/>
          </rPr>
          <t>Solver found a solution. All constraints and optimality conditions are satisfied.</t>
        </r>
      </text>
    </comment>
    <comment ref="E11" authorId="0" shapeId="0" xr:uid="{B630881C-0982-49E1-AA26-CD75B6EED95C}">
      <text>
        <r>
          <rPr>
            <sz val="9"/>
            <color indexed="81"/>
            <rFont val="Tahoma"/>
            <family val="2"/>
          </rPr>
          <t>Solver found a solution. All constraints and optimality conditions are satisfied.</t>
        </r>
      </text>
    </comment>
    <comment ref="F11" authorId="0" shapeId="0" xr:uid="{F29C15C6-FBFC-4687-A851-AA960267C5E6}">
      <text>
        <r>
          <rPr>
            <sz val="9"/>
            <color indexed="81"/>
            <rFont val="Tahoma"/>
            <family val="2"/>
          </rPr>
          <t>Solver found a solution. All constraints and optimality conditions are satisfied.</t>
        </r>
      </text>
    </comment>
    <comment ref="G11" authorId="0" shapeId="0" xr:uid="{DD489A7B-B4E9-4A9E-9A48-4C9AC788B50C}">
      <text>
        <r>
          <rPr>
            <sz val="9"/>
            <color indexed="81"/>
            <rFont val="Tahoma"/>
            <family val="2"/>
          </rPr>
          <t>Solver found a solution. All constraints and optimality conditions are satisfied.</t>
        </r>
      </text>
    </comment>
    <comment ref="H11" authorId="0" shapeId="0" xr:uid="{A3E93372-7FF7-49D4-961E-E6F7925D3978}">
      <text>
        <r>
          <rPr>
            <sz val="9"/>
            <color indexed="81"/>
            <rFont val="Tahoma"/>
            <family val="2"/>
          </rPr>
          <t>Solver found a solution. All constraints and optimality conditions are satisfied.</t>
        </r>
      </text>
    </comment>
    <comment ref="I11" authorId="0" shapeId="0" xr:uid="{B8484C75-1819-40C7-BB3D-99E872FBDE5C}">
      <text>
        <r>
          <rPr>
            <sz val="9"/>
            <color indexed="81"/>
            <rFont val="Tahoma"/>
            <family val="2"/>
          </rPr>
          <t>Solver found a solution. All constraints and optimality conditions are satisfied.</t>
        </r>
      </text>
    </comment>
    <comment ref="J11" authorId="0" shapeId="0" xr:uid="{CC21B7F8-939C-40F1-9ACF-EBA15BA8826D}">
      <text>
        <r>
          <rPr>
            <sz val="9"/>
            <color indexed="81"/>
            <rFont val="Tahoma"/>
            <family val="2"/>
          </rPr>
          <t>Solver found a solution. All constraints and optimality conditions are satisfied.</t>
        </r>
      </text>
    </comment>
    <comment ref="K11" authorId="0" shapeId="0" xr:uid="{0F1C63EC-4495-42B8-B48D-9F650B014452}">
      <text>
        <r>
          <rPr>
            <sz val="9"/>
            <color indexed="81"/>
            <rFont val="Tahoma"/>
            <family val="2"/>
          </rPr>
          <t>Solver found a solution. All constraints and optimality conditions are satisfied.</t>
        </r>
      </text>
    </comment>
    <comment ref="L11" authorId="0" shapeId="0" xr:uid="{65EEEF2A-9F0A-4AC2-B939-8DFACEAFF4FD}">
      <text>
        <r>
          <rPr>
            <sz val="9"/>
            <color indexed="81"/>
            <rFont val="Tahoma"/>
            <family val="2"/>
          </rPr>
          <t>Solver found a solution. All constraints and optimality conditions are satisfied.</t>
        </r>
      </text>
    </comment>
    <comment ref="B12" authorId="0" shapeId="0" xr:uid="{436C9363-85A7-4466-88F5-01BD3176F7B6}">
      <text>
        <r>
          <rPr>
            <sz val="9"/>
            <color indexed="81"/>
            <rFont val="Tahoma"/>
            <family val="2"/>
          </rPr>
          <t>Solver found a solution. All constraints and optimality conditions are satisfied.</t>
        </r>
      </text>
    </comment>
    <comment ref="C12" authorId="0" shapeId="0" xr:uid="{95C150E5-0BB1-4FEB-B932-F025AA899EE2}">
      <text>
        <r>
          <rPr>
            <sz val="9"/>
            <color indexed="81"/>
            <rFont val="Tahoma"/>
            <family val="2"/>
          </rPr>
          <t>Solver found a solution. All constraints and optimality conditions are satisfied.</t>
        </r>
      </text>
    </comment>
    <comment ref="D12" authorId="0" shapeId="0" xr:uid="{CBEE4D33-477E-4959-B98A-BA1A491BDC1B}">
      <text>
        <r>
          <rPr>
            <sz val="9"/>
            <color indexed="81"/>
            <rFont val="Tahoma"/>
            <family val="2"/>
          </rPr>
          <t>Solver found a solution. All constraints and optimality conditions are satisfied.</t>
        </r>
      </text>
    </comment>
    <comment ref="E12" authorId="0" shapeId="0" xr:uid="{CD4BF4A8-FB0A-47DC-8930-9744484FE4D9}">
      <text>
        <r>
          <rPr>
            <sz val="9"/>
            <color indexed="81"/>
            <rFont val="Tahoma"/>
            <family val="2"/>
          </rPr>
          <t>Solver found a solution. All constraints and optimality conditions are satisfied.</t>
        </r>
      </text>
    </comment>
    <comment ref="F12" authorId="0" shapeId="0" xr:uid="{E5681296-BBF4-4486-A7E7-7C95F0156DC0}">
      <text>
        <r>
          <rPr>
            <sz val="9"/>
            <color indexed="81"/>
            <rFont val="Tahoma"/>
            <family val="2"/>
          </rPr>
          <t>Solver found a solution. All constraints and optimality conditions are satisfied.</t>
        </r>
      </text>
    </comment>
    <comment ref="G12" authorId="0" shapeId="0" xr:uid="{934DE90F-D0E1-4F38-A8C6-4E99EC486A8C}">
      <text>
        <r>
          <rPr>
            <sz val="9"/>
            <color indexed="81"/>
            <rFont val="Tahoma"/>
            <family val="2"/>
          </rPr>
          <t>Solver found a solution. All constraints and optimality conditions are satisfied.</t>
        </r>
      </text>
    </comment>
    <comment ref="H12" authorId="0" shapeId="0" xr:uid="{250B6ECD-1935-4730-8F83-550B4FD964E1}">
      <text>
        <r>
          <rPr>
            <sz val="9"/>
            <color indexed="81"/>
            <rFont val="Tahoma"/>
            <family val="2"/>
          </rPr>
          <t>Solver found a solution. All constraints and optimality conditions are satisfied.</t>
        </r>
      </text>
    </comment>
    <comment ref="I12" authorId="0" shapeId="0" xr:uid="{2D18FFCD-D4AF-44D4-8453-D09A9ED1D57E}">
      <text>
        <r>
          <rPr>
            <sz val="9"/>
            <color indexed="81"/>
            <rFont val="Tahoma"/>
            <family val="2"/>
          </rPr>
          <t>Solver found a solution. All constraints and optimality conditions are satisfied.</t>
        </r>
      </text>
    </comment>
    <comment ref="J12" authorId="0" shapeId="0" xr:uid="{0EB02282-0450-411F-9DA4-1E904F8324D0}">
      <text>
        <r>
          <rPr>
            <sz val="9"/>
            <color indexed="81"/>
            <rFont val="Tahoma"/>
            <family val="2"/>
          </rPr>
          <t>Solver found a solution. All constraints and optimality conditions are satisfied.</t>
        </r>
      </text>
    </comment>
    <comment ref="K12" authorId="0" shapeId="0" xr:uid="{0113EC0F-E3F7-4345-8110-DDFA9457BDEA}">
      <text>
        <r>
          <rPr>
            <sz val="9"/>
            <color indexed="81"/>
            <rFont val="Tahoma"/>
            <family val="2"/>
          </rPr>
          <t>Solver found a solution. All constraints and optimality conditions are satisfied.</t>
        </r>
      </text>
    </comment>
    <comment ref="L12" authorId="0" shapeId="0" xr:uid="{1F2C2F3E-5A46-47D5-B85D-7DDD3F049758}">
      <text>
        <r>
          <rPr>
            <sz val="9"/>
            <color indexed="81"/>
            <rFont val="Tahoma"/>
            <family val="2"/>
          </rPr>
          <t>Solver found a solution. All constraints and optimality conditions are satisfied.</t>
        </r>
      </text>
    </comment>
    <comment ref="B13" authorId="0" shapeId="0" xr:uid="{A6939EA8-1459-4C74-B3C8-58DC515DDC09}">
      <text>
        <r>
          <rPr>
            <sz val="9"/>
            <color indexed="81"/>
            <rFont val="Tahoma"/>
            <family val="2"/>
          </rPr>
          <t>Solver found a solution. All constraints and optimality conditions are satisfied.</t>
        </r>
      </text>
    </comment>
    <comment ref="C13" authorId="0" shapeId="0" xr:uid="{5A36F016-6CC2-4B06-8BA3-A0D11AF0D11D}">
      <text>
        <r>
          <rPr>
            <sz val="9"/>
            <color indexed="81"/>
            <rFont val="Tahoma"/>
            <family val="2"/>
          </rPr>
          <t>Solver found a solution. All constraints and optimality conditions are satisfied.</t>
        </r>
      </text>
    </comment>
    <comment ref="D13" authorId="0" shapeId="0" xr:uid="{8E96BA69-131D-4FCA-A8D7-1987B398E620}">
      <text>
        <r>
          <rPr>
            <sz val="9"/>
            <color indexed="81"/>
            <rFont val="Tahoma"/>
            <family val="2"/>
          </rPr>
          <t>Solver found a solution. All constraints and optimality conditions are satisfied.</t>
        </r>
      </text>
    </comment>
    <comment ref="E13" authorId="0" shapeId="0" xr:uid="{CC48EA7F-758F-4DA1-8522-309CA8ABFB92}">
      <text>
        <r>
          <rPr>
            <sz val="9"/>
            <color indexed="81"/>
            <rFont val="Tahoma"/>
            <family val="2"/>
          </rPr>
          <t>Solver found a solution. All constraints and optimality conditions are satisfied.</t>
        </r>
      </text>
    </comment>
    <comment ref="F13" authorId="0" shapeId="0" xr:uid="{A55D8CF7-CED5-40CF-B906-72DBACDF51FF}">
      <text>
        <r>
          <rPr>
            <sz val="9"/>
            <color indexed="81"/>
            <rFont val="Tahoma"/>
            <family val="2"/>
          </rPr>
          <t>Solver found a solution. All constraints and optimality conditions are satisfied.</t>
        </r>
      </text>
    </comment>
    <comment ref="G13" authorId="0" shapeId="0" xr:uid="{47722B92-852E-4D62-BC10-9DFEBC54ED91}">
      <text>
        <r>
          <rPr>
            <sz val="9"/>
            <color indexed="81"/>
            <rFont val="Tahoma"/>
            <family val="2"/>
          </rPr>
          <t>Solver found a solution. All constraints and optimality conditions are satisfied.</t>
        </r>
      </text>
    </comment>
    <comment ref="H13" authorId="0" shapeId="0" xr:uid="{CD52EF68-14D6-49B2-913D-37226E592EF9}">
      <text>
        <r>
          <rPr>
            <sz val="9"/>
            <color indexed="81"/>
            <rFont val="Tahoma"/>
            <family val="2"/>
          </rPr>
          <t>Solver found a solution. All constraints and optimality conditions are satisfied.</t>
        </r>
      </text>
    </comment>
    <comment ref="I13" authorId="0" shapeId="0" xr:uid="{F9CDD0E1-52A9-460A-9CD4-84313948644C}">
      <text>
        <r>
          <rPr>
            <sz val="9"/>
            <color indexed="81"/>
            <rFont val="Tahoma"/>
            <family val="2"/>
          </rPr>
          <t>Solver found a solution. All constraints and optimality conditions are satisfied.</t>
        </r>
      </text>
    </comment>
    <comment ref="J13" authorId="0" shapeId="0" xr:uid="{8704C47A-3D36-42C8-B4D2-F3EECC8BCFCA}">
      <text>
        <r>
          <rPr>
            <sz val="9"/>
            <color indexed="81"/>
            <rFont val="Tahoma"/>
            <family val="2"/>
          </rPr>
          <t>Solver found a solution. All constraints and optimality conditions are satisfied.</t>
        </r>
      </text>
    </comment>
    <comment ref="K13" authorId="0" shapeId="0" xr:uid="{C03EC948-A82E-4C59-B17A-4887DFC42602}">
      <text>
        <r>
          <rPr>
            <sz val="9"/>
            <color indexed="81"/>
            <rFont val="Tahoma"/>
            <family val="2"/>
          </rPr>
          <t>Solver found a solution. All constraints and optimality conditions are satisfied.</t>
        </r>
      </text>
    </comment>
    <comment ref="L13" authorId="0" shapeId="0" xr:uid="{57B01B40-89AD-4A22-A17C-D0792B279D4F}">
      <text>
        <r>
          <rPr>
            <sz val="9"/>
            <color indexed="81"/>
            <rFont val="Tahoma"/>
            <family val="2"/>
          </rPr>
          <t>Solver found a solution. All constraints and optimality conditions are satisfied.</t>
        </r>
      </text>
    </comment>
    <comment ref="B14" authorId="0" shapeId="0" xr:uid="{72B227E5-78DC-4A3B-9A12-4252FF02350A}">
      <text>
        <r>
          <rPr>
            <sz val="9"/>
            <color indexed="81"/>
            <rFont val="Tahoma"/>
            <family val="2"/>
          </rPr>
          <t>Solver found a solution. All constraints and optimality conditions are satisfied.</t>
        </r>
      </text>
    </comment>
    <comment ref="C14" authorId="0" shapeId="0" xr:uid="{818A618B-B02C-4083-B915-9E5C8EABA335}">
      <text>
        <r>
          <rPr>
            <sz val="9"/>
            <color indexed="81"/>
            <rFont val="Tahoma"/>
            <family val="2"/>
          </rPr>
          <t>Solver found a solution. All constraints and optimality conditions are satisfied.</t>
        </r>
      </text>
    </comment>
    <comment ref="D14" authorId="0" shapeId="0" xr:uid="{50FC1B74-2AFA-4AFD-B5F7-085BC78F43A1}">
      <text>
        <r>
          <rPr>
            <sz val="9"/>
            <color indexed="81"/>
            <rFont val="Tahoma"/>
            <family val="2"/>
          </rPr>
          <t>Solver found a solution. All constraints and optimality conditions are satisfied.</t>
        </r>
      </text>
    </comment>
    <comment ref="E14" authorId="0" shapeId="0" xr:uid="{0A49865E-6F7C-4B30-AF93-E153325B37C6}">
      <text>
        <r>
          <rPr>
            <sz val="9"/>
            <color indexed="81"/>
            <rFont val="Tahoma"/>
            <family val="2"/>
          </rPr>
          <t>Solver found a solution. All constraints and optimality conditions are satisfied.</t>
        </r>
      </text>
    </comment>
    <comment ref="F14" authorId="0" shapeId="0" xr:uid="{B26A1AA0-64E4-4878-898D-F11173D9A815}">
      <text>
        <r>
          <rPr>
            <sz val="9"/>
            <color indexed="81"/>
            <rFont val="Tahoma"/>
            <family val="2"/>
          </rPr>
          <t>Solver found a solution. All constraints and optimality conditions are satisfied.</t>
        </r>
      </text>
    </comment>
    <comment ref="G14" authorId="0" shapeId="0" xr:uid="{F641B158-7AF8-43C3-BF25-F6164D98571F}">
      <text>
        <r>
          <rPr>
            <sz val="9"/>
            <color indexed="81"/>
            <rFont val="Tahoma"/>
            <family val="2"/>
          </rPr>
          <t>Solver found a solution. All constraints and optimality conditions are satisfied.</t>
        </r>
      </text>
    </comment>
    <comment ref="H14" authorId="0" shapeId="0" xr:uid="{CB747927-090C-49EA-82E0-C181B85878B7}">
      <text>
        <r>
          <rPr>
            <sz val="9"/>
            <color indexed="81"/>
            <rFont val="Tahoma"/>
            <family val="2"/>
          </rPr>
          <t>Solver found a solution. All constraints and optimality conditions are satisfied.</t>
        </r>
      </text>
    </comment>
    <comment ref="I14" authorId="0" shapeId="0" xr:uid="{05F0FF0B-30A9-4783-B96F-EC1098FF434B}">
      <text>
        <r>
          <rPr>
            <sz val="9"/>
            <color indexed="81"/>
            <rFont val="Tahoma"/>
            <family val="2"/>
          </rPr>
          <t>Solver found a solution. All constraints and optimality conditions are satisfied.</t>
        </r>
      </text>
    </comment>
    <comment ref="J14" authorId="0" shapeId="0" xr:uid="{5F7BCA10-824B-466C-AF01-7253AC554D80}">
      <text>
        <r>
          <rPr>
            <sz val="9"/>
            <color indexed="81"/>
            <rFont val="Tahoma"/>
            <family val="2"/>
          </rPr>
          <t>Solver found a solution. All constraints and optimality conditions are satisfied.</t>
        </r>
      </text>
    </comment>
    <comment ref="K14" authorId="0" shapeId="0" xr:uid="{D44802C3-4DA8-4386-8DE6-D6C74797D992}">
      <text>
        <r>
          <rPr>
            <sz val="9"/>
            <color indexed="81"/>
            <rFont val="Tahoma"/>
            <family val="2"/>
          </rPr>
          <t>Solver found a solution. All constraints and optimality conditions are satisfied.</t>
        </r>
      </text>
    </comment>
    <comment ref="L14" authorId="0" shapeId="0" xr:uid="{AE9DCD62-7F4D-4F93-BCD8-1AC7074A7A8C}">
      <text>
        <r>
          <rPr>
            <sz val="9"/>
            <color indexed="81"/>
            <rFont val="Tahoma"/>
            <family val="2"/>
          </rPr>
          <t>Solver found a solution. All constraints and optimality conditions are satisfied.</t>
        </r>
      </text>
    </comment>
    <comment ref="B15" authorId="0" shapeId="0" xr:uid="{46B8DFA5-50FE-4896-828A-641BD3EA0E37}">
      <text>
        <r>
          <rPr>
            <sz val="9"/>
            <color indexed="81"/>
            <rFont val="Tahoma"/>
            <family val="2"/>
          </rPr>
          <t>Solver found a solution. All constraints and optimality conditions are satisfied.</t>
        </r>
      </text>
    </comment>
    <comment ref="C15" authorId="0" shapeId="0" xr:uid="{4134733B-311E-4B42-B12A-2F8F65E2FC97}">
      <text>
        <r>
          <rPr>
            <sz val="9"/>
            <color indexed="81"/>
            <rFont val="Tahoma"/>
            <family val="2"/>
          </rPr>
          <t>Solver found a solution. All constraints and optimality conditions are satisfied.</t>
        </r>
      </text>
    </comment>
    <comment ref="D15" authorId="0" shapeId="0" xr:uid="{DF585CC0-0016-46BC-ADBE-291992EAEB92}">
      <text>
        <r>
          <rPr>
            <sz val="9"/>
            <color indexed="81"/>
            <rFont val="Tahoma"/>
            <family val="2"/>
          </rPr>
          <t>Solver found a solution. All constraints and optimality conditions are satisfied.</t>
        </r>
      </text>
    </comment>
    <comment ref="E15" authorId="0" shapeId="0" xr:uid="{1501CD15-392F-462F-8198-315CF114460D}">
      <text>
        <r>
          <rPr>
            <sz val="9"/>
            <color indexed="81"/>
            <rFont val="Tahoma"/>
            <family val="2"/>
          </rPr>
          <t>Solver found a solution. All constraints and optimality conditions are satisfied.</t>
        </r>
      </text>
    </comment>
    <comment ref="F15" authorId="0" shapeId="0" xr:uid="{A8E6713C-60E7-48C4-B089-21F7AF97E148}">
      <text>
        <r>
          <rPr>
            <sz val="9"/>
            <color indexed="81"/>
            <rFont val="Tahoma"/>
            <family val="2"/>
          </rPr>
          <t>Solver found a solution. All constraints and optimality conditions are satisfied.</t>
        </r>
      </text>
    </comment>
    <comment ref="G15" authorId="0" shapeId="0" xr:uid="{1F2F562A-5582-461E-A0DA-6AB9AB8CDC78}">
      <text>
        <r>
          <rPr>
            <sz val="9"/>
            <color indexed="81"/>
            <rFont val="Tahoma"/>
            <family val="2"/>
          </rPr>
          <t>Solver found a solution. All constraints and optimality conditions are satisfied.</t>
        </r>
      </text>
    </comment>
    <comment ref="H15" authorId="0" shapeId="0" xr:uid="{96366634-B1EE-45D5-8EEF-ABECCA7A0B76}">
      <text>
        <r>
          <rPr>
            <sz val="9"/>
            <color indexed="81"/>
            <rFont val="Tahoma"/>
            <family val="2"/>
          </rPr>
          <t>Solver found a solution. All constraints and optimality conditions are satisfied.</t>
        </r>
      </text>
    </comment>
    <comment ref="I15" authorId="0" shapeId="0" xr:uid="{62824E6E-00A3-4478-A3B7-0BD2416C56DA}">
      <text>
        <r>
          <rPr>
            <sz val="9"/>
            <color indexed="81"/>
            <rFont val="Tahoma"/>
            <family val="2"/>
          </rPr>
          <t>Solver found a solution. All constraints and optimality conditions are satisfied.</t>
        </r>
      </text>
    </comment>
    <comment ref="J15" authorId="0" shapeId="0" xr:uid="{337199C2-9027-411D-90C2-6272DD7D3E79}">
      <text>
        <r>
          <rPr>
            <sz val="9"/>
            <color indexed="81"/>
            <rFont val="Tahoma"/>
            <family val="2"/>
          </rPr>
          <t>Solver found a solution. All constraints and optimality conditions are satisfied.</t>
        </r>
      </text>
    </comment>
    <comment ref="K15" authorId="0" shapeId="0" xr:uid="{C8CC1666-6414-4BA9-85F5-4BF97865A30C}">
      <text>
        <r>
          <rPr>
            <sz val="9"/>
            <color indexed="81"/>
            <rFont val="Tahoma"/>
            <family val="2"/>
          </rPr>
          <t>Solver found a solution. All constraints and optimality conditions are satisfied.</t>
        </r>
      </text>
    </comment>
    <comment ref="L15" authorId="0" shapeId="0" xr:uid="{566AFE1A-B320-4FB8-9BF2-BC14A8D88828}">
      <text>
        <r>
          <rPr>
            <sz val="9"/>
            <color indexed="81"/>
            <rFont val="Tahoma"/>
            <family val="2"/>
          </rPr>
          <t>Solver found a solution. All constraints and optimality conditions are satisfied.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6FED2931-4007-4340-9423-A36BB61CA67B}">
      <text>
        <r>
          <rPr>
            <sz val="9"/>
            <color indexed="81"/>
            <rFont val="Tahoma"/>
            <family val="2"/>
          </rPr>
          <t>Solver found a solution. All constraints and optimality conditions are satisfied.</t>
        </r>
      </text>
    </comment>
    <comment ref="B6" authorId="0" shapeId="0" xr:uid="{A6832D25-A94D-44C4-A127-8CC599E5A21E}">
      <text>
        <r>
          <rPr>
            <sz val="9"/>
            <color indexed="81"/>
            <rFont val="Tahoma"/>
            <family val="2"/>
          </rPr>
          <t>Solver found a solution. All constraints and optimality conditions are satisfied.</t>
        </r>
      </text>
    </comment>
    <comment ref="B7" authorId="0" shapeId="0" xr:uid="{CD2DB3D7-ABE6-4578-AA78-866F45AD24FF}">
      <text>
        <r>
          <rPr>
            <sz val="9"/>
            <color indexed="81"/>
            <rFont val="Tahoma"/>
            <family val="2"/>
          </rPr>
          <t>Solver found a solution. All constraints and optimality conditions are satisfied.</t>
        </r>
      </text>
    </comment>
    <comment ref="B8" authorId="0" shapeId="0" xr:uid="{014D0302-6EFB-42A8-B7AF-3E3C95A39EA0}">
      <text>
        <r>
          <rPr>
            <sz val="9"/>
            <color indexed="81"/>
            <rFont val="Tahoma"/>
            <family val="2"/>
          </rPr>
          <t>Solver found a solution. All constraints and optimality conditions are satisfied.</t>
        </r>
      </text>
    </comment>
    <comment ref="B9" authorId="0" shapeId="0" xr:uid="{C0AD1514-C4F6-42E7-878B-7033C497CB83}">
      <text>
        <r>
          <rPr>
            <sz val="9"/>
            <color indexed="81"/>
            <rFont val="Tahoma"/>
            <family val="2"/>
          </rPr>
          <t>Solver found a solution. All constraints and optimality conditions are satisfied.</t>
        </r>
      </text>
    </comment>
    <comment ref="B10" authorId="0" shapeId="0" xr:uid="{7F00F416-B623-4B70-BD5C-B09699B70204}">
      <text>
        <r>
          <rPr>
            <sz val="9"/>
            <color indexed="81"/>
            <rFont val="Tahoma"/>
            <family val="2"/>
          </rPr>
          <t>Solver found a solution. All constraints and optimality conditions are satisfied.</t>
        </r>
      </text>
    </comment>
    <comment ref="B11" authorId="0" shapeId="0" xr:uid="{E9F9D3B4-5A5C-45E3-8A24-3CC41C23E032}">
      <text>
        <r>
          <rPr>
            <sz val="9"/>
            <color indexed="81"/>
            <rFont val="Tahoma"/>
            <family val="2"/>
          </rPr>
          <t>Solver found a solution. All constraints and optimality conditions are satisfied.</t>
        </r>
      </text>
    </comment>
    <comment ref="B12" authorId="0" shapeId="0" xr:uid="{B95CE362-1650-48BC-9924-3FB4C882AC7C}">
      <text>
        <r>
          <rPr>
            <sz val="9"/>
            <color indexed="81"/>
            <rFont val="Tahoma"/>
            <family val="2"/>
          </rPr>
          <t>Solver found a solution. All constraints and optimality conditions are satisfied.</t>
        </r>
      </text>
    </comment>
    <comment ref="B13" authorId="0" shapeId="0" xr:uid="{4CBC8C7F-8DF2-4A63-8C2E-07EA3B020E57}">
      <text>
        <r>
          <rPr>
            <sz val="9"/>
            <color indexed="81"/>
            <rFont val="Tahoma"/>
            <family val="2"/>
          </rPr>
          <t>Solver found a solution. All constraints and optimality conditions are satisfied.</t>
        </r>
      </text>
    </comment>
    <comment ref="B14" authorId="0" shapeId="0" xr:uid="{D1C39CD4-4554-40A0-A749-75B23BE67AA0}">
      <text>
        <r>
          <rPr>
            <sz val="9"/>
            <color indexed="81"/>
            <rFont val="Tahoma"/>
            <family val="2"/>
          </rPr>
          <t>Solver found a solution. All constraints and optimality conditions are satisfied.</t>
        </r>
      </text>
    </comment>
    <comment ref="B15" authorId="0" shapeId="0" xr:uid="{BE21C0DA-85CA-45B5-B24C-44521F2439DA}">
      <text>
        <r>
          <rPr>
            <sz val="9"/>
            <color indexed="81"/>
            <rFont val="Tahoma"/>
            <family val="2"/>
          </rPr>
          <t>Solver found a solution. All constraints and optimality conditions are satisfied.</t>
        </r>
      </text>
    </comment>
    <comment ref="B16" authorId="0" shapeId="0" xr:uid="{D9D4D526-7CAD-4D05-9586-62597A7393A6}">
      <text>
        <r>
          <rPr>
            <sz val="9"/>
            <color indexed="81"/>
            <rFont val="Tahoma"/>
            <family val="2"/>
          </rPr>
          <t>Solver found a solution. All constraints and optimality conditions are satisfied.</t>
        </r>
      </text>
    </comment>
    <comment ref="B17" authorId="0" shapeId="0" xr:uid="{E18645E9-5329-4870-A8CF-50178F36D8DC}">
      <text>
        <r>
          <rPr>
            <sz val="9"/>
            <color indexed="81"/>
            <rFont val="Tahoma"/>
            <family val="2"/>
          </rPr>
          <t>Solver found a solution. All constraints and optimality conditions are satisfied.</t>
        </r>
      </text>
    </comment>
    <comment ref="B18" authorId="0" shapeId="0" xr:uid="{7397B7DB-C315-4F70-9739-EBABE19AA55A}">
      <text>
        <r>
          <rPr>
            <sz val="9"/>
            <color indexed="81"/>
            <rFont val="Tahoma"/>
            <family val="2"/>
          </rPr>
          <t>Solver found a solution. All constraints and optimality conditions are satisfied.</t>
        </r>
      </text>
    </comment>
    <comment ref="B19" authorId="0" shapeId="0" xr:uid="{6803B23A-7214-4BD3-86B1-29ACA88F8871}">
      <text>
        <r>
          <rPr>
            <sz val="9"/>
            <color indexed="81"/>
            <rFont val="Tahoma"/>
            <family val="2"/>
          </rPr>
          <t>Solver found a solution. All constraints and optimality conditions are satisfied.</t>
        </r>
      </text>
    </comment>
    <comment ref="B20" authorId="0" shapeId="0" xr:uid="{4EB0A9A4-CC50-4463-8CC9-357FD073930F}">
      <text>
        <r>
          <rPr>
            <sz val="9"/>
            <color indexed="81"/>
            <rFont val="Tahoma"/>
            <family val="2"/>
          </rPr>
          <t>Solver found a solution. All constraints and optimality conditions are satisfied.</t>
        </r>
      </text>
    </comment>
    <comment ref="B21" authorId="0" shapeId="0" xr:uid="{10960A1E-D2F3-457A-9D05-71B2A8116469}">
      <text>
        <r>
          <rPr>
            <sz val="9"/>
            <color indexed="81"/>
            <rFont val="Tahoma"/>
            <family val="2"/>
          </rPr>
          <t>Solver found a solution. All constraints and optimality conditions are satisfied.</t>
        </r>
      </text>
    </comment>
    <comment ref="B22" authorId="0" shapeId="0" xr:uid="{F4995639-9212-4D6B-A918-66284C789D46}">
      <text>
        <r>
          <rPr>
            <sz val="9"/>
            <color indexed="81"/>
            <rFont val="Tahoma"/>
            <family val="2"/>
          </rPr>
          <t>Solver found a solution. All constraints and optimality conditions are satisfied.</t>
        </r>
      </text>
    </comment>
    <comment ref="B23" authorId="0" shapeId="0" xr:uid="{9DD0A43E-1F31-44FF-A0E3-6EA375C048DE}">
      <text>
        <r>
          <rPr>
            <sz val="9"/>
            <color indexed="81"/>
            <rFont val="Tahoma"/>
            <family val="2"/>
          </rPr>
          <t>Solver found a solution. All constraints and optimality conditions are satisfied.</t>
        </r>
      </text>
    </comment>
    <comment ref="B24" authorId="0" shapeId="0" xr:uid="{BAFD596E-3B34-4AE3-8A69-167D9EF9C61F}">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298A3ADB-D5B8-4A72-AA2E-05859A659A99}">
      <text>
        <r>
          <rPr>
            <sz val="9"/>
            <color indexed="81"/>
            <rFont val="Tahoma"/>
            <family val="2"/>
          </rPr>
          <t>Solver found a solution. All constraints and optimality conditions are satisfied.</t>
        </r>
      </text>
    </comment>
    <comment ref="B6" authorId="0" shapeId="0" xr:uid="{3DF45DBD-9106-4589-9B69-38F4F564041A}">
      <text>
        <r>
          <rPr>
            <sz val="9"/>
            <color indexed="81"/>
            <rFont val="Tahoma"/>
            <family val="2"/>
          </rPr>
          <t>Solver found a solution. All constraints and optimality conditions are satisfied.</t>
        </r>
      </text>
    </comment>
    <comment ref="B7" authorId="0" shapeId="0" xr:uid="{40F1130D-912C-4C63-9E0D-7ED5D59C371F}">
      <text>
        <r>
          <rPr>
            <sz val="9"/>
            <color indexed="81"/>
            <rFont val="Tahoma"/>
            <family val="2"/>
          </rPr>
          <t>Solver found a solution. All constraints and optimality conditions are satisfied.</t>
        </r>
      </text>
    </comment>
    <comment ref="B8" authorId="0" shapeId="0" xr:uid="{1A70875F-605C-4829-8CBB-0D1CE3683C1C}">
      <text>
        <r>
          <rPr>
            <sz val="9"/>
            <color indexed="81"/>
            <rFont val="Tahoma"/>
            <family val="2"/>
          </rPr>
          <t>Solver found a solution. All constraints and optimality conditions are satisfied.</t>
        </r>
      </text>
    </comment>
    <comment ref="B9" authorId="0" shapeId="0" xr:uid="{31603D8F-726C-429C-9859-07DFFB4AE0FD}">
      <text>
        <r>
          <rPr>
            <sz val="9"/>
            <color indexed="81"/>
            <rFont val="Tahoma"/>
            <family val="2"/>
          </rPr>
          <t>Solver found a solution. All constraints and optimality conditions are satisfied.</t>
        </r>
      </text>
    </comment>
    <comment ref="B10" authorId="0" shapeId="0" xr:uid="{A3CDC0FD-C11B-49DB-BF69-93BACD158CBB}">
      <text>
        <r>
          <rPr>
            <sz val="9"/>
            <color indexed="81"/>
            <rFont val="Tahoma"/>
            <family val="2"/>
          </rPr>
          <t>Solver found a solution. All constraints and optimality conditions are satisfied.</t>
        </r>
      </text>
    </comment>
    <comment ref="B11" authorId="0" shapeId="0" xr:uid="{575E73FB-008C-466A-B027-E0AB43015788}">
      <text>
        <r>
          <rPr>
            <sz val="9"/>
            <color indexed="81"/>
            <rFont val="Tahoma"/>
            <family val="2"/>
          </rPr>
          <t>Solver found a solution. All constraints and optimality conditions are satisfied.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B946A5B1-7AA6-4BEB-9BE5-1716D2EBB0B0}">
      <text>
        <r>
          <rPr>
            <sz val="9"/>
            <color indexed="81"/>
            <rFont val="Tahoma"/>
            <family val="2"/>
          </rPr>
          <t>Solver found a solution. All constraints and optimality conditions are satisfied.</t>
        </r>
      </text>
    </comment>
    <comment ref="C5" authorId="0" shapeId="0" xr:uid="{BF294561-AB6B-4BED-9EBE-2AEFB343D090}">
      <text>
        <r>
          <rPr>
            <sz val="9"/>
            <color indexed="81"/>
            <rFont val="Tahoma"/>
            <family val="2"/>
          </rPr>
          <t>Solver found a solution. All constraints and optimality conditions are satisfied.</t>
        </r>
      </text>
    </comment>
    <comment ref="D5" authorId="0" shapeId="0" xr:uid="{F40317A2-D647-4CDF-89FF-4A0E958BD6CE}">
      <text>
        <r>
          <rPr>
            <sz val="9"/>
            <color indexed="81"/>
            <rFont val="Tahoma"/>
            <family val="2"/>
          </rPr>
          <t>Solver found a solution. All constraints and optimality conditions are satisfied.</t>
        </r>
      </text>
    </comment>
    <comment ref="E5" authorId="0" shapeId="0" xr:uid="{FA4A02E6-A2DC-4B9B-B1F8-7289FE830460}">
      <text>
        <r>
          <rPr>
            <sz val="9"/>
            <color indexed="81"/>
            <rFont val="Tahoma"/>
            <family val="2"/>
          </rPr>
          <t>Solver found a solution. All constraints and optimality conditions are satisfied.</t>
        </r>
      </text>
    </comment>
    <comment ref="F5" authorId="0" shapeId="0" xr:uid="{B5EE019A-C7D1-4103-8312-BAAF826B0F37}">
      <text>
        <r>
          <rPr>
            <sz val="9"/>
            <color indexed="81"/>
            <rFont val="Tahoma"/>
            <family val="2"/>
          </rPr>
          <t>Solver found a solution. All constraints and optimality conditions are satisfied.</t>
        </r>
      </text>
    </comment>
    <comment ref="G5" authorId="0" shapeId="0" xr:uid="{0195BEA9-8760-41E4-B2D4-DBD3DF780C9D}">
      <text>
        <r>
          <rPr>
            <sz val="9"/>
            <color indexed="81"/>
            <rFont val="Tahoma"/>
            <family val="2"/>
          </rPr>
          <t>Solver found a solution. All constraints and optimality conditions are satisfied.</t>
        </r>
      </text>
    </comment>
    <comment ref="H5" authorId="0" shapeId="0" xr:uid="{E9B7BAF6-462B-421F-A392-AC71F8E94CC7}">
      <text>
        <r>
          <rPr>
            <sz val="9"/>
            <color indexed="81"/>
            <rFont val="Tahoma"/>
            <family val="2"/>
          </rPr>
          <t>Solver found a solution. All constraints and optimality conditions are satisfied.</t>
        </r>
      </text>
    </comment>
    <comment ref="I5" authorId="0" shapeId="0" xr:uid="{088CC7C6-F19F-419E-AEC9-A6255D80C8EE}">
      <text>
        <r>
          <rPr>
            <sz val="9"/>
            <color indexed="81"/>
            <rFont val="Tahoma"/>
            <family val="2"/>
          </rPr>
          <t>Solver found a solution. All constraints and optimality conditions are satisfied.</t>
        </r>
      </text>
    </comment>
    <comment ref="B6" authorId="0" shapeId="0" xr:uid="{CE35E90A-635C-4D63-BC8C-4ACA3C1A9377}">
      <text>
        <r>
          <rPr>
            <sz val="9"/>
            <color indexed="81"/>
            <rFont val="Tahoma"/>
            <family val="2"/>
          </rPr>
          <t>Solver found a solution. All constraints and optimality conditions are satisfied.</t>
        </r>
      </text>
    </comment>
    <comment ref="C6" authorId="0" shapeId="0" xr:uid="{541B2B49-B3F9-4368-8DDE-13E1C0E3CA1F}">
      <text>
        <r>
          <rPr>
            <sz val="9"/>
            <color indexed="81"/>
            <rFont val="Tahoma"/>
            <family val="2"/>
          </rPr>
          <t>Solver found a solution. All constraints and optimality conditions are satisfied.</t>
        </r>
      </text>
    </comment>
    <comment ref="D6" authorId="0" shapeId="0" xr:uid="{7FC005B1-893E-4CB7-9A05-323A725D7029}">
      <text>
        <r>
          <rPr>
            <sz val="9"/>
            <color indexed="81"/>
            <rFont val="Tahoma"/>
            <family val="2"/>
          </rPr>
          <t>Solver found a solution. All constraints and optimality conditions are satisfied.</t>
        </r>
      </text>
    </comment>
    <comment ref="E6" authorId="0" shapeId="0" xr:uid="{18A59C9B-50BE-45A2-A570-53967C14CF76}">
      <text>
        <r>
          <rPr>
            <sz val="9"/>
            <color indexed="81"/>
            <rFont val="Tahoma"/>
            <family val="2"/>
          </rPr>
          <t>Solver found a solution. All constraints and optimality conditions are satisfied.</t>
        </r>
      </text>
    </comment>
    <comment ref="F6" authorId="0" shapeId="0" xr:uid="{775A8648-83DB-482A-BE5B-88B251C11335}">
      <text>
        <r>
          <rPr>
            <sz val="9"/>
            <color indexed="81"/>
            <rFont val="Tahoma"/>
            <family val="2"/>
          </rPr>
          <t>Solver found a solution. All constraints and optimality conditions are satisfied.</t>
        </r>
      </text>
    </comment>
    <comment ref="G6" authorId="0" shapeId="0" xr:uid="{B253A487-3DD2-4B53-8FF6-7B9780BAE80E}">
      <text>
        <r>
          <rPr>
            <sz val="9"/>
            <color indexed="81"/>
            <rFont val="Tahoma"/>
            <family val="2"/>
          </rPr>
          <t>Solver found a solution. All constraints and optimality conditions are satisfied.</t>
        </r>
      </text>
    </comment>
    <comment ref="H6" authorId="0" shapeId="0" xr:uid="{35F06E49-83B3-4836-A537-FBBD60301FB5}">
      <text>
        <r>
          <rPr>
            <sz val="9"/>
            <color indexed="81"/>
            <rFont val="Tahoma"/>
            <family val="2"/>
          </rPr>
          <t>Solver found a solution. All constraints and optimality conditions are satisfied.</t>
        </r>
      </text>
    </comment>
    <comment ref="I6" authorId="0" shapeId="0" xr:uid="{DA2EB511-679F-4C11-A911-D6671E6EEE56}">
      <text>
        <r>
          <rPr>
            <sz val="9"/>
            <color indexed="81"/>
            <rFont val="Tahoma"/>
            <family val="2"/>
          </rPr>
          <t>Solver found a solution. All constraints and optimality conditions are satisfied.</t>
        </r>
      </text>
    </comment>
    <comment ref="B7" authorId="0" shapeId="0" xr:uid="{EE791F22-38DF-4468-939E-490133E6346E}">
      <text>
        <r>
          <rPr>
            <sz val="9"/>
            <color indexed="81"/>
            <rFont val="Tahoma"/>
            <family val="2"/>
          </rPr>
          <t>Solver found a solution. All constraints and optimality conditions are satisfied.</t>
        </r>
      </text>
    </comment>
    <comment ref="C7" authorId="0" shapeId="0" xr:uid="{224ACEE0-001F-4E21-873D-62AAE040C9D0}">
      <text>
        <r>
          <rPr>
            <sz val="9"/>
            <color indexed="81"/>
            <rFont val="Tahoma"/>
            <family val="2"/>
          </rPr>
          <t>Solver found a solution. All constraints and optimality conditions are satisfied.</t>
        </r>
      </text>
    </comment>
    <comment ref="D7" authorId="0" shapeId="0" xr:uid="{185CC48A-F9F4-4924-ACB6-E0D87998024A}">
      <text>
        <r>
          <rPr>
            <sz val="9"/>
            <color indexed="81"/>
            <rFont val="Tahoma"/>
            <family val="2"/>
          </rPr>
          <t>Solver found a solution. All constraints and optimality conditions are satisfied.</t>
        </r>
      </text>
    </comment>
    <comment ref="E7" authorId="0" shapeId="0" xr:uid="{5DCE05FA-0604-4781-8B42-9C883B5821FD}">
      <text>
        <r>
          <rPr>
            <sz val="9"/>
            <color indexed="81"/>
            <rFont val="Tahoma"/>
            <family val="2"/>
          </rPr>
          <t>Solver found a solution. All constraints and optimality conditions are satisfied.</t>
        </r>
      </text>
    </comment>
    <comment ref="F7" authorId="0" shapeId="0" xr:uid="{49715B97-0E36-4AD2-AC8C-8D5C083439F4}">
      <text>
        <r>
          <rPr>
            <sz val="9"/>
            <color indexed="81"/>
            <rFont val="Tahoma"/>
            <family val="2"/>
          </rPr>
          <t>Solver found a solution. All constraints and optimality conditions are satisfied.</t>
        </r>
      </text>
    </comment>
    <comment ref="G7" authorId="0" shapeId="0" xr:uid="{71D124BF-4FB8-4FEE-8361-11861B1ECD65}">
      <text>
        <r>
          <rPr>
            <sz val="9"/>
            <color indexed="81"/>
            <rFont val="Tahoma"/>
            <family val="2"/>
          </rPr>
          <t>Solver found a solution. All constraints and optimality conditions are satisfied.</t>
        </r>
      </text>
    </comment>
    <comment ref="H7" authorId="0" shapeId="0" xr:uid="{40B3FB00-067C-45D0-BDDB-F9F86D4020DA}">
      <text>
        <r>
          <rPr>
            <sz val="9"/>
            <color indexed="81"/>
            <rFont val="Tahoma"/>
            <family val="2"/>
          </rPr>
          <t>Solver found a solution. All constraints and optimality conditions are satisfied.</t>
        </r>
      </text>
    </comment>
    <comment ref="I7" authorId="0" shapeId="0" xr:uid="{9596EEC0-E8F7-415E-B9BC-68C52AE87FE3}">
      <text>
        <r>
          <rPr>
            <sz val="9"/>
            <color indexed="81"/>
            <rFont val="Tahoma"/>
            <family val="2"/>
          </rPr>
          <t>Solver found a solution. All constraints and optimality conditions are satisfied.</t>
        </r>
      </text>
    </comment>
    <comment ref="B8" authorId="0" shapeId="0" xr:uid="{F1427C47-C1AF-40A0-9577-26AF6ECB96A4}">
      <text>
        <r>
          <rPr>
            <sz val="9"/>
            <color indexed="81"/>
            <rFont val="Tahoma"/>
            <family val="2"/>
          </rPr>
          <t>Solver found a solution. All constraints and optimality conditions are satisfied.</t>
        </r>
      </text>
    </comment>
    <comment ref="C8" authorId="0" shapeId="0" xr:uid="{60407034-433C-43D6-B58E-0A615868622C}">
      <text>
        <r>
          <rPr>
            <sz val="9"/>
            <color indexed="81"/>
            <rFont val="Tahoma"/>
            <family val="2"/>
          </rPr>
          <t>Solver found a solution. All constraints and optimality conditions are satisfied.</t>
        </r>
      </text>
    </comment>
    <comment ref="D8" authorId="0" shapeId="0" xr:uid="{E80FE711-3C19-4258-AA1D-66394BF53908}">
      <text>
        <r>
          <rPr>
            <sz val="9"/>
            <color indexed="81"/>
            <rFont val="Tahoma"/>
            <family val="2"/>
          </rPr>
          <t>Solver found a solution. All constraints and optimality conditions are satisfied.</t>
        </r>
      </text>
    </comment>
    <comment ref="E8" authorId="0" shapeId="0" xr:uid="{978B2DF3-0D31-4A76-9CD0-74182A500532}">
      <text>
        <r>
          <rPr>
            <sz val="9"/>
            <color indexed="81"/>
            <rFont val="Tahoma"/>
            <family val="2"/>
          </rPr>
          <t>Solver found a solution. All constraints and optimality conditions are satisfied.</t>
        </r>
      </text>
    </comment>
    <comment ref="F8" authorId="0" shapeId="0" xr:uid="{51F0C51E-C495-4DFA-80C2-AB71604F89BE}">
      <text>
        <r>
          <rPr>
            <sz val="9"/>
            <color indexed="81"/>
            <rFont val="Tahoma"/>
            <family val="2"/>
          </rPr>
          <t>Solver found a solution. All constraints and optimality conditions are satisfied.</t>
        </r>
      </text>
    </comment>
    <comment ref="G8" authorId="0" shapeId="0" xr:uid="{207D0945-C674-493D-B6E2-D7C801B0A041}">
      <text>
        <r>
          <rPr>
            <sz val="9"/>
            <color indexed="81"/>
            <rFont val="Tahoma"/>
            <family val="2"/>
          </rPr>
          <t>Solver found a solution. All constraints and optimality conditions are satisfied.</t>
        </r>
      </text>
    </comment>
    <comment ref="H8" authorId="0" shapeId="0" xr:uid="{82CA54F9-1FEF-4266-A0C4-312920F2F782}">
      <text>
        <r>
          <rPr>
            <sz val="9"/>
            <color indexed="81"/>
            <rFont val="Tahoma"/>
            <family val="2"/>
          </rPr>
          <t>Solver found a solution. All constraints and optimality conditions are satisfied.</t>
        </r>
      </text>
    </comment>
    <comment ref="I8" authorId="0" shapeId="0" xr:uid="{561C06B5-0BAC-4B89-A9EC-D9FBFF05B887}">
      <text>
        <r>
          <rPr>
            <sz val="9"/>
            <color indexed="81"/>
            <rFont val="Tahoma"/>
            <family val="2"/>
          </rPr>
          <t>Solver found a solution. All constraints and optimality conditions are satisfied.</t>
        </r>
      </text>
    </comment>
    <comment ref="B9" authorId="0" shapeId="0" xr:uid="{5FBB8BC4-B103-408C-AEF4-E0069C5C9C49}">
      <text>
        <r>
          <rPr>
            <sz val="9"/>
            <color indexed="81"/>
            <rFont val="Tahoma"/>
            <family val="2"/>
          </rPr>
          <t>Solver found a solution. All constraints and optimality conditions are satisfied.</t>
        </r>
      </text>
    </comment>
    <comment ref="C9" authorId="0" shapeId="0" xr:uid="{274E7010-76A9-4D49-BF5A-01F25DB062E4}">
      <text>
        <r>
          <rPr>
            <sz val="9"/>
            <color indexed="81"/>
            <rFont val="Tahoma"/>
            <family val="2"/>
          </rPr>
          <t>Solver found a solution. All constraints and optimality conditions are satisfied.</t>
        </r>
      </text>
    </comment>
    <comment ref="D9" authorId="0" shapeId="0" xr:uid="{F14ED1A7-E0AA-4124-AA02-E8FEB4905BA2}">
      <text>
        <r>
          <rPr>
            <sz val="9"/>
            <color indexed="81"/>
            <rFont val="Tahoma"/>
            <family val="2"/>
          </rPr>
          <t>Solver found a solution. All constraints and optimality conditions are satisfied.</t>
        </r>
      </text>
    </comment>
    <comment ref="E9" authorId="0" shapeId="0" xr:uid="{1FB87800-5560-46C5-B7EC-4F5AD889D800}">
      <text>
        <r>
          <rPr>
            <sz val="9"/>
            <color indexed="81"/>
            <rFont val="Tahoma"/>
            <family val="2"/>
          </rPr>
          <t>Solver found a solution. All constraints and optimality conditions are satisfied.</t>
        </r>
      </text>
    </comment>
    <comment ref="F9" authorId="0" shapeId="0" xr:uid="{5B8A10B2-1B62-4FE3-8540-0E99064D840A}">
      <text>
        <r>
          <rPr>
            <sz val="9"/>
            <color indexed="81"/>
            <rFont val="Tahoma"/>
            <family val="2"/>
          </rPr>
          <t>Solver found a solution. All constraints and optimality conditions are satisfied.</t>
        </r>
      </text>
    </comment>
    <comment ref="G9" authorId="0" shapeId="0" xr:uid="{83886262-8AEA-4E80-8095-A9F5A326FF57}">
      <text>
        <r>
          <rPr>
            <sz val="9"/>
            <color indexed="81"/>
            <rFont val="Tahoma"/>
            <family val="2"/>
          </rPr>
          <t>Solver found a solution. All constraints and optimality conditions are satisfied.</t>
        </r>
      </text>
    </comment>
    <comment ref="H9" authorId="0" shapeId="0" xr:uid="{0B163FC4-619E-45D0-8245-88509AE50F5F}">
      <text>
        <r>
          <rPr>
            <sz val="9"/>
            <color indexed="81"/>
            <rFont val="Tahoma"/>
            <family val="2"/>
          </rPr>
          <t>Solver found a solution. All constraints and optimality conditions are satisfied.</t>
        </r>
      </text>
    </comment>
    <comment ref="I9" authorId="0" shapeId="0" xr:uid="{E37CFA05-7AF1-4245-AED6-25DE36A856C0}">
      <text>
        <r>
          <rPr>
            <sz val="9"/>
            <color indexed="81"/>
            <rFont val="Tahoma"/>
            <family val="2"/>
          </rPr>
          <t>Solver found a solution. All constraints and optimality conditions are satisfied.</t>
        </r>
      </text>
    </comment>
    <comment ref="B10" authorId="0" shapeId="0" xr:uid="{366FFECC-7783-439D-AA7B-F04597D6AEC4}">
      <text>
        <r>
          <rPr>
            <sz val="9"/>
            <color indexed="81"/>
            <rFont val="Tahoma"/>
            <family val="2"/>
          </rPr>
          <t>Solver found a solution. All constraints and optimality conditions are satisfied.</t>
        </r>
      </text>
    </comment>
    <comment ref="C10" authorId="0" shapeId="0" xr:uid="{D5FBD060-8DA9-4208-8CC5-A400EF541D04}">
      <text>
        <r>
          <rPr>
            <sz val="9"/>
            <color indexed="81"/>
            <rFont val="Tahoma"/>
            <family val="2"/>
          </rPr>
          <t>Solver found a solution. All constraints and optimality conditions are satisfied.</t>
        </r>
      </text>
    </comment>
    <comment ref="D10" authorId="0" shapeId="0" xr:uid="{4C641AF7-6345-4B76-BFB0-DA95F8BA54CA}">
      <text>
        <r>
          <rPr>
            <sz val="9"/>
            <color indexed="81"/>
            <rFont val="Tahoma"/>
            <family val="2"/>
          </rPr>
          <t>Solver found a solution. All constraints and optimality conditions are satisfied.</t>
        </r>
      </text>
    </comment>
    <comment ref="E10" authorId="0" shapeId="0" xr:uid="{E9F5F184-D24A-4C4E-A824-F63D212ACF8C}">
      <text>
        <r>
          <rPr>
            <sz val="9"/>
            <color indexed="81"/>
            <rFont val="Tahoma"/>
            <family val="2"/>
          </rPr>
          <t>Solver found a solution. All constraints and optimality conditions are satisfied.</t>
        </r>
      </text>
    </comment>
    <comment ref="F10" authorId="0" shapeId="0" xr:uid="{C8CBC2F3-923C-4CE0-A175-F921560CA6F5}">
      <text>
        <r>
          <rPr>
            <sz val="9"/>
            <color indexed="81"/>
            <rFont val="Tahoma"/>
            <family val="2"/>
          </rPr>
          <t>Solver found a solution. All constraints and optimality conditions are satisfied.</t>
        </r>
      </text>
    </comment>
    <comment ref="G10" authorId="0" shapeId="0" xr:uid="{B71F2AAB-FF4B-4BD3-9847-6C276CC35202}">
      <text>
        <r>
          <rPr>
            <sz val="9"/>
            <color indexed="81"/>
            <rFont val="Tahoma"/>
            <family val="2"/>
          </rPr>
          <t>Solver found a solution. All constraints and optimality conditions are satisfied.</t>
        </r>
      </text>
    </comment>
    <comment ref="H10" authorId="0" shapeId="0" xr:uid="{12A6B2F8-8924-40D8-89DC-218FB1574305}">
      <text>
        <r>
          <rPr>
            <sz val="9"/>
            <color indexed="81"/>
            <rFont val="Tahoma"/>
            <family val="2"/>
          </rPr>
          <t>Solver found a solution. All constraints and optimality conditions are satisfied.</t>
        </r>
      </text>
    </comment>
    <comment ref="I10" authorId="0" shapeId="0" xr:uid="{53129C64-5380-4D01-91E4-5391769DD68B}">
      <text>
        <r>
          <rPr>
            <sz val="9"/>
            <color indexed="81"/>
            <rFont val="Tahoma"/>
            <family val="2"/>
          </rPr>
          <t>Solver found a solution. All constraints and optimality conditions are satisfied.</t>
        </r>
      </text>
    </comment>
    <comment ref="B11" authorId="0" shapeId="0" xr:uid="{F1B20E69-AA91-4F05-A2EE-A5E11C25EB68}">
      <text>
        <r>
          <rPr>
            <sz val="9"/>
            <color indexed="81"/>
            <rFont val="Tahoma"/>
            <family val="2"/>
          </rPr>
          <t>Solver found a solution. All constraints and optimality conditions are satisfied.</t>
        </r>
      </text>
    </comment>
    <comment ref="C11" authorId="0" shapeId="0" xr:uid="{1A235701-982C-422A-9435-8743169D7627}">
      <text>
        <r>
          <rPr>
            <sz val="9"/>
            <color indexed="81"/>
            <rFont val="Tahoma"/>
            <family val="2"/>
          </rPr>
          <t>Solver found a solution. All constraints and optimality conditions are satisfied.</t>
        </r>
      </text>
    </comment>
    <comment ref="D11" authorId="0" shapeId="0" xr:uid="{1129DE6E-E3E2-47D0-A345-DDF01BA01D25}">
      <text>
        <r>
          <rPr>
            <sz val="9"/>
            <color indexed="81"/>
            <rFont val="Tahoma"/>
            <family val="2"/>
          </rPr>
          <t>Solver found a solution. All constraints and optimality conditions are satisfied.</t>
        </r>
      </text>
    </comment>
    <comment ref="E11" authorId="0" shapeId="0" xr:uid="{191058F9-6BB4-494F-AE10-3419FD8F5CA7}">
      <text>
        <r>
          <rPr>
            <sz val="9"/>
            <color indexed="81"/>
            <rFont val="Tahoma"/>
            <family val="2"/>
          </rPr>
          <t>Solver found a solution. All constraints and optimality conditions are satisfied.</t>
        </r>
      </text>
    </comment>
    <comment ref="F11" authorId="0" shapeId="0" xr:uid="{F1080258-E88F-4709-8D24-86232FFBF32B}">
      <text>
        <r>
          <rPr>
            <sz val="9"/>
            <color indexed="81"/>
            <rFont val="Tahoma"/>
            <family val="2"/>
          </rPr>
          <t>Solver found a solution. All constraints and optimality conditions are satisfied.</t>
        </r>
      </text>
    </comment>
    <comment ref="G11" authorId="0" shapeId="0" xr:uid="{B3174EE5-5FE0-440C-8DD6-88380FBB2A9A}">
      <text>
        <r>
          <rPr>
            <sz val="9"/>
            <color indexed="81"/>
            <rFont val="Tahoma"/>
            <family val="2"/>
          </rPr>
          <t>Solver found a solution. All constraints and optimality conditions are satisfied.</t>
        </r>
      </text>
    </comment>
    <comment ref="H11" authorId="0" shapeId="0" xr:uid="{33D21108-AD14-4965-8B96-BF97981B780B}">
      <text>
        <r>
          <rPr>
            <sz val="9"/>
            <color indexed="81"/>
            <rFont val="Tahoma"/>
            <family val="2"/>
          </rPr>
          <t>Solver found a solution. All constraints and optimality conditions are satisfied.</t>
        </r>
      </text>
    </comment>
    <comment ref="I11" authorId="0" shapeId="0" xr:uid="{F786AA3A-0BAD-4254-84FF-70D3D1F962FE}">
      <text>
        <r>
          <rPr>
            <sz val="9"/>
            <color indexed="81"/>
            <rFont val="Tahoma"/>
            <family val="2"/>
          </rPr>
          <t>Solver found a solution. All constraints and optimality conditions are satisfied.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DF09EFEE-D2AA-4DC4-A6F7-7D73B64D16EC}">
      <text>
        <r>
          <rPr>
            <sz val="9"/>
            <color indexed="81"/>
            <rFont val="Tahoma"/>
            <family val="2"/>
          </rPr>
          <t>Solver found a solution. All constraints and optimality conditions are satisfied.</t>
        </r>
      </text>
    </comment>
    <comment ref="C5" authorId="0" shapeId="0" xr:uid="{A0DD8440-CB14-4AC6-904C-383489154383}">
      <text>
        <r>
          <rPr>
            <sz val="9"/>
            <color indexed="81"/>
            <rFont val="Tahoma"/>
            <family val="2"/>
          </rPr>
          <t>Solver found a solution. All constraints and optimality conditions are satisfied.</t>
        </r>
      </text>
    </comment>
    <comment ref="D5" authorId="0" shapeId="0" xr:uid="{64351B17-BCE6-4A07-88B8-8B912366C4E6}">
      <text>
        <r>
          <rPr>
            <sz val="9"/>
            <color indexed="81"/>
            <rFont val="Tahoma"/>
            <family val="2"/>
          </rPr>
          <t>Solver could not find a feasible solution.</t>
        </r>
      </text>
    </comment>
    <comment ref="E5" authorId="0" shapeId="0" xr:uid="{A1BA3A6A-DCAF-4ABC-9CED-C34AD8D226A5}">
      <text>
        <r>
          <rPr>
            <sz val="9"/>
            <color indexed="81"/>
            <rFont val="Tahoma"/>
            <family val="2"/>
          </rPr>
          <t>Solver could not find a feasible solution.</t>
        </r>
      </text>
    </comment>
    <comment ref="B6" authorId="0" shapeId="0" xr:uid="{1B6549F9-56B5-4C49-8364-9C45D0D350E5}">
      <text>
        <r>
          <rPr>
            <sz val="9"/>
            <color indexed="81"/>
            <rFont val="Tahoma"/>
            <family val="2"/>
          </rPr>
          <t>Solver found a solution. All constraints and optimality conditions are satisfied.</t>
        </r>
      </text>
    </comment>
    <comment ref="C6" authorId="0" shapeId="0" xr:uid="{9146C389-E5CA-4F13-AF4E-394138A517B2}">
      <text>
        <r>
          <rPr>
            <sz val="9"/>
            <color indexed="81"/>
            <rFont val="Tahoma"/>
            <family val="2"/>
          </rPr>
          <t>Solver could not find a feasible solution.</t>
        </r>
      </text>
    </comment>
    <comment ref="D6" authorId="0" shapeId="0" xr:uid="{30E6C849-DD40-48EA-BB83-7AEF25423FC0}">
      <text>
        <r>
          <rPr>
            <sz val="9"/>
            <color indexed="81"/>
            <rFont val="Tahoma"/>
            <family val="2"/>
          </rPr>
          <t>Solver could not find a feasible solution.</t>
        </r>
      </text>
    </comment>
    <comment ref="E6" authorId="0" shapeId="0" xr:uid="{ADEB5CA0-8A52-40FA-8784-BA78775691DC}">
      <text>
        <r>
          <rPr>
            <sz val="9"/>
            <color indexed="81"/>
            <rFont val="Tahoma"/>
            <family val="2"/>
          </rPr>
          <t>Solver could not find a feasible solution.</t>
        </r>
      </text>
    </comment>
    <comment ref="B7" authorId="0" shapeId="0" xr:uid="{A7EE77B3-BC6E-4D27-992B-0BF7ADDD7282}">
      <text>
        <r>
          <rPr>
            <sz val="9"/>
            <color indexed="81"/>
            <rFont val="Tahoma"/>
            <family val="2"/>
          </rPr>
          <t>Solver found a solution. All constraints and optimality conditions are satisfied.</t>
        </r>
      </text>
    </comment>
    <comment ref="C7" authorId="0" shapeId="0" xr:uid="{0E115355-E5AE-441D-AF83-819C7B23ADE2}">
      <text>
        <r>
          <rPr>
            <sz val="9"/>
            <color indexed="81"/>
            <rFont val="Tahoma"/>
            <family val="2"/>
          </rPr>
          <t>Solver could not find a feasible solution.</t>
        </r>
      </text>
    </comment>
    <comment ref="D7" authorId="0" shapeId="0" xr:uid="{44ED499C-F98E-46DB-99A0-CF472FCABD9B}">
      <text>
        <r>
          <rPr>
            <sz val="9"/>
            <color indexed="81"/>
            <rFont val="Tahoma"/>
            <family val="2"/>
          </rPr>
          <t>Solver could not find a feasible solution.</t>
        </r>
      </text>
    </comment>
    <comment ref="E7" authorId="0" shapeId="0" xr:uid="{E226C17C-EC53-49C7-BD8E-AA3D4206D811}">
      <text>
        <r>
          <rPr>
            <sz val="9"/>
            <color indexed="81"/>
            <rFont val="Tahoma"/>
            <family val="2"/>
          </rPr>
          <t>Solver could not find a feasible solution.</t>
        </r>
      </text>
    </comment>
    <comment ref="B8" authorId="0" shapeId="0" xr:uid="{511E8379-BAF6-4652-B173-DAE4DE061603}">
      <text>
        <r>
          <rPr>
            <sz val="9"/>
            <color indexed="81"/>
            <rFont val="Tahoma"/>
            <family val="2"/>
          </rPr>
          <t>Solver could not find a feasible solution.</t>
        </r>
      </text>
    </comment>
    <comment ref="C8" authorId="0" shapeId="0" xr:uid="{09944B6A-B9F1-4948-9C4C-55D740C5837F}">
      <text>
        <r>
          <rPr>
            <sz val="9"/>
            <color indexed="81"/>
            <rFont val="Tahoma"/>
            <family val="2"/>
          </rPr>
          <t>Solver could not find a feasible solution.</t>
        </r>
      </text>
    </comment>
    <comment ref="D8" authorId="0" shapeId="0" xr:uid="{95C86A67-CC29-4712-87EB-91DBD8679C63}">
      <text>
        <r>
          <rPr>
            <sz val="9"/>
            <color indexed="81"/>
            <rFont val="Tahoma"/>
            <family val="2"/>
          </rPr>
          <t>Solver could not find a feasible solution.</t>
        </r>
      </text>
    </comment>
    <comment ref="E8" authorId="0" shapeId="0" xr:uid="{96ED86D3-2026-410E-99D2-F8658977C78C}">
      <text>
        <r>
          <rPr>
            <sz val="9"/>
            <color indexed="81"/>
            <rFont val="Tahoma"/>
            <family val="2"/>
          </rPr>
          <t>Solver could not find a feasible solution.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A59953F3-8282-4D3E-836C-C248DA45F0B5}">
      <text>
        <r>
          <rPr>
            <sz val="9"/>
            <color indexed="81"/>
            <rFont val="Tahoma"/>
            <family val="2"/>
          </rPr>
          <t>Solver found a solution. All constraints and optimality conditions are satisfied.</t>
        </r>
      </text>
    </comment>
    <comment ref="B6" authorId="0" shapeId="0" xr:uid="{6CFBC391-5342-4519-A623-927D88CEF8DA}">
      <text>
        <r>
          <rPr>
            <sz val="9"/>
            <color indexed="81"/>
            <rFont val="Tahoma"/>
            <family val="2"/>
          </rPr>
          <t>Solver found a solution. All constraints and optimality conditions are satisfied.</t>
        </r>
      </text>
    </comment>
    <comment ref="B7" authorId="0" shapeId="0" xr:uid="{5550BD5B-E043-4D3F-86C2-33E5AF7F5888}">
      <text>
        <r>
          <rPr>
            <sz val="9"/>
            <color indexed="81"/>
            <rFont val="Tahoma"/>
            <family val="2"/>
          </rPr>
          <t>Solver found a solution. All constraints and optimality conditions are satisfied.</t>
        </r>
      </text>
    </comment>
    <comment ref="B8" authorId="0" shapeId="0" xr:uid="{3DB5B0F1-B1D2-444A-933B-44C868431EA5}">
      <text>
        <r>
          <rPr>
            <sz val="9"/>
            <color indexed="81"/>
            <rFont val="Tahoma"/>
            <family val="2"/>
          </rPr>
          <t>Solver found a solution. All constraints and optimality conditions are satisfied.</t>
        </r>
      </text>
    </comment>
    <comment ref="B9" authorId="0" shapeId="0" xr:uid="{A3BF47F8-76F0-4659-BA4D-4D3EB1D7371C}">
      <text>
        <r>
          <rPr>
            <sz val="9"/>
            <color indexed="81"/>
            <rFont val="Tahoma"/>
            <family val="2"/>
          </rPr>
          <t>Solver found a solution. All constraints and optimality conditions are satisfied.</t>
        </r>
      </text>
    </comment>
    <comment ref="B10" authorId="0" shapeId="0" xr:uid="{26A1AD11-E34D-4E08-A8E1-F71DC511EFA7}">
      <text>
        <r>
          <rPr>
            <sz val="9"/>
            <color indexed="81"/>
            <rFont val="Tahoma"/>
            <family val="2"/>
          </rPr>
          <t>Solver found a solution. All constraints and optimality conditions are satisfied.</t>
        </r>
      </text>
    </comment>
    <comment ref="B11" authorId="0" shapeId="0" xr:uid="{58DE6790-E1F5-4049-B49B-E7D6AEDB40D9}">
      <text>
        <r>
          <rPr>
            <sz val="9"/>
            <color indexed="81"/>
            <rFont val="Tahoma"/>
            <family val="2"/>
          </rPr>
          <t>Solver found a solution. All constraints and optimality conditions are satisfied.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E8882F19-F3C0-4291-859E-580E4B007A6B}">
      <text>
        <r>
          <rPr>
            <sz val="9"/>
            <color indexed="81"/>
            <rFont val="Tahoma"/>
            <family val="2"/>
          </rPr>
          <t>Solver found a solution. All constraints and optimality conditions are satisfied.</t>
        </r>
      </text>
    </comment>
    <comment ref="B6" authorId="0" shapeId="0" xr:uid="{C914E9CD-F16D-4CC7-80EA-A106C8A11269}">
      <text>
        <r>
          <rPr>
            <sz val="9"/>
            <color indexed="81"/>
            <rFont val="Tahoma"/>
            <family val="2"/>
          </rPr>
          <t>Solver found a solution. All constraints and optimality conditions are satisfied.</t>
        </r>
      </text>
    </comment>
    <comment ref="B7" authorId="0" shapeId="0" xr:uid="{DB7BB199-1493-426E-959B-3155EDF300DB}">
      <text>
        <r>
          <rPr>
            <sz val="9"/>
            <color indexed="81"/>
            <rFont val="Tahoma"/>
            <family val="2"/>
          </rPr>
          <t>Solver found a solution. All constraints and optimality conditions are satisfied.</t>
        </r>
      </text>
    </comment>
    <comment ref="B8" authorId="0" shapeId="0" xr:uid="{717CAD0F-6BE1-4AA4-979B-B97103495DCE}">
      <text>
        <r>
          <rPr>
            <sz val="9"/>
            <color indexed="81"/>
            <rFont val="Tahoma"/>
            <family val="2"/>
          </rPr>
          <t>Solver found a solution. All constraints and optimality conditions are satisfied.</t>
        </r>
      </text>
    </comment>
    <comment ref="B9" authorId="0" shapeId="0" xr:uid="{F92A67E7-4D4C-42A5-8420-B40DB4D9694F}">
      <text>
        <r>
          <rPr>
            <sz val="9"/>
            <color indexed="81"/>
            <rFont val="Tahoma"/>
            <family val="2"/>
          </rPr>
          <t>Solver found a solution. All constraints and optimality conditions are satisfied.</t>
        </r>
      </text>
    </comment>
    <comment ref="B10" authorId="0" shapeId="0" xr:uid="{533BEE17-4F91-4AEA-84BD-2C10B0B23697}">
      <text>
        <r>
          <rPr>
            <sz val="9"/>
            <color indexed="81"/>
            <rFont val="Tahoma"/>
            <family val="2"/>
          </rPr>
          <t>Solver found a solution. All constraints and optimality conditions are satisfied.</t>
        </r>
      </text>
    </comment>
    <comment ref="B11" authorId="0" shapeId="0" xr:uid="{443EDA6B-45F3-41BB-A72E-5F9D3BBC792C}">
      <text>
        <r>
          <rPr>
            <sz val="9"/>
            <color indexed="81"/>
            <rFont val="Tahoma"/>
            <family val="2"/>
          </rPr>
          <t>Solver found a solution. All constraints and optimality conditions are satisfied.</t>
        </r>
      </text>
    </comment>
    <comment ref="B12" authorId="0" shapeId="0" xr:uid="{D0A86007-88E4-45F5-BF73-648604012111}">
      <text>
        <r>
          <rPr>
            <sz val="9"/>
            <color indexed="81"/>
            <rFont val="Tahoma"/>
            <family val="2"/>
          </rPr>
          <t>Solver found a solution. All constraints and optimality conditions are satisfied.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751C9F96-A0CD-4882-9021-F01170FF2686}">
      <text>
        <r>
          <rPr>
            <sz val="9"/>
            <color indexed="81"/>
            <rFont val="Tahoma"/>
            <family val="2"/>
          </rPr>
          <t>Solver found a solution. All constraints and optimality conditions are satisfied.</t>
        </r>
      </text>
    </comment>
    <comment ref="B6" authorId="0" shapeId="0" xr:uid="{8EF1B633-59CF-45A2-BFCB-046EF5D83572}">
      <text>
        <r>
          <rPr>
            <sz val="9"/>
            <color indexed="81"/>
            <rFont val="Tahoma"/>
            <family val="2"/>
          </rPr>
          <t>Solver found a solution. All constraints and optimality conditions are satisfied.</t>
        </r>
      </text>
    </comment>
    <comment ref="B7" authorId="0" shapeId="0" xr:uid="{54543206-27E7-4DD0-8F0E-2301E8B48944}">
      <text>
        <r>
          <rPr>
            <sz val="9"/>
            <color indexed="81"/>
            <rFont val="Tahoma"/>
            <family val="2"/>
          </rPr>
          <t>Solver found a solution. All constraints and optimality conditions are satisfied.</t>
        </r>
      </text>
    </comment>
    <comment ref="B8" authorId="0" shapeId="0" xr:uid="{03059C16-F56D-4253-864B-AD7B2502EC25}">
      <text>
        <r>
          <rPr>
            <sz val="9"/>
            <color indexed="81"/>
            <rFont val="Tahoma"/>
            <family val="2"/>
          </rPr>
          <t>Solver found a solution. All constraints and optimality conditions are satisfied.</t>
        </r>
      </text>
    </comment>
    <comment ref="B9" authorId="0" shapeId="0" xr:uid="{45B5F810-96E5-4E60-95E3-1936A7EFEE27}">
      <text>
        <r>
          <rPr>
            <sz val="9"/>
            <color indexed="81"/>
            <rFont val="Tahoma"/>
            <family val="2"/>
          </rPr>
          <t>Solver found a solution. All constraints and optimality conditions are satisfied.</t>
        </r>
      </text>
    </comment>
    <comment ref="B10" authorId="0" shapeId="0" xr:uid="{45584431-8302-4469-B638-49317125A796}">
      <text>
        <r>
          <rPr>
            <sz val="9"/>
            <color indexed="81"/>
            <rFont val="Tahoma"/>
            <family val="2"/>
          </rPr>
          <t>Solver found a solution. All constraints and optimality conditions are satisfied.</t>
        </r>
      </text>
    </comment>
    <comment ref="B11" authorId="0" shapeId="0" xr:uid="{1A7F53D9-A79C-42C7-A68C-4986FB5DD85B}">
      <text>
        <r>
          <rPr>
            <sz val="9"/>
            <color indexed="81"/>
            <rFont val="Tahoma"/>
            <family val="2"/>
          </rPr>
          <t>Solver found a solution. All constraints and optimality conditions are satisfied.</t>
        </r>
      </text>
    </comment>
    <comment ref="B12" authorId="0" shapeId="0" xr:uid="{9102A752-A969-447E-96EB-6B10A0D4E666}">
      <text>
        <r>
          <rPr>
            <sz val="9"/>
            <color indexed="81"/>
            <rFont val="Tahoma"/>
            <family val="2"/>
          </rPr>
          <t>Solver found a solution. All constraints and optimality conditions are satisfied.</t>
        </r>
      </text>
    </comment>
    <comment ref="B13" authorId="0" shapeId="0" xr:uid="{C37FCC5B-82FB-4618-9726-649F10C47882}">
      <text>
        <r>
          <rPr>
            <sz val="9"/>
            <color indexed="81"/>
            <rFont val="Tahoma"/>
            <family val="2"/>
          </rPr>
          <t>Solver found a solution. All constraints and optimality conditions are satisfied.</t>
        </r>
      </text>
    </comment>
    <comment ref="B14" authorId="0" shapeId="0" xr:uid="{8FDA250B-387E-40D4-AF05-D2FE46CE73F4}">
      <text>
        <r>
          <rPr>
            <sz val="9"/>
            <color indexed="81"/>
            <rFont val="Tahoma"/>
            <family val="2"/>
          </rPr>
          <t>Solver found a solution. All constraints and optimality conditions are satisfied.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D5D876CC-0256-472A-81ED-BFBDF73FC1C2}">
      <text>
        <r>
          <rPr>
            <sz val="9"/>
            <color indexed="81"/>
            <rFont val="Tahoma"/>
            <family val="2"/>
          </rPr>
          <t>Solver found a solution. All constraints and optimality conditions are satisfied.</t>
        </r>
      </text>
    </comment>
    <comment ref="B6" authorId="0" shapeId="0" xr:uid="{BB350C75-2073-4A5E-9566-6D7EB5D781FD}">
      <text>
        <r>
          <rPr>
            <sz val="9"/>
            <color indexed="81"/>
            <rFont val="Tahoma"/>
            <family val="2"/>
          </rPr>
          <t>Solver found an integer solution within tolerance. All constraints are satisfied.</t>
        </r>
      </text>
    </comment>
    <comment ref="B7" authorId="0" shapeId="0" xr:uid="{6BAF945B-226C-41B3-92C0-62D35F8ADB92}">
      <text>
        <r>
          <rPr>
            <sz val="9"/>
            <color indexed="81"/>
            <rFont val="Tahoma"/>
            <family val="2"/>
          </rPr>
          <t>Solver found a solution. All constraints and optimality conditions are satisfied.</t>
        </r>
      </text>
    </comment>
    <comment ref="B8" authorId="0" shapeId="0" xr:uid="{B2B76DFF-A122-4223-B0EF-9C3E34C9DFB0}">
      <text>
        <r>
          <rPr>
            <sz val="9"/>
            <color indexed="81"/>
            <rFont val="Tahoma"/>
            <family val="2"/>
          </rPr>
          <t>Solver found a solution. All constraints and optimality conditions are satisfied.</t>
        </r>
      </text>
    </comment>
    <comment ref="B9" authorId="0" shapeId="0" xr:uid="{4692A6A6-03F1-4AF9-AC5A-754D8631FAFE}">
      <text>
        <r>
          <rPr>
            <sz val="9"/>
            <color indexed="81"/>
            <rFont val="Tahoma"/>
            <family val="2"/>
          </rPr>
          <t>Solver found an integer solution within tolerance. All constraints are satisfied.</t>
        </r>
      </text>
    </comment>
    <comment ref="B10" authorId="0" shapeId="0" xr:uid="{C887307B-E763-47AF-8B1B-46CE716AC1B8}">
      <text>
        <r>
          <rPr>
            <sz val="9"/>
            <color indexed="81"/>
            <rFont val="Tahoma"/>
            <family val="2"/>
          </rPr>
          <t>Solver found a solution. All constraints and optimality conditions are satisfied.</t>
        </r>
      </text>
    </comment>
    <comment ref="B11" authorId="0" shapeId="0" xr:uid="{DD4D8D33-BCC9-4916-90F7-743A6317629F}">
      <text>
        <r>
          <rPr>
            <sz val="9"/>
            <color indexed="81"/>
            <rFont val="Tahoma"/>
            <family val="2"/>
          </rPr>
          <t>Solver found a solution. All constraints and optimality conditions are satisfied.</t>
        </r>
      </text>
    </comment>
    <comment ref="B12" authorId="0" shapeId="0" xr:uid="{F7451C14-4099-465B-9798-EB533F62F9F6}">
      <text>
        <r>
          <rPr>
            <sz val="9"/>
            <color indexed="81"/>
            <rFont val="Tahoma"/>
            <family val="2"/>
          </rPr>
          <t>Solver found an integer solution within tolerance. All constraints are satisfied.</t>
        </r>
      </text>
    </comment>
    <comment ref="B13" authorId="0" shapeId="0" xr:uid="{EA7094AE-B958-4E73-9710-3ACB87107745}">
      <text>
        <r>
          <rPr>
            <sz val="9"/>
            <color indexed="81"/>
            <rFont val="Tahoma"/>
            <family val="2"/>
          </rPr>
          <t>Solver found a solution. All constraints and optimality conditions are satisfied.</t>
        </r>
      </text>
    </comment>
    <comment ref="B14" authorId="0" shapeId="0" xr:uid="{40DD1D0A-08C3-4FB7-8312-4EBBDD2FD435}">
      <text>
        <r>
          <rPr>
            <sz val="9"/>
            <color indexed="81"/>
            <rFont val="Tahoma"/>
            <family val="2"/>
          </rPr>
          <t>Solver found a solution. All constraints and optimality conditions are satisfied.</t>
        </r>
      </text>
    </comment>
    <comment ref="B15" authorId="0" shapeId="0" xr:uid="{E2BB0151-D41E-4FEA-BBA4-F06DAC174B00}">
      <text>
        <r>
          <rPr>
            <sz val="9"/>
            <color indexed="81"/>
            <rFont val="Tahoma"/>
            <family val="2"/>
          </rPr>
          <t>Solver found a solution. All constraints and optimality conditions are satisfied.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448D572D-5CF5-4DDD-95CE-3D2907DD4527}">
      <text>
        <r>
          <rPr>
            <sz val="9"/>
            <color indexed="81"/>
            <rFont val="Tahoma"/>
            <family val="2"/>
          </rPr>
          <t>Solver found a solution. All constraints and optimality conditions are satisfied.</t>
        </r>
      </text>
    </comment>
    <comment ref="C5" authorId="0" shapeId="0" xr:uid="{F7150D49-DD91-4E0C-8AB1-65EA6EE5874B}">
      <text>
        <r>
          <rPr>
            <sz val="9"/>
            <color indexed="81"/>
            <rFont val="Tahoma"/>
            <family val="2"/>
          </rPr>
          <t>Solver found a solution. All constraints and optimality conditions are satisfied.</t>
        </r>
      </text>
    </comment>
    <comment ref="D5" authorId="0" shapeId="0" xr:uid="{BA22DB91-B8A0-4E3F-BEBD-DC816C39F6D5}">
      <text>
        <r>
          <rPr>
            <sz val="9"/>
            <color indexed="81"/>
            <rFont val="Tahoma"/>
            <family val="2"/>
          </rPr>
          <t>Solver found a solution. All constraints and optimality conditions are satisfied.</t>
        </r>
      </text>
    </comment>
    <comment ref="E5" authorId="0" shapeId="0" xr:uid="{47B6C2FE-DC30-43DD-80FF-DE8A6A84854C}">
      <text>
        <r>
          <rPr>
            <sz val="9"/>
            <color indexed="81"/>
            <rFont val="Tahoma"/>
            <family val="2"/>
          </rPr>
          <t>Solver found a solution. All constraints and optimality conditions are satisfied.</t>
        </r>
      </text>
    </comment>
    <comment ref="F5" authorId="0" shapeId="0" xr:uid="{6D583928-58EA-430A-BCC9-F67013ABF2EC}">
      <text>
        <r>
          <rPr>
            <sz val="9"/>
            <color indexed="81"/>
            <rFont val="Tahoma"/>
            <family val="2"/>
          </rPr>
          <t>Solver found a solution. All constraints and optimality conditions are satisfied.</t>
        </r>
      </text>
    </comment>
    <comment ref="G5" authorId="0" shapeId="0" xr:uid="{3667CF58-CF1D-4347-BFC5-E39A2501D084}">
      <text>
        <r>
          <rPr>
            <sz val="9"/>
            <color indexed="81"/>
            <rFont val="Tahoma"/>
            <family val="2"/>
          </rPr>
          <t>Solver found a solution. All constraints and optimality conditions are satisfied.</t>
        </r>
      </text>
    </comment>
    <comment ref="H5" authorId="0" shapeId="0" xr:uid="{3A73BA73-F5E4-4F65-84AC-042A8C5CD3D6}">
      <text>
        <r>
          <rPr>
            <sz val="9"/>
            <color indexed="81"/>
            <rFont val="Tahoma"/>
            <family val="2"/>
          </rPr>
          <t>Solver found a solution. All constraints and optimality conditions are satisfied.</t>
        </r>
      </text>
    </comment>
    <comment ref="I5" authorId="0" shapeId="0" xr:uid="{8CD904B6-7F1B-469D-B565-D1A54929BFC0}">
      <text>
        <r>
          <rPr>
            <sz val="9"/>
            <color indexed="81"/>
            <rFont val="Tahoma"/>
            <family val="2"/>
          </rPr>
          <t>Solver found a solution. All constraints and optimality conditions are satisfied.</t>
        </r>
      </text>
    </comment>
    <comment ref="J5" authorId="0" shapeId="0" xr:uid="{D10F436B-AB99-48AE-A75D-FCCD829EA013}">
      <text>
        <r>
          <rPr>
            <sz val="9"/>
            <color indexed="81"/>
            <rFont val="Tahoma"/>
            <family val="2"/>
          </rPr>
          <t>Solver found a solution. All constraints and optimality conditions are satisfied.</t>
        </r>
      </text>
    </comment>
    <comment ref="K5" authorId="0" shapeId="0" xr:uid="{518522F6-0D13-4212-BDD7-28A6A77D6739}">
      <text>
        <r>
          <rPr>
            <sz val="9"/>
            <color indexed="81"/>
            <rFont val="Tahoma"/>
            <family val="2"/>
          </rPr>
          <t>Solver found a solution. All constraints and optimality conditions are satisfied.</t>
        </r>
      </text>
    </comment>
    <comment ref="B6" authorId="0" shapeId="0" xr:uid="{FFA4E23C-FF78-4EFE-A80A-0ADBB64DF71B}">
      <text>
        <r>
          <rPr>
            <sz val="9"/>
            <color indexed="81"/>
            <rFont val="Tahoma"/>
            <family val="2"/>
          </rPr>
          <t>Solver found a solution. All constraints and optimality conditions are satisfied.</t>
        </r>
      </text>
    </comment>
    <comment ref="C6" authorId="0" shapeId="0" xr:uid="{109A3937-9D6E-4D8F-90FC-CD99AAA47C3D}">
      <text>
        <r>
          <rPr>
            <sz val="9"/>
            <color indexed="81"/>
            <rFont val="Tahoma"/>
            <family val="2"/>
          </rPr>
          <t>Solver found a solution. All constraints and optimality conditions are satisfied.</t>
        </r>
      </text>
    </comment>
    <comment ref="D6" authorId="0" shapeId="0" xr:uid="{8CDA6E0F-2E61-4080-B2EE-99ABC17A1DDC}">
      <text>
        <r>
          <rPr>
            <sz val="9"/>
            <color indexed="81"/>
            <rFont val="Tahoma"/>
            <family val="2"/>
          </rPr>
          <t>Solver found a solution. All constraints and optimality conditions are satisfied.</t>
        </r>
      </text>
    </comment>
    <comment ref="E6" authorId="0" shapeId="0" xr:uid="{4834B4B3-9FC2-4B64-A7AE-7E6D0F6AE2C3}">
      <text>
        <r>
          <rPr>
            <sz val="9"/>
            <color indexed="81"/>
            <rFont val="Tahoma"/>
            <family val="2"/>
          </rPr>
          <t>Solver found a solution. All constraints and optimality conditions are satisfied.</t>
        </r>
      </text>
    </comment>
    <comment ref="F6" authorId="0" shapeId="0" xr:uid="{1307854D-93E5-48C7-9055-2C1085FB1827}">
      <text>
        <r>
          <rPr>
            <sz val="9"/>
            <color indexed="81"/>
            <rFont val="Tahoma"/>
            <family val="2"/>
          </rPr>
          <t>Solver found a solution. All constraints and optimality conditions are satisfied.</t>
        </r>
      </text>
    </comment>
    <comment ref="G6" authorId="0" shapeId="0" xr:uid="{49613BE7-C57A-400F-955B-407A15C66FA5}">
      <text>
        <r>
          <rPr>
            <sz val="9"/>
            <color indexed="81"/>
            <rFont val="Tahoma"/>
            <family val="2"/>
          </rPr>
          <t>Solver found a solution. All constraints and optimality conditions are satisfied.</t>
        </r>
      </text>
    </comment>
    <comment ref="H6" authorId="0" shapeId="0" xr:uid="{B1E13804-B62B-44F2-B414-8DCA3FCF90B6}">
      <text>
        <r>
          <rPr>
            <sz val="9"/>
            <color indexed="81"/>
            <rFont val="Tahoma"/>
            <family val="2"/>
          </rPr>
          <t>Solver found a solution. All constraints and optimality conditions are satisfied.</t>
        </r>
      </text>
    </comment>
    <comment ref="I6" authorId="0" shapeId="0" xr:uid="{20052D60-5A49-4DAC-B5DF-4ADA4B525E98}">
      <text>
        <r>
          <rPr>
            <sz val="9"/>
            <color indexed="81"/>
            <rFont val="Tahoma"/>
            <family val="2"/>
          </rPr>
          <t>Solver found a solution. All constraints and optimality conditions are satisfied.</t>
        </r>
      </text>
    </comment>
    <comment ref="J6" authorId="0" shapeId="0" xr:uid="{30BFC5B2-73E0-469E-BCD0-F47CA90841C1}">
      <text>
        <r>
          <rPr>
            <sz val="9"/>
            <color indexed="81"/>
            <rFont val="Tahoma"/>
            <family val="2"/>
          </rPr>
          <t>Solver found a solution. All constraints and optimality conditions are satisfied.</t>
        </r>
      </text>
    </comment>
    <comment ref="K6" authorId="0" shapeId="0" xr:uid="{4B2C4654-A211-4B36-8E59-7EE08158FBB9}">
      <text>
        <r>
          <rPr>
            <sz val="9"/>
            <color indexed="81"/>
            <rFont val="Tahoma"/>
            <family val="2"/>
          </rPr>
          <t>Solver found a solution. All constraints and optimality conditions are satisfied.</t>
        </r>
      </text>
    </comment>
    <comment ref="B7" authorId="0" shapeId="0" xr:uid="{566370DB-2E95-4C83-A544-E6A32D0A25E0}">
      <text>
        <r>
          <rPr>
            <sz val="9"/>
            <color indexed="81"/>
            <rFont val="Tahoma"/>
            <family val="2"/>
          </rPr>
          <t>Solver found a solution. All constraints and optimality conditions are satisfied.</t>
        </r>
      </text>
    </comment>
    <comment ref="C7" authorId="0" shapeId="0" xr:uid="{228990D3-07F7-40DD-A23A-5920418612AA}">
      <text>
        <r>
          <rPr>
            <sz val="9"/>
            <color indexed="81"/>
            <rFont val="Tahoma"/>
            <family val="2"/>
          </rPr>
          <t>Solver found a solution. All constraints and optimality conditions are satisfied.</t>
        </r>
      </text>
    </comment>
    <comment ref="D7" authorId="0" shapeId="0" xr:uid="{E9821679-F146-42E0-A32B-8F5A1F4A0176}">
      <text>
        <r>
          <rPr>
            <sz val="9"/>
            <color indexed="81"/>
            <rFont val="Tahoma"/>
            <family val="2"/>
          </rPr>
          <t>Solver found a solution. All constraints and optimality conditions are satisfied.</t>
        </r>
      </text>
    </comment>
    <comment ref="E7" authorId="0" shapeId="0" xr:uid="{D8586B0F-341C-4020-BF19-8709538ACD34}">
      <text>
        <r>
          <rPr>
            <sz val="9"/>
            <color indexed="81"/>
            <rFont val="Tahoma"/>
            <family val="2"/>
          </rPr>
          <t>Solver found a solution. All constraints and optimality conditions are satisfied.</t>
        </r>
      </text>
    </comment>
    <comment ref="F7" authorId="0" shapeId="0" xr:uid="{8D510EB0-6075-46C5-8FE4-1907979EDDCA}">
      <text>
        <r>
          <rPr>
            <sz val="9"/>
            <color indexed="81"/>
            <rFont val="Tahoma"/>
            <family val="2"/>
          </rPr>
          <t>Solver found a solution. All constraints and optimality conditions are satisfied.</t>
        </r>
      </text>
    </comment>
    <comment ref="G7" authorId="0" shapeId="0" xr:uid="{902F7330-33E0-4845-8F3C-845677EA84FB}">
      <text>
        <r>
          <rPr>
            <sz val="9"/>
            <color indexed="81"/>
            <rFont val="Tahoma"/>
            <family val="2"/>
          </rPr>
          <t>Solver found a solution. All constraints and optimality conditions are satisfied.</t>
        </r>
      </text>
    </comment>
    <comment ref="H7" authorId="0" shapeId="0" xr:uid="{651BFD87-94B4-4189-924F-080B7A392D42}">
      <text>
        <r>
          <rPr>
            <sz val="9"/>
            <color indexed="81"/>
            <rFont val="Tahoma"/>
            <family val="2"/>
          </rPr>
          <t>Solver found a solution. All constraints and optimality conditions are satisfied.</t>
        </r>
      </text>
    </comment>
    <comment ref="I7" authorId="0" shapeId="0" xr:uid="{84F7A1E2-09E1-41DA-93F0-0A9C94B332A6}">
      <text>
        <r>
          <rPr>
            <sz val="9"/>
            <color indexed="81"/>
            <rFont val="Tahoma"/>
            <family val="2"/>
          </rPr>
          <t>Solver found a solution. All constraints and optimality conditions are satisfied.</t>
        </r>
      </text>
    </comment>
    <comment ref="J7" authorId="0" shapeId="0" xr:uid="{3B903EBF-F8B4-4A9A-BAFB-692F83532501}">
      <text>
        <r>
          <rPr>
            <sz val="9"/>
            <color indexed="81"/>
            <rFont val="Tahoma"/>
            <family val="2"/>
          </rPr>
          <t>Solver found a solution. All constraints and optimality conditions are satisfied.</t>
        </r>
      </text>
    </comment>
    <comment ref="K7" authorId="0" shapeId="0" xr:uid="{10B7EDAE-7F4C-44B0-A633-4FCA8660D8C8}">
      <text>
        <r>
          <rPr>
            <sz val="9"/>
            <color indexed="81"/>
            <rFont val="Tahoma"/>
            <family val="2"/>
          </rPr>
          <t>Solver found a solution. All constraints and optimality conditions are satisfied.</t>
        </r>
      </text>
    </comment>
    <comment ref="B8" authorId="0" shapeId="0" xr:uid="{1735364D-FB74-41F0-B96C-B86ED89B6AC4}">
      <text>
        <r>
          <rPr>
            <sz val="9"/>
            <color indexed="81"/>
            <rFont val="Tahoma"/>
            <family val="2"/>
          </rPr>
          <t>Solver found a solution. All constraints and optimality conditions are satisfied.</t>
        </r>
      </text>
    </comment>
    <comment ref="C8" authorId="0" shapeId="0" xr:uid="{7EDFAB01-D349-42B1-A4ED-95B1B92DAFAE}">
      <text>
        <r>
          <rPr>
            <sz val="9"/>
            <color indexed="81"/>
            <rFont val="Tahoma"/>
            <family val="2"/>
          </rPr>
          <t>Solver found a solution. All constraints and optimality conditions are satisfied.</t>
        </r>
      </text>
    </comment>
    <comment ref="D8" authorId="0" shapeId="0" xr:uid="{87141949-0E37-4D6E-8FB5-8CA6FF2A9D19}">
      <text>
        <r>
          <rPr>
            <sz val="9"/>
            <color indexed="81"/>
            <rFont val="Tahoma"/>
            <family val="2"/>
          </rPr>
          <t>Solver found a solution. All constraints and optimality conditions are satisfied.</t>
        </r>
      </text>
    </comment>
    <comment ref="E8" authorId="0" shapeId="0" xr:uid="{F30633A9-293C-4F53-A362-C2DB4D7F3CB9}">
      <text>
        <r>
          <rPr>
            <sz val="9"/>
            <color indexed="81"/>
            <rFont val="Tahoma"/>
            <family val="2"/>
          </rPr>
          <t>Solver found a solution. All constraints and optimality conditions are satisfied.</t>
        </r>
      </text>
    </comment>
    <comment ref="F8" authorId="0" shapeId="0" xr:uid="{B7D8CE2E-0407-455C-BAF4-01BD8E263962}">
      <text>
        <r>
          <rPr>
            <sz val="9"/>
            <color indexed="81"/>
            <rFont val="Tahoma"/>
            <family val="2"/>
          </rPr>
          <t>Solver found a solution. All constraints and optimality conditions are satisfied.</t>
        </r>
      </text>
    </comment>
    <comment ref="G8" authorId="0" shapeId="0" xr:uid="{AF932909-2501-4307-8724-4BBAAB4F64E1}">
      <text>
        <r>
          <rPr>
            <sz val="9"/>
            <color indexed="81"/>
            <rFont val="Tahoma"/>
            <family val="2"/>
          </rPr>
          <t>Solver found a solution. All constraints and optimality conditions are satisfied.</t>
        </r>
      </text>
    </comment>
    <comment ref="H8" authorId="0" shapeId="0" xr:uid="{C90323D9-3833-4328-924B-64BDA082EBF2}">
      <text>
        <r>
          <rPr>
            <sz val="9"/>
            <color indexed="81"/>
            <rFont val="Tahoma"/>
            <family val="2"/>
          </rPr>
          <t>Solver found a solution. All constraints and optimality conditions are satisfied.</t>
        </r>
      </text>
    </comment>
    <comment ref="I8" authorId="0" shapeId="0" xr:uid="{90DB96F4-F64B-4CBA-BCA8-A38F2FBC08E4}">
      <text>
        <r>
          <rPr>
            <sz val="9"/>
            <color indexed="81"/>
            <rFont val="Tahoma"/>
            <family val="2"/>
          </rPr>
          <t>Solver found a solution. All constraints and optimality conditions are satisfied.</t>
        </r>
      </text>
    </comment>
    <comment ref="J8" authorId="0" shapeId="0" xr:uid="{CFBA93D9-8629-4BC2-B518-8AC236C38F15}">
      <text>
        <r>
          <rPr>
            <sz val="9"/>
            <color indexed="81"/>
            <rFont val="Tahoma"/>
            <family val="2"/>
          </rPr>
          <t>Solver found a solution. All constraints and optimality conditions are satisfied.</t>
        </r>
      </text>
    </comment>
    <comment ref="K8" authorId="0" shapeId="0" xr:uid="{A56A327F-8C1D-499E-841F-30E95C4FCA60}">
      <text>
        <r>
          <rPr>
            <sz val="9"/>
            <color indexed="81"/>
            <rFont val="Tahoma"/>
            <family val="2"/>
          </rPr>
          <t>Solver found a solution. All constraints and optimality conditions are satisfied.</t>
        </r>
      </text>
    </comment>
    <comment ref="B9" authorId="0" shapeId="0" xr:uid="{BDC99A7E-6094-4D38-BCE9-B88D04367E10}">
      <text>
        <r>
          <rPr>
            <sz val="9"/>
            <color indexed="81"/>
            <rFont val="Tahoma"/>
            <family val="2"/>
          </rPr>
          <t>Solver found a solution. All constraints and optimality conditions are satisfied.</t>
        </r>
      </text>
    </comment>
    <comment ref="C9" authorId="0" shapeId="0" xr:uid="{EC964AA8-D337-430A-9076-C51CE04E3FBC}">
      <text>
        <r>
          <rPr>
            <sz val="9"/>
            <color indexed="81"/>
            <rFont val="Tahoma"/>
            <family val="2"/>
          </rPr>
          <t>Solver found a solution. All constraints and optimality conditions are satisfied.</t>
        </r>
      </text>
    </comment>
    <comment ref="D9" authorId="0" shapeId="0" xr:uid="{3911041B-89DB-4224-B9EA-A9DFE3C0132E}">
      <text>
        <r>
          <rPr>
            <sz val="9"/>
            <color indexed="81"/>
            <rFont val="Tahoma"/>
            <family val="2"/>
          </rPr>
          <t>Solver found a solution. All constraints and optimality conditions are satisfied.</t>
        </r>
      </text>
    </comment>
    <comment ref="E9" authorId="0" shapeId="0" xr:uid="{AB106957-E23B-4CD0-8799-B78FF37E3E40}">
      <text>
        <r>
          <rPr>
            <sz val="9"/>
            <color indexed="81"/>
            <rFont val="Tahoma"/>
            <family val="2"/>
          </rPr>
          <t>Solver found a solution. All constraints and optimality conditions are satisfied.</t>
        </r>
      </text>
    </comment>
    <comment ref="F9" authorId="0" shapeId="0" xr:uid="{C7A67CAC-4CD4-4A92-B063-C3A948A84274}">
      <text>
        <r>
          <rPr>
            <sz val="9"/>
            <color indexed="81"/>
            <rFont val="Tahoma"/>
            <family val="2"/>
          </rPr>
          <t>Solver found a solution. All constraints and optimality conditions are satisfied.</t>
        </r>
      </text>
    </comment>
    <comment ref="G9" authorId="0" shapeId="0" xr:uid="{E0A139F6-7E27-4720-9183-0C33B58E4E08}">
      <text>
        <r>
          <rPr>
            <sz val="9"/>
            <color indexed="81"/>
            <rFont val="Tahoma"/>
            <family val="2"/>
          </rPr>
          <t>Solver found a solution. All constraints and optimality conditions are satisfied.</t>
        </r>
      </text>
    </comment>
    <comment ref="H9" authorId="0" shapeId="0" xr:uid="{98CB8E35-5D75-4B8F-9431-35AA549D8BE5}">
      <text>
        <r>
          <rPr>
            <sz val="9"/>
            <color indexed="81"/>
            <rFont val="Tahoma"/>
            <family val="2"/>
          </rPr>
          <t>Solver found a solution. All constraints and optimality conditions are satisfied.</t>
        </r>
      </text>
    </comment>
    <comment ref="I9" authorId="0" shapeId="0" xr:uid="{BB267296-8CBF-4383-9651-72D1F5894070}">
      <text>
        <r>
          <rPr>
            <sz val="9"/>
            <color indexed="81"/>
            <rFont val="Tahoma"/>
            <family val="2"/>
          </rPr>
          <t>Solver found a solution. All constraints and optimality conditions are satisfied.</t>
        </r>
      </text>
    </comment>
    <comment ref="J9" authorId="0" shapeId="0" xr:uid="{B703ECD1-43E2-493E-8780-7DF24D025587}">
      <text>
        <r>
          <rPr>
            <sz val="9"/>
            <color indexed="81"/>
            <rFont val="Tahoma"/>
            <family val="2"/>
          </rPr>
          <t>Solver found a solution. All constraints and optimality conditions are satisfied.</t>
        </r>
      </text>
    </comment>
    <comment ref="K9" authorId="0" shapeId="0" xr:uid="{E9C0F681-0585-403C-907A-7163BE00CC21}">
      <text>
        <r>
          <rPr>
            <sz val="9"/>
            <color indexed="81"/>
            <rFont val="Tahoma"/>
            <family val="2"/>
          </rPr>
          <t>Solver found a solution. All constraints and optimality conditions are satisfied.</t>
        </r>
      </text>
    </comment>
    <comment ref="B10" authorId="0" shapeId="0" xr:uid="{00822CDC-E8C0-4D7B-9F34-C65808D4160C}">
      <text>
        <r>
          <rPr>
            <sz val="9"/>
            <color indexed="81"/>
            <rFont val="Tahoma"/>
            <family val="2"/>
          </rPr>
          <t>Solver found a solution. All constraints and optimality conditions are satisfied.</t>
        </r>
      </text>
    </comment>
    <comment ref="C10" authorId="0" shapeId="0" xr:uid="{C3AE2F8D-718C-4B5E-9650-EDE1268575EA}">
      <text>
        <r>
          <rPr>
            <sz val="9"/>
            <color indexed="81"/>
            <rFont val="Tahoma"/>
            <family val="2"/>
          </rPr>
          <t>Solver found a solution. All constraints and optimality conditions are satisfied.</t>
        </r>
      </text>
    </comment>
    <comment ref="D10" authorId="0" shapeId="0" xr:uid="{07C611CC-47CA-403E-A653-57468449F787}">
      <text>
        <r>
          <rPr>
            <sz val="9"/>
            <color indexed="81"/>
            <rFont val="Tahoma"/>
            <family val="2"/>
          </rPr>
          <t>Solver found a solution. All constraints and optimality conditions are satisfied.</t>
        </r>
      </text>
    </comment>
    <comment ref="E10" authorId="0" shapeId="0" xr:uid="{AD40A049-DDB4-47EF-815B-ECE24655E24D}">
      <text>
        <r>
          <rPr>
            <sz val="9"/>
            <color indexed="81"/>
            <rFont val="Tahoma"/>
            <family val="2"/>
          </rPr>
          <t>Solver found a solution. All constraints and optimality conditions are satisfied.</t>
        </r>
      </text>
    </comment>
    <comment ref="F10" authorId="0" shapeId="0" xr:uid="{53AA273A-944A-40D0-ABC0-62D54806B7E6}">
      <text>
        <r>
          <rPr>
            <sz val="9"/>
            <color indexed="81"/>
            <rFont val="Tahoma"/>
            <family val="2"/>
          </rPr>
          <t>Solver found a solution. All constraints and optimality conditions are satisfied.</t>
        </r>
      </text>
    </comment>
    <comment ref="G10" authorId="0" shapeId="0" xr:uid="{C2ED599E-A188-4D5D-BE7E-A28A7D9E309F}">
      <text>
        <r>
          <rPr>
            <sz val="9"/>
            <color indexed="81"/>
            <rFont val="Tahoma"/>
            <family val="2"/>
          </rPr>
          <t>Solver found a solution. All constraints and optimality conditions are satisfied.</t>
        </r>
      </text>
    </comment>
    <comment ref="H10" authorId="0" shapeId="0" xr:uid="{42B418A6-4E9C-4064-A814-7F4788108200}">
      <text>
        <r>
          <rPr>
            <sz val="9"/>
            <color indexed="81"/>
            <rFont val="Tahoma"/>
            <family val="2"/>
          </rPr>
          <t>Solver found a solution. All constraints and optimality conditions are satisfied.</t>
        </r>
      </text>
    </comment>
    <comment ref="I10" authorId="0" shapeId="0" xr:uid="{385A751E-E936-44DD-942B-2713A5DA31CE}">
      <text>
        <r>
          <rPr>
            <sz val="9"/>
            <color indexed="81"/>
            <rFont val="Tahoma"/>
            <family val="2"/>
          </rPr>
          <t>Solver found a solution. All constraints and optimality conditions are satisfied.</t>
        </r>
      </text>
    </comment>
    <comment ref="J10" authorId="0" shapeId="0" xr:uid="{24D58055-8E46-418A-BF21-42883961ACBD}">
      <text>
        <r>
          <rPr>
            <sz val="9"/>
            <color indexed="81"/>
            <rFont val="Tahoma"/>
            <family val="2"/>
          </rPr>
          <t>Solver found a solution. All constraints and optimality conditions are satisfied.</t>
        </r>
      </text>
    </comment>
    <comment ref="K10" authorId="0" shapeId="0" xr:uid="{801B36AF-5CE7-40C8-A04C-78312A2B8817}">
      <text>
        <r>
          <rPr>
            <sz val="9"/>
            <color indexed="81"/>
            <rFont val="Tahoma"/>
            <family val="2"/>
          </rPr>
          <t>Solver found a solution. All constraints and optimality conditions are satisfied.</t>
        </r>
      </text>
    </comment>
    <comment ref="B11" authorId="0" shapeId="0" xr:uid="{83CA75AD-CBAC-41AF-B68F-99046E2167F6}">
      <text>
        <r>
          <rPr>
            <sz val="9"/>
            <color indexed="81"/>
            <rFont val="Tahoma"/>
            <family val="2"/>
          </rPr>
          <t>Solver found a solution. All constraints and optimality conditions are satisfied.</t>
        </r>
      </text>
    </comment>
    <comment ref="C11" authorId="0" shapeId="0" xr:uid="{5BF2263E-CDD9-4E27-BC05-8DE3F461C67D}">
      <text>
        <r>
          <rPr>
            <sz val="9"/>
            <color indexed="81"/>
            <rFont val="Tahoma"/>
            <family val="2"/>
          </rPr>
          <t>Solver found a solution. All constraints and optimality conditions are satisfied.</t>
        </r>
      </text>
    </comment>
    <comment ref="D11" authorId="0" shapeId="0" xr:uid="{0E537473-E650-4E7F-9B3F-E4207D19C2CF}">
      <text>
        <r>
          <rPr>
            <sz val="9"/>
            <color indexed="81"/>
            <rFont val="Tahoma"/>
            <family val="2"/>
          </rPr>
          <t>Solver found a solution. All constraints and optimality conditions are satisfied.</t>
        </r>
      </text>
    </comment>
    <comment ref="E11" authorId="0" shapeId="0" xr:uid="{CE8517B9-4318-45F8-A35F-68EE527AFBCF}">
      <text>
        <r>
          <rPr>
            <sz val="9"/>
            <color indexed="81"/>
            <rFont val="Tahoma"/>
            <family val="2"/>
          </rPr>
          <t>Solver found a solution. All constraints and optimality conditions are satisfied.</t>
        </r>
      </text>
    </comment>
    <comment ref="F11" authorId="0" shapeId="0" xr:uid="{A6424EC0-51C5-4A5E-A18A-E6C56AFA0401}">
      <text>
        <r>
          <rPr>
            <sz val="9"/>
            <color indexed="81"/>
            <rFont val="Tahoma"/>
            <family val="2"/>
          </rPr>
          <t>Solver found a solution. All constraints and optimality conditions are satisfied.</t>
        </r>
      </text>
    </comment>
    <comment ref="G11" authorId="0" shapeId="0" xr:uid="{B82DE740-C480-4756-9EE5-B44D494B1230}">
      <text>
        <r>
          <rPr>
            <sz val="9"/>
            <color indexed="81"/>
            <rFont val="Tahoma"/>
            <family val="2"/>
          </rPr>
          <t>Solver found a solution. All constraints and optimality conditions are satisfied.</t>
        </r>
      </text>
    </comment>
    <comment ref="H11" authorId="0" shapeId="0" xr:uid="{2653B6D7-B679-4AF0-A6E6-899ED739503E}">
      <text>
        <r>
          <rPr>
            <sz val="9"/>
            <color indexed="81"/>
            <rFont val="Tahoma"/>
            <family val="2"/>
          </rPr>
          <t>Solver found a solution. All constraints and optimality conditions are satisfied.</t>
        </r>
      </text>
    </comment>
    <comment ref="I11" authorId="0" shapeId="0" xr:uid="{DFEB4D94-260A-416A-A128-88536552DD0C}">
      <text>
        <r>
          <rPr>
            <sz val="9"/>
            <color indexed="81"/>
            <rFont val="Tahoma"/>
            <family val="2"/>
          </rPr>
          <t>Solver found a solution. All constraints and optimality conditions are satisfied.</t>
        </r>
      </text>
    </comment>
    <comment ref="J11" authorId="0" shapeId="0" xr:uid="{0C815C22-17FD-4E6E-93D7-4E98C6465638}">
      <text>
        <r>
          <rPr>
            <sz val="9"/>
            <color indexed="81"/>
            <rFont val="Tahoma"/>
            <family val="2"/>
          </rPr>
          <t>Solver found a solution. All constraints and optimality conditions are satisfied.</t>
        </r>
      </text>
    </comment>
    <comment ref="K11" authorId="0" shapeId="0" xr:uid="{E77E7FA3-B377-4573-9AC5-1AB093198FAB}">
      <text>
        <r>
          <rPr>
            <sz val="9"/>
            <color indexed="81"/>
            <rFont val="Tahoma"/>
            <family val="2"/>
          </rPr>
          <t>Solver found a solution. All constraints and optimality conditions are satisfied.</t>
        </r>
      </text>
    </comment>
    <comment ref="B12" authorId="0" shapeId="0" xr:uid="{B722E07A-65C9-456E-9DD3-C180FD20E3AC}">
      <text>
        <r>
          <rPr>
            <sz val="9"/>
            <color indexed="81"/>
            <rFont val="Tahoma"/>
            <family val="2"/>
          </rPr>
          <t>Solver found a solution. All constraints and optimality conditions are satisfied.</t>
        </r>
      </text>
    </comment>
    <comment ref="C12" authorId="0" shapeId="0" xr:uid="{1279E0B5-D4EC-402E-A933-78098EB37618}">
      <text>
        <r>
          <rPr>
            <sz val="9"/>
            <color indexed="81"/>
            <rFont val="Tahoma"/>
            <family val="2"/>
          </rPr>
          <t>Solver found a solution. All constraints and optimality conditions are satisfied.</t>
        </r>
      </text>
    </comment>
    <comment ref="D12" authorId="0" shapeId="0" xr:uid="{07682684-4D8F-4CB4-8527-5C4699551C4C}">
      <text>
        <r>
          <rPr>
            <sz val="9"/>
            <color indexed="81"/>
            <rFont val="Tahoma"/>
            <family val="2"/>
          </rPr>
          <t>Solver found a solution. All constraints and optimality conditions are satisfied.</t>
        </r>
      </text>
    </comment>
    <comment ref="E12" authorId="0" shapeId="0" xr:uid="{39AF078B-F50B-4616-9FE7-1B422481C5D7}">
      <text>
        <r>
          <rPr>
            <sz val="9"/>
            <color indexed="81"/>
            <rFont val="Tahoma"/>
            <family val="2"/>
          </rPr>
          <t>Solver found a solution. All constraints and optimality conditions are satisfied.</t>
        </r>
      </text>
    </comment>
    <comment ref="F12" authorId="0" shapeId="0" xr:uid="{18C6583F-CB4E-40CA-B948-D7BEAE5A7276}">
      <text>
        <r>
          <rPr>
            <sz val="9"/>
            <color indexed="81"/>
            <rFont val="Tahoma"/>
            <family val="2"/>
          </rPr>
          <t>Solver found a solution. All constraints and optimality conditions are satisfied.</t>
        </r>
      </text>
    </comment>
    <comment ref="G12" authorId="0" shapeId="0" xr:uid="{E5D65646-1D1F-4EAE-8D35-3B9AF22FC552}">
      <text>
        <r>
          <rPr>
            <sz val="9"/>
            <color indexed="81"/>
            <rFont val="Tahoma"/>
            <family val="2"/>
          </rPr>
          <t>Solver found a solution. All constraints and optimality conditions are satisfied.</t>
        </r>
      </text>
    </comment>
    <comment ref="H12" authorId="0" shapeId="0" xr:uid="{4819EF62-5464-49E1-BB1F-A7740D0EE812}">
      <text>
        <r>
          <rPr>
            <sz val="9"/>
            <color indexed="81"/>
            <rFont val="Tahoma"/>
            <family val="2"/>
          </rPr>
          <t>Solver found a solution. All constraints and optimality conditions are satisfied.</t>
        </r>
      </text>
    </comment>
    <comment ref="I12" authorId="0" shapeId="0" xr:uid="{50C5F2A7-7628-4875-B350-7D534B6FCAEB}">
      <text>
        <r>
          <rPr>
            <sz val="9"/>
            <color indexed="81"/>
            <rFont val="Tahoma"/>
            <family val="2"/>
          </rPr>
          <t>Solver found a solution. All constraints and optimality conditions are satisfied.</t>
        </r>
      </text>
    </comment>
    <comment ref="J12" authorId="0" shapeId="0" xr:uid="{8F521E8F-F07C-45A2-951B-F60ABA95D48E}">
      <text>
        <r>
          <rPr>
            <sz val="9"/>
            <color indexed="81"/>
            <rFont val="Tahoma"/>
            <family val="2"/>
          </rPr>
          <t>Solver found a solution. All constraints and optimality conditions are satisfied.</t>
        </r>
      </text>
    </comment>
    <comment ref="K12" authorId="0" shapeId="0" xr:uid="{B5FEDF41-F66C-4A8A-9B53-16F33D9BD8CC}">
      <text>
        <r>
          <rPr>
            <sz val="9"/>
            <color indexed="81"/>
            <rFont val="Tahoma"/>
            <family val="2"/>
          </rPr>
          <t>Solver found a solution. All constraints and optimality conditions are satisfied.</t>
        </r>
      </text>
    </comment>
    <comment ref="B13" authorId="0" shapeId="0" xr:uid="{57FE5C3B-210C-4544-A8E1-523A44019324}">
      <text>
        <r>
          <rPr>
            <sz val="9"/>
            <color indexed="81"/>
            <rFont val="Tahoma"/>
            <family val="2"/>
          </rPr>
          <t>Solver found a solution. All constraints and optimality conditions are satisfied.</t>
        </r>
      </text>
    </comment>
    <comment ref="C13" authorId="0" shapeId="0" xr:uid="{8778BC04-D077-4822-88CD-121AD4C9ABB1}">
      <text>
        <r>
          <rPr>
            <sz val="9"/>
            <color indexed="81"/>
            <rFont val="Tahoma"/>
            <family val="2"/>
          </rPr>
          <t>Solver found a solution. All constraints and optimality conditions are satisfied.</t>
        </r>
      </text>
    </comment>
    <comment ref="D13" authorId="0" shapeId="0" xr:uid="{5CD40AD6-82C8-49E9-B9F7-5C69E496D9F9}">
      <text>
        <r>
          <rPr>
            <sz val="9"/>
            <color indexed="81"/>
            <rFont val="Tahoma"/>
            <family val="2"/>
          </rPr>
          <t>Solver found a solution. All constraints and optimality conditions are satisfied.</t>
        </r>
      </text>
    </comment>
    <comment ref="E13" authorId="0" shapeId="0" xr:uid="{48521FE4-3C04-491E-925F-DA3AE072D930}">
      <text>
        <r>
          <rPr>
            <sz val="9"/>
            <color indexed="81"/>
            <rFont val="Tahoma"/>
            <family val="2"/>
          </rPr>
          <t>Solver found a solution. All constraints and optimality conditions are satisfied.</t>
        </r>
      </text>
    </comment>
    <comment ref="F13" authorId="0" shapeId="0" xr:uid="{DE3A81CB-E669-43C5-961C-0BE98767DCEC}">
      <text>
        <r>
          <rPr>
            <sz val="9"/>
            <color indexed="81"/>
            <rFont val="Tahoma"/>
            <family val="2"/>
          </rPr>
          <t>Solver found a solution. All constraints and optimality conditions are satisfied.</t>
        </r>
      </text>
    </comment>
    <comment ref="G13" authorId="0" shapeId="0" xr:uid="{5FF0551D-C537-4DF7-8A14-4E6DB35654CC}">
      <text>
        <r>
          <rPr>
            <sz val="9"/>
            <color indexed="81"/>
            <rFont val="Tahoma"/>
            <family val="2"/>
          </rPr>
          <t>Solver found a solution. All constraints and optimality conditions are satisfied.</t>
        </r>
      </text>
    </comment>
    <comment ref="H13" authorId="0" shapeId="0" xr:uid="{AA1B00AC-3EED-4C62-8439-C75D1AFF95EB}">
      <text>
        <r>
          <rPr>
            <sz val="9"/>
            <color indexed="81"/>
            <rFont val="Tahoma"/>
            <family val="2"/>
          </rPr>
          <t>Solver found a solution. All constraints and optimality conditions are satisfied.</t>
        </r>
      </text>
    </comment>
    <comment ref="I13" authorId="0" shapeId="0" xr:uid="{63621862-8BED-4ADB-9DF7-1100885B6388}">
      <text>
        <r>
          <rPr>
            <sz val="9"/>
            <color indexed="81"/>
            <rFont val="Tahoma"/>
            <family val="2"/>
          </rPr>
          <t>Solver found a solution. All constraints and optimality conditions are satisfied.</t>
        </r>
      </text>
    </comment>
    <comment ref="J13" authorId="0" shapeId="0" xr:uid="{8964ED0E-72D0-4630-ACEB-9DDBB7DC01C5}">
      <text>
        <r>
          <rPr>
            <sz val="9"/>
            <color indexed="81"/>
            <rFont val="Tahoma"/>
            <family val="2"/>
          </rPr>
          <t>Solver found a solution. All constraints and optimality conditions are satisfied.</t>
        </r>
      </text>
    </comment>
    <comment ref="K13" authorId="0" shapeId="0" xr:uid="{DE776E7B-E3E9-4963-B3B2-F7AEF0343ABA}">
      <text>
        <r>
          <rPr>
            <sz val="9"/>
            <color indexed="81"/>
            <rFont val="Tahoma"/>
            <family val="2"/>
          </rPr>
          <t>Solver found a solution. All constraints and optimality conditions are satisfied.</t>
        </r>
      </text>
    </comment>
    <comment ref="B14" authorId="0" shapeId="0" xr:uid="{D6651046-FD6E-43D9-9ACC-FF2DB1D29676}">
      <text>
        <r>
          <rPr>
            <sz val="9"/>
            <color indexed="81"/>
            <rFont val="Tahoma"/>
            <family val="2"/>
          </rPr>
          <t>Solver found a solution. All constraints and optimality conditions are satisfied.</t>
        </r>
      </text>
    </comment>
    <comment ref="C14" authorId="0" shapeId="0" xr:uid="{CEA63593-6994-4269-A5E6-6056D9BCD620}">
      <text>
        <r>
          <rPr>
            <sz val="9"/>
            <color indexed="81"/>
            <rFont val="Tahoma"/>
            <family val="2"/>
          </rPr>
          <t>Solver found a solution. All constraints and optimality conditions are satisfied.</t>
        </r>
      </text>
    </comment>
    <comment ref="D14" authorId="0" shapeId="0" xr:uid="{3DEB6130-1E45-44E1-BDE8-4A81E2B315C1}">
      <text>
        <r>
          <rPr>
            <sz val="9"/>
            <color indexed="81"/>
            <rFont val="Tahoma"/>
            <family val="2"/>
          </rPr>
          <t>Solver found a solution. All constraints and optimality conditions are satisfied.</t>
        </r>
      </text>
    </comment>
    <comment ref="E14" authorId="0" shapeId="0" xr:uid="{6A530EC2-21D4-465E-A3CE-08629AAE5881}">
      <text>
        <r>
          <rPr>
            <sz val="9"/>
            <color indexed="81"/>
            <rFont val="Tahoma"/>
            <family val="2"/>
          </rPr>
          <t>Solver found a solution. All constraints and optimality conditions are satisfied.</t>
        </r>
      </text>
    </comment>
    <comment ref="F14" authorId="0" shapeId="0" xr:uid="{67ECED8D-8EA9-4613-9EC5-4E0093B8F15B}">
      <text>
        <r>
          <rPr>
            <sz val="9"/>
            <color indexed="81"/>
            <rFont val="Tahoma"/>
            <family val="2"/>
          </rPr>
          <t>Solver found a solution. All constraints and optimality conditions are satisfied.</t>
        </r>
      </text>
    </comment>
    <comment ref="G14" authorId="0" shapeId="0" xr:uid="{52D0D5C2-B31F-4503-867D-730BB840D12D}">
      <text>
        <r>
          <rPr>
            <sz val="9"/>
            <color indexed="81"/>
            <rFont val="Tahoma"/>
            <family val="2"/>
          </rPr>
          <t>Solver found a solution. All constraints and optimality conditions are satisfied.</t>
        </r>
      </text>
    </comment>
    <comment ref="H14" authorId="0" shapeId="0" xr:uid="{050C4728-4F53-45E9-854A-D4AF876E03F9}">
      <text>
        <r>
          <rPr>
            <sz val="9"/>
            <color indexed="81"/>
            <rFont val="Tahoma"/>
            <family val="2"/>
          </rPr>
          <t>Solver found a solution. All constraints and optimality conditions are satisfied.</t>
        </r>
      </text>
    </comment>
    <comment ref="I14" authorId="0" shapeId="0" xr:uid="{D02294BF-1A71-4AB2-BF13-A49F69770553}">
      <text>
        <r>
          <rPr>
            <sz val="9"/>
            <color indexed="81"/>
            <rFont val="Tahoma"/>
            <family val="2"/>
          </rPr>
          <t>Solver found a solution. All constraints and optimality conditions are satisfied.</t>
        </r>
      </text>
    </comment>
    <comment ref="J14" authorId="0" shapeId="0" xr:uid="{06910C20-B290-462A-8D23-6F777DCF6B01}">
      <text>
        <r>
          <rPr>
            <sz val="9"/>
            <color indexed="81"/>
            <rFont val="Tahoma"/>
            <family val="2"/>
          </rPr>
          <t>Solver found a solution. All constraints and optimality conditions are satisfied.</t>
        </r>
      </text>
    </comment>
    <comment ref="K14" authorId="0" shapeId="0" xr:uid="{2DA5ABF8-6AAA-453E-88AA-D2EB0C95F4D7}">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<sst xmlns="http://schemas.openxmlformats.org/spreadsheetml/2006/main" count="435" uniqueCount="334">
  <si>
    <t>Machine time</t>
  </si>
  <si>
    <t>Unit cost</t>
  </si>
  <si>
    <t>Los Angeles</t>
  </si>
  <si>
    <t>Indianapolis</t>
  </si>
  <si>
    <t>Drug 2</t>
  </si>
  <si>
    <t>Drug 1</t>
  </si>
  <si>
    <t>Pharmaceutical data</t>
  </si>
  <si>
    <t>Drug1</t>
  </si>
  <si>
    <t>Drug2</t>
  </si>
  <si>
    <t>Objective:</t>
  </si>
  <si>
    <t>Minimize total costs</t>
  </si>
  <si>
    <t>Constraints:</t>
  </si>
  <si>
    <t>Atleast 2000 pounds of drug 1/ week, atleast 3000 pounds of drug2/week</t>
  </si>
  <si>
    <t>Machine hours @ LA &lt; =600 hrs</t>
  </si>
  <si>
    <t>Machine hours @ Indianapolis &lt;= 800 hrs</t>
  </si>
  <si>
    <t>DV</t>
  </si>
  <si>
    <t>Pounds of drug1 and drug2 produced at Indianapolis and LA respectively (x4)</t>
  </si>
  <si>
    <t>pounds produced/week Drug1</t>
  </si>
  <si>
    <t>pounds produced/week Drug2</t>
  </si>
  <si>
    <t>Total pounds of drug1/week</t>
  </si>
  <si>
    <t>Total pounds of drug2/week</t>
  </si>
  <si>
    <t>Total machine hrs at Indianapolis</t>
  </si>
  <si>
    <t>Machine hrs/week Indianapolis</t>
  </si>
  <si>
    <t>Machine hrs/week Los Angeles</t>
  </si>
  <si>
    <t>Total machine hrs at LA</t>
  </si>
  <si>
    <t>&lt;=</t>
  </si>
  <si>
    <t>Max hrs per week</t>
  </si>
  <si>
    <t>&gt;=</t>
  </si>
  <si>
    <t>Minimum requirement</t>
  </si>
  <si>
    <t>Total cost</t>
  </si>
  <si>
    <t>Actual production</t>
  </si>
  <si>
    <t>Actual machine hours/week</t>
  </si>
  <si>
    <t>pounds produced/week Indianpolis</t>
  </si>
  <si>
    <t>pounds produced/week Los Angeles</t>
  </si>
  <si>
    <t>Cell Names:</t>
  </si>
  <si>
    <t>Actual_machine_hours_week</t>
  </si>
  <si>
    <t>='3.42(a)'!$B$34:$B$35</t>
  </si>
  <si>
    <t>Actual_production</t>
  </si>
  <si>
    <t>='3.42(a)'!$B$29:$B$30</t>
  </si>
  <si>
    <t>Machine_hrs_week_Indianapolis</t>
  </si>
  <si>
    <t>='3.42(a)'!$B$21:$C$21</t>
  </si>
  <si>
    <t>Machine_hrs_week_Los_Angeles</t>
  </si>
  <si>
    <t>='3.42(a)'!$B$22:$C$22</t>
  </si>
  <si>
    <t>Max_hrs_per_week</t>
  </si>
  <si>
    <t>='3.42(a)'!$D$34:$D$35</t>
  </si>
  <si>
    <t>Minimum_requirement</t>
  </si>
  <si>
    <t>='3.42(a)'!$D$29:$D$30</t>
  </si>
  <si>
    <t>pounds_produced_week_Drug1</t>
  </si>
  <si>
    <t>='3.42(a)'!$B$26:$B$27</t>
  </si>
  <si>
    <t>pounds_produced_week_Drug2</t>
  </si>
  <si>
    <t>='3.42(a)'!$C$26:$C$27</t>
  </si>
  <si>
    <t>pounds_produced_week_Indianpolis</t>
  </si>
  <si>
    <t>='3.42(a)'!$B$26:$C$26</t>
  </si>
  <si>
    <t>pounds_produced_week_Los_Angeles</t>
  </si>
  <si>
    <t>='3.42(a)'!$B$27:$C$27</t>
  </si>
  <si>
    <t>production_matrix</t>
  </si>
  <si>
    <t>='3.42(a)'!$B$26:$C$27</t>
  </si>
  <si>
    <t/>
  </si>
  <si>
    <t>$B$37</t>
  </si>
  <si>
    <t>Twoway analysis for Solver model in 3.42(a) worksheet</t>
  </si>
  <si>
    <t>Indianapolis Hours (cell $D$34) values along side, Los Angeles Hours (cell $D$35) values along top, output cell in corner</t>
  </si>
  <si>
    <t>Output and Indianapolis Hours value for chart</t>
  </si>
  <si>
    <t>Output</t>
  </si>
  <si>
    <t>Indianapolis Hours value</t>
  </si>
  <si>
    <t>Output and Los Angeles Hours value for chart</t>
  </si>
  <si>
    <t>Los Angeles Hours value</t>
  </si>
  <si>
    <t>Total_cost</t>
  </si>
  <si>
    <t>$D$29</t>
  </si>
  <si>
    <t>$D$30</t>
  </si>
  <si>
    <t>Total pounds Drug1/week</t>
  </si>
  <si>
    <t>Total pounds Drug2/week</t>
  </si>
  <si>
    <t>Total pounds Drug1/week (cell $D$29) values along side, Total pounds Drug2/week (cell $D$30) values along top, output cell in corner</t>
  </si>
  <si>
    <t>Output and Total pounds Drug1/week value for chart</t>
  </si>
  <si>
    <t>Total pounds Drug1/week value</t>
  </si>
  <si>
    <t>Output and Total pounds Drug2/week value for chart</t>
  </si>
  <si>
    <t>Total pounds Drug2/week value</t>
  </si>
  <si>
    <t>Not feasible</t>
  </si>
  <si>
    <t>Office Schedulling Problem</t>
  </si>
  <si>
    <t>Min num officers</t>
  </si>
  <si>
    <t>12a - 4a</t>
  </si>
  <si>
    <t>4a - 8a</t>
  </si>
  <si>
    <t>8a - 12p</t>
  </si>
  <si>
    <t>12p - 4p</t>
  </si>
  <si>
    <t>4p - 8p</t>
  </si>
  <si>
    <t>8p - 12a</t>
  </si>
  <si>
    <t>≤</t>
  </si>
  <si>
    <t>no of officers working this shift</t>
  </si>
  <si>
    <t>no. of officers starting on this shift</t>
  </si>
  <si>
    <t>Total no of officers</t>
  </si>
  <si>
    <t>Obj</t>
  </si>
  <si>
    <t>Minimize no of officers needed</t>
  </si>
  <si>
    <t>#_of officers starting in each 4 hour shift</t>
  </si>
  <si>
    <t>Constraint</t>
  </si>
  <si>
    <t>Each officer works for two consecutive shift</t>
  </si>
  <si>
    <t>Cell names:</t>
  </si>
  <si>
    <t>Bag_cost_per_pound</t>
  </si>
  <si>
    <t>Bag_revenue_per_pound</t>
  </si>
  <si>
    <t>Juice_cost_per_pound</t>
  </si>
  <si>
    <t>Juice_revenue_per_pound</t>
  </si>
  <si>
    <t>Min_num_officers</t>
  </si>
  <si>
    <t>='4.46(a)'!$B$5:$G$5</t>
  </si>
  <si>
    <t>no._of_officers_starting_on_this_shift</t>
  </si>
  <si>
    <t>='4.46(a)'!$B$8:$G$8</t>
  </si>
  <si>
    <t>no_of_officers_working_this_shift</t>
  </si>
  <si>
    <t>='4.46(a)'!$B$7:$G$7</t>
  </si>
  <si>
    <t>='3.42(a)'!$B$37</t>
  </si>
  <si>
    <t>Total_no_of_officers</t>
  </si>
  <si>
    <t>='4.46(a)'!$B$10</t>
  </si>
  <si>
    <t>$B$10</t>
  </si>
  <si>
    <t>Oneway analysis for Solver model in 4.46(a) worksheet</t>
  </si>
  <si>
    <t>No of officers needed 8a -12pm (cell $D$5) values along side, output cell(s) along top</t>
  </si>
  <si>
    <t>Data for chart</t>
  </si>
  <si>
    <t>$F$5</t>
  </si>
  <si>
    <t>No of officers needed 4pm-8pm</t>
  </si>
  <si>
    <t>No of officers needed 4pm-8pm (cell $F$5) values along side, output cell(s) along top</t>
  </si>
  <si>
    <t>Unit Cost P2 M2</t>
  </si>
  <si>
    <t>Unit Cost P2 M1</t>
  </si>
  <si>
    <t>Unit Cost P1 M2</t>
  </si>
  <si>
    <t>Unit Cost P1 M1</t>
  </si>
  <si>
    <t>Sum of Labor Hours</t>
  </si>
  <si>
    <t>Sum of Machine Hours M2</t>
  </si>
  <si>
    <t>Sum of Machine Hours M1</t>
  </si>
  <si>
    <t>Machine and Labor Hour Constraint</t>
  </si>
  <si>
    <t>Labor Hours Required P2 M2</t>
  </si>
  <si>
    <t>Machine Hours Required P2 M2</t>
  </si>
  <si>
    <t>Labor Hours Required P1 M2</t>
  </si>
  <si>
    <t>Machine Hours Required P1 M2</t>
  </si>
  <si>
    <t>Labor Hours Required P2 M1</t>
  </si>
  <si>
    <t>Machine Hours Required P2 M1</t>
  </si>
  <si>
    <t>Labor Hours Required P1 on M1</t>
  </si>
  <si>
    <t>Machine Hours Required P1 on M1</t>
  </si>
  <si>
    <t>Min Prod on M2 Constraint</t>
  </si>
  <si>
    <t>≥</t>
  </si>
  <si>
    <t>Product 2</t>
  </si>
  <si>
    <t>Min Production Req P2</t>
  </si>
  <si>
    <t>Total Product 2</t>
  </si>
  <si>
    <t>Machine 2</t>
  </si>
  <si>
    <t>Machine 1</t>
  </si>
  <si>
    <t>='3.38'!$B$53</t>
  </si>
  <si>
    <t>Unit_Cost_P2_M2</t>
  </si>
  <si>
    <t>Min Prod on M1 Constraint</t>
  </si>
  <si>
    <t>='3.38'!$B$52</t>
  </si>
  <si>
    <t>Unit_Cost_P2_M1</t>
  </si>
  <si>
    <t>='3.38'!$B$51</t>
  </si>
  <si>
    <t>Unit_Cost_P1_M2</t>
  </si>
  <si>
    <t>Product 1</t>
  </si>
  <si>
    <t>='3.38'!$B$50</t>
  </si>
  <si>
    <t>Unit_Cost_P1_M1</t>
  </si>
  <si>
    <t>Min Production Req P1</t>
  </si>
  <si>
    <t>Total Product 1</t>
  </si>
  <si>
    <t>='3.38'!$D$29</t>
  </si>
  <si>
    <t>Total_Product_2</t>
  </si>
  <si>
    <t>='3.38'!$D$24</t>
  </si>
  <si>
    <t>Total_Product_1</t>
  </si>
  <si>
    <t>='3.38'!$B$47</t>
  </si>
  <si>
    <t>Sum_of_Machine_Hours_M2</t>
  </si>
  <si>
    <t>How many units to produce on M1 and M2 for P1 and P2</t>
  </si>
  <si>
    <t>Decision variable</t>
  </si>
  <si>
    <t>='3.38'!$B$46</t>
  </si>
  <si>
    <t>Sum_of_Machine_Hours_M1</t>
  </si>
  <si>
    <t>50% P2 requirement on M1</t>
  </si>
  <si>
    <t>='3.38'!$B$48</t>
  </si>
  <si>
    <t>Sum_of_Labor_Hours</t>
  </si>
  <si>
    <t>50% P1 requirement on M2</t>
  </si>
  <si>
    <t>='3.38'!$B$12</t>
  </si>
  <si>
    <t>Percent_of_P2_to_Produce_on_M1</t>
  </si>
  <si>
    <t>Minimum prod requirement P2 170</t>
  </si>
  <si>
    <t>='3.38'!$B$11</t>
  </si>
  <si>
    <t>Percent_of_P1_to_Produce_on_M2</t>
  </si>
  <si>
    <t>Minimum prod requirement P1 250</t>
  </si>
  <si>
    <t>='3.38'!$B$10</t>
  </si>
  <si>
    <t>Minimum_Product_2_Requirement</t>
  </si>
  <si>
    <t>400 labor hours in total</t>
  </si>
  <si>
    <t>='3.38'!$B$9</t>
  </si>
  <si>
    <t>Minimum_Product_1_Requirement</t>
  </si>
  <si>
    <t>200 hours of machine time</t>
  </si>
  <si>
    <t>Constraints</t>
  </si>
  <si>
    <t>='3.38'!$F$29</t>
  </si>
  <si>
    <t>Min_Production_Req_P2</t>
  </si>
  <si>
    <t>Minimize cost of production</t>
  </si>
  <si>
    <t>Objective</t>
  </si>
  <si>
    <t>='3.38'!$F$24</t>
  </si>
  <si>
    <t>Min_Production_Req_P1</t>
  </si>
  <si>
    <t>Percent of P2 to Produce on M1</t>
  </si>
  <si>
    <t>='3.38'!$B$42</t>
  </si>
  <si>
    <t>Machine_Hours_Required_P2_M2</t>
  </si>
  <si>
    <t>Percent of P1 to Produce on M2</t>
  </si>
  <si>
    <t>='3.38'!$B$36</t>
  </si>
  <si>
    <t>Machine_Hours_Required_P2_M1</t>
  </si>
  <si>
    <t>Minimum Product 2 Requirement</t>
  </si>
  <si>
    <t>='3.38'!$B$33</t>
  </si>
  <si>
    <t>Machine_Hours_Required_P1_on_M1</t>
  </si>
  <si>
    <t>Minimum Product 1 Requirement</t>
  </si>
  <si>
    <t>='3.38'!$B$39</t>
  </si>
  <si>
    <t>Machine_Hours_Required_P1_M2</t>
  </si>
  <si>
    <t>='3.38'!$D$46:$D$48</t>
  </si>
  <si>
    <t>Machine_and_Labor_Hour_Constraint</t>
  </si>
  <si>
    <t>Unit costs</t>
  </si>
  <si>
    <t>='3.38'!$B$43</t>
  </si>
  <si>
    <t>Labor_Hours_Required_P2_M2</t>
  </si>
  <si>
    <t>Hours of labor required</t>
  </si>
  <si>
    <t>='3.38'!$B$37</t>
  </si>
  <si>
    <t>Labor_Hours_Required_P2_M1</t>
  </si>
  <si>
    <t>Hours of machine time required</t>
  </si>
  <si>
    <t>='3.38'!$B$34</t>
  </si>
  <si>
    <t>Labor_Hours_Required_P1_on_M1</t>
  </si>
  <si>
    <t>='3.38'!$B$40</t>
  </si>
  <si>
    <t>Labor_Hours_Required_P1_M2</t>
  </si>
  <si>
    <t>Production on two machines data</t>
  </si>
  <si>
    <t>Twoway analysis for Solver model in 3.38(a) worksheet</t>
  </si>
  <si>
    <t>$B$11</t>
  </si>
  <si>
    <t>$B$12</t>
  </si>
  <si>
    <t>$B$54</t>
  </si>
  <si>
    <t>% of P1 on M2</t>
  </si>
  <si>
    <t>% of P2 on M1</t>
  </si>
  <si>
    <t>% of P1 on M2 (cell $B$11) values along side, % of P2 on M1 (cell $B$12) values along top, output cell in corner</t>
  </si>
  <si>
    <t>Output and % of P1 on M2 value for chart</t>
  </si>
  <si>
    <t>% of P1 on M2 value</t>
  </si>
  <si>
    <t>Output and % of P2 on M1 value for chart</t>
  </si>
  <si>
    <t>% of P2 on M1 value</t>
  </si>
  <si>
    <t>Total Cost of Production</t>
  </si>
  <si>
    <t>Total_Cost_of_Production</t>
  </si>
  <si>
    <t>='3.38(a)'!$B$54</t>
  </si>
  <si>
    <t>Total Profit</t>
  </si>
  <si>
    <t>Total Profit Bag</t>
  </si>
  <si>
    <t>Total Profit Juice</t>
  </si>
  <si>
    <t>Profit Per Pound Bag</t>
  </si>
  <si>
    <t>Profit Per Pound Juice</t>
  </si>
  <si>
    <t>Average Quality Bag</t>
  </si>
  <si>
    <t>Average Quality Juice</t>
  </si>
  <si>
    <t>Min Quality Constraint</t>
  </si>
  <si>
    <t>Total pounds bag</t>
  </si>
  <si>
    <t>Total pounds juice</t>
  </si>
  <si>
    <t>Total G9 oranges</t>
  </si>
  <si>
    <t>Total G6 oranges</t>
  </si>
  <si>
    <t>='4.50'!$B$39</t>
  </si>
  <si>
    <t>Total_Profit_Juice</t>
  </si>
  <si>
    <t>Total Pound Constraint</t>
  </si>
  <si>
    <t>='4.50'!$B$40</t>
  </si>
  <si>
    <t>Total_Profit_Bag</t>
  </si>
  <si>
    <t>No of G9 oranges bag</t>
  </si>
  <si>
    <t>='4.50'!$B$29</t>
  </si>
  <si>
    <t>Total_pounds_juice</t>
  </si>
  <si>
    <t>No of G6 oranges bag</t>
  </si>
  <si>
    <t>='4.50'!$B$30</t>
  </si>
  <si>
    <t>Total_pounds_bag</t>
  </si>
  <si>
    <t>No of G9 oranges juice</t>
  </si>
  <si>
    <t>='4.50'!$D$26:$D$27</t>
  </si>
  <si>
    <t>Total_Pound_Constraint</t>
  </si>
  <si>
    <t>No of G6 oranges Juice</t>
  </si>
  <si>
    <t>='4.50'!$B$27</t>
  </si>
  <si>
    <t>Total_G9_oranges</t>
  </si>
  <si>
    <t>='4.50'!$B$26</t>
  </si>
  <si>
    <t>Total_G6_oranges</t>
  </si>
  <si>
    <t>='4.50'!$B$9</t>
  </si>
  <si>
    <t>Quality_Requirement_Juice</t>
  </si>
  <si>
    <t>How many Grade 6 and 9 oranges for bag</t>
  </si>
  <si>
    <t>='4.50'!$B$10</t>
  </si>
  <si>
    <t>Quality_Requirement_Bag</t>
  </si>
  <si>
    <t>How many Grade 6 and 9 oranges for juice</t>
  </si>
  <si>
    <t>='4.50'!$D$33:$D$34</t>
  </si>
  <si>
    <t>Quality_Constraint</t>
  </si>
  <si>
    <t>Total G9 oranges 150,000</t>
  </si>
  <si>
    <t>='4.50'!$B$36</t>
  </si>
  <si>
    <t>Profit_Per_Pound_Juice</t>
  </si>
  <si>
    <t>Total G6 220,000</t>
  </si>
  <si>
    <t>='4.50'!$B$37</t>
  </si>
  <si>
    <t>Profit_Per_Pound_Bag</t>
  </si>
  <si>
    <t>Avg quality of oranges for bag 7</t>
  </si>
  <si>
    <t>='4.50'!$B$22</t>
  </si>
  <si>
    <t>No_of_G9_oranges_juice</t>
  </si>
  <si>
    <t>Avg quality of oranges for juice 8</t>
  </si>
  <si>
    <t>='4.50'!$B$24</t>
  </si>
  <si>
    <t>No_of_G9_oranges_bag</t>
  </si>
  <si>
    <t>Maximize profit</t>
  </si>
  <si>
    <t>='4.50'!$B$21</t>
  </si>
  <si>
    <t>No_of_G6_oranges_Juice</t>
  </si>
  <si>
    <t>='4.50'!$B$23</t>
  </si>
  <si>
    <t>No_of_G6_oranges_bag</t>
  </si>
  <si>
    <t>Quality Requirement Bag</t>
  </si>
  <si>
    <t>='4.50'!$F$33:$F$34</t>
  </si>
  <si>
    <t>Max_Quality_Constraint</t>
  </si>
  <si>
    <t>Quality Requirement Juice</t>
  </si>
  <si>
    <t>='4.50'!$B$5</t>
  </si>
  <si>
    <t>Bag cost per pound</t>
  </si>
  <si>
    <t>='4.50'!$B$6</t>
  </si>
  <si>
    <t>Bag revenue per pound</t>
  </si>
  <si>
    <t>='4.50'!$B$3</t>
  </si>
  <si>
    <t>Grade_9_Oranges</t>
  </si>
  <si>
    <t>Juice cost per pound</t>
  </si>
  <si>
    <t>='4.50'!$B$2</t>
  </si>
  <si>
    <t>Grade_6_Oranges</t>
  </si>
  <si>
    <t>Juice revenue per pound</t>
  </si>
  <si>
    <t>='4.50'!$B$7</t>
  </si>
  <si>
    <t>Total Oranges</t>
  </si>
  <si>
    <t>='4.50'!$B$8</t>
  </si>
  <si>
    <t>Grade 9 Oranges</t>
  </si>
  <si>
    <t>='4.50'!$B$33</t>
  </si>
  <si>
    <t>Average_Quality_Juice</t>
  </si>
  <si>
    <t>Grade 6 Oranges</t>
  </si>
  <si>
    <t>='4.50'!$B$34</t>
  </si>
  <si>
    <t>Average_Quality_Bag</t>
  </si>
  <si>
    <t>After 1.6 (approx) it is no longer profitable to produce bag of oranges and you will be using all the available resources to produce juice.</t>
  </si>
  <si>
    <t xml:space="preserve">After 290,000 pounds (approx) of G6 oranges you can no longer meet the quality constraints and would need to increase the number of G9 oranges. </t>
  </si>
  <si>
    <t>Total_Profit</t>
  </si>
  <si>
    <t>='4.50(a)'!$B$41</t>
  </si>
  <si>
    <t>$B$41</t>
  </si>
  <si>
    <t>Oneway analysis for Solver model in 4.50(a) worksheet</t>
  </si>
  <si>
    <t>Bag cost per pound (cell $B$8) values along side, output cell(s) along top</t>
  </si>
  <si>
    <t>Total amount of Grade 6 oranges available (cell $B$2) values along side, output cell(s) along top</t>
  </si>
  <si>
    <t>$B$9</t>
  </si>
  <si>
    <t>Average juice quality</t>
  </si>
  <si>
    <t>Average bag quality</t>
  </si>
  <si>
    <t>Twoway analysis for Solver model in 4.50(a) worksheet</t>
  </si>
  <si>
    <t>Average juice quality (cell $B$9) values along side, Average bag quality (cell $B$10) values along top, output cell in corner</t>
  </si>
  <si>
    <t>Output and Average juice quality value for chart</t>
  </si>
  <si>
    <t>Average juice quality value</t>
  </si>
  <si>
    <t>Output and Average bag quality value for chart</t>
  </si>
  <si>
    <t>Average bag quality value</t>
  </si>
  <si>
    <t>A combination of G6 and G9 oranges are being used to meet the average quality requirement.</t>
  </si>
  <si>
    <t>It is easy to meet the constraints and maximize profits to its upper limit of 333,000 till the point where the minimum quality constraint for juices is 7</t>
  </si>
  <si>
    <t>After that point, if we increase the quality constraint of juices we will have to compromise on profits as we will have to settle for a sub-optimal level of combination between bags and juices of G6 and G9 oranges.</t>
  </si>
  <si>
    <t>$C$7</t>
  </si>
  <si>
    <t>Product1 Machine2 Unit cost</t>
  </si>
  <si>
    <t>Oneway analysis for Solver model in 3.38(a) worksheet</t>
  </si>
  <si>
    <t>Product1 Machine2 Unit cost (cell $C$7) values along side, output cell(s) along top</t>
  </si>
  <si>
    <t>$B$6</t>
  </si>
  <si>
    <t>Juice cost per pound (cell $B$6) values along side, output cell(s) along top</t>
  </si>
  <si>
    <t>&lt;&lt;at this point change in the juice cost per pound stops having any effect on total profit</t>
  </si>
  <si>
    <t>&lt;&lt;beyond this point, company's profits will stagnate</t>
  </si>
  <si>
    <t>&lt;&lt;after this point, company's profits will stagnate</t>
  </si>
  <si>
    <t>Actual Production</t>
  </si>
  <si>
    <t>Actual Quality</t>
  </si>
  <si>
    <t xml:space="preserve">Actual hours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</si>
</sst>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quot;$&quot;#,##0.00"/>
    <numFmt numFmtId="165" formatCode="_-[$$-409]* #,##0.00_ ;_-[$$-409]* \-#,##0.00\ ;_-[$$-409]* &quot;-&quot;??_ ;_-@_ "/>
    <numFmt numFmtId="166" formatCode="&quot;₹&quot;#,##0.00"/>
    <numFmt numFmtId="167" formatCode="_(* #,##0_);_(* \(#,##0\);_(* &quot;-&quot;??_);_(@_)"/>
    <numFmt numFmtId="168" formatCode="_(&quot;$&quot;* #,##0_);_(&quot;$&quot;* \(#,##0\);_(&quot;$&quot;* &quot;-&quot;??_);_(@_)"/>
    <numFmt numFmtId="169" formatCode="_-[$$-409]* #,##0_ ;_-[$$-409]* \-#,##0\ ;_-[$$-409]* &quot;-&quot;??_ ;_-@_ "/>
  </numFmts>
  <fonts count="14"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1"/>
      <name val="Calibri"/>
      <family val="2"/>
    </font>
    <font>
      <b/>
      <sz val="11"/>
      <name val="Calibri"/>
      <family val="2"/>
    </font>
    <font>
      <b/>
      <i/>
      <sz val="11"/>
      <color theme="1"/>
      <name val="Calibri"/>
      <family val="2"/>
      <scheme val="minor"/>
    </font>
    <font>
      <sz val="11"/>
      <color rgb="FFFFFFFF"/>
      <name val="Calibri"/>
      <family val="2"/>
      <scheme val="minor"/>
    </font>
    <font>
      <sz val="9"/>
      <color indexed="81"/>
      <name val="Tahoma"/>
      <family val="2"/>
    </font>
    <font>
      <sz val="11"/>
      <color theme="1"/>
      <name val="Calibri"/>
      <family val="2"/>
    </font>
    <font>
      <sz val="10"/>
      <name val="Arial"/>
      <family val="2"/>
    </font>
    <font>
      <b/>
      <i/>
      <sz val="11"/>
      <name val="Calibri"/>
      <family val="2"/>
    </font>
    <font>
      <b/>
      <sz val="11"/>
      <color theme="1"/>
      <name val="Calibri"/>
      <family val="2"/>
    </font>
    <font>
      <i/>
      <sz val="11"/>
      <color rgb="FFFF0000"/>
      <name val="Calibri"/>
      <family val="2"/>
      <scheme val="minor"/>
    </font>
  </fonts>
  <fills count="9">
    <fill>
      <patternFill patternType="none"/>
    </fill>
    <fill>
      <patternFill patternType="gray125"/>
    </fill>
    <fill>
      <patternFill patternType="solid">
        <fgColor rgb="FFC6EFCE"/>
      </patternFill>
    </fill>
    <fill>
      <patternFill patternType="solid">
        <fgColor theme="4" tint="0.59999389629810485"/>
        <bgColor indexed="65"/>
      </patternFill>
    </fill>
    <fill>
      <patternFill patternType="solid">
        <fgColor theme="5" tint="0.59999389629810485"/>
        <bgColor indexed="65"/>
      </patternFill>
    </fill>
    <fill>
      <patternFill patternType="solid">
        <fgColor theme="9" tint="0.59999389629810485"/>
        <bgColor indexed="64"/>
      </patternFill>
    </fill>
    <fill>
      <patternFill patternType="solid">
        <fgColor theme="6" tint="0.59999389629810485"/>
        <bgColor indexed="64"/>
      </patternFill>
    </fill>
    <fill>
      <patternFill patternType="solid">
        <fgColor indexed="47"/>
        <bgColor indexed="64"/>
      </patternFill>
    </fill>
    <fill>
      <patternFill patternType="solid">
        <fgColor theme="4" tint="0.39997558519241921"/>
        <bgColor indexed="65"/>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0" fillId="0" borderId="0"/>
    <xf numFmtId="44"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1" fillId="3" borderId="0" xfId="2"/>
    <xf numFmtId="2" fontId="1" fillId="3" borderId="0" xfId="2" applyNumberFormat="1"/>
    <xf numFmtId="0" fontId="4" fillId="0" borderId="0" xfId="0" applyFont="1"/>
    <xf numFmtId="164" fontId="1" fillId="3" borderId="0" xfId="2" applyNumberFormat="1"/>
    <xf numFmtId="0" fontId="4" fillId="0" borderId="0" xfId="0" applyFont="1" applyAlignment="1">
      <alignment horizontal="right"/>
    </xf>
    <xf numFmtId="0" fontId="5" fillId="0" borderId="0" xfId="0" applyFont="1"/>
    <xf numFmtId="0" fontId="1" fillId="4" borderId="0" xfId="3"/>
    <xf numFmtId="165" fontId="1" fillId="3" borderId="0" xfId="2" applyNumberFormat="1"/>
    <xf numFmtId="0" fontId="2" fillId="2" borderId="0" xfId="1"/>
    <xf numFmtId="165" fontId="2" fillId="2" borderId="0" xfId="1" applyNumberFormat="1"/>
    <xf numFmtId="0" fontId="6" fillId="0" borderId="0" xfId="0" applyFont="1"/>
    <xf numFmtId="49" fontId="0" fillId="0" borderId="0" xfId="0" applyNumberFormat="1"/>
    <xf numFmtId="0" fontId="0" fillId="0" borderId="0" xfId="0" applyAlignment="1">
      <alignment horizontal="right"/>
    </xf>
    <xf numFmtId="0" fontId="3" fillId="0" borderId="0" xfId="0" applyFont="1"/>
    <xf numFmtId="0" fontId="0" fillId="6" borderId="0" xfId="0" applyFill="1"/>
    <xf numFmtId="0" fontId="0" fillId="5" borderId="0" xfId="0" applyFill="1" applyAlignment="1">
      <alignment horizontal="right" textRotation="90"/>
    </xf>
    <xf numFmtId="0" fontId="7" fillId="0" borderId="0" xfId="0" applyFont="1"/>
    <xf numFmtId="165" fontId="0" fillId="0" borderId="1" xfId="0" applyNumberFormat="1" applyBorder="1"/>
    <xf numFmtId="165" fontId="0" fillId="0" borderId="4" xfId="0" applyNumberFormat="1" applyBorder="1"/>
    <xf numFmtId="165" fontId="0" fillId="0" borderId="6" xfId="0" applyNumberFormat="1" applyBorder="1"/>
    <xf numFmtId="165" fontId="0" fillId="0" borderId="2" xfId="0" applyNumberFormat="1" applyBorder="1"/>
    <xf numFmtId="165" fontId="0" fillId="0" borderId="0" xfId="0" applyNumberFormat="1"/>
    <xf numFmtId="165" fontId="0" fillId="0" borderId="7" xfId="0" applyNumberFormat="1" applyBorder="1"/>
    <xf numFmtId="165" fontId="0" fillId="0" borderId="3" xfId="0" applyNumberFormat="1" applyBorder="1"/>
    <xf numFmtId="165" fontId="0" fillId="0" borderId="5" xfId="0" applyNumberFormat="1" applyBorder="1"/>
    <xf numFmtId="165" fontId="0" fillId="0" borderId="8" xfId="0" applyNumberFormat="1" applyBorder="1"/>
    <xf numFmtId="0" fontId="0" fillId="7" borderId="6" xfId="0" applyFill="1" applyBorder="1"/>
    <xf numFmtId="0" fontId="0" fillId="7" borderId="0" xfId="0" applyFill="1"/>
    <xf numFmtId="0" fontId="0" fillId="7" borderId="7" xfId="0" applyFill="1" applyBorder="1"/>
    <xf numFmtId="0" fontId="0" fillId="7" borderId="2" xfId="0" applyFill="1" applyBorder="1"/>
    <xf numFmtId="0" fontId="0" fillId="7" borderId="3" xfId="0" applyFill="1" applyBorder="1"/>
    <xf numFmtId="0" fontId="0" fillId="7" borderId="5" xfId="0" applyFill="1" applyBorder="1"/>
    <xf numFmtId="0" fontId="0" fillId="7" borderId="8" xfId="0" applyFill="1" applyBorder="1"/>
    <xf numFmtId="0" fontId="9" fillId="0" borderId="0" xfId="0" applyFont="1"/>
    <xf numFmtId="0" fontId="0" fillId="0" borderId="0" xfId="0" applyAlignment="1">
      <alignment horizontal="right" textRotation="90"/>
    </xf>
    <xf numFmtId="0" fontId="0" fillId="0" borderId="9" xfId="0" applyBorder="1"/>
    <xf numFmtId="0" fontId="0" fillId="0" borderId="10" xfId="0" applyBorder="1"/>
    <xf numFmtId="0" fontId="0" fillId="0" borderId="11" xfId="0" applyBorder="1"/>
    <xf numFmtId="0" fontId="4" fillId="0" borderId="0" xfId="5" applyFont="1"/>
    <xf numFmtId="164" fontId="2" fillId="2" borderId="0" xfId="1" applyNumberFormat="1"/>
    <xf numFmtId="164" fontId="4" fillId="0" borderId="0" xfId="5" applyNumberFormat="1" applyFont="1"/>
    <xf numFmtId="0" fontId="4" fillId="0" borderId="0" xfId="5" applyFont="1" applyAlignment="1">
      <alignment horizontal="center"/>
    </xf>
    <xf numFmtId="0" fontId="4" fillId="0" borderId="0" xfId="5" applyFont="1" applyAlignment="1">
      <alignment wrapText="1"/>
    </xf>
    <xf numFmtId="0" fontId="4" fillId="0" borderId="0" xfId="5" applyFont="1" applyAlignment="1">
      <alignment horizontal="center" vertical="center"/>
    </xf>
    <xf numFmtId="0" fontId="5" fillId="0" borderId="0" xfId="5" applyFont="1" applyAlignment="1">
      <alignment horizontal="center" vertical="center"/>
    </xf>
    <xf numFmtId="0" fontId="5" fillId="0" borderId="0" xfId="5" applyFont="1" applyAlignment="1">
      <alignment horizontal="center"/>
    </xf>
    <xf numFmtId="0" fontId="5" fillId="0" borderId="0" xfId="5" applyFont="1"/>
    <xf numFmtId="9" fontId="1" fillId="8" borderId="0" xfId="4" applyNumberFormat="1"/>
    <xf numFmtId="0" fontId="1" fillId="8" borderId="0" xfId="4"/>
    <xf numFmtId="164" fontId="1" fillId="0" borderId="0" xfId="4" applyNumberFormat="1" applyFill="1"/>
    <xf numFmtId="164" fontId="1" fillId="8" borderId="0" xfId="4" applyNumberFormat="1"/>
    <xf numFmtId="2" fontId="1" fillId="8" borderId="0" xfId="4" applyNumberFormat="1"/>
    <xf numFmtId="0" fontId="4" fillId="0" borderId="0" xfId="5" applyFont="1" applyAlignment="1">
      <alignment horizontal="right"/>
    </xf>
    <xf numFmtId="0" fontId="11" fillId="0" borderId="0" xfId="5" applyFont="1"/>
    <xf numFmtId="9" fontId="0" fillId="0" borderId="0" xfId="0" applyNumberFormat="1"/>
    <xf numFmtId="166" fontId="0" fillId="0" borderId="1" xfId="0" applyNumberFormat="1" applyBorder="1"/>
    <xf numFmtId="166" fontId="0" fillId="0" borderId="4" xfId="0" applyNumberFormat="1" applyBorder="1"/>
    <xf numFmtId="166" fontId="0" fillId="0" borderId="6" xfId="0" applyNumberFormat="1" applyBorder="1"/>
    <xf numFmtId="166" fontId="0" fillId="0" borderId="2" xfId="0" applyNumberFormat="1" applyBorder="1"/>
    <xf numFmtId="166" fontId="0" fillId="0" borderId="0" xfId="0" applyNumberFormat="1"/>
    <xf numFmtId="166" fontId="0" fillId="0" borderId="7" xfId="0" applyNumberFormat="1" applyBorder="1"/>
    <xf numFmtId="167" fontId="0" fillId="0" borderId="0" xfId="7" applyNumberFormat="1" applyFont="1"/>
    <xf numFmtId="44" fontId="0" fillId="0" borderId="0" xfId="6" applyFont="1"/>
    <xf numFmtId="0" fontId="12" fillId="0" borderId="0" xfId="0" applyFont="1" applyAlignment="1">
      <alignment horizontal="center"/>
    </xf>
    <xf numFmtId="0" fontId="3" fillId="0" borderId="0" xfId="0" applyFont="1" applyAlignment="1">
      <alignment horizontal="center"/>
    </xf>
    <xf numFmtId="167" fontId="1" fillId="0" borderId="0" xfId="7" applyNumberFormat="1" applyFill="1"/>
    <xf numFmtId="0" fontId="1" fillId="0" borderId="0" xfId="3" applyFill="1"/>
    <xf numFmtId="167" fontId="1" fillId="4" borderId="0" xfId="7" applyNumberFormat="1" applyFill="1"/>
    <xf numFmtId="167" fontId="1" fillId="8" borderId="0" xfId="7" applyNumberFormat="1" applyFill="1"/>
    <xf numFmtId="44" fontId="1" fillId="8" borderId="0" xfId="4" applyNumberFormat="1"/>
    <xf numFmtId="3" fontId="1" fillId="0" borderId="0" xfId="4" applyNumberFormat="1" applyFill="1"/>
    <xf numFmtId="3" fontId="1" fillId="8" borderId="0" xfId="4" applyNumberFormat="1"/>
    <xf numFmtId="0" fontId="13" fillId="0" borderId="0" xfId="0" applyFont="1"/>
    <xf numFmtId="3" fontId="0" fillId="0" borderId="0" xfId="0" applyNumberFormat="1"/>
    <xf numFmtId="167" fontId="1" fillId="3" borderId="0" xfId="2" applyNumberFormat="1"/>
    <xf numFmtId="167" fontId="0" fillId="0" borderId="0" xfId="0" applyNumberFormat="1"/>
    <xf numFmtId="165" fontId="0" fillId="0" borderId="9" xfId="0" applyNumberFormat="1" applyBorder="1"/>
    <xf numFmtId="165" fontId="0" fillId="0" borderId="10" xfId="0" applyNumberFormat="1" applyBorder="1"/>
    <xf numFmtId="165" fontId="0" fillId="0" borderId="11" xfId="0" applyNumberFormat="1" applyBorder="1"/>
    <xf numFmtId="2" fontId="1" fillId="4" borderId="0" xfId="3" applyNumberFormat="1"/>
    <xf numFmtId="168" fontId="2" fillId="2" borderId="0" xfId="6" applyNumberFormat="1" applyFont="1" applyFill="1"/>
    <xf numFmtId="169" fontId="0" fillId="0" borderId="9" xfId="0" applyNumberFormat="1" applyBorder="1"/>
    <xf numFmtId="169" fontId="0" fillId="0" borderId="10" xfId="0" applyNumberFormat="1" applyBorder="1"/>
    <xf numFmtId="169" fontId="0" fillId="0" borderId="11" xfId="0" applyNumberFormat="1" applyBorder="1"/>
    <xf numFmtId="169" fontId="0" fillId="0" borderId="1" xfId="0" applyNumberFormat="1" applyBorder="1"/>
    <xf numFmtId="169" fontId="0" fillId="0" borderId="2" xfId="0" applyNumberFormat="1" applyBorder="1"/>
    <xf numFmtId="169" fontId="0" fillId="0" borderId="3" xfId="0" applyNumberFormat="1" applyBorder="1"/>
    <xf numFmtId="169" fontId="0" fillId="0" borderId="4" xfId="0" applyNumberFormat="1" applyBorder="1"/>
    <xf numFmtId="169" fontId="0" fillId="0" borderId="0" xfId="0" applyNumberFormat="1"/>
    <xf numFmtId="169" fontId="0" fillId="0" borderId="5" xfId="0" applyNumberFormat="1" applyBorder="1"/>
    <xf numFmtId="169" fontId="0" fillId="0" borderId="6" xfId="0" applyNumberFormat="1" applyBorder="1"/>
    <xf numFmtId="169" fontId="0" fillId="0" borderId="7" xfId="0" applyNumberFormat="1" applyBorder="1"/>
    <xf numFmtId="169" fontId="0" fillId="0" borderId="8" xfId="0" applyNumberFormat="1" applyBorder="1"/>
    <xf numFmtId="0" fontId="5" fillId="0" borderId="0" xfId="5" applyFont="1" applyAlignment="1">
      <alignment horizontal="center"/>
    </xf>
    <xf numFmtId="0" fontId="4" fillId="0" borderId="0" xfId="0" applyFont="1" applyAlignment="1">
      <alignment horizontal="center"/>
    </xf>
  </cellXfs>
  <cellStyles count="8">
    <cellStyle name="40% - Accent1" xfId="2" builtinId="31"/>
    <cellStyle name="40% - Accent2" xfId="3" builtinId="35"/>
    <cellStyle name="60% - Accent1" xfId="4" builtinId="32"/>
    <cellStyle name="Comma 2" xfId="7" xr:uid="{6779E7E1-8FD9-4092-8EEB-71AA4DF423D1}"/>
    <cellStyle name="Currency 2" xfId="6" xr:uid="{526EB5B4-5294-49C9-80C1-25978951DA27}"/>
    <cellStyle name="Good" xfId="1" builtinId="26"/>
    <cellStyle name="Normal" xfId="0" builtinId="0"/>
    <cellStyle name="Normal 2" xfId="5" xr:uid="{7F399826-C834-4117-AC53-0977EF0AD13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'3.38(b)'!$N$1</c:f>
          <c:strCache>
            <c:ptCount val="1"/>
            <c:pt idx="0">
              <c:v>Sensitivity of Total_Cost_of_Production to % of P2 on M1</c:v>
            </c:pt>
          </c:strCache>
        </c:strRef>
      </c:tx>
      <c:overlay val="0"/>
      <c:txPr>
        <a:bodyPr/>
        <a:lstStyle/>
        <a:p>
          <a:pPr>
            <a:defRPr sz="1200"/>
          </a:pPr>
          <a:endParaRPr lang="en-US"/>
        </a:p>
      </c:txPr>
    </c:title>
    <c:autoTitleDeleted val="0"/>
    <c:plotArea>
      <c:layout/>
      <c:lineChart>
        <c:grouping val="standard"/>
        <c:varyColors val="0"/>
        <c:ser>
          <c:idx val="0"/>
          <c:order val="0"/>
          <c:cat>
            <c:numRef>
              <c:f>'3.38(b)'!$B$4:$L$4</c:f>
              <c:numCache>
                <c:formatCode>0%</c:formatCode>
                <c:ptCount val="11"/>
                <c:pt idx="0">
                  <c:v>0</c:v>
                </c:pt>
                <c:pt idx="1">
                  <c:v>5.000000074505806E-2</c:v>
                </c:pt>
                <c:pt idx="2">
                  <c:v>0.10000000149011612</c:v>
                </c:pt>
                <c:pt idx="3">
                  <c:v>0.15000000596046448</c:v>
                </c:pt>
                <c:pt idx="4">
                  <c:v>0.20000000298023224</c:v>
                </c:pt>
                <c:pt idx="5">
                  <c:v>0.25</c:v>
                </c:pt>
                <c:pt idx="6">
                  <c:v>0.30000001192092896</c:v>
                </c:pt>
                <c:pt idx="7">
                  <c:v>0.34999999403953552</c:v>
                </c:pt>
                <c:pt idx="8">
                  <c:v>0.40000000596046448</c:v>
                </c:pt>
                <c:pt idx="9">
                  <c:v>0.45000001788139343</c:v>
                </c:pt>
                <c:pt idx="10">
                  <c:v>0.5</c:v>
                </c:pt>
              </c:numCache>
            </c:numRef>
          </c:cat>
          <c:val>
            <c:numRef>
              <c:f>'3.38(b)'!$N$5:$N$15</c:f>
              <c:numCache>
                <c:formatCode>General</c:formatCode>
                <c:ptCount val="11"/>
                <c:pt idx="0">
                  <c:v>6556.666666666667</c:v>
                </c:pt>
                <c:pt idx="1">
                  <c:v>6556.666666666667</c:v>
                </c:pt>
                <c:pt idx="2">
                  <c:v>6556.666666666667</c:v>
                </c:pt>
                <c:pt idx="3">
                  <c:v>6556.666666666667</c:v>
                </c:pt>
                <c:pt idx="4">
                  <c:v>6557.0714288790305</c:v>
                </c:pt>
                <c:pt idx="5">
                  <c:v>6562.2321428571431</c:v>
                </c:pt>
                <c:pt idx="6">
                  <c:v>6567.3928583732668</c:v>
                </c:pt>
                <c:pt idx="7">
                  <c:v>6572.5535708133666</c:v>
                </c:pt>
                <c:pt idx="8">
                  <c:v>6577.7142863294903</c:v>
                </c:pt>
                <c:pt idx="9">
                  <c:v>6582.8750018456158</c:v>
                </c:pt>
                <c:pt idx="10">
                  <c:v>6588.0357142857138</c:v>
                </c:pt>
              </c:numCache>
            </c:numRef>
          </c:val>
          <c:smooth val="0"/>
          <c:extLst>
            <c:ext xmlns:c16="http://schemas.microsoft.com/office/drawing/2014/chart" uri="{C3380CC4-5D6E-409C-BE32-E72D297353CC}">
              <c16:uniqueId val="{00000001-78D6-456C-AE0F-E4D1C7084F6D}"/>
            </c:ext>
          </c:extLst>
        </c:ser>
        <c:dLbls>
          <c:showLegendKey val="0"/>
          <c:showVal val="0"/>
          <c:showCatName val="0"/>
          <c:showSerName val="0"/>
          <c:showPercent val="0"/>
          <c:showBubbleSize val="0"/>
        </c:dLbls>
        <c:marker val="1"/>
        <c:smooth val="0"/>
        <c:axId val="1626094959"/>
        <c:axId val="1626095375"/>
      </c:lineChart>
      <c:catAx>
        <c:axId val="1626094959"/>
        <c:scaling>
          <c:orientation val="minMax"/>
        </c:scaling>
        <c:delete val="0"/>
        <c:axPos val="b"/>
        <c:title>
          <c:tx>
            <c:rich>
              <a:bodyPr/>
              <a:lstStyle/>
              <a:p>
                <a:pPr>
                  <a:defRPr/>
                </a:pPr>
                <a:r>
                  <a:rPr lang="en-IN"/>
                  <a:t>% of P2 on M1 ($B$12)</a:t>
                </a:r>
              </a:p>
            </c:rich>
          </c:tx>
          <c:overlay val="0"/>
        </c:title>
        <c:numFmt formatCode="0%" sourceLinked="1"/>
        <c:majorTickMark val="out"/>
        <c:minorTickMark val="none"/>
        <c:tickLblPos val="nextTo"/>
        <c:crossAx val="1626095375"/>
        <c:crosses val="autoZero"/>
        <c:auto val="1"/>
        <c:lblAlgn val="ctr"/>
        <c:lblOffset val="100"/>
        <c:noMultiLvlLbl val="0"/>
      </c:catAx>
      <c:valAx>
        <c:axId val="1626095375"/>
        <c:scaling>
          <c:orientation val="minMax"/>
        </c:scaling>
        <c:delete val="0"/>
        <c:axPos val="l"/>
        <c:majorGridlines/>
        <c:numFmt formatCode="General" sourceLinked="1"/>
        <c:majorTickMark val="out"/>
        <c:minorTickMark val="none"/>
        <c:tickLblPos val="nextTo"/>
        <c:crossAx val="162609495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'4.50(b)'!$K$1</c:f>
          <c:strCache>
            <c:ptCount val="1"/>
            <c:pt idx="0">
              <c:v>Sensitivity of Total_Profit to Bag cost per pound</c:v>
            </c:pt>
          </c:strCache>
        </c:strRef>
      </c:tx>
      <c:overlay val="0"/>
      <c:txPr>
        <a:bodyPr/>
        <a:lstStyle/>
        <a:p>
          <a:pPr>
            <a:defRPr sz="1200"/>
          </a:pPr>
          <a:endParaRPr lang="en-US"/>
        </a:p>
      </c:txPr>
    </c:title>
    <c:autoTitleDeleted val="0"/>
    <c:plotArea>
      <c:layout/>
      <c:lineChart>
        <c:grouping val="standard"/>
        <c:varyColors val="0"/>
        <c:ser>
          <c:idx val="0"/>
          <c:order val="0"/>
          <c:cat>
            <c:numRef>
              <c:f>'4.50(b)'!$A$5:$A$14</c:f>
              <c:numCache>
                <c:formatCode>_-[$$-409]* #,##0.00_ ;_-[$$-409]* \-#,##0.00\ ;_-[$$-409]* "-"??_ ;_-@_ </c:formatCode>
                <c:ptCount val="10"/>
                <c:pt idx="0">
                  <c:v>0.10000000149011612</c:v>
                </c:pt>
                <c:pt idx="1">
                  <c:v>0.30000001192092896</c:v>
                </c:pt>
                <c:pt idx="2">
                  <c:v>0.5</c:v>
                </c:pt>
                <c:pt idx="3">
                  <c:v>0.69999998807907104</c:v>
                </c:pt>
                <c:pt idx="4">
                  <c:v>0.90000003576278687</c:v>
                </c:pt>
                <c:pt idx="5">
                  <c:v>1.1000000238418579</c:v>
                </c:pt>
                <c:pt idx="6">
                  <c:v>1.3000000715255737</c:v>
                </c:pt>
                <c:pt idx="7">
                  <c:v>1.5</c:v>
                </c:pt>
                <c:pt idx="8">
                  <c:v>1.7000000476837158</c:v>
                </c:pt>
                <c:pt idx="9">
                  <c:v>1.8999999761581421</c:v>
                </c:pt>
              </c:numCache>
            </c:numRef>
          </c:cat>
          <c:val>
            <c:numRef>
              <c:f>'4.50(b)'!$K$5:$K$14</c:f>
              <c:numCache>
                <c:formatCode>General</c:formatCode>
                <c:ptCount val="10"/>
                <c:pt idx="0">
                  <c:v>702999.99944865704</c:v>
                </c:pt>
                <c:pt idx="1">
                  <c:v>628999.99558925629</c:v>
                </c:pt>
                <c:pt idx="2">
                  <c:v>555000</c:v>
                </c:pt>
                <c:pt idx="3">
                  <c:v>481000.00441074371</c:v>
                </c:pt>
                <c:pt idx="4">
                  <c:v>406999.98676776886</c:v>
                </c:pt>
                <c:pt idx="5">
                  <c:v>332999.99308583734</c:v>
                </c:pt>
                <c:pt idx="6">
                  <c:v>274999.77925751207</c:v>
                </c:pt>
                <c:pt idx="7">
                  <c:v>216999.9</c:v>
                </c:pt>
                <c:pt idx="8">
                  <c:v>202499.99999999997</c:v>
                </c:pt>
                <c:pt idx="9">
                  <c:v>202499.99999999997</c:v>
                </c:pt>
              </c:numCache>
            </c:numRef>
          </c:val>
          <c:smooth val="0"/>
          <c:extLst>
            <c:ext xmlns:c16="http://schemas.microsoft.com/office/drawing/2014/chart" uri="{C3380CC4-5D6E-409C-BE32-E72D297353CC}">
              <c16:uniqueId val="{00000001-7459-48A7-819A-B1DF3088CD16}"/>
            </c:ext>
          </c:extLst>
        </c:ser>
        <c:dLbls>
          <c:showLegendKey val="0"/>
          <c:showVal val="0"/>
          <c:showCatName val="0"/>
          <c:showSerName val="0"/>
          <c:showPercent val="0"/>
          <c:showBubbleSize val="0"/>
        </c:dLbls>
        <c:marker val="1"/>
        <c:smooth val="0"/>
        <c:axId val="1623970655"/>
        <c:axId val="1623971071"/>
      </c:lineChart>
      <c:catAx>
        <c:axId val="1623970655"/>
        <c:scaling>
          <c:orientation val="minMax"/>
        </c:scaling>
        <c:delete val="0"/>
        <c:axPos val="b"/>
        <c:title>
          <c:tx>
            <c:rich>
              <a:bodyPr/>
              <a:lstStyle/>
              <a:p>
                <a:pPr>
                  <a:defRPr/>
                </a:pPr>
                <a:r>
                  <a:rPr lang="en-IN"/>
                  <a:t>Bag cost per pound ($B$8)</a:t>
                </a:r>
              </a:p>
            </c:rich>
          </c:tx>
          <c:overlay val="0"/>
        </c:title>
        <c:numFmt formatCode="_-[$$-409]* #,##0.00_ ;_-[$$-409]* \-#,##0.00\ ;_-[$$-409]* &quot;-&quot;??_ ;_-@_ " sourceLinked="1"/>
        <c:majorTickMark val="out"/>
        <c:minorTickMark val="none"/>
        <c:tickLblPos val="nextTo"/>
        <c:crossAx val="1623971071"/>
        <c:crosses val="autoZero"/>
        <c:auto val="1"/>
        <c:lblAlgn val="ctr"/>
        <c:lblOffset val="100"/>
        <c:noMultiLvlLbl val="0"/>
      </c:catAx>
      <c:valAx>
        <c:axId val="1623971071"/>
        <c:scaling>
          <c:orientation val="minMax"/>
        </c:scaling>
        <c:delete val="0"/>
        <c:axPos val="l"/>
        <c:majorGridlines/>
        <c:numFmt formatCode="General" sourceLinked="1"/>
        <c:majorTickMark val="out"/>
        <c:minorTickMark val="none"/>
        <c:tickLblPos val="nextTo"/>
        <c:crossAx val="162397065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'4.50(c)'!$K$1</c:f>
          <c:strCache>
            <c:ptCount val="1"/>
            <c:pt idx="0">
              <c:v>Sensitivity of Total_Profit to Total amount of Grade 6 oranges available</c:v>
            </c:pt>
          </c:strCache>
        </c:strRef>
      </c:tx>
      <c:overlay val="0"/>
      <c:txPr>
        <a:bodyPr/>
        <a:lstStyle/>
        <a:p>
          <a:pPr>
            <a:defRPr sz="1200"/>
          </a:pPr>
          <a:endParaRPr lang="en-US"/>
        </a:p>
      </c:txPr>
    </c:title>
    <c:autoTitleDeleted val="0"/>
    <c:plotArea>
      <c:layout/>
      <c:lineChart>
        <c:grouping val="standard"/>
        <c:varyColors val="0"/>
        <c:ser>
          <c:idx val="0"/>
          <c:order val="0"/>
          <c:cat>
            <c:numRef>
              <c:f>'4.50(c)'!$A$5:$A$15</c:f>
              <c:numCache>
                <c:formatCode>#,##0</c:formatCode>
                <c:ptCount val="11"/>
                <c:pt idx="0">
                  <c:v>150000</c:v>
                </c:pt>
                <c:pt idx="1">
                  <c:v>170000</c:v>
                </c:pt>
                <c:pt idx="2">
                  <c:v>190000</c:v>
                </c:pt>
                <c:pt idx="3">
                  <c:v>210000</c:v>
                </c:pt>
                <c:pt idx="4">
                  <c:v>230000</c:v>
                </c:pt>
                <c:pt idx="5">
                  <c:v>250000</c:v>
                </c:pt>
                <c:pt idx="6">
                  <c:v>270000</c:v>
                </c:pt>
                <c:pt idx="7">
                  <c:v>290000</c:v>
                </c:pt>
                <c:pt idx="8">
                  <c:v>310000</c:v>
                </c:pt>
                <c:pt idx="9">
                  <c:v>330000</c:v>
                </c:pt>
                <c:pt idx="10">
                  <c:v>350000</c:v>
                </c:pt>
              </c:numCache>
            </c:numRef>
          </c:cat>
          <c:val>
            <c:numRef>
              <c:f>'4.50(c)'!$K$5:$K$15</c:f>
              <c:numCache>
                <c:formatCode>General</c:formatCode>
                <c:ptCount val="11"/>
                <c:pt idx="0">
                  <c:v>254999.99284744263</c:v>
                </c:pt>
                <c:pt idx="1">
                  <c:v>268998.59094028472</c:v>
                </c:pt>
                <c:pt idx="2">
                  <c:v>282999.88903269765</c:v>
                </c:pt>
                <c:pt idx="3">
                  <c:v>296999.98712539673</c:v>
                </c:pt>
                <c:pt idx="4">
                  <c:v>310998.58521823882</c:v>
                </c:pt>
                <c:pt idx="5">
                  <c:v>324999.88331065176</c:v>
                </c:pt>
                <c:pt idx="6">
                  <c:v>338999.98140335083</c:v>
                </c:pt>
                <c:pt idx="7">
                  <c:v>352998.57949619292</c:v>
                </c:pt>
                <c:pt idx="8">
                  <c:v>359999.97854232788</c:v>
                </c:pt>
                <c:pt idx="9">
                  <c:v>359999.97854232788</c:v>
                </c:pt>
                <c:pt idx="10">
                  <c:v>359999.97854232788</c:v>
                </c:pt>
              </c:numCache>
            </c:numRef>
          </c:val>
          <c:smooth val="0"/>
          <c:extLst>
            <c:ext xmlns:c16="http://schemas.microsoft.com/office/drawing/2014/chart" uri="{C3380CC4-5D6E-409C-BE32-E72D297353CC}">
              <c16:uniqueId val="{00000001-1492-4032-A59B-97DDCBDEAA39}"/>
            </c:ext>
          </c:extLst>
        </c:ser>
        <c:dLbls>
          <c:showLegendKey val="0"/>
          <c:showVal val="0"/>
          <c:showCatName val="0"/>
          <c:showSerName val="0"/>
          <c:showPercent val="0"/>
          <c:showBubbleSize val="0"/>
        </c:dLbls>
        <c:marker val="1"/>
        <c:smooth val="0"/>
        <c:axId val="1623156047"/>
        <c:axId val="1623157711"/>
      </c:lineChart>
      <c:catAx>
        <c:axId val="1623156047"/>
        <c:scaling>
          <c:orientation val="minMax"/>
        </c:scaling>
        <c:delete val="0"/>
        <c:axPos val="b"/>
        <c:title>
          <c:tx>
            <c:rich>
              <a:bodyPr/>
              <a:lstStyle/>
              <a:p>
                <a:pPr>
                  <a:defRPr/>
                </a:pPr>
                <a:r>
                  <a:rPr lang="en-IN"/>
                  <a:t>Total amount of Grade 6 oranges available ($B$2)</a:t>
                </a:r>
              </a:p>
            </c:rich>
          </c:tx>
          <c:overlay val="0"/>
        </c:title>
        <c:numFmt formatCode="#,##0" sourceLinked="1"/>
        <c:majorTickMark val="out"/>
        <c:minorTickMark val="none"/>
        <c:tickLblPos val="nextTo"/>
        <c:crossAx val="1623157711"/>
        <c:crosses val="autoZero"/>
        <c:auto val="1"/>
        <c:lblAlgn val="ctr"/>
        <c:lblOffset val="100"/>
        <c:noMultiLvlLbl val="0"/>
      </c:catAx>
      <c:valAx>
        <c:axId val="1623157711"/>
        <c:scaling>
          <c:orientation val="minMax"/>
        </c:scaling>
        <c:delete val="0"/>
        <c:axPos val="l"/>
        <c:majorGridlines/>
        <c:numFmt formatCode="General" sourceLinked="1"/>
        <c:majorTickMark val="out"/>
        <c:minorTickMark val="none"/>
        <c:tickLblPos val="nextTo"/>
        <c:crossAx val="1623156047"/>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'4.50(d)'!$M$1</c:f>
          <c:strCache>
            <c:ptCount val="1"/>
            <c:pt idx="0">
              <c:v>Sensitivity of Total_Profit to Average bag quality</c:v>
            </c:pt>
          </c:strCache>
        </c:strRef>
      </c:tx>
      <c:overlay val="0"/>
      <c:txPr>
        <a:bodyPr/>
        <a:lstStyle/>
        <a:p>
          <a:pPr>
            <a:defRPr sz="1200"/>
          </a:pPr>
          <a:endParaRPr lang="en-US"/>
        </a:p>
      </c:txPr>
    </c:title>
    <c:autoTitleDeleted val="0"/>
    <c:plotArea>
      <c:layout/>
      <c:lineChart>
        <c:grouping val="standard"/>
        <c:varyColors val="0"/>
        <c:ser>
          <c:idx val="0"/>
          <c:order val="0"/>
          <c:cat>
            <c:numRef>
              <c:f>'4.50(d)'!$B$4:$K$4</c:f>
              <c:numCache>
                <c:formatCode>_(* #,##0_);_(* \(#,##0\);_(* "-"??_);_(@_)</c:formatCode>
                <c:ptCount val="10"/>
                <c:pt idx="0">
                  <c:v>1</c:v>
                </c:pt>
                <c:pt idx="1">
                  <c:v>2</c:v>
                </c:pt>
                <c:pt idx="2">
                  <c:v>3</c:v>
                </c:pt>
                <c:pt idx="3">
                  <c:v>4</c:v>
                </c:pt>
                <c:pt idx="4">
                  <c:v>5</c:v>
                </c:pt>
                <c:pt idx="5">
                  <c:v>6</c:v>
                </c:pt>
                <c:pt idx="6">
                  <c:v>7</c:v>
                </c:pt>
                <c:pt idx="7">
                  <c:v>8</c:v>
                </c:pt>
                <c:pt idx="8">
                  <c:v>9</c:v>
                </c:pt>
                <c:pt idx="9">
                  <c:v>10</c:v>
                </c:pt>
              </c:numCache>
            </c:numRef>
          </c:cat>
          <c:val>
            <c:numRef>
              <c:f>'4.50(d)'!$M$5:$M$14</c:f>
              <c:numCache>
                <c:formatCode>General</c:formatCode>
                <c:ptCount val="10"/>
                <c:pt idx="0">
                  <c:v>332999.99999999994</c:v>
                </c:pt>
                <c:pt idx="1">
                  <c:v>332999.99999999994</c:v>
                </c:pt>
                <c:pt idx="2">
                  <c:v>332999.99999999994</c:v>
                </c:pt>
                <c:pt idx="3">
                  <c:v>332999.99999999994</c:v>
                </c:pt>
                <c:pt idx="4">
                  <c:v>332999.99999999994</c:v>
                </c:pt>
                <c:pt idx="5">
                  <c:v>332999.99999999994</c:v>
                </c:pt>
                <c:pt idx="6">
                  <c:v>332999.99999999994</c:v>
                </c:pt>
                <c:pt idx="7">
                  <c:v>332999.99999999994</c:v>
                </c:pt>
                <c:pt idx="8">
                  <c:v>332999.99999999994</c:v>
                </c:pt>
                <c:pt idx="9">
                  <c:v>332999.99999999994</c:v>
                </c:pt>
              </c:numCache>
            </c:numRef>
          </c:val>
          <c:smooth val="0"/>
          <c:extLst>
            <c:ext xmlns:c16="http://schemas.microsoft.com/office/drawing/2014/chart" uri="{C3380CC4-5D6E-409C-BE32-E72D297353CC}">
              <c16:uniqueId val="{00000001-320D-47FD-B2AC-03FC50ED32E5}"/>
            </c:ext>
          </c:extLst>
        </c:ser>
        <c:dLbls>
          <c:showLegendKey val="0"/>
          <c:showVal val="0"/>
          <c:showCatName val="0"/>
          <c:showSerName val="0"/>
          <c:showPercent val="0"/>
          <c:showBubbleSize val="0"/>
        </c:dLbls>
        <c:marker val="1"/>
        <c:smooth val="0"/>
        <c:axId val="2007177215"/>
        <c:axId val="2007171807"/>
      </c:lineChart>
      <c:catAx>
        <c:axId val="2007177215"/>
        <c:scaling>
          <c:orientation val="minMax"/>
        </c:scaling>
        <c:delete val="0"/>
        <c:axPos val="b"/>
        <c:title>
          <c:tx>
            <c:rich>
              <a:bodyPr/>
              <a:lstStyle/>
              <a:p>
                <a:pPr>
                  <a:defRPr/>
                </a:pPr>
                <a:r>
                  <a:rPr lang="en-IN"/>
                  <a:t>Average bag quality ($B$10)</a:t>
                </a:r>
              </a:p>
            </c:rich>
          </c:tx>
          <c:overlay val="0"/>
        </c:title>
        <c:numFmt formatCode="_(* #,##0_);_(* \(#,##0\);_(* &quot;-&quot;??_);_(@_)" sourceLinked="1"/>
        <c:majorTickMark val="out"/>
        <c:minorTickMark val="none"/>
        <c:tickLblPos val="nextTo"/>
        <c:crossAx val="2007171807"/>
        <c:crosses val="autoZero"/>
        <c:auto val="1"/>
        <c:lblAlgn val="ctr"/>
        <c:lblOffset val="100"/>
        <c:noMultiLvlLbl val="0"/>
      </c:catAx>
      <c:valAx>
        <c:axId val="2007171807"/>
        <c:scaling>
          <c:orientation val="minMax"/>
        </c:scaling>
        <c:delete val="0"/>
        <c:axPos val="l"/>
        <c:majorGridlines/>
        <c:numFmt formatCode="General" sourceLinked="1"/>
        <c:majorTickMark val="out"/>
        <c:minorTickMark val="none"/>
        <c:tickLblPos val="nextTo"/>
        <c:crossAx val="200717721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'4.50(d)'!$Q$1</c:f>
          <c:strCache>
            <c:ptCount val="1"/>
            <c:pt idx="0">
              <c:v>Sensitivity of Total_Profit to Average juice quality</c:v>
            </c:pt>
          </c:strCache>
        </c:strRef>
      </c:tx>
      <c:overlay val="0"/>
      <c:txPr>
        <a:bodyPr/>
        <a:lstStyle/>
        <a:p>
          <a:pPr>
            <a:defRPr sz="1200"/>
          </a:pPr>
          <a:endParaRPr lang="en-US"/>
        </a:p>
      </c:txPr>
    </c:title>
    <c:autoTitleDeleted val="0"/>
    <c:plotArea>
      <c:layout/>
      <c:lineChart>
        <c:grouping val="standard"/>
        <c:varyColors val="0"/>
        <c:ser>
          <c:idx val="0"/>
          <c:order val="0"/>
          <c:cat>
            <c:numRef>
              <c:f>'4.50(d)'!$A$5:$A$14</c:f>
              <c:numCache>
                <c:formatCode>_(* #,##0_);_(* \(#,##0\);_(* "-"??_);_(@_)</c:formatCode>
                <c:ptCount val="10"/>
                <c:pt idx="0">
                  <c:v>1</c:v>
                </c:pt>
                <c:pt idx="1">
                  <c:v>2</c:v>
                </c:pt>
                <c:pt idx="2">
                  <c:v>3</c:v>
                </c:pt>
                <c:pt idx="3">
                  <c:v>4</c:v>
                </c:pt>
                <c:pt idx="4">
                  <c:v>5</c:v>
                </c:pt>
                <c:pt idx="5">
                  <c:v>6</c:v>
                </c:pt>
                <c:pt idx="6">
                  <c:v>7</c:v>
                </c:pt>
                <c:pt idx="7">
                  <c:v>8</c:v>
                </c:pt>
                <c:pt idx="8">
                  <c:v>9</c:v>
                </c:pt>
                <c:pt idx="9">
                  <c:v>10</c:v>
                </c:pt>
              </c:numCache>
            </c:numRef>
          </c:cat>
          <c:val>
            <c:numRef>
              <c:f>'4.50(d)'!$Q$5:$Q$14</c:f>
              <c:numCache>
                <c:formatCode>General</c:formatCode>
                <c:ptCount val="10"/>
                <c:pt idx="0">
                  <c:v>332999.99999999994</c:v>
                </c:pt>
                <c:pt idx="1">
                  <c:v>332999.99999999994</c:v>
                </c:pt>
                <c:pt idx="2">
                  <c:v>332999.99999999994</c:v>
                </c:pt>
                <c:pt idx="3">
                  <c:v>332999.99999999994</c:v>
                </c:pt>
                <c:pt idx="4">
                  <c:v>332999.99999999994</c:v>
                </c:pt>
                <c:pt idx="5">
                  <c:v>332999.99999999994</c:v>
                </c:pt>
                <c:pt idx="6">
                  <c:v>332999.99999999994</c:v>
                </c:pt>
                <c:pt idx="7">
                  <c:v>318499.99308586121</c:v>
                </c:pt>
                <c:pt idx="8">
                  <c:v>310999.98950958252</c:v>
                </c:pt>
                <c:pt idx="9">
                  <c:v>295999.98235702515</c:v>
                </c:pt>
              </c:numCache>
            </c:numRef>
          </c:val>
          <c:smooth val="0"/>
          <c:extLst>
            <c:ext xmlns:c16="http://schemas.microsoft.com/office/drawing/2014/chart" uri="{C3380CC4-5D6E-409C-BE32-E72D297353CC}">
              <c16:uniqueId val="{00000001-14A0-45EE-838C-4D8395916199}"/>
            </c:ext>
          </c:extLst>
        </c:ser>
        <c:dLbls>
          <c:showLegendKey val="0"/>
          <c:showVal val="0"/>
          <c:showCatName val="0"/>
          <c:showSerName val="0"/>
          <c:showPercent val="0"/>
          <c:showBubbleSize val="0"/>
        </c:dLbls>
        <c:marker val="1"/>
        <c:smooth val="0"/>
        <c:axId val="2007166815"/>
        <c:axId val="2007173055"/>
      </c:lineChart>
      <c:catAx>
        <c:axId val="2007166815"/>
        <c:scaling>
          <c:orientation val="minMax"/>
        </c:scaling>
        <c:delete val="0"/>
        <c:axPos val="b"/>
        <c:title>
          <c:tx>
            <c:rich>
              <a:bodyPr/>
              <a:lstStyle/>
              <a:p>
                <a:pPr>
                  <a:defRPr/>
                </a:pPr>
                <a:r>
                  <a:rPr lang="en-IN"/>
                  <a:t>Average juice quality ($B$9)</a:t>
                </a:r>
              </a:p>
            </c:rich>
          </c:tx>
          <c:overlay val="0"/>
        </c:title>
        <c:numFmt formatCode="_(* #,##0_);_(* \(#,##0\);_(* &quot;-&quot;??_);_(@_)" sourceLinked="1"/>
        <c:majorTickMark val="out"/>
        <c:minorTickMark val="none"/>
        <c:tickLblPos val="nextTo"/>
        <c:crossAx val="2007173055"/>
        <c:crosses val="autoZero"/>
        <c:auto val="1"/>
        <c:lblAlgn val="ctr"/>
        <c:lblOffset val="100"/>
        <c:noMultiLvlLbl val="0"/>
      </c:catAx>
      <c:valAx>
        <c:axId val="2007173055"/>
        <c:scaling>
          <c:orientation val="minMax"/>
        </c:scaling>
        <c:delete val="0"/>
        <c:axPos val="l"/>
        <c:majorGridlines/>
        <c:numFmt formatCode="General" sourceLinked="1"/>
        <c:majorTickMark val="out"/>
        <c:minorTickMark val="none"/>
        <c:tickLblPos val="nextTo"/>
        <c:crossAx val="200716681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'4.50(additional)'!$K$1</c:f>
          <c:strCache>
            <c:ptCount val="1"/>
            <c:pt idx="0">
              <c:v>Sensitivity of Total_Profit to Juice cost per pound</c:v>
            </c:pt>
          </c:strCache>
        </c:strRef>
      </c:tx>
      <c:overlay val="0"/>
      <c:txPr>
        <a:bodyPr/>
        <a:lstStyle/>
        <a:p>
          <a:pPr>
            <a:defRPr sz="1200"/>
          </a:pPr>
          <a:endParaRPr lang="en-US"/>
        </a:p>
      </c:txPr>
    </c:title>
    <c:autoTitleDeleted val="0"/>
    <c:plotArea>
      <c:layout/>
      <c:lineChart>
        <c:grouping val="standard"/>
        <c:varyColors val="0"/>
        <c:ser>
          <c:idx val="0"/>
          <c:order val="0"/>
          <c:cat>
            <c:numRef>
              <c:f>'4.50(additional)'!$A$5:$A$24</c:f>
              <c:numCache>
                <c:formatCode>_-[$$-409]* #,##0.00_ ;_-[$$-409]* \-#,##0.00\ ;_-[$$-409]* "-"??_ ;_-@_ </c:formatCode>
                <c:ptCount val="20"/>
                <c:pt idx="0">
                  <c:v>0.30000001192092896</c:v>
                </c:pt>
                <c:pt idx="1">
                  <c:v>0.40000000596046448</c:v>
                </c:pt>
                <c:pt idx="2">
                  <c:v>0.5</c:v>
                </c:pt>
                <c:pt idx="3">
                  <c:v>0.60000002384185791</c:v>
                </c:pt>
                <c:pt idx="4">
                  <c:v>0.70000004768371582</c:v>
                </c:pt>
                <c:pt idx="5">
                  <c:v>0.80000001192092896</c:v>
                </c:pt>
                <c:pt idx="6">
                  <c:v>0.90000003576278687</c:v>
                </c:pt>
                <c:pt idx="7">
                  <c:v>1</c:v>
                </c:pt>
                <c:pt idx="8">
                  <c:v>1.1000000238418579</c:v>
                </c:pt>
                <c:pt idx="9">
                  <c:v>1.2000000476837158</c:v>
                </c:pt>
                <c:pt idx="10">
                  <c:v>1.3000000715255737</c:v>
                </c:pt>
                <c:pt idx="11">
                  <c:v>1.3999999761581421</c:v>
                </c:pt>
                <c:pt idx="12">
                  <c:v>1.5</c:v>
                </c:pt>
                <c:pt idx="13">
                  <c:v>1.6000000238418579</c:v>
                </c:pt>
                <c:pt idx="14">
                  <c:v>1.7000000476837158</c:v>
                </c:pt>
                <c:pt idx="15">
                  <c:v>1.8000000715255737</c:v>
                </c:pt>
                <c:pt idx="16">
                  <c:v>1.9000000953674316</c:v>
                </c:pt>
                <c:pt idx="17">
                  <c:v>2</c:v>
                </c:pt>
                <c:pt idx="18">
                  <c:v>2.1000001430511475</c:v>
                </c:pt>
                <c:pt idx="19">
                  <c:v>2.2000000476837158</c:v>
                </c:pt>
              </c:numCache>
            </c:numRef>
          </c:cat>
          <c:val>
            <c:numRef>
              <c:f>'4.50(additional)'!$K$5:$K$24</c:f>
              <c:numCache>
                <c:formatCode>General</c:formatCode>
                <c:ptCount val="20"/>
                <c:pt idx="0">
                  <c:v>438749.99731779099</c:v>
                </c:pt>
                <c:pt idx="1">
                  <c:v>416249.99865889549</c:v>
                </c:pt>
                <c:pt idx="2">
                  <c:v>393750</c:v>
                </c:pt>
                <c:pt idx="3">
                  <c:v>371249.99463558197</c:v>
                </c:pt>
                <c:pt idx="4">
                  <c:v>355999.93235707283</c:v>
                </c:pt>
                <c:pt idx="5">
                  <c:v>347999.83521813154</c:v>
                </c:pt>
                <c:pt idx="6">
                  <c:v>339999.73331075907</c:v>
                </c:pt>
                <c:pt idx="7">
                  <c:v>331999.63617181778</c:v>
                </c:pt>
                <c:pt idx="8">
                  <c:v>323999.63426434994</c:v>
                </c:pt>
                <c:pt idx="9">
                  <c:v>315999.73235702515</c:v>
                </c:pt>
                <c:pt idx="10">
                  <c:v>307999.83044970036</c:v>
                </c:pt>
                <c:pt idx="11">
                  <c:v>299999.93807899952</c:v>
                </c:pt>
                <c:pt idx="12">
                  <c:v>295999.98235702515</c:v>
                </c:pt>
                <c:pt idx="13">
                  <c:v>295999.98235702515</c:v>
                </c:pt>
                <c:pt idx="14">
                  <c:v>295999.98235702515</c:v>
                </c:pt>
                <c:pt idx="15">
                  <c:v>295999.98235702515</c:v>
                </c:pt>
                <c:pt idx="16">
                  <c:v>295999.98235702515</c:v>
                </c:pt>
                <c:pt idx="17">
                  <c:v>295999.98235702515</c:v>
                </c:pt>
                <c:pt idx="18">
                  <c:v>295999.98235702515</c:v>
                </c:pt>
                <c:pt idx="19">
                  <c:v>295999.98235702515</c:v>
                </c:pt>
              </c:numCache>
            </c:numRef>
          </c:val>
          <c:smooth val="0"/>
          <c:extLst>
            <c:ext xmlns:c16="http://schemas.microsoft.com/office/drawing/2014/chart" uri="{C3380CC4-5D6E-409C-BE32-E72D297353CC}">
              <c16:uniqueId val="{00000001-D268-4DBC-8ACD-DD385638B9E4}"/>
            </c:ext>
          </c:extLst>
        </c:ser>
        <c:dLbls>
          <c:showLegendKey val="0"/>
          <c:showVal val="0"/>
          <c:showCatName val="0"/>
          <c:showSerName val="0"/>
          <c:showPercent val="0"/>
          <c:showBubbleSize val="0"/>
        </c:dLbls>
        <c:marker val="1"/>
        <c:smooth val="0"/>
        <c:axId val="2007163903"/>
        <c:axId val="2007167647"/>
      </c:lineChart>
      <c:catAx>
        <c:axId val="2007163903"/>
        <c:scaling>
          <c:orientation val="minMax"/>
        </c:scaling>
        <c:delete val="0"/>
        <c:axPos val="b"/>
        <c:title>
          <c:tx>
            <c:rich>
              <a:bodyPr/>
              <a:lstStyle/>
              <a:p>
                <a:pPr>
                  <a:defRPr/>
                </a:pPr>
                <a:r>
                  <a:rPr lang="en-IN"/>
                  <a:t>Juice cost per pound ($B$6)</a:t>
                </a:r>
              </a:p>
            </c:rich>
          </c:tx>
          <c:overlay val="0"/>
        </c:title>
        <c:numFmt formatCode="_-[$$-409]* #,##0.00_ ;_-[$$-409]* \-#,##0.00\ ;_-[$$-409]* &quot;-&quot;??_ ;_-@_ " sourceLinked="1"/>
        <c:majorTickMark val="out"/>
        <c:minorTickMark val="none"/>
        <c:tickLblPos val="nextTo"/>
        <c:crossAx val="2007167647"/>
        <c:crosses val="autoZero"/>
        <c:auto val="1"/>
        <c:lblAlgn val="ctr"/>
        <c:lblOffset val="100"/>
        <c:noMultiLvlLbl val="0"/>
      </c:catAx>
      <c:valAx>
        <c:axId val="2007167647"/>
        <c:scaling>
          <c:orientation val="minMax"/>
        </c:scaling>
        <c:delete val="0"/>
        <c:axPos val="l"/>
        <c:majorGridlines/>
        <c:numFmt formatCode="General" sourceLinked="1"/>
        <c:majorTickMark val="out"/>
        <c:minorTickMark val="none"/>
        <c:tickLblPos val="nextTo"/>
        <c:crossAx val="2007163903"/>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'3.38(b)'!$R$1</c:f>
          <c:strCache>
            <c:ptCount val="1"/>
            <c:pt idx="0">
              <c:v>Sensitivity of Total_Cost_of_Production to % of P1 on M2</c:v>
            </c:pt>
          </c:strCache>
        </c:strRef>
      </c:tx>
      <c:overlay val="0"/>
      <c:txPr>
        <a:bodyPr/>
        <a:lstStyle/>
        <a:p>
          <a:pPr>
            <a:defRPr sz="1200"/>
          </a:pPr>
          <a:endParaRPr lang="en-US"/>
        </a:p>
      </c:txPr>
    </c:title>
    <c:autoTitleDeleted val="0"/>
    <c:plotArea>
      <c:layout/>
      <c:lineChart>
        <c:grouping val="standard"/>
        <c:varyColors val="0"/>
        <c:ser>
          <c:idx val="0"/>
          <c:order val="0"/>
          <c:cat>
            <c:numRef>
              <c:f>'3.38(b)'!$A$5:$A$15</c:f>
              <c:numCache>
                <c:formatCode>0%</c:formatCode>
                <c:ptCount val="11"/>
                <c:pt idx="0">
                  <c:v>0</c:v>
                </c:pt>
                <c:pt idx="1">
                  <c:v>5.000000074505806E-2</c:v>
                </c:pt>
                <c:pt idx="2">
                  <c:v>0.10000000149011612</c:v>
                </c:pt>
                <c:pt idx="3">
                  <c:v>0.15000000596046448</c:v>
                </c:pt>
                <c:pt idx="4">
                  <c:v>0.20000000298023224</c:v>
                </c:pt>
                <c:pt idx="5">
                  <c:v>0.25</c:v>
                </c:pt>
                <c:pt idx="6">
                  <c:v>0.30000001192092896</c:v>
                </c:pt>
                <c:pt idx="7">
                  <c:v>0.34999999403953552</c:v>
                </c:pt>
                <c:pt idx="8">
                  <c:v>0.40000000596046448</c:v>
                </c:pt>
                <c:pt idx="9">
                  <c:v>0.45000001788139343</c:v>
                </c:pt>
                <c:pt idx="10">
                  <c:v>0.5</c:v>
                </c:pt>
              </c:numCache>
            </c:numRef>
          </c:cat>
          <c:val>
            <c:numRef>
              <c:f>'3.38(b)'!$R$5:$R$15</c:f>
              <c:numCache>
                <c:formatCode>General</c:formatCode>
                <c:ptCount val="11"/>
                <c:pt idx="0">
                  <c:v>6556.666666666667</c:v>
                </c:pt>
                <c:pt idx="1">
                  <c:v>6563.7500001055505</c:v>
                </c:pt>
                <c:pt idx="2">
                  <c:v>6570.8333335444331</c:v>
                </c:pt>
                <c:pt idx="3">
                  <c:v>6577.9166675110664</c:v>
                </c:pt>
                <c:pt idx="4">
                  <c:v>6585.0000004222002</c:v>
                </c:pt>
                <c:pt idx="5">
                  <c:v>6592.0833333333339</c:v>
                </c:pt>
                <c:pt idx="6">
                  <c:v>6599.1666683554649</c:v>
                </c:pt>
                <c:pt idx="7">
                  <c:v>6606.2499991556006</c:v>
                </c:pt>
                <c:pt idx="8">
                  <c:v>6613.3333341777325</c:v>
                </c:pt>
                <c:pt idx="9">
                  <c:v>6620.4166691998644</c:v>
                </c:pt>
                <c:pt idx="10">
                  <c:v>6627.5</c:v>
                </c:pt>
              </c:numCache>
            </c:numRef>
          </c:val>
          <c:smooth val="0"/>
          <c:extLst>
            <c:ext xmlns:c16="http://schemas.microsoft.com/office/drawing/2014/chart" uri="{C3380CC4-5D6E-409C-BE32-E72D297353CC}">
              <c16:uniqueId val="{00000001-DDB1-4486-AEAE-D383DF8EC6C6}"/>
            </c:ext>
          </c:extLst>
        </c:ser>
        <c:dLbls>
          <c:showLegendKey val="0"/>
          <c:showVal val="0"/>
          <c:showCatName val="0"/>
          <c:showSerName val="0"/>
          <c:showPercent val="0"/>
          <c:showBubbleSize val="0"/>
        </c:dLbls>
        <c:marker val="1"/>
        <c:smooth val="0"/>
        <c:axId val="1626096207"/>
        <c:axId val="1626097039"/>
      </c:lineChart>
      <c:catAx>
        <c:axId val="1626096207"/>
        <c:scaling>
          <c:orientation val="minMax"/>
        </c:scaling>
        <c:delete val="0"/>
        <c:axPos val="b"/>
        <c:title>
          <c:tx>
            <c:rich>
              <a:bodyPr/>
              <a:lstStyle/>
              <a:p>
                <a:pPr>
                  <a:defRPr/>
                </a:pPr>
                <a:r>
                  <a:rPr lang="en-IN"/>
                  <a:t>% of P1 on M2 ($B$11)</a:t>
                </a:r>
              </a:p>
            </c:rich>
          </c:tx>
          <c:overlay val="0"/>
        </c:title>
        <c:numFmt formatCode="0%" sourceLinked="1"/>
        <c:majorTickMark val="out"/>
        <c:minorTickMark val="none"/>
        <c:tickLblPos val="nextTo"/>
        <c:crossAx val="1626097039"/>
        <c:crosses val="autoZero"/>
        <c:auto val="1"/>
        <c:lblAlgn val="ctr"/>
        <c:lblOffset val="100"/>
        <c:noMultiLvlLbl val="0"/>
      </c:catAx>
      <c:valAx>
        <c:axId val="1626097039"/>
        <c:scaling>
          <c:orientation val="minMax"/>
        </c:scaling>
        <c:delete val="0"/>
        <c:axPos val="l"/>
        <c:majorGridlines/>
        <c:numFmt formatCode="General" sourceLinked="1"/>
        <c:majorTickMark val="out"/>
        <c:minorTickMark val="none"/>
        <c:tickLblPos val="nextTo"/>
        <c:crossAx val="1626096207"/>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'3.38(additional)'!$K$1</c:f>
          <c:strCache>
            <c:ptCount val="1"/>
            <c:pt idx="0">
              <c:v>Sensitivity of Total_Cost_of_Production to Product1 Machine2 Unit cost</c:v>
            </c:pt>
          </c:strCache>
        </c:strRef>
      </c:tx>
      <c:overlay val="0"/>
      <c:txPr>
        <a:bodyPr/>
        <a:lstStyle/>
        <a:p>
          <a:pPr>
            <a:defRPr sz="1200"/>
          </a:pPr>
          <a:endParaRPr lang="en-US"/>
        </a:p>
      </c:txPr>
    </c:title>
    <c:autoTitleDeleted val="0"/>
    <c:plotArea>
      <c:layout/>
      <c:lineChart>
        <c:grouping val="standard"/>
        <c:varyColors val="0"/>
        <c:ser>
          <c:idx val="0"/>
          <c:order val="0"/>
          <c:cat>
            <c:numRef>
              <c:f>'3.38(additional)'!$A$5:$A$11</c:f>
              <c:numCache>
                <c:formatCode>_-[$$-409]* #,##0.00_ ;_-[$$-409]* \-#,##0.00\ ;_-[$$-409]* "-"??_ ;_-@_ </c:formatCode>
                <c:ptCount val="7"/>
                <c:pt idx="0">
                  <c:v>5</c:v>
                </c:pt>
                <c:pt idx="1">
                  <c:v>10</c:v>
                </c:pt>
                <c:pt idx="2">
                  <c:v>15</c:v>
                </c:pt>
                <c:pt idx="3">
                  <c:v>20</c:v>
                </c:pt>
                <c:pt idx="4">
                  <c:v>25</c:v>
                </c:pt>
                <c:pt idx="5">
                  <c:v>30</c:v>
                </c:pt>
                <c:pt idx="6">
                  <c:v>35</c:v>
                </c:pt>
              </c:numCache>
            </c:numRef>
          </c:cat>
          <c:val>
            <c:numRef>
              <c:f>'3.38(additional)'!$K$5:$K$11</c:f>
              <c:numCache>
                <c:formatCode>General</c:formatCode>
                <c:ptCount val="7"/>
                <c:pt idx="0">
                  <c:v>4247.7777777777792</c:v>
                </c:pt>
                <c:pt idx="1">
                  <c:v>5192.2222222222226</c:v>
                </c:pt>
                <c:pt idx="2">
                  <c:v>6136.666666666667</c:v>
                </c:pt>
                <c:pt idx="3">
                  <c:v>6877.5</c:v>
                </c:pt>
                <c:pt idx="4">
                  <c:v>7502.5</c:v>
                </c:pt>
                <c:pt idx="5">
                  <c:v>8127.5</c:v>
                </c:pt>
                <c:pt idx="6">
                  <c:v>8752.5</c:v>
                </c:pt>
              </c:numCache>
            </c:numRef>
          </c:val>
          <c:smooth val="0"/>
          <c:extLst>
            <c:ext xmlns:c16="http://schemas.microsoft.com/office/drawing/2014/chart" uri="{C3380CC4-5D6E-409C-BE32-E72D297353CC}">
              <c16:uniqueId val="{00000001-C0BD-48F4-B42B-246B6DFC0A7F}"/>
            </c:ext>
          </c:extLst>
        </c:ser>
        <c:dLbls>
          <c:showLegendKey val="0"/>
          <c:showVal val="0"/>
          <c:showCatName val="0"/>
          <c:showSerName val="0"/>
          <c:showPercent val="0"/>
          <c:showBubbleSize val="0"/>
        </c:dLbls>
        <c:marker val="1"/>
        <c:smooth val="0"/>
        <c:axId val="2007166399"/>
        <c:axId val="2007172223"/>
      </c:lineChart>
      <c:catAx>
        <c:axId val="2007166399"/>
        <c:scaling>
          <c:orientation val="minMax"/>
        </c:scaling>
        <c:delete val="0"/>
        <c:axPos val="b"/>
        <c:title>
          <c:tx>
            <c:rich>
              <a:bodyPr/>
              <a:lstStyle/>
              <a:p>
                <a:pPr>
                  <a:defRPr/>
                </a:pPr>
                <a:r>
                  <a:rPr lang="en-IN"/>
                  <a:t>Product1 Machine2 Unit cost ($C$7)</a:t>
                </a:r>
              </a:p>
            </c:rich>
          </c:tx>
          <c:overlay val="0"/>
        </c:title>
        <c:numFmt formatCode="_-[$$-409]* #,##0.00_ ;_-[$$-409]* \-#,##0.00\ ;_-[$$-409]* &quot;-&quot;??_ ;_-@_ " sourceLinked="1"/>
        <c:majorTickMark val="out"/>
        <c:minorTickMark val="none"/>
        <c:tickLblPos val="nextTo"/>
        <c:crossAx val="2007172223"/>
        <c:crosses val="autoZero"/>
        <c:auto val="1"/>
        <c:lblAlgn val="ctr"/>
        <c:lblOffset val="100"/>
        <c:noMultiLvlLbl val="0"/>
      </c:catAx>
      <c:valAx>
        <c:axId val="2007172223"/>
        <c:scaling>
          <c:orientation val="minMax"/>
        </c:scaling>
        <c:delete val="0"/>
        <c:axPos val="l"/>
        <c:majorGridlines/>
        <c:numFmt formatCode="General" sourceLinked="1"/>
        <c:majorTickMark val="out"/>
        <c:minorTickMark val="none"/>
        <c:tickLblPos val="nextTo"/>
        <c:crossAx val="200716639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'3.42(b)'!$K$1</c:f>
          <c:strCache>
            <c:ptCount val="1"/>
            <c:pt idx="0">
              <c:v>Sensitivity of Total_cost to Los Angeles Hours</c:v>
            </c:pt>
          </c:strCache>
        </c:strRef>
      </c:tx>
      <c:overlay val="0"/>
      <c:txPr>
        <a:bodyPr/>
        <a:lstStyle/>
        <a:p>
          <a:pPr>
            <a:defRPr sz="1200"/>
          </a:pPr>
          <a:endParaRPr lang="en-US"/>
        </a:p>
      </c:txPr>
    </c:title>
    <c:autoTitleDeleted val="0"/>
    <c:plotArea>
      <c:layout/>
      <c:lineChart>
        <c:grouping val="standard"/>
        <c:varyColors val="0"/>
        <c:ser>
          <c:idx val="0"/>
          <c:order val="0"/>
          <c:cat>
            <c:numRef>
              <c:f>'3.42(b)'!$B$4:$I$4</c:f>
              <c:numCache>
                <c:formatCode>General</c:formatCode>
                <c:ptCount val="8"/>
                <c:pt idx="0">
                  <c:v>600</c:v>
                </c:pt>
                <c:pt idx="1">
                  <c:v>610</c:v>
                </c:pt>
                <c:pt idx="2">
                  <c:v>620</c:v>
                </c:pt>
                <c:pt idx="3">
                  <c:v>630</c:v>
                </c:pt>
                <c:pt idx="4">
                  <c:v>640</c:v>
                </c:pt>
                <c:pt idx="5">
                  <c:v>650</c:v>
                </c:pt>
                <c:pt idx="6">
                  <c:v>660</c:v>
                </c:pt>
                <c:pt idx="7">
                  <c:v>670</c:v>
                </c:pt>
              </c:numCache>
            </c:numRef>
          </c:cat>
          <c:val>
            <c:numRef>
              <c:f>'3.42(b)'!$K$5:$K$12</c:f>
              <c:numCache>
                <c:formatCode>General</c:formatCode>
                <c:ptCount val="8"/>
                <c:pt idx="0">
                  <c:v>22266.666666666668</c:v>
                </c:pt>
                <c:pt idx="1">
                  <c:v>22266.666666666668</c:v>
                </c:pt>
                <c:pt idx="2">
                  <c:v>22266.666666666668</c:v>
                </c:pt>
                <c:pt idx="3">
                  <c:v>22266.666666666668</c:v>
                </c:pt>
                <c:pt idx="4">
                  <c:v>22266.666666666668</c:v>
                </c:pt>
                <c:pt idx="5">
                  <c:v>22266.666666666668</c:v>
                </c:pt>
                <c:pt idx="6">
                  <c:v>22266.666666666668</c:v>
                </c:pt>
                <c:pt idx="7">
                  <c:v>22266.666666666668</c:v>
                </c:pt>
              </c:numCache>
            </c:numRef>
          </c:val>
          <c:smooth val="0"/>
          <c:extLst>
            <c:ext xmlns:c16="http://schemas.microsoft.com/office/drawing/2014/chart" uri="{C3380CC4-5D6E-409C-BE32-E72D297353CC}">
              <c16:uniqueId val="{00000001-51A9-4C7B-8E8F-39D4CDC3BB19}"/>
            </c:ext>
          </c:extLst>
        </c:ser>
        <c:dLbls>
          <c:showLegendKey val="0"/>
          <c:showVal val="0"/>
          <c:showCatName val="0"/>
          <c:showSerName val="0"/>
          <c:showPercent val="0"/>
          <c:showBubbleSize val="0"/>
        </c:dLbls>
        <c:marker val="1"/>
        <c:smooth val="0"/>
        <c:axId val="661701743"/>
        <c:axId val="661702575"/>
      </c:lineChart>
      <c:catAx>
        <c:axId val="661701743"/>
        <c:scaling>
          <c:orientation val="minMax"/>
        </c:scaling>
        <c:delete val="0"/>
        <c:axPos val="b"/>
        <c:title>
          <c:tx>
            <c:rich>
              <a:bodyPr/>
              <a:lstStyle/>
              <a:p>
                <a:pPr>
                  <a:defRPr/>
                </a:pPr>
                <a:r>
                  <a:rPr lang="en-IN"/>
                  <a:t>Los Angeles Hours ($D$35)</a:t>
                </a:r>
              </a:p>
            </c:rich>
          </c:tx>
          <c:overlay val="0"/>
        </c:title>
        <c:numFmt formatCode="General" sourceLinked="1"/>
        <c:majorTickMark val="out"/>
        <c:minorTickMark val="none"/>
        <c:tickLblPos val="nextTo"/>
        <c:crossAx val="661702575"/>
        <c:crosses val="autoZero"/>
        <c:auto val="1"/>
        <c:lblAlgn val="ctr"/>
        <c:lblOffset val="100"/>
        <c:noMultiLvlLbl val="0"/>
      </c:catAx>
      <c:valAx>
        <c:axId val="661702575"/>
        <c:scaling>
          <c:orientation val="minMax"/>
        </c:scaling>
        <c:delete val="0"/>
        <c:axPos val="l"/>
        <c:majorGridlines/>
        <c:numFmt formatCode="General" sourceLinked="1"/>
        <c:majorTickMark val="out"/>
        <c:minorTickMark val="none"/>
        <c:tickLblPos val="nextTo"/>
        <c:crossAx val="661701743"/>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'3.42(b)'!$O$1</c:f>
          <c:strCache>
            <c:ptCount val="1"/>
            <c:pt idx="0">
              <c:v>Sensitivity of Total_cost to Indianapolis Hours</c:v>
            </c:pt>
          </c:strCache>
        </c:strRef>
      </c:tx>
      <c:overlay val="0"/>
      <c:txPr>
        <a:bodyPr/>
        <a:lstStyle/>
        <a:p>
          <a:pPr>
            <a:defRPr sz="1200"/>
          </a:pPr>
          <a:endParaRPr lang="en-US"/>
        </a:p>
      </c:txPr>
    </c:title>
    <c:autoTitleDeleted val="0"/>
    <c:plotArea>
      <c:layout/>
      <c:lineChart>
        <c:grouping val="standard"/>
        <c:varyColors val="0"/>
        <c:ser>
          <c:idx val="0"/>
          <c:order val="0"/>
          <c:cat>
            <c:numRef>
              <c:f>'3.42(b)'!$A$5:$A$11</c:f>
              <c:numCache>
                <c:formatCode>General</c:formatCode>
                <c:ptCount val="7"/>
                <c:pt idx="0">
                  <c:v>800</c:v>
                </c:pt>
                <c:pt idx="1">
                  <c:v>810</c:v>
                </c:pt>
                <c:pt idx="2">
                  <c:v>820</c:v>
                </c:pt>
                <c:pt idx="3">
                  <c:v>830</c:v>
                </c:pt>
                <c:pt idx="4">
                  <c:v>840</c:v>
                </c:pt>
                <c:pt idx="5">
                  <c:v>850</c:v>
                </c:pt>
                <c:pt idx="6">
                  <c:v>860</c:v>
                </c:pt>
              </c:numCache>
            </c:numRef>
          </c:cat>
          <c:val>
            <c:numRef>
              <c:f>'3.42(b)'!$O$5:$O$11</c:f>
              <c:numCache>
                <c:formatCode>General</c:formatCode>
                <c:ptCount val="7"/>
                <c:pt idx="0">
                  <c:v>22266.666666666668</c:v>
                </c:pt>
                <c:pt idx="1">
                  <c:v>22250</c:v>
                </c:pt>
                <c:pt idx="2">
                  <c:v>22233.333333333332</c:v>
                </c:pt>
                <c:pt idx="3">
                  <c:v>22216.666666666668</c:v>
                </c:pt>
                <c:pt idx="4">
                  <c:v>22200</c:v>
                </c:pt>
                <c:pt idx="5">
                  <c:v>22183.333333333332</c:v>
                </c:pt>
                <c:pt idx="6">
                  <c:v>22166.666666666668</c:v>
                </c:pt>
              </c:numCache>
            </c:numRef>
          </c:val>
          <c:smooth val="0"/>
          <c:extLst>
            <c:ext xmlns:c16="http://schemas.microsoft.com/office/drawing/2014/chart" uri="{C3380CC4-5D6E-409C-BE32-E72D297353CC}">
              <c16:uniqueId val="{00000001-D8FF-4638-9AE4-710DB1D99663}"/>
            </c:ext>
          </c:extLst>
        </c:ser>
        <c:dLbls>
          <c:showLegendKey val="0"/>
          <c:showVal val="0"/>
          <c:showCatName val="0"/>
          <c:showSerName val="0"/>
          <c:showPercent val="0"/>
          <c:showBubbleSize val="0"/>
        </c:dLbls>
        <c:marker val="1"/>
        <c:smooth val="0"/>
        <c:axId val="661700911"/>
        <c:axId val="661697583"/>
      </c:lineChart>
      <c:catAx>
        <c:axId val="661700911"/>
        <c:scaling>
          <c:orientation val="minMax"/>
        </c:scaling>
        <c:delete val="0"/>
        <c:axPos val="b"/>
        <c:title>
          <c:tx>
            <c:rich>
              <a:bodyPr/>
              <a:lstStyle/>
              <a:p>
                <a:pPr>
                  <a:defRPr/>
                </a:pPr>
                <a:r>
                  <a:rPr lang="en-IN"/>
                  <a:t>Indianapolis Hours ($D$34)</a:t>
                </a:r>
              </a:p>
            </c:rich>
          </c:tx>
          <c:overlay val="0"/>
        </c:title>
        <c:numFmt formatCode="General" sourceLinked="1"/>
        <c:majorTickMark val="out"/>
        <c:minorTickMark val="none"/>
        <c:tickLblPos val="nextTo"/>
        <c:crossAx val="661697583"/>
        <c:crosses val="autoZero"/>
        <c:auto val="1"/>
        <c:lblAlgn val="ctr"/>
        <c:lblOffset val="100"/>
        <c:noMultiLvlLbl val="0"/>
      </c:catAx>
      <c:valAx>
        <c:axId val="661697583"/>
        <c:scaling>
          <c:orientation val="minMax"/>
        </c:scaling>
        <c:delete val="0"/>
        <c:axPos val="l"/>
        <c:majorGridlines/>
        <c:numFmt formatCode="General" sourceLinked="1"/>
        <c:majorTickMark val="out"/>
        <c:minorTickMark val="none"/>
        <c:tickLblPos val="nextTo"/>
        <c:crossAx val="661700911"/>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'3.42(additional)'!$K$1</c:f>
          <c:strCache>
            <c:ptCount val="1"/>
            <c:pt idx="0">
              <c:v>Sensitivity of Total_cost to Total pounds Drug2/week</c:v>
            </c:pt>
          </c:strCache>
        </c:strRef>
      </c:tx>
      <c:overlay val="0"/>
      <c:txPr>
        <a:bodyPr/>
        <a:lstStyle/>
        <a:p>
          <a:pPr>
            <a:defRPr sz="1200"/>
          </a:pPr>
          <a:endParaRPr lang="en-US"/>
        </a:p>
      </c:txPr>
    </c:title>
    <c:autoTitleDeleted val="0"/>
    <c:plotArea>
      <c:layout/>
      <c:lineChart>
        <c:grouping val="standard"/>
        <c:varyColors val="0"/>
        <c:ser>
          <c:idx val="0"/>
          <c:order val="0"/>
          <c:cat>
            <c:numRef>
              <c:f>'3.42(additional)'!$B$4:$E$4</c:f>
              <c:numCache>
                <c:formatCode>General</c:formatCode>
                <c:ptCount val="4"/>
                <c:pt idx="0">
                  <c:v>3000</c:v>
                </c:pt>
                <c:pt idx="1">
                  <c:v>3100</c:v>
                </c:pt>
                <c:pt idx="2">
                  <c:v>3200</c:v>
                </c:pt>
                <c:pt idx="3">
                  <c:v>3300</c:v>
                </c:pt>
              </c:numCache>
            </c:numRef>
          </c:cat>
          <c:val>
            <c:numRef>
              <c:f>'3.42(additional)'!$K$5:$K$8</c:f>
              <c:numCache>
                <c:formatCode>General</c:formatCode>
                <c:ptCount val="4"/>
                <c:pt idx="0">
                  <c:v>22266.666666666668</c:v>
                </c:pt>
                <c:pt idx="1">
                  <c:v>22940</c:v>
                </c:pt>
                <c:pt idx="2">
                  <c:v>0</c:v>
                </c:pt>
                <c:pt idx="3">
                  <c:v>0</c:v>
                </c:pt>
              </c:numCache>
            </c:numRef>
          </c:val>
          <c:smooth val="0"/>
          <c:extLst>
            <c:ext xmlns:c16="http://schemas.microsoft.com/office/drawing/2014/chart" uri="{C3380CC4-5D6E-409C-BE32-E72D297353CC}">
              <c16:uniqueId val="{00000001-3B8B-41F3-90C1-1E6F08ABE572}"/>
            </c:ext>
          </c:extLst>
        </c:ser>
        <c:dLbls>
          <c:showLegendKey val="0"/>
          <c:showVal val="0"/>
          <c:showCatName val="0"/>
          <c:showSerName val="0"/>
          <c:showPercent val="0"/>
          <c:showBubbleSize val="0"/>
        </c:dLbls>
        <c:marker val="1"/>
        <c:smooth val="0"/>
        <c:axId val="661376591"/>
        <c:axId val="658338703"/>
      </c:lineChart>
      <c:catAx>
        <c:axId val="661376591"/>
        <c:scaling>
          <c:orientation val="minMax"/>
        </c:scaling>
        <c:delete val="0"/>
        <c:axPos val="b"/>
        <c:title>
          <c:tx>
            <c:rich>
              <a:bodyPr/>
              <a:lstStyle/>
              <a:p>
                <a:pPr>
                  <a:defRPr/>
                </a:pPr>
                <a:r>
                  <a:rPr lang="en-IN"/>
                  <a:t>Total pounds Drug2/week ($D$30)</a:t>
                </a:r>
              </a:p>
            </c:rich>
          </c:tx>
          <c:overlay val="0"/>
        </c:title>
        <c:numFmt formatCode="General" sourceLinked="1"/>
        <c:majorTickMark val="out"/>
        <c:minorTickMark val="none"/>
        <c:tickLblPos val="nextTo"/>
        <c:crossAx val="658338703"/>
        <c:crosses val="autoZero"/>
        <c:auto val="1"/>
        <c:lblAlgn val="ctr"/>
        <c:lblOffset val="100"/>
        <c:noMultiLvlLbl val="0"/>
      </c:catAx>
      <c:valAx>
        <c:axId val="658338703"/>
        <c:scaling>
          <c:orientation val="minMax"/>
        </c:scaling>
        <c:delete val="0"/>
        <c:axPos val="l"/>
        <c:majorGridlines/>
        <c:numFmt formatCode="General" sourceLinked="1"/>
        <c:majorTickMark val="out"/>
        <c:minorTickMark val="none"/>
        <c:tickLblPos val="nextTo"/>
        <c:crossAx val="661376591"/>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'3.42(additional)'!$O$1</c:f>
          <c:strCache>
            <c:ptCount val="1"/>
            <c:pt idx="0">
              <c:v>Sensitivity of Total_cost to Total pounds Drug1/week</c:v>
            </c:pt>
          </c:strCache>
        </c:strRef>
      </c:tx>
      <c:overlay val="0"/>
      <c:txPr>
        <a:bodyPr/>
        <a:lstStyle/>
        <a:p>
          <a:pPr>
            <a:defRPr sz="1200"/>
          </a:pPr>
          <a:endParaRPr lang="en-US"/>
        </a:p>
      </c:txPr>
    </c:title>
    <c:autoTitleDeleted val="0"/>
    <c:plotArea>
      <c:layout/>
      <c:lineChart>
        <c:grouping val="standard"/>
        <c:varyColors val="0"/>
        <c:ser>
          <c:idx val="0"/>
          <c:order val="0"/>
          <c:cat>
            <c:numRef>
              <c:f>'3.42(additional)'!$A$5:$A$8</c:f>
              <c:numCache>
                <c:formatCode>General</c:formatCode>
                <c:ptCount val="4"/>
                <c:pt idx="0">
                  <c:v>2000</c:v>
                </c:pt>
                <c:pt idx="1">
                  <c:v>2100</c:v>
                </c:pt>
                <c:pt idx="2">
                  <c:v>2200</c:v>
                </c:pt>
                <c:pt idx="3">
                  <c:v>2300</c:v>
                </c:pt>
              </c:numCache>
            </c:numRef>
          </c:cat>
          <c:val>
            <c:numRef>
              <c:f>'3.42(additional)'!$O$5:$O$8</c:f>
              <c:numCache>
                <c:formatCode>General</c:formatCode>
                <c:ptCount val="4"/>
                <c:pt idx="0">
                  <c:v>22266.666666666668</c:v>
                </c:pt>
                <c:pt idx="1">
                  <c:v>22760.000000000004</c:v>
                </c:pt>
                <c:pt idx="2">
                  <c:v>23320</c:v>
                </c:pt>
                <c:pt idx="3">
                  <c:v>0</c:v>
                </c:pt>
              </c:numCache>
            </c:numRef>
          </c:val>
          <c:smooth val="0"/>
          <c:extLst>
            <c:ext xmlns:c16="http://schemas.microsoft.com/office/drawing/2014/chart" uri="{C3380CC4-5D6E-409C-BE32-E72D297353CC}">
              <c16:uniqueId val="{00000001-1A08-48C6-9E1D-F419F32792D9}"/>
            </c:ext>
          </c:extLst>
        </c:ser>
        <c:dLbls>
          <c:showLegendKey val="0"/>
          <c:showVal val="0"/>
          <c:showCatName val="0"/>
          <c:showSerName val="0"/>
          <c:showPercent val="0"/>
          <c:showBubbleSize val="0"/>
        </c:dLbls>
        <c:marker val="1"/>
        <c:smooth val="0"/>
        <c:axId val="658335375"/>
        <c:axId val="658336623"/>
      </c:lineChart>
      <c:catAx>
        <c:axId val="658335375"/>
        <c:scaling>
          <c:orientation val="minMax"/>
        </c:scaling>
        <c:delete val="0"/>
        <c:axPos val="b"/>
        <c:title>
          <c:tx>
            <c:rich>
              <a:bodyPr/>
              <a:lstStyle/>
              <a:p>
                <a:pPr>
                  <a:defRPr/>
                </a:pPr>
                <a:r>
                  <a:rPr lang="en-IN"/>
                  <a:t>Total pounds Drug1/week ($D$29)</a:t>
                </a:r>
              </a:p>
            </c:rich>
          </c:tx>
          <c:overlay val="0"/>
        </c:title>
        <c:numFmt formatCode="General" sourceLinked="1"/>
        <c:majorTickMark val="out"/>
        <c:minorTickMark val="none"/>
        <c:tickLblPos val="nextTo"/>
        <c:crossAx val="658336623"/>
        <c:crosses val="autoZero"/>
        <c:auto val="1"/>
        <c:lblAlgn val="ctr"/>
        <c:lblOffset val="100"/>
        <c:noMultiLvlLbl val="0"/>
      </c:catAx>
      <c:valAx>
        <c:axId val="658336623"/>
        <c:scaling>
          <c:orientation val="minMax"/>
        </c:scaling>
        <c:delete val="0"/>
        <c:axPos val="l"/>
        <c:majorGridlines/>
        <c:numFmt formatCode="General" sourceLinked="1"/>
        <c:majorTickMark val="out"/>
        <c:minorTickMark val="none"/>
        <c:tickLblPos val="nextTo"/>
        <c:crossAx val="65833537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'4.46(b)'!$K$1</c:f>
          <c:strCache>
            <c:ptCount val="1"/>
            <c:pt idx="0">
              <c:v>Sensitivity of Total_no_of_officers to No of officers needed 8a -12pm</c:v>
            </c:pt>
          </c:strCache>
        </c:strRef>
      </c:tx>
      <c:overlay val="0"/>
      <c:txPr>
        <a:bodyPr/>
        <a:lstStyle/>
        <a:p>
          <a:pPr>
            <a:defRPr sz="1200"/>
          </a:pPr>
          <a:endParaRPr lang="en-US"/>
        </a:p>
      </c:txPr>
    </c:title>
    <c:autoTitleDeleted val="0"/>
    <c:plotArea>
      <c:layout/>
      <c:lineChart>
        <c:grouping val="standard"/>
        <c:varyColors val="0"/>
        <c:ser>
          <c:idx val="0"/>
          <c:order val="0"/>
          <c:cat>
            <c:numRef>
              <c:f>'4.46(b)'!$A$5:$A$11</c:f>
              <c:numCache>
                <c:formatCode>General</c:formatCode>
                <c:ptCount val="7"/>
                <c:pt idx="0">
                  <c:v>4</c:v>
                </c:pt>
                <c:pt idx="1">
                  <c:v>5</c:v>
                </c:pt>
                <c:pt idx="2">
                  <c:v>6</c:v>
                </c:pt>
                <c:pt idx="3">
                  <c:v>7</c:v>
                </c:pt>
                <c:pt idx="4">
                  <c:v>8</c:v>
                </c:pt>
                <c:pt idx="5">
                  <c:v>9</c:v>
                </c:pt>
                <c:pt idx="6">
                  <c:v>10</c:v>
                </c:pt>
              </c:numCache>
            </c:numRef>
          </c:cat>
          <c:val>
            <c:numRef>
              <c:f>'4.46(b)'!$K$5:$K$11</c:f>
              <c:numCache>
                <c:formatCode>General</c:formatCode>
                <c:ptCount val="7"/>
                <c:pt idx="0">
                  <c:v>21</c:v>
                </c:pt>
                <c:pt idx="1">
                  <c:v>21</c:v>
                </c:pt>
                <c:pt idx="2">
                  <c:v>21</c:v>
                </c:pt>
                <c:pt idx="3">
                  <c:v>21</c:v>
                </c:pt>
                <c:pt idx="4">
                  <c:v>21</c:v>
                </c:pt>
                <c:pt idx="5">
                  <c:v>21</c:v>
                </c:pt>
                <c:pt idx="6">
                  <c:v>22</c:v>
                </c:pt>
              </c:numCache>
            </c:numRef>
          </c:val>
          <c:smooth val="0"/>
          <c:extLst>
            <c:ext xmlns:c16="http://schemas.microsoft.com/office/drawing/2014/chart" uri="{C3380CC4-5D6E-409C-BE32-E72D297353CC}">
              <c16:uniqueId val="{00000001-7893-4A24-B3DE-684304CF5515}"/>
            </c:ext>
          </c:extLst>
        </c:ser>
        <c:dLbls>
          <c:showLegendKey val="0"/>
          <c:showVal val="0"/>
          <c:showCatName val="0"/>
          <c:showSerName val="0"/>
          <c:showPercent val="0"/>
          <c:showBubbleSize val="0"/>
        </c:dLbls>
        <c:marker val="1"/>
        <c:smooth val="0"/>
        <c:axId val="1615186943"/>
        <c:axId val="1615187775"/>
      </c:lineChart>
      <c:catAx>
        <c:axId val="1615186943"/>
        <c:scaling>
          <c:orientation val="minMax"/>
        </c:scaling>
        <c:delete val="0"/>
        <c:axPos val="b"/>
        <c:title>
          <c:tx>
            <c:rich>
              <a:bodyPr/>
              <a:lstStyle/>
              <a:p>
                <a:pPr>
                  <a:defRPr/>
                </a:pPr>
                <a:r>
                  <a:rPr lang="en-IN"/>
                  <a:t>No of officers needed 8a -12pm ($D$5)</a:t>
                </a:r>
              </a:p>
            </c:rich>
          </c:tx>
          <c:overlay val="0"/>
        </c:title>
        <c:numFmt formatCode="General" sourceLinked="1"/>
        <c:majorTickMark val="out"/>
        <c:minorTickMark val="none"/>
        <c:tickLblPos val="nextTo"/>
        <c:crossAx val="1615187775"/>
        <c:crosses val="autoZero"/>
        <c:auto val="1"/>
        <c:lblAlgn val="ctr"/>
        <c:lblOffset val="100"/>
        <c:noMultiLvlLbl val="0"/>
      </c:catAx>
      <c:valAx>
        <c:axId val="1615187775"/>
        <c:scaling>
          <c:orientation val="minMax"/>
        </c:scaling>
        <c:delete val="0"/>
        <c:axPos val="l"/>
        <c:majorGridlines/>
        <c:numFmt formatCode="General" sourceLinked="1"/>
        <c:majorTickMark val="out"/>
        <c:minorTickMark val="none"/>
        <c:tickLblPos val="nextTo"/>
        <c:crossAx val="1615186943"/>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'4.46(additional)'!$K$1</c:f>
          <c:strCache>
            <c:ptCount val="1"/>
            <c:pt idx="0">
              <c:v>Sensitivity of Total_no_of_officers to No of officers needed 4pm-8pm</c:v>
            </c:pt>
          </c:strCache>
        </c:strRef>
      </c:tx>
      <c:overlay val="0"/>
      <c:txPr>
        <a:bodyPr/>
        <a:lstStyle/>
        <a:p>
          <a:pPr>
            <a:defRPr sz="1200"/>
          </a:pPr>
          <a:endParaRPr lang="en-US"/>
        </a:p>
      </c:txPr>
    </c:title>
    <c:autoTitleDeleted val="0"/>
    <c:plotArea>
      <c:layout/>
      <c:lineChart>
        <c:grouping val="standard"/>
        <c:varyColors val="0"/>
        <c:ser>
          <c:idx val="0"/>
          <c:order val="0"/>
          <c:cat>
            <c:numRef>
              <c:f>'4.46(additional)'!$A$5:$A$12</c:f>
              <c:numCache>
                <c:formatCode>General</c:formatCode>
                <c:ptCount val="8"/>
                <c:pt idx="0">
                  <c:v>5</c:v>
                </c:pt>
                <c:pt idx="1">
                  <c:v>6</c:v>
                </c:pt>
                <c:pt idx="2">
                  <c:v>7</c:v>
                </c:pt>
                <c:pt idx="3">
                  <c:v>8</c:v>
                </c:pt>
                <c:pt idx="4">
                  <c:v>9</c:v>
                </c:pt>
                <c:pt idx="5">
                  <c:v>10</c:v>
                </c:pt>
                <c:pt idx="6">
                  <c:v>11</c:v>
                </c:pt>
                <c:pt idx="7">
                  <c:v>12</c:v>
                </c:pt>
              </c:numCache>
            </c:numRef>
          </c:cat>
          <c:val>
            <c:numRef>
              <c:f>'4.46(additional)'!$K$5:$K$12</c:f>
              <c:numCache>
                <c:formatCode>General</c:formatCode>
                <c:ptCount val="8"/>
                <c:pt idx="0">
                  <c:v>21</c:v>
                </c:pt>
                <c:pt idx="1">
                  <c:v>21</c:v>
                </c:pt>
                <c:pt idx="2">
                  <c:v>21</c:v>
                </c:pt>
                <c:pt idx="3">
                  <c:v>21</c:v>
                </c:pt>
                <c:pt idx="4">
                  <c:v>21</c:v>
                </c:pt>
                <c:pt idx="5">
                  <c:v>21</c:v>
                </c:pt>
                <c:pt idx="6">
                  <c:v>22</c:v>
                </c:pt>
                <c:pt idx="7">
                  <c:v>23</c:v>
                </c:pt>
              </c:numCache>
            </c:numRef>
          </c:val>
          <c:smooth val="0"/>
          <c:extLst>
            <c:ext xmlns:c16="http://schemas.microsoft.com/office/drawing/2014/chart" uri="{C3380CC4-5D6E-409C-BE32-E72D297353CC}">
              <c16:uniqueId val="{00000001-BB3F-43D7-8E05-0B0A73E9C6B6}"/>
            </c:ext>
          </c:extLst>
        </c:ser>
        <c:dLbls>
          <c:showLegendKey val="0"/>
          <c:showVal val="0"/>
          <c:showCatName val="0"/>
          <c:showSerName val="0"/>
          <c:showPercent val="0"/>
          <c:showBubbleSize val="0"/>
        </c:dLbls>
        <c:marker val="1"/>
        <c:smooth val="0"/>
        <c:axId val="1224158719"/>
        <c:axId val="1224159135"/>
      </c:lineChart>
      <c:catAx>
        <c:axId val="1224158719"/>
        <c:scaling>
          <c:orientation val="minMax"/>
        </c:scaling>
        <c:delete val="0"/>
        <c:axPos val="b"/>
        <c:title>
          <c:tx>
            <c:rich>
              <a:bodyPr/>
              <a:lstStyle/>
              <a:p>
                <a:pPr>
                  <a:defRPr/>
                </a:pPr>
                <a:r>
                  <a:rPr lang="en-IN"/>
                  <a:t>No of officers needed 4pm-8pm ($F$5)</a:t>
                </a:r>
              </a:p>
            </c:rich>
          </c:tx>
          <c:overlay val="0"/>
        </c:title>
        <c:numFmt formatCode="General" sourceLinked="1"/>
        <c:majorTickMark val="out"/>
        <c:minorTickMark val="none"/>
        <c:tickLblPos val="nextTo"/>
        <c:crossAx val="1224159135"/>
        <c:crosses val="autoZero"/>
        <c:auto val="1"/>
        <c:lblAlgn val="ctr"/>
        <c:lblOffset val="100"/>
        <c:noMultiLvlLbl val="0"/>
      </c:catAx>
      <c:valAx>
        <c:axId val="1224159135"/>
        <c:scaling>
          <c:orientation val="minMax"/>
        </c:scaling>
        <c:delete val="0"/>
        <c:axPos val="l"/>
        <c:majorGridlines/>
        <c:numFmt formatCode="General" sourceLinked="1"/>
        <c:majorTickMark val="out"/>
        <c:minorTickMark val="none"/>
        <c:tickLblPos val="nextTo"/>
        <c:crossAx val="1224158719"/>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120650</xdr:colOff>
      <xdr:row>2</xdr:row>
      <xdr:rowOff>0</xdr:rowOff>
    </xdr:from>
    <xdr:to>
      <xdr:col>9</xdr:col>
      <xdr:colOff>431800</xdr:colOff>
      <xdr:row>16</xdr:row>
      <xdr:rowOff>139700</xdr:rowOff>
    </xdr:to>
    <xdr:sp macro="" textlink="">
      <xdr:nvSpPr>
        <xdr:cNvPr id="2" name="TextBox 1">
          <a:extLst>
            <a:ext uri="{FF2B5EF4-FFF2-40B4-BE49-F238E27FC236}">
              <a16:creationId xmlns:a16="http://schemas.microsoft.com/office/drawing/2014/main" id="{928D0314-F25F-4C2E-B22D-E4B96B0CE62A}"/>
            </a:ext>
          </a:extLst>
        </xdr:cNvPr>
        <xdr:cNvSpPr txBox="1"/>
      </xdr:nvSpPr>
      <xdr:spPr>
        <a:xfrm>
          <a:off x="5289550" y="368300"/>
          <a:ext cx="3625850" cy="271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 the min cost based</a:t>
          </a:r>
          <a:r>
            <a:rPr lang="en-US" sz="1100" baseline="0">
              <a:solidFill>
                <a:schemeClr val="dk1"/>
              </a:solidFill>
              <a:effectLst/>
              <a:latin typeface="+mn-lt"/>
              <a:ea typeface="+mn-ea"/>
              <a:cs typeface="+mn-cs"/>
            </a:rPr>
            <a:t> on constraints is  $6,627.5</a:t>
          </a:r>
        </a:p>
        <a:p>
          <a:endParaRPr lang="en-IN">
            <a:effectLst/>
          </a:endParaRPr>
        </a:p>
        <a:p>
          <a:r>
            <a:rPr lang="en-US" sz="1100">
              <a:solidFill>
                <a:schemeClr val="dk1"/>
              </a:solidFill>
              <a:effectLst/>
              <a:latin typeface="+mn-lt"/>
              <a:ea typeface="+mn-ea"/>
              <a:cs typeface="+mn-cs"/>
            </a:rPr>
            <a:t>b. Costs</a:t>
          </a:r>
          <a:r>
            <a:rPr lang="en-US" sz="1100" baseline="0">
              <a:solidFill>
                <a:schemeClr val="dk1"/>
              </a:solidFill>
              <a:effectLst/>
              <a:latin typeface="+mn-lt"/>
              <a:ea typeface="+mn-ea"/>
              <a:cs typeface="+mn-cs"/>
            </a:rPr>
            <a:t> continue to decrease as production requirements for machine 2 product 1 decrease until 15%, after which they remain the same. The costs continues to decrease as requirements decrease, minimizing at 0%. The min total cost can be achieved where machine 1 product 2 requirements are at 0% and machine 2 product 1 is less than or equal to 15%.</a:t>
          </a:r>
        </a:p>
        <a:p>
          <a:endParaRPr lang="en-IN">
            <a:effectLst/>
          </a:endParaRPr>
        </a:p>
        <a:p>
          <a:r>
            <a:rPr lang="en-US" sz="1100" baseline="0">
              <a:solidFill>
                <a:schemeClr val="dk1"/>
              </a:solidFill>
              <a:effectLst/>
              <a:latin typeface="+mn-lt"/>
              <a:ea typeface="+mn-ea"/>
              <a:cs typeface="+mn-cs"/>
            </a:rPr>
            <a:t>Additional: a sensitivity analysis was done to assess the change in cost for product 1 machine 2 from $5-35 in increments of $5.00. As the cost decreases, the total cost goes down. There is a linear relationship here and if costs were minimized to $5,  total costs would be $4247.78.</a:t>
          </a:r>
          <a:endParaRPr lang="en-IN">
            <a:effectLst/>
          </a:endParaRPr>
        </a:p>
        <a:p>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622300</xdr:colOff>
      <xdr:row>0</xdr:row>
      <xdr:rowOff>50800</xdr:rowOff>
    </xdr:from>
    <xdr:to>
      <xdr:col>5</xdr:col>
      <xdr:colOff>1468858</xdr:colOff>
      <xdr:row>21</xdr:row>
      <xdr:rowOff>25400</xdr:rowOff>
    </xdr:to>
    <xdr:pic>
      <xdr:nvPicPr>
        <xdr:cNvPr id="2" name="Picture 1">
          <a:extLst>
            <a:ext uri="{FF2B5EF4-FFF2-40B4-BE49-F238E27FC236}">
              <a16:creationId xmlns:a16="http://schemas.microsoft.com/office/drawing/2014/main" id="{43E6028A-0C4E-4DE3-8C60-C3CD804EF9FB}"/>
            </a:ext>
          </a:extLst>
        </xdr:cNvPr>
        <xdr:cNvPicPr>
          <a:picLocks noChangeAspect="1"/>
        </xdr:cNvPicPr>
      </xdr:nvPicPr>
      <xdr:blipFill>
        <a:blip xmlns:r="http://schemas.openxmlformats.org/officeDocument/2006/relationships" r:embed="rId1"/>
        <a:stretch>
          <a:fillRect/>
        </a:stretch>
      </xdr:blipFill>
      <xdr:spPr>
        <a:xfrm>
          <a:off x="4095750" y="50800"/>
          <a:ext cx="3678658" cy="3841750"/>
        </a:xfrm>
        <a:prstGeom prst="rect">
          <a:avLst/>
        </a:prstGeom>
      </xdr:spPr>
    </xdr:pic>
    <xdr:clientData/>
  </xdr:twoCellAnchor>
  <xdr:twoCellAnchor>
    <xdr:from>
      <xdr:col>4</xdr:col>
      <xdr:colOff>38100</xdr:colOff>
      <xdr:row>26</xdr:row>
      <xdr:rowOff>0</xdr:rowOff>
    </xdr:from>
    <xdr:to>
      <xdr:col>6</xdr:col>
      <xdr:colOff>704850</xdr:colOff>
      <xdr:row>52</xdr:row>
      <xdr:rowOff>38100</xdr:rowOff>
    </xdr:to>
    <xdr:sp macro="" textlink="">
      <xdr:nvSpPr>
        <xdr:cNvPr id="3" name="TextBox 2">
          <a:extLst>
            <a:ext uri="{FF2B5EF4-FFF2-40B4-BE49-F238E27FC236}">
              <a16:creationId xmlns:a16="http://schemas.microsoft.com/office/drawing/2014/main" id="{7224CEBA-C86E-4E2B-988F-7E8CE51B7C69}"/>
            </a:ext>
          </a:extLst>
        </xdr:cNvPr>
        <xdr:cNvSpPr txBox="1"/>
      </xdr:nvSpPr>
      <xdr:spPr>
        <a:xfrm>
          <a:off x="4927600" y="4787900"/>
          <a:ext cx="3575050" cy="482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 The max profit the company can achieve is $304,000</a:t>
          </a:r>
          <a:r>
            <a:rPr lang="en-US" sz="1100" baseline="0">
              <a:solidFill>
                <a:schemeClr val="dk1"/>
              </a:solidFill>
              <a:effectLst/>
              <a:latin typeface="+mn-lt"/>
              <a:ea typeface="+mn-ea"/>
              <a:cs typeface="+mn-cs"/>
            </a:rPr>
            <a:t> given the constraints. </a:t>
          </a:r>
        </a:p>
        <a:p>
          <a:endParaRPr lang="en-IN">
            <a:effectLst/>
          </a:endParaRPr>
        </a:p>
        <a:p>
          <a:r>
            <a:rPr lang="en-US" sz="1100" baseline="0">
              <a:solidFill>
                <a:schemeClr val="dk1"/>
              </a:solidFill>
              <a:effectLst/>
              <a:latin typeface="+mn-lt"/>
              <a:ea typeface="+mn-ea"/>
              <a:cs typeface="+mn-cs"/>
            </a:rPr>
            <a:t>b. As expect the company will continue to be more profitable as costs decrease and profitability will decrease as costs increase. At a cost of $1.55 the company will no longer profit from selling bags and at which point will only focus on selling juice. </a:t>
          </a:r>
        </a:p>
        <a:p>
          <a:endParaRPr lang="en-IN">
            <a:effectLst/>
          </a:endParaRPr>
        </a:p>
        <a:p>
          <a:r>
            <a:rPr lang="en-US" sz="1100" baseline="0">
              <a:solidFill>
                <a:schemeClr val="dk1"/>
              </a:solidFill>
              <a:effectLst/>
              <a:latin typeface="+mn-lt"/>
              <a:ea typeface="+mn-ea"/>
              <a:cs typeface="+mn-cs"/>
            </a:rPr>
            <a:t>c. The company will continue to profit as the capacity of grade 6 oranges increases to 310,000 at which point their profit would be equal to $360,000. Additiong additional capacity after 310,000 would not satisfy quality constraints and would not produce any additional profit. </a:t>
          </a:r>
        </a:p>
        <a:p>
          <a:endParaRPr lang="en-IN">
            <a:effectLst/>
          </a:endParaRPr>
        </a:p>
        <a:p>
          <a:r>
            <a:rPr lang="en-US" sz="1100" baseline="0">
              <a:solidFill>
                <a:schemeClr val="dk1"/>
              </a:solidFill>
              <a:effectLst/>
              <a:latin typeface="+mn-lt"/>
              <a:ea typeface="+mn-ea"/>
              <a:cs typeface="+mn-cs"/>
            </a:rPr>
            <a:t>d. Changing the quality constrants of juice to 7 allows more grade 6 oranges to be used for juice and will further increase profits to $333,000. Changing the quality constraints of bags does not change profitability. Anything less than 7 does not change profitability and anything higher results in lower profitability. </a:t>
          </a:r>
          <a:br>
            <a:rPr lang="en-US" sz="1100" baseline="0">
              <a:solidFill>
                <a:schemeClr val="dk1"/>
              </a:solidFill>
              <a:effectLst/>
              <a:latin typeface="+mn-lt"/>
              <a:ea typeface="+mn-ea"/>
              <a:cs typeface="+mn-cs"/>
            </a:rPr>
          </a:br>
          <a:endParaRPr lang="en-IN">
            <a:effectLst/>
          </a:endParaRPr>
        </a:p>
        <a:p>
          <a:r>
            <a:rPr lang="en-US" sz="1100" baseline="0">
              <a:solidFill>
                <a:schemeClr val="dk1"/>
              </a:solidFill>
              <a:effectLst/>
              <a:latin typeface="+mn-lt"/>
              <a:ea typeface="+mn-ea"/>
              <a:cs typeface="+mn-cs"/>
            </a:rPr>
            <a:t>Additional: a sensitvity analysis was done to assess the change in cost for juice. Similarly to bags, profitability increases/deceases with cost but at a cost of greater than $1.4 it is no longer profitable and the company should only focus on bags. </a:t>
          </a:r>
          <a:endParaRPr lang="en-IN">
            <a:effectLst/>
          </a:endParaRPr>
        </a:p>
        <a:p>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9</xdr:col>
      <xdr:colOff>336550</xdr:colOff>
      <xdr:row>15</xdr:row>
      <xdr:rowOff>88900</xdr:rowOff>
    </xdr:from>
    <xdr:to>
      <xdr:col>17</xdr:col>
      <xdr:colOff>336550</xdr:colOff>
      <xdr:row>31</xdr:row>
      <xdr:rowOff>0</xdr:rowOff>
    </xdr:to>
    <xdr:graphicFrame macro="">
      <xdr:nvGraphicFramePr>
        <xdr:cNvPr id="2" name="STS_1_Chart">
          <a:extLst>
            <a:ext uri="{FF2B5EF4-FFF2-40B4-BE49-F238E27FC236}">
              <a16:creationId xmlns:a16="http://schemas.microsoft.com/office/drawing/2014/main" id="{0295F0B5-83AB-45A4-893A-53382EC76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336550</xdr:colOff>
      <xdr:row>3</xdr:row>
      <xdr:rowOff>19050</xdr:rowOff>
    </xdr:from>
    <xdr:to>
      <xdr:col>15</xdr:col>
      <xdr:colOff>336550</xdr:colOff>
      <xdr:row>4</xdr:row>
      <xdr:rowOff>44450</xdr:rowOff>
    </xdr:to>
    <xdr:sp macro="" textlink="">
      <xdr:nvSpPr>
        <xdr:cNvPr id="3" name="TextBox 2">
          <a:extLst>
            <a:ext uri="{FF2B5EF4-FFF2-40B4-BE49-F238E27FC236}">
              <a16:creationId xmlns:a16="http://schemas.microsoft.com/office/drawing/2014/main" id="{F5C5FB7A-3419-4458-8837-D481AFDD33D4}"/>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9</xdr:col>
      <xdr:colOff>336550</xdr:colOff>
      <xdr:row>16</xdr:row>
      <xdr:rowOff>95250</xdr:rowOff>
    </xdr:from>
    <xdr:to>
      <xdr:col>17</xdr:col>
      <xdr:colOff>336550</xdr:colOff>
      <xdr:row>32</xdr:row>
      <xdr:rowOff>6350</xdr:rowOff>
    </xdr:to>
    <xdr:graphicFrame macro="">
      <xdr:nvGraphicFramePr>
        <xdr:cNvPr id="2" name="STS_1_Chart">
          <a:extLst>
            <a:ext uri="{FF2B5EF4-FFF2-40B4-BE49-F238E27FC236}">
              <a16:creationId xmlns:a16="http://schemas.microsoft.com/office/drawing/2014/main" id="{99207893-602E-4C3C-B341-3B5D0E503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336550</xdr:colOff>
      <xdr:row>3</xdr:row>
      <xdr:rowOff>19050</xdr:rowOff>
    </xdr:from>
    <xdr:to>
      <xdr:col>15</xdr:col>
      <xdr:colOff>336550</xdr:colOff>
      <xdr:row>4</xdr:row>
      <xdr:rowOff>44450</xdr:rowOff>
    </xdr:to>
    <xdr:sp macro="" textlink="">
      <xdr:nvSpPr>
        <xdr:cNvPr id="3" name="TextBox 2">
          <a:extLst>
            <a:ext uri="{FF2B5EF4-FFF2-40B4-BE49-F238E27FC236}">
              <a16:creationId xmlns:a16="http://schemas.microsoft.com/office/drawing/2014/main" id="{05233326-2F5B-469C-9394-3BF1FF6AF7F7}"/>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9</xdr:col>
      <xdr:colOff>254000</xdr:colOff>
      <xdr:row>15</xdr:row>
      <xdr:rowOff>88900</xdr:rowOff>
    </xdr:from>
    <xdr:to>
      <xdr:col>16</xdr:col>
      <xdr:colOff>317500</xdr:colOff>
      <xdr:row>31</xdr:row>
      <xdr:rowOff>0</xdr:rowOff>
    </xdr:to>
    <xdr:graphicFrame macro="">
      <xdr:nvGraphicFramePr>
        <xdr:cNvPr id="2" name="STS_1_Chart1">
          <a:extLst>
            <a:ext uri="{FF2B5EF4-FFF2-40B4-BE49-F238E27FC236}">
              <a16:creationId xmlns:a16="http://schemas.microsoft.com/office/drawing/2014/main" id="{65B00907-EB8A-4372-9DFA-A234273B2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317500</xdr:colOff>
      <xdr:row>15</xdr:row>
      <xdr:rowOff>88900</xdr:rowOff>
    </xdr:from>
    <xdr:to>
      <xdr:col>25</xdr:col>
      <xdr:colOff>317500</xdr:colOff>
      <xdr:row>31</xdr:row>
      <xdr:rowOff>0</xdr:rowOff>
    </xdr:to>
    <xdr:graphicFrame macro="">
      <xdr:nvGraphicFramePr>
        <xdr:cNvPr id="3" name="STS_1_Chart2">
          <a:extLst>
            <a:ext uri="{FF2B5EF4-FFF2-40B4-BE49-F238E27FC236}">
              <a16:creationId xmlns:a16="http://schemas.microsoft.com/office/drawing/2014/main" id="{234B4D2D-EDD3-47A6-B590-E4C2910C2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317500</xdr:colOff>
      <xdr:row>3</xdr:row>
      <xdr:rowOff>19050</xdr:rowOff>
    </xdr:from>
    <xdr:to>
      <xdr:col>21</xdr:col>
      <xdr:colOff>317500</xdr:colOff>
      <xdr:row>7</xdr:row>
      <xdr:rowOff>63500</xdr:rowOff>
    </xdr:to>
    <xdr:sp macro="" textlink="">
      <xdr:nvSpPr>
        <xdr:cNvPr id="4" name="TextBox 3">
          <a:extLst>
            <a:ext uri="{FF2B5EF4-FFF2-40B4-BE49-F238E27FC236}">
              <a16:creationId xmlns:a16="http://schemas.microsoft.com/office/drawing/2014/main" id="{200C8B5E-B5C5-4AA2-8075-241E43CC00E3}"/>
            </a:ext>
          </a:extLst>
        </xdr:cNvPr>
        <xdr:cNvSpPr txBox="1"/>
      </xdr:nvSpPr>
      <xdr:spPr>
        <a:xfrm>
          <a:off x="12319000"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By making appropriate selections in cells $M$4, $N$4, $Q$4, and $R$4, you can chart any row (in left chart) or column (in right chart) of any table to the left.</a:t>
          </a:r>
        </a:p>
      </xdr:txBody>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9</xdr:col>
      <xdr:colOff>336550</xdr:colOff>
      <xdr:row>25</xdr:row>
      <xdr:rowOff>152400</xdr:rowOff>
    </xdr:from>
    <xdr:to>
      <xdr:col>17</xdr:col>
      <xdr:colOff>336550</xdr:colOff>
      <xdr:row>41</xdr:row>
      <xdr:rowOff>63500</xdr:rowOff>
    </xdr:to>
    <xdr:graphicFrame macro="">
      <xdr:nvGraphicFramePr>
        <xdr:cNvPr id="2" name="STS_1_Chart">
          <a:extLst>
            <a:ext uri="{FF2B5EF4-FFF2-40B4-BE49-F238E27FC236}">
              <a16:creationId xmlns:a16="http://schemas.microsoft.com/office/drawing/2014/main" id="{AE6F80E0-09AC-456F-A499-547DB332A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336550</xdr:colOff>
      <xdr:row>3</xdr:row>
      <xdr:rowOff>19050</xdr:rowOff>
    </xdr:from>
    <xdr:to>
      <xdr:col>15</xdr:col>
      <xdr:colOff>336550</xdr:colOff>
      <xdr:row>4</xdr:row>
      <xdr:rowOff>44450</xdr:rowOff>
    </xdr:to>
    <xdr:sp macro="" textlink="">
      <xdr:nvSpPr>
        <xdr:cNvPr id="3" name="TextBox 2">
          <a:extLst>
            <a:ext uri="{FF2B5EF4-FFF2-40B4-BE49-F238E27FC236}">
              <a16:creationId xmlns:a16="http://schemas.microsoft.com/office/drawing/2014/main" id="{9E50ED04-4CDB-4F99-9F94-9DDDC9576038}"/>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361950</xdr:colOff>
      <xdr:row>16</xdr:row>
      <xdr:rowOff>95250</xdr:rowOff>
    </xdr:from>
    <xdr:to>
      <xdr:col>21</xdr:col>
      <xdr:colOff>361950</xdr:colOff>
      <xdr:row>32</xdr:row>
      <xdr:rowOff>6350</xdr:rowOff>
    </xdr:to>
    <xdr:graphicFrame macro="">
      <xdr:nvGraphicFramePr>
        <xdr:cNvPr id="2" name="STS_1_Chart1">
          <a:extLst>
            <a:ext uri="{FF2B5EF4-FFF2-40B4-BE49-F238E27FC236}">
              <a16:creationId xmlns:a16="http://schemas.microsoft.com/office/drawing/2014/main" id="{58DD08AF-C3C5-47C8-9FC1-5C0D05D42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22</xdr:col>
      <xdr:colOff>361950</xdr:colOff>
      <xdr:row>16</xdr:row>
      <xdr:rowOff>95250</xdr:rowOff>
    </xdr:from>
    <xdr:to>
      <xdr:col>30</xdr:col>
      <xdr:colOff>361950</xdr:colOff>
      <xdr:row>32</xdr:row>
      <xdr:rowOff>6350</xdr:rowOff>
    </xdr:to>
    <xdr:graphicFrame macro="">
      <xdr:nvGraphicFramePr>
        <xdr:cNvPr id="3" name="STS_1_Chart2">
          <a:extLst>
            <a:ext uri="{FF2B5EF4-FFF2-40B4-BE49-F238E27FC236}">
              <a16:creationId xmlns:a16="http://schemas.microsoft.com/office/drawing/2014/main" id="{47BF460A-4E34-4896-9E0D-2DAE285B4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20</xdr:col>
      <xdr:colOff>361950</xdr:colOff>
      <xdr:row>3</xdr:row>
      <xdr:rowOff>19050</xdr:rowOff>
    </xdr:from>
    <xdr:to>
      <xdr:col>26</xdr:col>
      <xdr:colOff>361950</xdr:colOff>
      <xdr:row>3</xdr:row>
      <xdr:rowOff>1352550</xdr:rowOff>
    </xdr:to>
    <xdr:sp macro="" textlink="">
      <xdr:nvSpPr>
        <xdr:cNvPr id="4" name="TextBox 3">
          <a:extLst>
            <a:ext uri="{FF2B5EF4-FFF2-40B4-BE49-F238E27FC236}">
              <a16:creationId xmlns:a16="http://schemas.microsoft.com/office/drawing/2014/main" id="{ECD508B8-7E6B-41FD-BBCD-7EDF6FB2DA6B}"/>
            </a:ext>
          </a:extLst>
        </xdr:cNvPr>
        <xdr:cNvSpPr txBox="1"/>
      </xdr:nvSpPr>
      <xdr:spPr>
        <a:xfrm>
          <a:off x="13779500"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By making appropriate selections in cells $N$4, $O$4, $R$4, and $S$4, you can chart any row (in left chart) or column (in right chart) of any table to the left.</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520700</xdr:colOff>
      <xdr:row>12</xdr:row>
      <xdr:rowOff>69850</xdr:rowOff>
    </xdr:from>
    <xdr:to>
      <xdr:col>17</xdr:col>
      <xdr:colOff>520700</xdr:colOff>
      <xdr:row>27</xdr:row>
      <xdr:rowOff>165100</xdr:rowOff>
    </xdr:to>
    <xdr:graphicFrame macro="">
      <xdr:nvGraphicFramePr>
        <xdr:cNvPr id="2" name="STS_1_Chart">
          <a:extLst>
            <a:ext uri="{FF2B5EF4-FFF2-40B4-BE49-F238E27FC236}">
              <a16:creationId xmlns:a16="http://schemas.microsoft.com/office/drawing/2014/main" id="{D5A0860A-6BF9-4B94-9586-5E06A4392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520700</xdr:colOff>
      <xdr:row>3</xdr:row>
      <xdr:rowOff>19050</xdr:rowOff>
    </xdr:from>
    <xdr:to>
      <xdr:col>15</xdr:col>
      <xdr:colOff>520700</xdr:colOff>
      <xdr:row>3</xdr:row>
      <xdr:rowOff>781050</xdr:rowOff>
    </xdr:to>
    <xdr:sp macro="" textlink="">
      <xdr:nvSpPr>
        <xdr:cNvPr id="3" name="TextBox 2">
          <a:extLst>
            <a:ext uri="{FF2B5EF4-FFF2-40B4-BE49-F238E27FC236}">
              <a16:creationId xmlns:a16="http://schemas.microsoft.com/office/drawing/2014/main" id="{B649E4E9-A5ED-43AE-B6BB-29E00A22C823}"/>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3</xdr:col>
      <xdr:colOff>69850</xdr:colOff>
      <xdr:row>6</xdr:row>
      <xdr:rowOff>120651</xdr:rowOff>
    </xdr:from>
    <xdr:ext cx="2196778" cy="2108199"/>
    <xdr:pic>
      <xdr:nvPicPr>
        <xdr:cNvPr id="3" name="Picture 2">
          <a:extLst>
            <a:ext uri="{FF2B5EF4-FFF2-40B4-BE49-F238E27FC236}">
              <a16:creationId xmlns:a16="http://schemas.microsoft.com/office/drawing/2014/main" id="{AB0CDD51-B000-44DC-8E12-4B4826939D93}"/>
            </a:ext>
          </a:extLst>
        </xdr:cNvPr>
        <xdr:cNvPicPr>
          <a:picLocks noChangeAspect="1"/>
        </xdr:cNvPicPr>
      </xdr:nvPicPr>
      <xdr:blipFill>
        <a:blip xmlns:r="http://schemas.openxmlformats.org/officeDocument/2006/relationships" r:embed="rId1"/>
        <a:stretch>
          <a:fillRect/>
        </a:stretch>
      </xdr:blipFill>
      <xdr:spPr>
        <a:xfrm>
          <a:off x="8699500" y="1225551"/>
          <a:ext cx="2196778" cy="2108199"/>
        </a:xfrm>
        <a:prstGeom prst="rect">
          <a:avLst/>
        </a:prstGeom>
      </xdr:spPr>
    </xdr:pic>
    <xdr:clientData/>
  </xdr:oneCellAnchor>
  <xdr:twoCellAnchor>
    <xdr:from>
      <xdr:col>6</xdr:col>
      <xdr:colOff>222250</xdr:colOff>
      <xdr:row>1</xdr:row>
      <xdr:rowOff>158750</xdr:rowOff>
    </xdr:from>
    <xdr:to>
      <xdr:col>10</xdr:col>
      <xdr:colOff>514350</xdr:colOff>
      <xdr:row>17</xdr:row>
      <xdr:rowOff>69850</xdr:rowOff>
    </xdr:to>
    <xdr:sp macro="" textlink="">
      <xdr:nvSpPr>
        <xdr:cNvPr id="4" name="TextBox 3">
          <a:extLst>
            <a:ext uri="{FF2B5EF4-FFF2-40B4-BE49-F238E27FC236}">
              <a16:creationId xmlns:a16="http://schemas.microsoft.com/office/drawing/2014/main" id="{5E0FBA9C-5921-4AD6-9E8A-F6CD6B1F40FA}"/>
            </a:ext>
          </a:extLst>
        </xdr:cNvPr>
        <xdr:cNvSpPr txBox="1"/>
      </xdr:nvSpPr>
      <xdr:spPr>
        <a:xfrm>
          <a:off x="10960100" y="342900"/>
          <a:ext cx="2730500"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 The company will minimize cost at $21,733 by</a:t>
          </a:r>
          <a:r>
            <a:rPr lang="en-US" sz="1100" baseline="0">
              <a:solidFill>
                <a:schemeClr val="dk1"/>
              </a:solidFill>
              <a:effectLst/>
              <a:latin typeface="+mn-lt"/>
              <a:ea typeface="+mn-ea"/>
              <a:cs typeface="+mn-cs"/>
            </a:rPr>
            <a:t> producing 2000 pounds of drug 1 in LA, 2666.67 pounds of drug 2 in Indianapolis and 333.33 pounds of drug 2 in LA and will meet all requirements.</a:t>
          </a:r>
        </a:p>
        <a:p>
          <a:endParaRPr lang="en-IN">
            <a:effectLst/>
          </a:endParaRPr>
        </a:p>
        <a:p>
          <a:r>
            <a:rPr lang="en-US" sz="1100" baseline="0">
              <a:solidFill>
                <a:schemeClr val="dk1"/>
              </a:solidFill>
              <a:effectLst/>
              <a:latin typeface="+mn-lt"/>
              <a:ea typeface="+mn-ea"/>
              <a:cs typeface="+mn-cs"/>
            </a:rPr>
            <a:t>b. The company will not change their costs by changing capcity in LA but will continue to reduce costs by adding capacity to Indianapolis. The total cost by changing capacity to 850 in Indianapolis is reduced to $22166.67.</a:t>
          </a:r>
        </a:p>
        <a:p>
          <a:endParaRPr lang="en-IN">
            <a:effectLst/>
          </a:endParaRPr>
        </a:p>
        <a:p>
          <a:r>
            <a:rPr lang="en-US" sz="1100" baseline="0">
              <a:solidFill>
                <a:schemeClr val="dk1"/>
              </a:solidFill>
              <a:effectLst/>
              <a:latin typeface="+mn-lt"/>
              <a:ea typeface="+mn-ea"/>
              <a:cs typeface="+mn-cs"/>
            </a:rPr>
            <a:t>Additional: a two way sensitivity analysis was done to assess the change in both drug 1 and 2 in increments of 100. The analysis shows profitability increases for total amount of drug 1 and maxes out at 2200, and increases for drug 2 but maxes outat a demand of 3100. At this point other constraints cannot be met. The total profitability at each demand level can be found in the table on sheet 3.42 additional. </a:t>
          </a:r>
          <a:endParaRPr lang="en-IN">
            <a:effectLst/>
          </a:endParaRP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0</xdr:colOff>
      <xdr:row>13</xdr:row>
      <xdr:rowOff>76200</xdr:rowOff>
    </xdr:from>
    <xdr:to>
      <xdr:col>17</xdr:col>
      <xdr:colOff>0</xdr:colOff>
      <xdr:row>28</xdr:row>
      <xdr:rowOff>171450</xdr:rowOff>
    </xdr:to>
    <xdr:graphicFrame macro="">
      <xdr:nvGraphicFramePr>
        <xdr:cNvPr id="2" name="STS_1_Chart1">
          <a:extLst>
            <a:ext uri="{FF2B5EF4-FFF2-40B4-BE49-F238E27FC236}">
              <a16:creationId xmlns:a16="http://schemas.microsoft.com/office/drawing/2014/main" id="{712DFB6C-2B9B-42ED-91FA-3566F3F7F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0</xdr:colOff>
      <xdr:row>13</xdr:row>
      <xdr:rowOff>76200</xdr:rowOff>
    </xdr:from>
    <xdr:to>
      <xdr:col>26</xdr:col>
      <xdr:colOff>0</xdr:colOff>
      <xdr:row>28</xdr:row>
      <xdr:rowOff>171450</xdr:rowOff>
    </xdr:to>
    <xdr:graphicFrame macro="">
      <xdr:nvGraphicFramePr>
        <xdr:cNvPr id="3" name="STS_1_Chart2">
          <a:extLst>
            <a:ext uri="{FF2B5EF4-FFF2-40B4-BE49-F238E27FC236}">
              <a16:creationId xmlns:a16="http://schemas.microsoft.com/office/drawing/2014/main" id="{C45A8FC9-FE8C-4427-A5D5-0C5258A3D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0</xdr:colOff>
      <xdr:row>3</xdr:row>
      <xdr:rowOff>19050</xdr:rowOff>
    </xdr:from>
    <xdr:to>
      <xdr:col>22</xdr:col>
      <xdr:colOff>0</xdr:colOff>
      <xdr:row>7</xdr:row>
      <xdr:rowOff>146050</xdr:rowOff>
    </xdr:to>
    <xdr:sp macro="" textlink="">
      <xdr:nvSpPr>
        <xdr:cNvPr id="4" name="TextBox 3">
          <a:extLst>
            <a:ext uri="{FF2B5EF4-FFF2-40B4-BE49-F238E27FC236}">
              <a16:creationId xmlns:a16="http://schemas.microsoft.com/office/drawing/2014/main" id="{96C0615A-0D75-44B4-B241-CA8BB06123FC}"/>
            </a:ext>
          </a:extLst>
        </xdr:cNvPr>
        <xdr:cNvSpPr txBox="1"/>
      </xdr:nvSpPr>
      <xdr:spPr>
        <a:xfrm>
          <a:off x="11017250"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By making appropriate selections in cells $K$4, $L$4, $O$4, and $P$4, you can chart any row (in left chart) or column (in right chart) of any table to the left.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6</xdr:col>
      <xdr:colOff>304800</xdr:colOff>
      <xdr:row>9</xdr:row>
      <xdr:rowOff>50800</xdr:rowOff>
    </xdr:from>
    <xdr:to>
      <xdr:col>14</xdr:col>
      <xdr:colOff>304800</xdr:colOff>
      <xdr:row>24</xdr:row>
      <xdr:rowOff>146050</xdr:rowOff>
    </xdr:to>
    <xdr:graphicFrame macro="">
      <xdr:nvGraphicFramePr>
        <xdr:cNvPr id="2" name="STS_1_Chart1">
          <a:extLst>
            <a:ext uri="{FF2B5EF4-FFF2-40B4-BE49-F238E27FC236}">
              <a16:creationId xmlns:a16="http://schemas.microsoft.com/office/drawing/2014/main" id="{8D7E30CC-D413-4092-AF9D-68CB1305D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304800</xdr:colOff>
      <xdr:row>9</xdr:row>
      <xdr:rowOff>50800</xdr:rowOff>
    </xdr:from>
    <xdr:to>
      <xdr:col>23</xdr:col>
      <xdr:colOff>304800</xdr:colOff>
      <xdr:row>24</xdr:row>
      <xdr:rowOff>146050</xdr:rowOff>
    </xdr:to>
    <xdr:graphicFrame macro="">
      <xdr:nvGraphicFramePr>
        <xdr:cNvPr id="3" name="STS_1_Chart2">
          <a:extLst>
            <a:ext uri="{FF2B5EF4-FFF2-40B4-BE49-F238E27FC236}">
              <a16:creationId xmlns:a16="http://schemas.microsoft.com/office/drawing/2014/main" id="{05C7D4C9-FCF5-427C-89FD-56FAF20B2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304800</xdr:colOff>
      <xdr:row>3</xdr:row>
      <xdr:rowOff>19050</xdr:rowOff>
    </xdr:from>
    <xdr:to>
      <xdr:col>23</xdr:col>
      <xdr:colOff>304800</xdr:colOff>
      <xdr:row>7</xdr:row>
      <xdr:rowOff>146050</xdr:rowOff>
    </xdr:to>
    <xdr:sp macro="" textlink="">
      <xdr:nvSpPr>
        <xdr:cNvPr id="4" name="TextBox 3">
          <a:extLst>
            <a:ext uri="{FF2B5EF4-FFF2-40B4-BE49-F238E27FC236}">
              <a16:creationId xmlns:a16="http://schemas.microsoft.com/office/drawing/2014/main" id="{FEF8A59D-2F90-4884-866D-7CE8EF77C17D}"/>
            </a:ext>
          </a:extLst>
        </xdr:cNvPr>
        <xdr:cNvSpPr txBox="1"/>
      </xdr:nvSpPr>
      <xdr:spPr>
        <a:xfrm>
          <a:off x="11017250"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By making appropriate selections in cells $K$4, $L$4, $O$4, and $P$4, you can chart any row (in left chart) or column (in right chart) of any table to the left.</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412750</xdr:colOff>
      <xdr:row>11</xdr:row>
      <xdr:rowOff>95249</xdr:rowOff>
    </xdr:from>
    <xdr:ext cx="2743200" cy="2698817"/>
    <xdr:pic>
      <xdr:nvPicPr>
        <xdr:cNvPr id="2" name="Picture 1">
          <a:extLst>
            <a:ext uri="{FF2B5EF4-FFF2-40B4-BE49-F238E27FC236}">
              <a16:creationId xmlns:a16="http://schemas.microsoft.com/office/drawing/2014/main" id="{9E8733E4-29F5-42B3-9A4F-E19B0B077468}"/>
            </a:ext>
          </a:extLst>
        </xdr:cNvPr>
        <xdr:cNvPicPr>
          <a:picLocks noChangeAspect="1"/>
        </xdr:cNvPicPr>
      </xdr:nvPicPr>
      <xdr:blipFill>
        <a:blip xmlns:r="http://schemas.openxmlformats.org/officeDocument/2006/relationships" r:embed="rId1"/>
        <a:stretch>
          <a:fillRect/>
        </a:stretch>
      </xdr:blipFill>
      <xdr:spPr>
        <a:xfrm>
          <a:off x="2489200" y="2120899"/>
          <a:ext cx="2743200" cy="2698817"/>
        </a:xfrm>
        <a:prstGeom prst="rect">
          <a:avLst/>
        </a:prstGeom>
      </xdr:spPr>
    </xdr:pic>
    <xdr:clientData/>
  </xdr:oneCellAnchor>
  <xdr:twoCellAnchor>
    <xdr:from>
      <xdr:col>7</xdr:col>
      <xdr:colOff>596900</xdr:colOff>
      <xdr:row>8</xdr:row>
      <xdr:rowOff>25400</xdr:rowOff>
    </xdr:from>
    <xdr:to>
      <xdr:col>14</xdr:col>
      <xdr:colOff>393700</xdr:colOff>
      <xdr:row>21</xdr:row>
      <xdr:rowOff>31750</xdr:rowOff>
    </xdr:to>
    <xdr:sp macro="" textlink="">
      <xdr:nvSpPr>
        <xdr:cNvPr id="3" name="TextBox 2">
          <a:extLst>
            <a:ext uri="{FF2B5EF4-FFF2-40B4-BE49-F238E27FC236}">
              <a16:creationId xmlns:a16="http://schemas.microsoft.com/office/drawing/2014/main" id="{C1630A0D-CA2E-45B2-B55D-B8C9E32FA446}"/>
            </a:ext>
          </a:extLst>
        </xdr:cNvPr>
        <xdr:cNvSpPr txBox="1"/>
      </xdr:nvSpPr>
      <xdr:spPr>
        <a:xfrm>
          <a:off x="6330950" y="1498600"/>
          <a:ext cx="4114800"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 The</a:t>
          </a:r>
          <a:r>
            <a:rPr lang="en-US" sz="1100" baseline="0">
              <a:solidFill>
                <a:schemeClr val="dk1"/>
              </a:solidFill>
              <a:effectLst/>
              <a:latin typeface="+mn-lt"/>
              <a:ea typeface="+mn-ea"/>
              <a:cs typeface="+mn-cs"/>
            </a:rPr>
            <a:t> min number of officers needed to meet all shift requirements is 21. </a:t>
          </a:r>
        </a:p>
        <a:p>
          <a:endParaRPr lang="en-IN">
            <a:effectLst/>
          </a:endParaRPr>
        </a:p>
        <a:p>
          <a:r>
            <a:rPr lang="en-US" sz="1100" baseline="0">
              <a:solidFill>
                <a:schemeClr val="dk1"/>
              </a:solidFill>
              <a:effectLst/>
              <a:latin typeface="+mn-lt"/>
              <a:ea typeface="+mn-ea"/>
              <a:cs typeface="+mn-cs"/>
            </a:rPr>
            <a:t>b. The total number of officers needed does not change until the min officers required from 8a-12p increases to 9. The total number of officers required at this point is 22.</a:t>
          </a:r>
        </a:p>
        <a:p>
          <a:endParaRPr lang="en-IN">
            <a:effectLst/>
          </a:endParaRPr>
        </a:p>
        <a:p>
          <a:r>
            <a:rPr lang="en-US" sz="1100" baseline="0">
              <a:solidFill>
                <a:schemeClr val="dk1"/>
              </a:solidFill>
              <a:effectLst/>
              <a:latin typeface="+mn-lt"/>
              <a:ea typeface="+mn-ea"/>
              <a:cs typeface="+mn-cs"/>
            </a:rPr>
            <a:t>Additional: A sensitivity analysis was completed to assess the change in min req officers between the hours of 4p-8p from 5 to 12 in increments of 1. At 5-10 only 21 total officers are needed and total officers increase for each at 11-12, totaling 23 officers when 12 are needed for this shift. </a:t>
          </a:r>
          <a:endParaRPr lang="en-IN">
            <a:effectLst/>
          </a:endParaRPr>
        </a:p>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10</xdr:col>
      <xdr:colOff>0</xdr:colOff>
      <xdr:row>12</xdr:row>
      <xdr:rowOff>69850</xdr:rowOff>
    </xdr:from>
    <xdr:to>
      <xdr:col>18</xdr:col>
      <xdr:colOff>0</xdr:colOff>
      <xdr:row>27</xdr:row>
      <xdr:rowOff>165100</xdr:rowOff>
    </xdr:to>
    <xdr:graphicFrame macro="">
      <xdr:nvGraphicFramePr>
        <xdr:cNvPr id="2" name="STS_1_Chart">
          <a:extLst>
            <a:ext uri="{FF2B5EF4-FFF2-40B4-BE49-F238E27FC236}">
              <a16:creationId xmlns:a16="http://schemas.microsoft.com/office/drawing/2014/main" id="{16A1DBA3-D3CA-4A9F-8043-DA5375434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3</xdr:row>
      <xdr:rowOff>781050</xdr:rowOff>
    </xdr:to>
    <xdr:sp macro="" textlink="">
      <xdr:nvSpPr>
        <xdr:cNvPr id="3" name="TextBox 2">
          <a:extLst>
            <a:ext uri="{FF2B5EF4-FFF2-40B4-BE49-F238E27FC236}">
              <a16:creationId xmlns:a16="http://schemas.microsoft.com/office/drawing/2014/main" id="{229F3C77-2774-4677-9CAB-BEF4809F6BFB}"/>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10</xdr:col>
      <xdr:colOff>0</xdr:colOff>
      <xdr:row>13</xdr:row>
      <xdr:rowOff>76200</xdr:rowOff>
    </xdr:from>
    <xdr:to>
      <xdr:col>18</xdr:col>
      <xdr:colOff>0</xdr:colOff>
      <xdr:row>28</xdr:row>
      <xdr:rowOff>171450</xdr:rowOff>
    </xdr:to>
    <xdr:graphicFrame macro="">
      <xdr:nvGraphicFramePr>
        <xdr:cNvPr id="2" name="STS_1_Chart">
          <a:extLst>
            <a:ext uri="{FF2B5EF4-FFF2-40B4-BE49-F238E27FC236}">
              <a16:creationId xmlns:a16="http://schemas.microsoft.com/office/drawing/2014/main" id="{7162BAC0-13B5-4C2F-9F9B-434412445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3</xdr:row>
      <xdr:rowOff>781050</xdr:rowOff>
    </xdr:to>
    <xdr:sp macro="" textlink="">
      <xdr:nvSpPr>
        <xdr:cNvPr id="3" name="TextBox 2">
          <a:extLst>
            <a:ext uri="{FF2B5EF4-FFF2-40B4-BE49-F238E27FC236}">
              <a16:creationId xmlns:a16="http://schemas.microsoft.com/office/drawing/2014/main" id="{54D7CAD4-C526-41DD-BBDE-CD72A785DEB2}"/>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ttl/Desktop/Assignment2_SCM518_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38(a)"/>
      <sheetName val="4.50(a)"/>
      <sheetName val="4.50_STS"/>
      <sheetName val="4.50(a)_STS"/>
      <sheetName val="4.50(b)"/>
      <sheetName val="4.50(c)"/>
      <sheetName val="4.50(d)"/>
    </sheetNames>
    <sheetDataSet>
      <sheetData sheetId="0">
        <row r="11">
          <cell r="B11">
            <v>0.7</v>
          </cell>
          <cell r="C11">
            <v>0.8</v>
          </cell>
        </row>
        <row r="12">
          <cell r="B12">
            <v>0.75</v>
          </cell>
          <cell r="C12">
            <v>0.9</v>
          </cell>
        </row>
        <row r="15">
          <cell r="B15">
            <v>0.75</v>
          </cell>
          <cell r="C15">
            <v>1.2</v>
          </cell>
        </row>
        <row r="16">
          <cell r="B16">
            <v>0.75</v>
          </cell>
          <cell r="C16">
            <v>1</v>
          </cell>
        </row>
        <row r="19">
          <cell r="B19">
            <v>16.5</v>
          </cell>
          <cell r="C19">
            <v>18</v>
          </cell>
        </row>
        <row r="20">
          <cell r="B20">
            <v>13.5</v>
          </cell>
          <cell r="C20">
            <v>14.5</v>
          </cell>
        </row>
        <row r="27">
          <cell r="B27">
            <v>125</v>
          </cell>
          <cell r="F27">
            <v>250</v>
          </cell>
        </row>
        <row r="28">
          <cell r="B28">
            <v>150</v>
          </cell>
          <cell r="C28">
            <v>20</v>
          </cell>
          <cell r="F28">
            <v>170</v>
          </cell>
        </row>
        <row r="32">
          <cell r="D32">
            <v>200</v>
          </cell>
        </row>
        <row r="33">
          <cell r="D33">
            <v>200</v>
          </cell>
        </row>
        <row r="37">
          <cell r="B37">
            <v>206.25</v>
          </cell>
        </row>
        <row r="38">
          <cell r="B38">
            <v>20</v>
          </cell>
        </row>
        <row r="40">
          <cell r="D40">
            <v>400</v>
          </cell>
        </row>
      </sheetData>
      <sheetData sheetId="1">
        <row r="5">
          <cell r="B5">
            <v>2.25</v>
          </cell>
        </row>
        <row r="6">
          <cell r="B6">
            <v>1.35</v>
          </cell>
        </row>
        <row r="7">
          <cell r="B7">
            <v>2</v>
          </cell>
        </row>
        <row r="8">
          <cell r="B8">
            <v>1.2000000476837158</v>
          </cell>
        </row>
        <row r="9">
          <cell r="B9">
            <v>10</v>
          </cell>
        </row>
        <row r="20">
          <cell r="B20">
            <v>6</v>
          </cell>
          <cell r="C20">
            <v>9</v>
          </cell>
        </row>
        <row r="21">
          <cell r="B21">
            <v>26666.666015625</v>
          </cell>
          <cell r="C21">
            <v>53333.33203125</v>
          </cell>
          <cell r="F21">
            <v>8</v>
          </cell>
        </row>
        <row r="22">
          <cell r="B22">
            <v>193333.328125</v>
          </cell>
          <cell r="C22">
            <v>96666.6640625</v>
          </cell>
          <cell r="F22">
            <v>7</v>
          </cell>
        </row>
        <row r="27">
          <cell r="D27">
            <v>220000</v>
          </cell>
          <cell r="I27">
            <v>639999.984375</v>
          </cell>
          <cell r="K27">
            <v>799999.98046875</v>
          </cell>
        </row>
        <row r="28">
          <cell r="D28">
            <v>150000</v>
          </cell>
          <cell r="I28">
            <v>2029999.9453125</v>
          </cell>
          <cell r="K28">
            <v>2899999.921875</v>
          </cell>
        </row>
        <row r="31">
          <cell r="B31">
            <v>0.89999999999999991</v>
          </cell>
        </row>
        <row r="32">
          <cell r="B32">
            <v>0.79999995231628418</v>
          </cell>
        </row>
        <row r="34">
          <cell r="B34">
            <v>71999.998242187488</v>
          </cell>
        </row>
        <row r="35">
          <cell r="B35">
            <v>231999.97992172278</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09479-66B1-4652-A94F-5379D5BD3BDD}">
  <dimension ref="A1:L54"/>
  <sheetViews>
    <sheetView workbookViewId="0">
      <selection activeCell="D45" sqref="D45:D48"/>
    </sheetView>
  </sheetViews>
  <sheetFormatPr defaultColWidth="9.19921875" defaultRowHeight="14.25" x14ac:dyDescent="0.45"/>
  <cols>
    <col min="1" max="1" width="29.46484375" style="39" customWidth="1"/>
    <col min="2" max="3" width="10" style="39" bestFit="1" customWidth="1"/>
    <col min="4" max="4" width="14.53125" style="39" customWidth="1"/>
    <col min="5" max="5" width="10" style="39" bestFit="1" customWidth="1"/>
    <col min="6" max="6" width="19.9296875" style="39" bestFit="1" customWidth="1"/>
    <col min="7" max="10" width="9.19921875" style="39"/>
    <col min="11" max="11" width="33.19921875" style="39" bestFit="1" customWidth="1"/>
    <col min="12" max="12" width="18.19921875" style="39" bestFit="1" customWidth="1"/>
    <col min="13" max="16384" width="9.19921875" style="39"/>
  </cols>
  <sheetData>
    <row r="1" spans="1:12" x14ac:dyDescent="0.45">
      <c r="A1" s="47" t="s">
        <v>208</v>
      </c>
    </row>
    <row r="2" spans="1:12" x14ac:dyDescent="0.45">
      <c r="K2" s="54" t="s">
        <v>34</v>
      </c>
    </row>
    <row r="3" spans="1:12" x14ac:dyDescent="0.45">
      <c r="B3" s="94" t="s">
        <v>145</v>
      </c>
      <c r="C3" s="94"/>
      <c r="D3" s="94" t="s">
        <v>133</v>
      </c>
      <c r="E3" s="94"/>
      <c r="K3" s="39" t="s">
        <v>207</v>
      </c>
      <c r="L3" s="39" t="s">
        <v>206</v>
      </c>
    </row>
    <row r="4" spans="1:12" x14ac:dyDescent="0.45">
      <c r="B4" s="53" t="s">
        <v>137</v>
      </c>
      <c r="C4" s="53" t="s">
        <v>136</v>
      </c>
      <c r="D4" s="53" t="s">
        <v>137</v>
      </c>
      <c r="E4" s="53" t="s">
        <v>136</v>
      </c>
      <c r="K4" s="39" t="s">
        <v>205</v>
      </c>
      <c r="L4" s="39" t="s">
        <v>204</v>
      </c>
    </row>
    <row r="5" spans="1:12" x14ac:dyDescent="0.45">
      <c r="A5" s="39" t="s">
        <v>203</v>
      </c>
      <c r="B5" s="52">
        <v>0.7</v>
      </c>
      <c r="C5" s="52">
        <v>0.8</v>
      </c>
      <c r="D5" s="52">
        <v>0.75</v>
      </c>
      <c r="E5" s="52">
        <v>0.9</v>
      </c>
      <c r="K5" s="39" t="s">
        <v>202</v>
      </c>
      <c r="L5" s="39" t="s">
        <v>201</v>
      </c>
    </row>
    <row r="6" spans="1:12" x14ac:dyDescent="0.45">
      <c r="A6" s="39" t="s">
        <v>200</v>
      </c>
      <c r="B6" s="52">
        <v>0.75</v>
      </c>
      <c r="C6" s="52">
        <v>1.2</v>
      </c>
      <c r="D6" s="52">
        <v>0.75</v>
      </c>
      <c r="E6" s="52">
        <v>1</v>
      </c>
      <c r="K6" s="39" t="s">
        <v>199</v>
      </c>
      <c r="L6" s="39" t="s">
        <v>198</v>
      </c>
    </row>
    <row r="7" spans="1:12" x14ac:dyDescent="0.45">
      <c r="A7" s="39" t="s">
        <v>197</v>
      </c>
      <c r="B7" s="51">
        <v>16.5</v>
      </c>
      <c r="C7" s="51">
        <v>18</v>
      </c>
      <c r="D7" s="51">
        <v>13.5</v>
      </c>
      <c r="E7" s="51">
        <v>14.5</v>
      </c>
      <c r="K7" s="39" t="s">
        <v>196</v>
      </c>
      <c r="L7" s="39" t="s">
        <v>195</v>
      </c>
    </row>
    <row r="8" spans="1:12" x14ac:dyDescent="0.45">
      <c r="B8" s="50"/>
      <c r="C8" s="50"/>
      <c r="D8" s="50"/>
      <c r="E8" s="50"/>
      <c r="K8" s="39" t="s">
        <v>194</v>
      </c>
      <c r="L8" s="39" t="s">
        <v>193</v>
      </c>
    </row>
    <row r="9" spans="1:12" x14ac:dyDescent="0.45">
      <c r="A9" s="39" t="s">
        <v>192</v>
      </c>
      <c r="B9" s="49">
        <v>250</v>
      </c>
      <c r="K9" s="39" t="s">
        <v>191</v>
      </c>
      <c r="L9" s="39" t="s">
        <v>190</v>
      </c>
    </row>
    <row r="10" spans="1:12" x14ac:dyDescent="0.45">
      <c r="A10" s="39" t="s">
        <v>189</v>
      </c>
      <c r="B10" s="49">
        <v>170</v>
      </c>
      <c r="K10" s="39" t="s">
        <v>188</v>
      </c>
      <c r="L10" s="39" t="s">
        <v>187</v>
      </c>
    </row>
    <row r="11" spans="1:12" x14ac:dyDescent="0.45">
      <c r="A11" s="39" t="s">
        <v>186</v>
      </c>
      <c r="B11" s="48">
        <v>0.5</v>
      </c>
      <c r="K11" s="39" t="s">
        <v>185</v>
      </c>
      <c r="L11" s="39" t="s">
        <v>184</v>
      </c>
    </row>
    <row r="12" spans="1:12" x14ac:dyDescent="0.45">
      <c r="A12" s="39" t="s">
        <v>183</v>
      </c>
      <c r="B12" s="48">
        <v>0.5</v>
      </c>
      <c r="K12" s="39" t="s">
        <v>182</v>
      </c>
      <c r="L12" s="39" t="s">
        <v>181</v>
      </c>
    </row>
    <row r="13" spans="1:12" x14ac:dyDescent="0.45">
      <c r="A13" s="47" t="s">
        <v>180</v>
      </c>
      <c r="B13" s="39" t="s">
        <v>179</v>
      </c>
      <c r="K13" s="39" t="s">
        <v>178</v>
      </c>
      <c r="L13" s="39" t="s">
        <v>177</v>
      </c>
    </row>
    <row r="14" spans="1:12" x14ac:dyDescent="0.45">
      <c r="A14" s="47" t="s">
        <v>176</v>
      </c>
      <c r="B14" s="39" t="s">
        <v>175</v>
      </c>
      <c r="K14" s="39" t="s">
        <v>174</v>
      </c>
      <c r="L14" s="39" t="s">
        <v>173</v>
      </c>
    </row>
    <row r="15" spans="1:12" x14ac:dyDescent="0.45">
      <c r="B15" s="39" t="s">
        <v>172</v>
      </c>
      <c r="K15" s="39" t="s">
        <v>171</v>
      </c>
      <c r="L15" s="39" t="s">
        <v>170</v>
      </c>
    </row>
    <row r="16" spans="1:12" x14ac:dyDescent="0.45">
      <c r="B16" s="39" t="s">
        <v>169</v>
      </c>
      <c r="K16" s="39" t="s">
        <v>168</v>
      </c>
      <c r="L16" s="39" t="s">
        <v>167</v>
      </c>
    </row>
    <row r="17" spans="1:12" x14ac:dyDescent="0.45">
      <c r="B17" s="39" t="s">
        <v>166</v>
      </c>
      <c r="K17" s="39" t="s">
        <v>165</v>
      </c>
      <c r="L17" s="39" t="s">
        <v>164</v>
      </c>
    </row>
    <row r="18" spans="1:12" x14ac:dyDescent="0.45">
      <c r="B18" s="39" t="s">
        <v>163</v>
      </c>
      <c r="K18" s="39" t="s">
        <v>162</v>
      </c>
      <c r="L18" s="39" t="s">
        <v>161</v>
      </c>
    </row>
    <row r="19" spans="1:12" x14ac:dyDescent="0.45">
      <c r="B19" s="39" t="s">
        <v>160</v>
      </c>
      <c r="K19" s="39" t="s">
        <v>159</v>
      </c>
      <c r="L19" s="39" t="s">
        <v>158</v>
      </c>
    </row>
    <row r="20" spans="1:12" x14ac:dyDescent="0.45">
      <c r="A20" s="47" t="s">
        <v>157</v>
      </c>
      <c r="B20" s="39" t="s">
        <v>156</v>
      </c>
      <c r="K20" s="39" t="s">
        <v>155</v>
      </c>
      <c r="L20" s="39" t="s">
        <v>154</v>
      </c>
    </row>
    <row r="21" spans="1:12" x14ac:dyDescent="0.45">
      <c r="K21" s="39" t="s">
        <v>153</v>
      </c>
      <c r="L21" s="39" t="s">
        <v>152</v>
      </c>
    </row>
    <row r="22" spans="1:12" x14ac:dyDescent="0.45">
      <c r="K22" s="39" t="s">
        <v>151</v>
      </c>
      <c r="L22" s="39" t="s">
        <v>150</v>
      </c>
    </row>
    <row r="23" spans="1:12" x14ac:dyDescent="0.45">
      <c r="B23" s="39" t="s">
        <v>137</v>
      </c>
      <c r="C23" s="39" t="s">
        <v>136</v>
      </c>
      <c r="D23" s="39" t="s">
        <v>149</v>
      </c>
      <c r="F23" s="39" t="s">
        <v>148</v>
      </c>
      <c r="K23" s="39" t="s">
        <v>147</v>
      </c>
      <c r="L23" s="39" t="s">
        <v>146</v>
      </c>
    </row>
    <row r="24" spans="1:12" x14ac:dyDescent="0.45">
      <c r="A24" s="39" t="s">
        <v>145</v>
      </c>
      <c r="B24" s="7">
        <v>125</v>
      </c>
      <c r="C24" s="7">
        <v>125</v>
      </c>
      <c r="D24" s="39">
        <f>SUM(B24:C24)</f>
        <v>250</v>
      </c>
      <c r="E24" s="46" t="s">
        <v>132</v>
      </c>
      <c r="F24" s="1">
        <v>250</v>
      </c>
      <c r="K24" s="39" t="s">
        <v>144</v>
      </c>
      <c r="L24" s="39" t="s">
        <v>143</v>
      </c>
    </row>
    <row r="25" spans="1:12" x14ac:dyDescent="0.45">
      <c r="C25" s="45" t="s">
        <v>132</v>
      </c>
      <c r="E25" s="47"/>
      <c r="K25" s="39" t="s">
        <v>142</v>
      </c>
      <c r="L25" s="39" t="s">
        <v>141</v>
      </c>
    </row>
    <row r="26" spans="1:12" x14ac:dyDescent="0.45">
      <c r="A26" s="39" t="s">
        <v>140</v>
      </c>
      <c r="C26" s="39">
        <f>B9*B11</f>
        <v>125</v>
      </c>
      <c r="E26" s="47"/>
      <c r="K26" s="39" t="s">
        <v>139</v>
      </c>
      <c r="L26" s="39" t="s">
        <v>138</v>
      </c>
    </row>
    <row r="27" spans="1:12" x14ac:dyDescent="0.45">
      <c r="E27" s="47"/>
      <c r="K27" s="39" t="s">
        <v>221</v>
      </c>
      <c r="L27" s="39" t="s">
        <v>222</v>
      </c>
    </row>
    <row r="28" spans="1:12" x14ac:dyDescent="0.45">
      <c r="B28" s="39" t="s">
        <v>137</v>
      </c>
      <c r="C28" s="39" t="s">
        <v>136</v>
      </c>
      <c r="D28" s="39" t="s">
        <v>135</v>
      </c>
      <c r="E28" s="47"/>
      <c r="F28" s="39" t="s">
        <v>134</v>
      </c>
    </row>
    <row r="29" spans="1:12" x14ac:dyDescent="0.45">
      <c r="A29" s="39" t="s">
        <v>133</v>
      </c>
      <c r="B29" s="7">
        <v>150</v>
      </c>
      <c r="C29" s="7">
        <v>20</v>
      </c>
      <c r="D29" s="39">
        <f>SUM(B29:C29)</f>
        <v>170</v>
      </c>
      <c r="E29" s="46" t="s">
        <v>132</v>
      </c>
      <c r="F29" s="1">
        <v>170</v>
      </c>
    </row>
    <row r="30" spans="1:12" x14ac:dyDescent="0.45">
      <c r="B30" s="45" t="s">
        <v>132</v>
      </c>
      <c r="C30" s="44"/>
    </row>
    <row r="31" spans="1:12" x14ac:dyDescent="0.45">
      <c r="A31" s="39" t="s">
        <v>131</v>
      </c>
      <c r="B31" s="39">
        <f>B10*B12</f>
        <v>85</v>
      </c>
    </row>
    <row r="33" spans="1:4" x14ac:dyDescent="0.45">
      <c r="A33" s="39" t="s">
        <v>130</v>
      </c>
      <c r="B33" s="39">
        <f>B24*B5</f>
        <v>87.5</v>
      </c>
    </row>
    <row r="34" spans="1:4" x14ac:dyDescent="0.45">
      <c r="A34" s="39" t="s">
        <v>129</v>
      </c>
      <c r="B34" s="39">
        <f>B24*B6</f>
        <v>93.75</v>
      </c>
    </row>
    <row r="36" spans="1:4" x14ac:dyDescent="0.45">
      <c r="A36" s="39" t="s">
        <v>128</v>
      </c>
      <c r="B36" s="39">
        <f>D5*B29</f>
        <v>112.5</v>
      </c>
    </row>
    <row r="37" spans="1:4" x14ac:dyDescent="0.45">
      <c r="A37" s="39" t="s">
        <v>127</v>
      </c>
      <c r="B37" s="39">
        <f>D6*B29</f>
        <v>112.5</v>
      </c>
    </row>
    <row r="39" spans="1:4" x14ac:dyDescent="0.45">
      <c r="A39" s="39" t="s">
        <v>126</v>
      </c>
      <c r="B39" s="39">
        <f>C5*C24</f>
        <v>100</v>
      </c>
    </row>
    <row r="40" spans="1:4" x14ac:dyDescent="0.45">
      <c r="A40" s="39" t="s">
        <v>125</v>
      </c>
      <c r="B40" s="39">
        <f>C24*C6</f>
        <v>150</v>
      </c>
    </row>
    <row r="42" spans="1:4" x14ac:dyDescent="0.45">
      <c r="A42" s="39" t="s">
        <v>124</v>
      </c>
      <c r="B42" s="39">
        <f>C29*E5</f>
        <v>18</v>
      </c>
    </row>
    <row r="43" spans="1:4" x14ac:dyDescent="0.45">
      <c r="A43" s="39" t="s">
        <v>123</v>
      </c>
      <c r="B43" s="39">
        <f>E6*C29</f>
        <v>20</v>
      </c>
    </row>
    <row r="45" spans="1:4" ht="42.75" x14ac:dyDescent="0.45">
      <c r="B45" s="39" t="s">
        <v>333</v>
      </c>
      <c r="D45" s="43" t="s">
        <v>122</v>
      </c>
    </row>
    <row r="46" spans="1:4" x14ac:dyDescent="0.45">
      <c r="A46" s="39" t="s">
        <v>121</v>
      </c>
      <c r="B46" s="39">
        <f>B33+B36</f>
        <v>200</v>
      </c>
      <c r="C46" s="42" t="s">
        <v>85</v>
      </c>
      <c r="D46" s="1">
        <v>200</v>
      </c>
    </row>
    <row r="47" spans="1:4" x14ac:dyDescent="0.45">
      <c r="A47" s="39" t="s">
        <v>120</v>
      </c>
      <c r="B47" s="39">
        <f>B42+B39</f>
        <v>118</v>
      </c>
      <c r="C47" s="42" t="s">
        <v>85</v>
      </c>
      <c r="D47" s="1">
        <v>200</v>
      </c>
    </row>
    <row r="48" spans="1:4" x14ac:dyDescent="0.45">
      <c r="A48" s="39" t="s">
        <v>119</v>
      </c>
      <c r="B48" s="39">
        <f>B43+B40+B37+B34</f>
        <v>376.25</v>
      </c>
      <c r="C48" s="42" t="s">
        <v>85</v>
      </c>
      <c r="D48" s="1">
        <v>400</v>
      </c>
    </row>
    <row r="50" spans="1:2" x14ac:dyDescent="0.45">
      <c r="A50" s="39" t="s">
        <v>118</v>
      </c>
      <c r="B50" s="41">
        <f>B24*B7</f>
        <v>2062.5</v>
      </c>
    </row>
    <row r="51" spans="1:2" x14ac:dyDescent="0.45">
      <c r="A51" s="39" t="s">
        <v>117</v>
      </c>
      <c r="B51" s="41">
        <f>C7*C24</f>
        <v>2250</v>
      </c>
    </row>
    <row r="52" spans="1:2" x14ac:dyDescent="0.45">
      <c r="A52" s="39" t="s">
        <v>116</v>
      </c>
      <c r="B52" s="41">
        <f>D7*B29</f>
        <v>2025</v>
      </c>
    </row>
    <row r="53" spans="1:2" x14ac:dyDescent="0.45">
      <c r="A53" s="39" t="s">
        <v>115</v>
      </c>
      <c r="B53" s="41">
        <f>C29*E7</f>
        <v>290</v>
      </c>
    </row>
    <row r="54" spans="1:2" x14ac:dyDescent="0.45">
      <c r="A54" s="39" t="s">
        <v>220</v>
      </c>
      <c r="B54" s="40">
        <f>SUM(B50:B53)</f>
        <v>6627.5</v>
      </c>
    </row>
  </sheetData>
  <mergeCells count="2">
    <mergeCell ref="B3:C3"/>
    <mergeCell ref="D3:E3"/>
  </mergeCells>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79C92-6343-434D-B5A1-534B141EFF09}">
  <dimension ref="A1:K11"/>
  <sheetViews>
    <sheetView topLeftCell="A4" workbookViewId="0">
      <selection activeCell="G26" sqref="G26"/>
    </sheetView>
  </sheetViews>
  <sheetFormatPr defaultRowHeight="14.25" x14ac:dyDescent="0.45"/>
  <sheetData>
    <row r="1" spans="1:11" x14ac:dyDescent="0.45">
      <c r="A1" s="14" t="s">
        <v>109</v>
      </c>
      <c r="K1" s="17" t="str">
        <f>CONCATENATE("Sensitivity of ",$K$4," to ","No of officers needed 8a -12pm")</f>
        <v>Sensitivity of Total_no_of_officers to No of officers needed 8a -12pm</v>
      </c>
    </row>
    <row r="3" spans="1:11" x14ac:dyDescent="0.45">
      <c r="A3" t="s">
        <v>110</v>
      </c>
      <c r="K3" t="s">
        <v>111</v>
      </c>
    </row>
    <row r="4" spans="1:11" ht="96" x14ac:dyDescent="0.45">
      <c r="B4" s="35" t="s">
        <v>106</v>
      </c>
      <c r="J4" s="17">
        <f>MATCH($K$4,OutputAddresses,0)</f>
        <v>1</v>
      </c>
      <c r="K4" s="16" t="s">
        <v>106</v>
      </c>
    </row>
    <row r="5" spans="1:11" x14ac:dyDescent="0.45">
      <c r="A5">
        <v>4</v>
      </c>
      <c r="B5" s="36">
        <v>21</v>
      </c>
      <c r="K5">
        <f>INDEX(OutputValues,1,$J$4)</f>
        <v>21</v>
      </c>
    </row>
    <row r="6" spans="1:11" x14ac:dyDescent="0.45">
      <c r="A6">
        <v>5</v>
      </c>
      <c r="B6" s="37">
        <v>21</v>
      </c>
      <c r="K6">
        <f>INDEX(OutputValues,2,$J$4)</f>
        <v>21</v>
      </c>
    </row>
    <row r="7" spans="1:11" x14ac:dyDescent="0.45">
      <c r="A7">
        <v>6</v>
      </c>
      <c r="B7" s="37">
        <v>21</v>
      </c>
      <c r="K7">
        <f>INDEX(OutputValues,3,$J$4)</f>
        <v>21</v>
      </c>
    </row>
    <row r="8" spans="1:11" x14ac:dyDescent="0.45">
      <c r="A8">
        <v>7</v>
      </c>
      <c r="B8" s="37">
        <v>21</v>
      </c>
      <c r="K8">
        <f>INDEX(OutputValues,4,$J$4)</f>
        <v>21</v>
      </c>
    </row>
    <row r="9" spans="1:11" x14ac:dyDescent="0.45">
      <c r="A9">
        <v>8</v>
      </c>
      <c r="B9" s="37">
        <v>21</v>
      </c>
      <c r="K9">
        <f>INDEX(OutputValues,5,$J$4)</f>
        <v>21</v>
      </c>
    </row>
    <row r="10" spans="1:11" x14ac:dyDescent="0.45">
      <c r="A10">
        <v>9</v>
      </c>
      <c r="B10" s="37">
        <v>21</v>
      </c>
      <c r="K10">
        <f>INDEX(OutputValues,6,$J$4)</f>
        <v>21</v>
      </c>
    </row>
    <row r="11" spans="1:11" x14ac:dyDescent="0.45">
      <c r="A11">
        <v>10</v>
      </c>
      <c r="B11" s="38">
        <v>22</v>
      </c>
      <c r="K11">
        <f>INDEX(OutputValues,7,$J$4)</f>
        <v>22</v>
      </c>
    </row>
  </sheetData>
  <dataValidations count="1">
    <dataValidation type="list" allowBlank="1" showInputMessage="1" showErrorMessage="1" sqref="K4" xr:uid="{6844CAC7-9A7F-4A41-9E25-A16ABC731FE3}">
      <formula1>OutputAddresses</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E315-3EE3-4D1E-BCA0-7394E90BD963}">
  <dimension ref="A1:K12"/>
  <sheetViews>
    <sheetView workbookViewId="0">
      <selection activeCell="E17" sqref="E17"/>
    </sheetView>
  </sheetViews>
  <sheetFormatPr defaultRowHeight="14.25" x14ac:dyDescent="0.45"/>
  <sheetData>
    <row r="1" spans="1:11" x14ac:dyDescent="0.45">
      <c r="A1" s="14" t="s">
        <v>109</v>
      </c>
      <c r="K1" s="17" t="str">
        <f>CONCATENATE("Sensitivity of ",$K$4," to ","No of officers needed 4pm-8pm")</f>
        <v>Sensitivity of Total_no_of_officers to No of officers needed 4pm-8pm</v>
      </c>
    </row>
    <row r="3" spans="1:11" x14ac:dyDescent="0.45">
      <c r="A3" t="s">
        <v>114</v>
      </c>
      <c r="K3" t="s">
        <v>111</v>
      </c>
    </row>
    <row r="4" spans="1:11" ht="96" x14ac:dyDescent="0.45">
      <c r="B4" s="35" t="s">
        <v>106</v>
      </c>
      <c r="J4" s="17">
        <f>MATCH($K$4,OutputAddresses,0)</f>
        <v>1</v>
      </c>
      <c r="K4" s="16" t="s">
        <v>106</v>
      </c>
    </row>
    <row r="5" spans="1:11" x14ac:dyDescent="0.45">
      <c r="A5">
        <v>5</v>
      </c>
      <c r="B5" s="36">
        <v>21</v>
      </c>
      <c r="K5">
        <f>INDEX(OutputValues,1,$J$4)</f>
        <v>21</v>
      </c>
    </row>
    <row r="6" spans="1:11" x14ac:dyDescent="0.45">
      <c r="A6">
        <v>6</v>
      </c>
      <c r="B6" s="37">
        <v>21</v>
      </c>
      <c r="K6">
        <f>INDEX(OutputValues,2,$J$4)</f>
        <v>21</v>
      </c>
    </row>
    <row r="7" spans="1:11" x14ac:dyDescent="0.45">
      <c r="A7">
        <v>7</v>
      </c>
      <c r="B7" s="37">
        <v>21</v>
      </c>
      <c r="K7">
        <f>INDEX(OutputValues,3,$J$4)</f>
        <v>21</v>
      </c>
    </row>
    <row r="8" spans="1:11" x14ac:dyDescent="0.45">
      <c r="A8">
        <v>8</v>
      </c>
      <c r="B8" s="37">
        <v>21</v>
      </c>
      <c r="K8">
        <f>INDEX(OutputValues,4,$J$4)</f>
        <v>21</v>
      </c>
    </row>
    <row r="9" spans="1:11" x14ac:dyDescent="0.45">
      <c r="A9">
        <v>9</v>
      </c>
      <c r="B9" s="37">
        <v>21</v>
      </c>
      <c r="K9">
        <f>INDEX(OutputValues,5,$J$4)</f>
        <v>21</v>
      </c>
    </row>
    <row r="10" spans="1:11" x14ac:dyDescent="0.45">
      <c r="A10">
        <v>10</v>
      </c>
      <c r="B10" s="37">
        <v>21</v>
      </c>
      <c r="K10">
        <f>INDEX(OutputValues,6,$J$4)</f>
        <v>21</v>
      </c>
    </row>
    <row r="11" spans="1:11" x14ac:dyDescent="0.45">
      <c r="A11">
        <v>11</v>
      </c>
      <c r="B11" s="37">
        <v>22</v>
      </c>
      <c r="K11">
        <f>INDEX(OutputValues,7,$J$4)</f>
        <v>22</v>
      </c>
    </row>
    <row r="12" spans="1:11" x14ac:dyDescent="0.45">
      <c r="A12">
        <v>12</v>
      </c>
      <c r="B12" s="38">
        <v>23</v>
      </c>
      <c r="K12">
        <f>INDEX(OutputValues,8,$J$4)</f>
        <v>23</v>
      </c>
    </row>
  </sheetData>
  <dataValidations count="1">
    <dataValidation type="list" allowBlank="1" showInputMessage="1" showErrorMessage="1" sqref="K4" xr:uid="{A0A5793C-6997-4E11-AEDC-635AEFC3272A}">
      <formula1>OutputAddresses</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50B7F-9851-41F9-9E9D-E40CB38C5FE4}">
  <dimension ref="A1:H41"/>
  <sheetViews>
    <sheetView tabSelected="1" topLeftCell="A16" workbookViewId="0">
      <selection activeCell="D44" sqref="D44"/>
    </sheetView>
  </sheetViews>
  <sheetFormatPr defaultRowHeight="14.25" x14ac:dyDescent="0.45"/>
  <cols>
    <col min="1" max="1" width="23.73046875" customWidth="1"/>
    <col min="2" max="2" width="13.73046875" customWidth="1"/>
    <col min="3" max="3" width="12.265625" customWidth="1"/>
    <col min="4" max="5" width="20.265625" customWidth="1"/>
    <col min="6" max="6" width="21.33203125" customWidth="1"/>
    <col min="7" max="7" width="23.796875" bestFit="1" customWidth="1"/>
    <col min="8" max="8" width="18.19921875" bestFit="1" customWidth="1"/>
  </cols>
  <sheetData>
    <row r="1" spans="1:8" x14ac:dyDescent="0.45">
      <c r="G1" t="s">
        <v>301</v>
      </c>
      <c r="H1" t="s">
        <v>300</v>
      </c>
    </row>
    <row r="2" spans="1:8" x14ac:dyDescent="0.45">
      <c r="A2" t="s">
        <v>299</v>
      </c>
      <c r="B2" s="72">
        <v>220000</v>
      </c>
      <c r="G2" t="s">
        <v>298</v>
      </c>
      <c r="H2" t="s">
        <v>297</v>
      </c>
    </row>
    <row r="3" spans="1:8" x14ac:dyDescent="0.45">
      <c r="A3" t="s">
        <v>296</v>
      </c>
      <c r="B3" s="72">
        <v>150000</v>
      </c>
      <c r="G3" t="s">
        <v>95</v>
      </c>
      <c r="H3" t="s">
        <v>295</v>
      </c>
    </row>
    <row r="4" spans="1:8" x14ac:dyDescent="0.45">
      <c r="A4" t="s">
        <v>294</v>
      </c>
      <c r="B4" s="71">
        <f>SUM(B2:B3)</f>
        <v>370000</v>
      </c>
      <c r="G4" t="s">
        <v>96</v>
      </c>
      <c r="H4" t="s">
        <v>293</v>
      </c>
    </row>
    <row r="5" spans="1:8" x14ac:dyDescent="0.45">
      <c r="A5" t="s">
        <v>292</v>
      </c>
      <c r="B5" s="70">
        <v>2.25</v>
      </c>
      <c r="G5" t="s">
        <v>291</v>
      </c>
      <c r="H5" t="s">
        <v>290</v>
      </c>
    </row>
    <row r="6" spans="1:8" x14ac:dyDescent="0.45">
      <c r="A6" t="s">
        <v>289</v>
      </c>
      <c r="B6" s="70">
        <v>1.3500000238418579</v>
      </c>
      <c r="G6" t="s">
        <v>288</v>
      </c>
      <c r="H6" t="s">
        <v>287</v>
      </c>
    </row>
    <row r="7" spans="1:8" x14ac:dyDescent="0.45">
      <c r="A7" t="s">
        <v>286</v>
      </c>
      <c r="B7" s="70">
        <v>2</v>
      </c>
      <c r="G7" t="s">
        <v>97</v>
      </c>
      <c r="H7" t="s">
        <v>285</v>
      </c>
    </row>
    <row r="8" spans="1:8" x14ac:dyDescent="0.45">
      <c r="A8" t="s">
        <v>284</v>
      </c>
      <c r="B8" s="70">
        <v>1.2000000476837158</v>
      </c>
      <c r="G8" t="s">
        <v>98</v>
      </c>
      <c r="H8" t="s">
        <v>283</v>
      </c>
    </row>
    <row r="9" spans="1:8" x14ac:dyDescent="0.45">
      <c r="A9" t="s">
        <v>282</v>
      </c>
      <c r="B9" s="69">
        <v>8</v>
      </c>
      <c r="G9" t="s">
        <v>281</v>
      </c>
      <c r="H9" t="s">
        <v>280</v>
      </c>
    </row>
    <row r="10" spans="1:8" x14ac:dyDescent="0.45">
      <c r="A10" t="s">
        <v>279</v>
      </c>
      <c r="B10" s="69">
        <v>7</v>
      </c>
      <c r="G10" t="s">
        <v>278</v>
      </c>
      <c r="H10" t="s">
        <v>277</v>
      </c>
    </row>
    <row r="11" spans="1:8" x14ac:dyDescent="0.45">
      <c r="B11" s="66"/>
      <c r="G11" t="s">
        <v>276</v>
      </c>
      <c r="H11" t="s">
        <v>275</v>
      </c>
    </row>
    <row r="12" spans="1:8" x14ac:dyDescent="0.45">
      <c r="A12" s="14" t="s">
        <v>180</v>
      </c>
      <c r="B12" t="s">
        <v>274</v>
      </c>
      <c r="G12" t="s">
        <v>273</v>
      </c>
      <c r="H12" t="s">
        <v>272</v>
      </c>
    </row>
    <row r="13" spans="1:8" x14ac:dyDescent="0.45">
      <c r="A13" s="14" t="s">
        <v>176</v>
      </c>
      <c r="B13" t="s">
        <v>271</v>
      </c>
      <c r="G13" t="s">
        <v>270</v>
      </c>
      <c r="H13" t="s">
        <v>269</v>
      </c>
    </row>
    <row r="14" spans="1:8" x14ac:dyDescent="0.45">
      <c r="B14" t="s">
        <v>268</v>
      </c>
      <c r="G14" t="s">
        <v>267</v>
      </c>
      <c r="H14" t="s">
        <v>266</v>
      </c>
    </row>
    <row r="15" spans="1:8" x14ac:dyDescent="0.45">
      <c r="B15" t="s">
        <v>265</v>
      </c>
      <c r="G15" t="s">
        <v>264</v>
      </c>
      <c r="H15" t="s">
        <v>263</v>
      </c>
    </row>
    <row r="16" spans="1:8" x14ac:dyDescent="0.45">
      <c r="B16" t="s">
        <v>262</v>
      </c>
      <c r="G16" t="s">
        <v>261</v>
      </c>
      <c r="H16" t="s">
        <v>260</v>
      </c>
    </row>
    <row r="17" spans="1:8" x14ac:dyDescent="0.45">
      <c r="A17" s="14" t="s">
        <v>15</v>
      </c>
      <c r="B17" t="s">
        <v>259</v>
      </c>
      <c r="G17" t="s">
        <v>258</v>
      </c>
      <c r="H17" t="s">
        <v>257</v>
      </c>
    </row>
    <row r="18" spans="1:8" x14ac:dyDescent="0.45">
      <c r="B18" t="s">
        <v>256</v>
      </c>
      <c r="G18" t="s">
        <v>255</v>
      </c>
      <c r="H18" t="s">
        <v>254</v>
      </c>
    </row>
    <row r="19" spans="1:8" x14ac:dyDescent="0.45">
      <c r="G19" t="s">
        <v>253</v>
      </c>
      <c r="H19" t="s">
        <v>252</v>
      </c>
    </row>
    <row r="20" spans="1:8" x14ac:dyDescent="0.45">
      <c r="G20" t="s">
        <v>251</v>
      </c>
      <c r="H20" t="s">
        <v>250</v>
      </c>
    </row>
    <row r="21" spans="1:8" x14ac:dyDescent="0.45">
      <c r="A21" t="s">
        <v>249</v>
      </c>
      <c r="B21" s="68">
        <v>26666</v>
      </c>
      <c r="C21" s="34"/>
      <c r="G21" t="s">
        <v>248</v>
      </c>
      <c r="H21" t="s">
        <v>247</v>
      </c>
    </row>
    <row r="22" spans="1:8" x14ac:dyDescent="0.45">
      <c r="A22" t="s">
        <v>246</v>
      </c>
      <c r="B22" s="68">
        <v>53333</v>
      </c>
      <c r="C22" s="34"/>
      <c r="G22" t="s">
        <v>245</v>
      </c>
      <c r="H22" t="s">
        <v>244</v>
      </c>
    </row>
    <row r="23" spans="1:8" x14ac:dyDescent="0.45">
      <c r="A23" t="s">
        <v>243</v>
      </c>
      <c r="B23" s="68">
        <v>193334</v>
      </c>
      <c r="C23" s="34"/>
      <c r="G23" t="s">
        <v>242</v>
      </c>
      <c r="H23" t="s">
        <v>241</v>
      </c>
    </row>
    <row r="24" spans="1:8" x14ac:dyDescent="0.45">
      <c r="A24" t="s">
        <v>240</v>
      </c>
      <c r="B24" s="68">
        <v>96667</v>
      </c>
      <c r="C24" s="34"/>
      <c r="G24" t="s">
        <v>239</v>
      </c>
      <c r="H24" t="s">
        <v>238</v>
      </c>
    </row>
    <row r="25" spans="1:8" x14ac:dyDescent="0.45">
      <c r="B25" s="67" t="s">
        <v>331</v>
      </c>
      <c r="C25" s="34"/>
      <c r="D25" s="14" t="s">
        <v>237</v>
      </c>
      <c r="G25" t="s">
        <v>236</v>
      </c>
      <c r="H25" t="s">
        <v>235</v>
      </c>
    </row>
    <row r="26" spans="1:8" x14ac:dyDescent="0.45">
      <c r="A26" t="s">
        <v>234</v>
      </c>
      <c r="B26" s="66">
        <f>No_of_G6_oranges_Juice+No_of_G6_oranges_bag</f>
        <v>220000</v>
      </c>
      <c r="C26" s="64" t="s">
        <v>85</v>
      </c>
      <c r="D26" s="75">
        <f>Grade_6_Oranges</f>
        <v>220000</v>
      </c>
      <c r="G26" t="s">
        <v>304</v>
      </c>
      <c r="H26" t="s">
        <v>305</v>
      </c>
    </row>
    <row r="27" spans="1:8" x14ac:dyDescent="0.45">
      <c r="A27" t="s">
        <v>233</v>
      </c>
      <c r="B27" s="62">
        <f>No_of_G9_oranges_juice+No_of_G9_oranges_bag</f>
        <v>150000</v>
      </c>
      <c r="C27" s="64" t="s">
        <v>85</v>
      </c>
      <c r="D27" s="75">
        <f>Grade_9_Oranges</f>
        <v>150000</v>
      </c>
    </row>
    <row r="28" spans="1:8" x14ac:dyDescent="0.45">
      <c r="C28" s="65"/>
    </row>
    <row r="29" spans="1:8" x14ac:dyDescent="0.45">
      <c r="A29" t="s">
        <v>232</v>
      </c>
      <c r="B29" s="62">
        <f>No_of_G6_oranges_Juice+No_of_G9_oranges_juice</f>
        <v>79999</v>
      </c>
      <c r="C29" s="65"/>
    </row>
    <row r="30" spans="1:8" x14ac:dyDescent="0.45">
      <c r="A30" t="s">
        <v>231</v>
      </c>
      <c r="B30" s="62">
        <f>No_of_G6_oranges_bag+No_of_G9_oranges_bag</f>
        <v>290001</v>
      </c>
      <c r="C30" s="65"/>
    </row>
    <row r="31" spans="1:8" x14ac:dyDescent="0.45">
      <c r="C31" s="65"/>
    </row>
    <row r="32" spans="1:8" x14ac:dyDescent="0.45">
      <c r="B32" t="s">
        <v>332</v>
      </c>
      <c r="C32" s="65"/>
      <c r="D32" s="14" t="s">
        <v>230</v>
      </c>
    </row>
    <row r="33" spans="1:5" x14ac:dyDescent="0.45">
      <c r="A33" t="s">
        <v>229</v>
      </c>
      <c r="B33" s="62">
        <f>((No_of_G6_oranges_Juice*6)+(No_of_G9_oranges_juice*9))</f>
        <v>639993</v>
      </c>
      <c r="C33" s="64" t="s">
        <v>132</v>
      </c>
      <c r="D33" s="75">
        <f>Quality_Requirement_Juice*Total_pounds_juice</f>
        <v>639992</v>
      </c>
      <c r="E33" s="34"/>
    </row>
    <row r="34" spans="1:5" x14ac:dyDescent="0.45">
      <c r="A34" t="s">
        <v>228</v>
      </c>
      <c r="B34" s="62">
        <f>((No_of_G6_oranges_bag*6)+(No_of_G9_oranges_bag*9))</f>
        <v>2030007</v>
      </c>
      <c r="C34" s="64" t="s">
        <v>132</v>
      </c>
      <c r="D34" s="75">
        <f>Quality_Requirement_Bag*Total_pounds_bag</f>
        <v>2030007</v>
      </c>
      <c r="E34" s="34"/>
    </row>
    <row r="36" spans="1:5" x14ac:dyDescent="0.45">
      <c r="A36" t="s">
        <v>227</v>
      </c>
      <c r="B36" s="63">
        <f>Juice_revenue_per_pound-Juice_cost_per_pound</f>
        <v>0.89999997615814209</v>
      </c>
    </row>
    <row r="37" spans="1:5" x14ac:dyDescent="0.45">
      <c r="A37" t="s">
        <v>226</v>
      </c>
      <c r="B37" s="63">
        <f>Bag_revenue_per_pound-Bag_cost_per_pound</f>
        <v>0.79999995231628418</v>
      </c>
    </row>
    <row r="39" spans="1:5" x14ac:dyDescent="0.45">
      <c r="A39" t="s">
        <v>225</v>
      </c>
      <c r="B39" s="62">
        <f>Total_pounds_juice*Profit_Per_Pound_Juice</f>
        <v>71999.098092675209</v>
      </c>
    </row>
    <row r="40" spans="1:5" x14ac:dyDescent="0.45">
      <c r="A40" t="s">
        <v>224</v>
      </c>
      <c r="B40" s="62">
        <f>Profit_Per_Pound_Bag*Total_pounds_bag</f>
        <v>232000.78617167473</v>
      </c>
    </row>
    <row r="41" spans="1:5" x14ac:dyDescent="0.45">
      <c r="A41" t="s">
        <v>223</v>
      </c>
      <c r="B41" s="81">
        <f>Total_Profit_Bag+Total_Profit_Juice</f>
        <v>303999.88426434994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51048-CB1A-43B2-BBC5-B8F6E0849D4F}">
  <dimension ref="A1:K34"/>
  <sheetViews>
    <sheetView workbookViewId="0">
      <selection activeCell="C12" sqref="C12"/>
    </sheetView>
  </sheetViews>
  <sheetFormatPr defaultRowHeight="14.25" x14ac:dyDescent="0.45"/>
  <cols>
    <col min="2" max="2" width="12.59765625" bestFit="1" customWidth="1"/>
  </cols>
  <sheetData>
    <row r="1" spans="1:11" x14ac:dyDescent="0.45">
      <c r="A1" s="14" t="s">
        <v>307</v>
      </c>
      <c r="K1" s="17" t="str">
        <f>CONCATENATE("Sensitivity of ",$K$4," to ","Bag cost per pound")</f>
        <v>Sensitivity of Total_Profit to Bag cost per pound</v>
      </c>
    </row>
    <row r="3" spans="1:11" x14ac:dyDescent="0.45">
      <c r="A3" t="s">
        <v>308</v>
      </c>
      <c r="K3" t="s">
        <v>111</v>
      </c>
    </row>
    <row r="4" spans="1:11" ht="56.65" x14ac:dyDescent="0.45">
      <c r="B4" s="35" t="s">
        <v>304</v>
      </c>
      <c r="J4" s="17">
        <f>MATCH($K$4,OutputAddresses,0)</f>
        <v>1</v>
      </c>
      <c r="K4" s="16" t="s">
        <v>304</v>
      </c>
    </row>
    <row r="5" spans="1:11" x14ac:dyDescent="0.45">
      <c r="A5" s="22">
        <v>0.10000000149011612</v>
      </c>
      <c r="B5" s="77">
        <v>702999.99944865704</v>
      </c>
      <c r="K5">
        <f>INDEX(OutputValues,1,$J$4)</f>
        <v>702999.99944865704</v>
      </c>
    </row>
    <row r="6" spans="1:11" x14ac:dyDescent="0.45">
      <c r="A6" s="22">
        <v>0.30000001192092896</v>
      </c>
      <c r="B6" s="78">
        <v>628999.99558925629</v>
      </c>
      <c r="K6">
        <f>INDEX(OutputValues,2,$J$4)</f>
        <v>628999.99558925629</v>
      </c>
    </row>
    <row r="7" spans="1:11" x14ac:dyDescent="0.45">
      <c r="A7" s="22">
        <v>0.5</v>
      </c>
      <c r="B7" s="78">
        <v>555000</v>
      </c>
      <c r="K7">
        <f>INDEX(OutputValues,3,$J$4)</f>
        <v>555000</v>
      </c>
    </row>
    <row r="8" spans="1:11" x14ac:dyDescent="0.45">
      <c r="A8" s="22">
        <v>0.69999998807907104</v>
      </c>
      <c r="B8" s="78">
        <v>481000.00441074371</v>
      </c>
      <c r="K8">
        <f>INDEX(OutputValues,4,$J$4)</f>
        <v>481000.00441074371</v>
      </c>
    </row>
    <row r="9" spans="1:11" x14ac:dyDescent="0.45">
      <c r="A9" s="22">
        <v>0.90000003576278687</v>
      </c>
      <c r="B9" s="78">
        <v>406999.98676776886</v>
      </c>
      <c r="K9">
        <f>INDEX(OutputValues,5,$J$4)</f>
        <v>406999.98676776886</v>
      </c>
    </row>
    <row r="10" spans="1:11" x14ac:dyDescent="0.45">
      <c r="A10" s="22">
        <v>1.1000000238418579</v>
      </c>
      <c r="B10" s="78">
        <v>332999.99308583734</v>
      </c>
      <c r="K10">
        <f>INDEX(OutputValues,6,$J$4)</f>
        <v>332999.99308583734</v>
      </c>
    </row>
    <row r="11" spans="1:11" x14ac:dyDescent="0.45">
      <c r="A11" s="22">
        <v>1.3000000715255737</v>
      </c>
      <c r="B11" s="78">
        <v>274999.77925751207</v>
      </c>
      <c r="K11">
        <f>INDEX(OutputValues,7,$J$4)</f>
        <v>274999.77925751207</v>
      </c>
    </row>
    <row r="12" spans="1:11" x14ac:dyDescent="0.45">
      <c r="A12" s="22">
        <v>1.5</v>
      </c>
      <c r="B12" s="78">
        <v>216999.9</v>
      </c>
      <c r="C12" t="s">
        <v>329</v>
      </c>
      <c r="K12">
        <f>INDEX(OutputValues,8,$J$4)</f>
        <v>216999.9</v>
      </c>
    </row>
    <row r="13" spans="1:11" x14ac:dyDescent="0.45">
      <c r="A13" s="22">
        <v>1.7000000476837158</v>
      </c>
      <c r="B13" s="78">
        <v>202499.99999999997</v>
      </c>
      <c r="K13">
        <f>INDEX(OutputValues,9,$J$4)</f>
        <v>202499.99999999997</v>
      </c>
    </row>
    <row r="14" spans="1:11" x14ac:dyDescent="0.45">
      <c r="A14" s="22">
        <v>1.8999999761581421</v>
      </c>
      <c r="B14" s="79">
        <v>202499.99999999997</v>
      </c>
      <c r="K14">
        <f>INDEX(OutputValues,10,$J$4)</f>
        <v>202499.99999999997</v>
      </c>
    </row>
    <row r="34" spans="1:1" x14ac:dyDescent="0.45">
      <c r="A34" s="73" t="s">
        <v>302</v>
      </c>
    </row>
  </sheetData>
  <dataValidations count="1">
    <dataValidation type="list" allowBlank="1" showInputMessage="1" showErrorMessage="1" sqref="K4" xr:uid="{040336C4-D8AC-4FED-BEA5-49C5265B57B9}">
      <formula1>OutputAddresses</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2A603-8042-455E-AF43-444C82CC7E24}">
  <dimension ref="A1:B18"/>
  <sheetViews>
    <sheetView workbookViewId="0"/>
  </sheetViews>
  <sheetFormatPr defaultRowHeight="14.25" x14ac:dyDescent="0.45"/>
  <sheetData>
    <row r="1" spans="1:2" x14ac:dyDescent="0.45">
      <c r="A1">
        <v>1</v>
      </c>
      <c r="B1">
        <v>1</v>
      </c>
    </row>
    <row r="2" spans="1:2" x14ac:dyDescent="0.45">
      <c r="A2" t="s">
        <v>326</v>
      </c>
      <c r="B2" t="s">
        <v>310</v>
      </c>
    </row>
    <row r="3" spans="1:2" x14ac:dyDescent="0.45">
      <c r="A3">
        <v>1</v>
      </c>
      <c r="B3">
        <v>1</v>
      </c>
    </row>
    <row r="4" spans="1:2" x14ac:dyDescent="0.45">
      <c r="A4">
        <v>0.3</v>
      </c>
      <c r="B4">
        <v>1</v>
      </c>
    </row>
    <row r="5" spans="1:2" x14ac:dyDescent="0.45">
      <c r="A5">
        <v>2.25</v>
      </c>
      <c r="B5">
        <v>10</v>
      </c>
    </row>
    <row r="6" spans="1:2" x14ac:dyDescent="0.45">
      <c r="A6">
        <v>0.1</v>
      </c>
      <c r="B6">
        <v>1</v>
      </c>
    </row>
    <row r="8" spans="1:2" x14ac:dyDescent="0.45">
      <c r="A8" s="12"/>
      <c r="B8" s="12" t="s">
        <v>57</v>
      </c>
    </row>
    <row r="9" spans="1:2" x14ac:dyDescent="0.45">
      <c r="A9" t="s">
        <v>306</v>
      </c>
      <c r="B9" t="s">
        <v>108</v>
      </c>
    </row>
    <row r="10" spans="1:2" x14ac:dyDescent="0.45">
      <c r="A10" t="s">
        <v>289</v>
      </c>
      <c r="B10">
        <v>1</v>
      </c>
    </row>
    <row r="11" spans="1:2" x14ac:dyDescent="0.45">
      <c r="B11">
        <v>1</v>
      </c>
    </row>
    <row r="12" spans="1:2" x14ac:dyDescent="0.45">
      <c r="B12">
        <v>10</v>
      </c>
    </row>
    <row r="13" spans="1:2" x14ac:dyDescent="0.45">
      <c r="B13">
        <v>1</v>
      </c>
    </row>
    <row r="15" spans="1:2" x14ac:dyDescent="0.45">
      <c r="B15" s="12" t="s">
        <v>57</v>
      </c>
    </row>
    <row r="16" spans="1:2" x14ac:dyDescent="0.45">
      <c r="B16" t="s">
        <v>306</v>
      </c>
    </row>
    <row r="17" spans="2:2" x14ac:dyDescent="0.45">
      <c r="B17" t="s">
        <v>311</v>
      </c>
    </row>
    <row r="18" spans="2:2" x14ac:dyDescent="0.45">
      <c r="B18" t="s">
        <v>312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8AB1B-743B-47F7-92FF-291BE21C2862}">
  <dimension ref="A1:B18"/>
  <sheetViews>
    <sheetView workbookViewId="0"/>
  </sheetViews>
  <sheetFormatPr defaultRowHeight="14.25" x14ac:dyDescent="0.45"/>
  <sheetData>
    <row r="1" spans="1:2" x14ac:dyDescent="0.45">
      <c r="A1">
        <v>1</v>
      </c>
      <c r="B1">
        <v>1</v>
      </c>
    </row>
    <row r="2" spans="1:2" x14ac:dyDescent="0.45">
      <c r="A2" t="s">
        <v>322</v>
      </c>
      <c r="B2" t="s">
        <v>210</v>
      </c>
    </row>
    <row r="3" spans="1:2" x14ac:dyDescent="0.45">
      <c r="A3">
        <v>1</v>
      </c>
      <c r="B3">
        <v>1</v>
      </c>
    </row>
    <row r="4" spans="1:2" x14ac:dyDescent="0.45">
      <c r="A4">
        <v>5</v>
      </c>
      <c r="B4">
        <v>0</v>
      </c>
    </row>
    <row r="5" spans="1:2" x14ac:dyDescent="0.45">
      <c r="A5">
        <v>35</v>
      </c>
      <c r="B5">
        <v>0.5</v>
      </c>
    </row>
    <row r="6" spans="1:2" x14ac:dyDescent="0.45">
      <c r="A6">
        <v>5</v>
      </c>
      <c r="B6">
        <v>0.05</v>
      </c>
    </row>
    <row r="8" spans="1:2" x14ac:dyDescent="0.45">
      <c r="A8" s="12"/>
      <c r="B8" s="12" t="s">
        <v>57</v>
      </c>
    </row>
    <row r="9" spans="1:2" x14ac:dyDescent="0.45">
      <c r="A9" t="s">
        <v>212</v>
      </c>
      <c r="B9" t="s">
        <v>211</v>
      </c>
    </row>
    <row r="10" spans="1:2" x14ac:dyDescent="0.45">
      <c r="A10" t="s">
        <v>323</v>
      </c>
      <c r="B10">
        <v>1</v>
      </c>
    </row>
    <row r="11" spans="1:2" x14ac:dyDescent="0.45">
      <c r="B11">
        <v>0</v>
      </c>
    </row>
    <row r="12" spans="1:2" x14ac:dyDescent="0.45">
      <c r="B12">
        <v>0.5</v>
      </c>
    </row>
    <row r="13" spans="1:2" x14ac:dyDescent="0.45">
      <c r="B13">
        <v>0.05</v>
      </c>
    </row>
    <row r="15" spans="1:2" x14ac:dyDescent="0.45">
      <c r="B15" s="12" t="s">
        <v>57</v>
      </c>
    </row>
    <row r="16" spans="1:2" x14ac:dyDescent="0.45">
      <c r="B16" t="s">
        <v>212</v>
      </c>
    </row>
    <row r="17" spans="2:2" x14ac:dyDescent="0.45">
      <c r="B17" t="s">
        <v>213</v>
      </c>
    </row>
    <row r="18" spans="2:2" x14ac:dyDescent="0.45">
      <c r="B18" t="s">
        <v>214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F9EB3-5BB4-4B1A-B789-B00031698521}">
  <dimension ref="A1:K35"/>
  <sheetViews>
    <sheetView workbookViewId="0">
      <selection activeCell="F9" sqref="F9"/>
    </sheetView>
  </sheetViews>
  <sheetFormatPr defaultRowHeight="14.25" x14ac:dyDescent="0.45"/>
  <cols>
    <col min="2" max="2" width="12.59765625" bestFit="1" customWidth="1"/>
  </cols>
  <sheetData>
    <row r="1" spans="1:11" x14ac:dyDescent="0.45">
      <c r="A1" s="14" t="s">
        <v>307</v>
      </c>
      <c r="K1" s="17" t="str">
        <f>CONCATENATE("Sensitivity of ",$K$4," to ","Total amount of Grade 6 oranges available")</f>
        <v>Sensitivity of Total_Profit to Total amount of Grade 6 oranges available</v>
      </c>
    </row>
    <row r="3" spans="1:11" x14ac:dyDescent="0.45">
      <c r="A3" t="s">
        <v>309</v>
      </c>
      <c r="K3" t="s">
        <v>111</v>
      </c>
    </row>
    <row r="4" spans="1:11" ht="56.65" x14ac:dyDescent="0.45">
      <c r="B4" s="35" t="s">
        <v>304</v>
      </c>
      <c r="J4" s="17">
        <f>MATCH($K$4,OutputAddresses,0)</f>
        <v>1</v>
      </c>
      <c r="K4" s="16" t="s">
        <v>304</v>
      </c>
    </row>
    <row r="5" spans="1:11" x14ac:dyDescent="0.45">
      <c r="A5" s="74">
        <v>150000</v>
      </c>
      <c r="B5" s="82">
        <v>254999.99284744263</v>
      </c>
      <c r="K5">
        <f>INDEX(OutputValues,1,$J$4)</f>
        <v>254999.99284744263</v>
      </c>
    </row>
    <row r="6" spans="1:11" x14ac:dyDescent="0.45">
      <c r="A6" s="74">
        <v>170000</v>
      </c>
      <c r="B6" s="83">
        <v>268998.59094028472</v>
      </c>
      <c r="K6">
        <f>INDEX(OutputValues,2,$J$4)</f>
        <v>268998.59094028472</v>
      </c>
    </row>
    <row r="7" spans="1:11" x14ac:dyDescent="0.45">
      <c r="A7" s="74">
        <v>190000</v>
      </c>
      <c r="B7" s="83">
        <v>282999.88903269765</v>
      </c>
      <c r="K7">
        <f>INDEX(OutputValues,3,$J$4)</f>
        <v>282999.88903269765</v>
      </c>
    </row>
    <row r="8" spans="1:11" x14ac:dyDescent="0.45">
      <c r="A8" s="74">
        <v>210000</v>
      </c>
      <c r="B8" s="83">
        <v>296999.98712539673</v>
      </c>
      <c r="K8">
        <f>INDEX(OutputValues,4,$J$4)</f>
        <v>296999.98712539673</v>
      </c>
    </row>
    <row r="9" spans="1:11" x14ac:dyDescent="0.45">
      <c r="A9" s="74">
        <v>230000</v>
      </c>
      <c r="B9" s="83">
        <v>310998.58521823882</v>
      </c>
      <c r="K9">
        <f>INDEX(OutputValues,5,$J$4)</f>
        <v>310998.58521823882</v>
      </c>
    </row>
    <row r="10" spans="1:11" x14ac:dyDescent="0.45">
      <c r="A10" s="74">
        <v>250000</v>
      </c>
      <c r="B10" s="83">
        <v>324999.88331065176</v>
      </c>
      <c r="K10">
        <f>INDEX(OutputValues,6,$J$4)</f>
        <v>324999.88331065176</v>
      </c>
    </row>
    <row r="11" spans="1:11" x14ac:dyDescent="0.45">
      <c r="A11" s="74">
        <v>270000</v>
      </c>
      <c r="B11" s="83">
        <v>338999.98140335083</v>
      </c>
      <c r="K11">
        <f>INDEX(OutputValues,7,$J$4)</f>
        <v>338999.98140335083</v>
      </c>
    </row>
    <row r="12" spans="1:11" x14ac:dyDescent="0.45">
      <c r="A12" s="74">
        <v>290000</v>
      </c>
      <c r="B12" s="83">
        <v>352998.57949619292</v>
      </c>
      <c r="K12">
        <f>INDEX(OutputValues,8,$J$4)</f>
        <v>352998.57949619292</v>
      </c>
    </row>
    <row r="13" spans="1:11" x14ac:dyDescent="0.45">
      <c r="A13" s="74">
        <v>310000</v>
      </c>
      <c r="B13" s="83">
        <v>359999.97854232788</v>
      </c>
      <c r="K13">
        <f>INDEX(OutputValues,9,$J$4)</f>
        <v>359999.97854232788</v>
      </c>
    </row>
    <row r="14" spans="1:11" x14ac:dyDescent="0.45">
      <c r="A14" s="74">
        <v>330000</v>
      </c>
      <c r="B14" s="83">
        <v>359999.97854232788</v>
      </c>
      <c r="K14">
        <f>INDEX(OutputValues,10,$J$4)</f>
        <v>359999.97854232788</v>
      </c>
    </row>
    <row r="15" spans="1:11" x14ac:dyDescent="0.45">
      <c r="A15" s="74">
        <v>350000</v>
      </c>
      <c r="B15" s="84">
        <v>359999.97854232788</v>
      </c>
      <c r="K15">
        <f>INDEX(OutputValues,11,$J$4)</f>
        <v>359999.97854232788</v>
      </c>
    </row>
    <row r="35" spans="1:1" x14ac:dyDescent="0.45">
      <c r="A35" s="73" t="s">
        <v>303</v>
      </c>
    </row>
  </sheetData>
  <dataValidations count="1">
    <dataValidation type="list" allowBlank="1" showInputMessage="1" showErrorMessage="1" sqref="K4" xr:uid="{399D0793-B2B8-4BFB-9C51-00AF9403B7BF}">
      <formula1>OutputAddresses</formula1>
    </dataValidation>
  </dataValidation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FB7EE-0896-4AB8-B151-37A535E3809A}">
  <dimension ref="A1:AZ37"/>
  <sheetViews>
    <sheetView workbookViewId="0">
      <selection activeCell="A5" sqref="A5"/>
    </sheetView>
  </sheetViews>
  <sheetFormatPr defaultRowHeight="14.25" x14ac:dyDescent="0.45"/>
  <cols>
    <col min="1" max="1" width="10.53125" bestFit="1" customWidth="1"/>
    <col min="2" max="11" width="12.59765625" bestFit="1" customWidth="1"/>
  </cols>
  <sheetData>
    <row r="1" spans="1:52" x14ac:dyDescent="0.45">
      <c r="A1" s="14" t="s">
        <v>313</v>
      </c>
      <c r="M1" s="17" t="str">
        <f>CONCATENATE("Sensitivity of ",$M$4," to ","Average bag quality")</f>
        <v>Sensitivity of Total_Profit to Average bag quality</v>
      </c>
      <c r="Q1" s="17" t="str">
        <f>CONCATENATE("Sensitivity of ",$Q$4," to ","Average juice quality")</f>
        <v>Sensitivity of Total_Profit to Average juice quality</v>
      </c>
    </row>
    <row r="2" spans="1:52" x14ac:dyDescent="0.45">
      <c r="M2" t="s">
        <v>315</v>
      </c>
      <c r="Q2" t="s">
        <v>317</v>
      </c>
      <c r="AZ2" t="s">
        <v>304</v>
      </c>
    </row>
    <row r="3" spans="1:52" x14ac:dyDescent="0.45">
      <c r="A3" t="s">
        <v>314</v>
      </c>
      <c r="M3" t="s">
        <v>62</v>
      </c>
      <c r="N3" t="s">
        <v>316</v>
      </c>
      <c r="Q3" t="s">
        <v>62</v>
      </c>
      <c r="R3" t="s">
        <v>318</v>
      </c>
    </row>
    <row r="4" spans="1:52" ht="56.65" x14ac:dyDescent="0.45">
      <c r="A4" s="13" t="s">
        <v>304</v>
      </c>
      <c r="B4" s="76">
        <v>1</v>
      </c>
      <c r="C4" s="76">
        <v>2</v>
      </c>
      <c r="D4" s="76">
        <v>3</v>
      </c>
      <c r="E4" s="76">
        <v>4</v>
      </c>
      <c r="F4" s="76">
        <v>5</v>
      </c>
      <c r="G4" s="76">
        <v>6</v>
      </c>
      <c r="H4" s="76">
        <v>7</v>
      </c>
      <c r="I4" s="76">
        <v>8</v>
      </c>
      <c r="J4" s="76">
        <v>9</v>
      </c>
      <c r="K4" s="76">
        <v>10</v>
      </c>
      <c r="L4" s="17">
        <f>MATCH($M$4,OutputAddresses,0)</f>
        <v>1</v>
      </c>
      <c r="M4" s="16" t="s">
        <v>304</v>
      </c>
      <c r="N4" s="15">
        <v>1</v>
      </c>
      <c r="O4" s="17">
        <f>MATCH($N$4,InputValues1,0)</f>
        <v>1</v>
      </c>
      <c r="P4" s="17">
        <f>MATCH($Q$4,OutputAddresses,0)</f>
        <v>1</v>
      </c>
      <c r="Q4" s="16" t="s">
        <v>304</v>
      </c>
      <c r="R4" s="15">
        <v>1</v>
      </c>
      <c r="S4" s="17">
        <f>MATCH($R$4,InputValues2,0)</f>
        <v>1</v>
      </c>
    </row>
    <row r="5" spans="1:52" x14ac:dyDescent="0.45">
      <c r="A5" s="76">
        <v>1</v>
      </c>
      <c r="B5" s="85">
        <v>332999.99999999994</v>
      </c>
      <c r="C5" s="86">
        <v>332999.99999999994</v>
      </c>
      <c r="D5" s="86">
        <v>332999.99999999994</v>
      </c>
      <c r="E5" s="86">
        <v>332999.99999999994</v>
      </c>
      <c r="F5" s="86">
        <v>332999.99999999994</v>
      </c>
      <c r="G5" s="86">
        <v>332999.99999999994</v>
      </c>
      <c r="H5" s="86">
        <v>332999.99999999994</v>
      </c>
      <c r="I5" s="86">
        <v>332999.99999999994</v>
      </c>
      <c r="J5" s="86">
        <v>332999.99999999994</v>
      </c>
      <c r="K5" s="87">
        <v>332999.99999999994</v>
      </c>
      <c r="L5" s="17" t="str">
        <f>"OutputValues_"&amp;$L$4</f>
        <v>OutputValues_1</v>
      </c>
      <c r="M5">
        <f ca="1">INDEX(INDIRECT($L$5),$O$4,1)</f>
        <v>332999.99999999994</v>
      </c>
      <c r="P5" s="17" t="str">
        <f>"OutputValues_"&amp;$P$4</f>
        <v>OutputValues_1</v>
      </c>
      <c r="Q5">
        <f ca="1">INDEX(INDIRECT($P$5),1,$S$4)</f>
        <v>332999.99999999994</v>
      </c>
    </row>
    <row r="6" spans="1:52" x14ac:dyDescent="0.45">
      <c r="A6" s="76">
        <v>2</v>
      </c>
      <c r="B6" s="88">
        <v>332999.99999999994</v>
      </c>
      <c r="C6" s="89">
        <v>332999.99999999994</v>
      </c>
      <c r="D6" s="89">
        <v>332999.99999999994</v>
      </c>
      <c r="E6" s="89">
        <v>332999.99999999994</v>
      </c>
      <c r="F6" s="89">
        <v>332999.99999999994</v>
      </c>
      <c r="G6" s="89">
        <v>332999.99999999994</v>
      </c>
      <c r="H6" s="89">
        <v>332999.99999999994</v>
      </c>
      <c r="I6" s="89">
        <v>332999.99999999994</v>
      </c>
      <c r="J6" s="89">
        <v>332999.99999999994</v>
      </c>
      <c r="K6" s="90">
        <v>332999.99999999994</v>
      </c>
      <c r="M6">
        <f ca="1">INDEX(INDIRECT($L$5),$O$4,2)</f>
        <v>332999.99999999994</v>
      </c>
      <c r="Q6">
        <f ca="1">INDEX(INDIRECT($P$5),2,$S$4)</f>
        <v>332999.99999999994</v>
      </c>
    </row>
    <row r="7" spans="1:52" x14ac:dyDescent="0.45">
      <c r="A7" s="76">
        <v>3</v>
      </c>
      <c r="B7" s="88">
        <v>332999.99999999994</v>
      </c>
      <c r="C7" s="89">
        <v>332999.99999999994</v>
      </c>
      <c r="D7" s="89">
        <v>332999.99999999994</v>
      </c>
      <c r="E7" s="89">
        <v>332999.99999999994</v>
      </c>
      <c r="F7" s="89">
        <v>332999.99999999994</v>
      </c>
      <c r="G7" s="89">
        <v>332999.99999999994</v>
      </c>
      <c r="H7" s="89">
        <v>332999.99999999994</v>
      </c>
      <c r="I7" s="89">
        <v>332999.99999999994</v>
      </c>
      <c r="J7" s="89">
        <v>332999.99999999994</v>
      </c>
      <c r="K7" s="90">
        <v>332999.99999999994</v>
      </c>
      <c r="M7">
        <f ca="1">INDEX(INDIRECT($L$5),$O$4,3)</f>
        <v>332999.99999999994</v>
      </c>
      <c r="Q7">
        <f ca="1">INDEX(INDIRECT($P$5),3,$S$4)</f>
        <v>332999.99999999994</v>
      </c>
    </row>
    <row r="8" spans="1:52" x14ac:dyDescent="0.45">
      <c r="A8" s="76">
        <v>4</v>
      </c>
      <c r="B8" s="88">
        <v>332999.99999999994</v>
      </c>
      <c r="C8" s="89">
        <v>332999.99999999994</v>
      </c>
      <c r="D8" s="89">
        <v>332999.99999999994</v>
      </c>
      <c r="E8" s="89">
        <v>332999.99999999994</v>
      </c>
      <c r="F8" s="89">
        <v>332999.99999999994</v>
      </c>
      <c r="G8" s="89">
        <v>332999.99999999994</v>
      </c>
      <c r="H8" s="89">
        <v>332999.99999999994</v>
      </c>
      <c r="I8" s="89">
        <v>332999.99999999994</v>
      </c>
      <c r="J8" s="89">
        <v>332999.99999999994</v>
      </c>
      <c r="K8" s="90">
        <v>332999.99999999994</v>
      </c>
      <c r="M8">
        <f ca="1">INDEX(INDIRECT($L$5),$O$4,4)</f>
        <v>332999.99999999994</v>
      </c>
      <c r="Q8">
        <f ca="1">INDEX(INDIRECT($P$5),4,$S$4)</f>
        <v>332999.99999999994</v>
      </c>
    </row>
    <row r="9" spans="1:52" x14ac:dyDescent="0.45">
      <c r="A9" s="76">
        <v>5</v>
      </c>
      <c r="B9" s="88">
        <v>332999.99999999994</v>
      </c>
      <c r="C9" s="89">
        <v>332999.99999999994</v>
      </c>
      <c r="D9" s="89">
        <v>332999.99999999994</v>
      </c>
      <c r="E9" s="89">
        <v>332999.99999999994</v>
      </c>
      <c r="F9" s="89">
        <v>332999.99999999994</v>
      </c>
      <c r="G9" s="89">
        <v>332999.99999999994</v>
      </c>
      <c r="H9" s="89">
        <v>332999.99999999994</v>
      </c>
      <c r="I9" s="89">
        <v>332999.99999999994</v>
      </c>
      <c r="J9" s="89">
        <v>332999.99999999994</v>
      </c>
      <c r="K9" s="90">
        <v>332999.99999999994</v>
      </c>
      <c r="M9">
        <f ca="1">INDEX(INDIRECT($L$5),$O$4,5)</f>
        <v>332999.99999999994</v>
      </c>
      <c r="Q9">
        <f ca="1">INDEX(INDIRECT($P$5),5,$S$4)</f>
        <v>332999.99999999994</v>
      </c>
    </row>
    <row r="10" spans="1:52" x14ac:dyDescent="0.45">
      <c r="A10" s="76">
        <v>6</v>
      </c>
      <c r="B10" s="88">
        <v>332999.99999999994</v>
      </c>
      <c r="C10" s="89">
        <v>332999.99999999994</v>
      </c>
      <c r="D10" s="89">
        <v>332999.99999999994</v>
      </c>
      <c r="E10" s="89">
        <v>332999.99999999994</v>
      </c>
      <c r="F10" s="89">
        <v>332999.99999999994</v>
      </c>
      <c r="G10" s="89">
        <v>332999.99999999994</v>
      </c>
      <c r="H10" s="89">
        <v>332999.99999999994</v>
      </c>
      <c r="I10" s="89">
        <v>332999.99999999994</v>
      </c>
      <c r="J10" s="89">
        <v>332999.99999999994</v>
      </c>
      <c r="K10" s="90">
        <v>332999.99999999994</v>
      </c>
      <c r="M10">
        <f ca="1">INDEX(INDIRECT($L$5),$O$4,6)</f>
        <v>332999.99999999994</v>
      </c>
      <c r="Q10">
        <f ca="1">INDEX(INDIRECT($P$5),6,$S$4)</f>
        <v>332999.99999999994</v>
      </c>
    </row>
    <row r="11" spans="1:52" x14ac:dyDescent="0.45">
      <c r="A11" s="76">
        <v>7</v>
      </c>
      <c r="B11" s="88">
        <v>332999.99999999994</v>
      </c>
      <c r="C11" s="89">
        <v>332999.99999999994</v>
      </c>
      <c r="D11" s="89">
        <v>332999.99999999994</v>
      </c>
      <c r="E11" s="89">
        <v>332999.99999999994</v>
      </c>
      <c r="F11" s="89">
        <v>332999.99999999994</v>
      </c>
      <c r="G11" s="89">
        <v>332999.99999999994</v>
      </c>
      <c r="H11" s="89">
        <v>332999.99999999994</v>
      </c>
      <c r="I11" s="89">
        <v>332999.99999999994</v>
      </c>
      <c r="J11" s="89">
        <v>332999.99999999994</v>
      </c>
      <c r="K11" s="90">
        <v>332999.99999999994</v>
      </c>
      <c r="M11">
        <f ca="1">INDEX(INDIRECT($L$5),$O$4,7)</f>
        <v>332999.99999999994</v>
      </c>
      <c r="Q11">
        <f ca="1">INDEX(INDIRECT($P$5),7,$S$4)</f>
        <v>332999.99999999994</v>
      </c>
    </row>
    <row r="12" spans="1:52" x14ac:dyDescent="0.45">
      <c r="A12" s="76">
        <v>8</v>
      </c>
      <c r="B12" s="88">
        <v>318499.99308586121</v>
      </c>
      <c r="C12" s="89">
        <v>318499.99308586121</v>
      </c>
      <c r="D12" s="89">
        <v>318499.99308586121</v>
      </c>
      <c r="E12" s="89">
        <v>318499.99308586121</v>
      </c>
      <c r="F12" s="89">
        <v>318499.99308586121</v>
      </c>
      <c r="G12" s="89">
        <v>318499.99308586121</v>
      </c>
      <c r="H12" s="89">
        <v>303999.88617167471</v>
      </c>
      <c r="I12" s="89">
        <v>202499.99999999997</v>
      </c>
      <c r="J12" s="89">
        <v>202499.99999999997</v>
      </c>
      <c r="K12" s="90">
        <v>202499.99999999997</v>
      </c>
      <c r="M12">
        <f ca="1">INDEX(INDIRECT($L$5),$O$4,8)</f>
        <v>332999.99999999994</v>
      </c>
      <c r="Q12">
        <f ca="1">INDEX(INDIRECT($P$5),8,$S$4)</f>
        <v>318499.99308586121</v>
      </c>
    </row>
    <row r="13" spans="1:52" x14ac:dyDescent="0.45">
      <c r="A13" s="76">
        <v>9</v>
      </c>
      <c r="B13" s="88">
        <v>310999.98950958252</v>
      </c>
      <c r="C13" s="89">
        <v>310999.98950958252</v>
      </c>
      <c r="D13" s="89">
        <v>310999.98950958252</v>
      </c>
      <c r="E13" s="89">
        <v>310999.98950958252</v>
      </c>
      <c r="F13" s="89">
        <v>310999.98950958252</v>
      </c>
      <c r="G13" s="89">
        <v>310999.98950958252</v>
      </c>
      <c r="H13" s="89">
        <v>299999.98426437378</v>
      </c>
      <c r="I13" s="89">
        <v>179999.98927116394</v>
      </c>
      <c r="J13" s="89">
        <v>135000</v>
      </c>
      <c r="K13" s="90">
        <v>135000</v>
      </c>
      <c r="M13">
        <f ca="1">INDEX(INDIRECT($L$5),$O$4,9)</f>
        <v>332999.99999999994</v>
      </c>
      <c r="Q13">
        <f ca="1">INDEX(INDIRECT($P$5),9,$S$4)</f>
        <v>310999.98950958252</v>
      </c>
    </row>
    <row r="14" spans="1:52" x14ac:dyDescent="0.45">
      <c r="A14" s="76">
        <v>10</v>
      </c>
      <c r="B14" s="91">
        <v>295999.98235702515</v>
      </c>
      <c r="C14" s="92">
        <v>295999.98235702515</v>
      </c>
      <c r="D14" s="92">
        <v>295999.98235702515</v>
      </c>
      <c r="E14" s="92">
        <v>295999.98235702515</v>
      </c>
      <c r="F14" s="92">
        <v>295999.98235702515</v>
      </c>
      <c r="G14" s="92">
        <v>295999.98235702515</v>
      </c>
      <c r="H14" s="92">
        <v>295999.98235702515</v>
      </c>
      <c r="I14" s="92">
        <v>179999.98927116394</v>
      </c>
      <c r="J14" s="92">
        <v>119999.99284744263</v>
      </c>
      <c r="K14" s="93">
        <v>0</v>
      </c>
      <c r="M14">
        <f ca="1">INDEX(INDIRECT($L$5),$O$4,10)</f>
        <v>332999.99999999994</v>
      </c>
      <c r="Q14">
        <f ca="1">INDEX(INDIRECT($P$5),10,$S$4)</f>
        <v>295999.98235702515</v>
      </c>
    </row>
    <row r="35" spans="1:1" x14ac:dyDescent="0.45">
      <c r="A35" s="73" t="s">
        <v>319</v>
      </c>
    </row>
    <row r="36" spans="1:1" x14ac:dyDescent="0.45">
      <c r="A36" s="73" t="s">
        <v>320</v>
      </c>
    </row>
    <row r="37" spans="1:1" x14ac:dyDescent="0.45">
      <c r="A37" s="73" t="s">
        <v>321</v>
      </c>
    </row>
  </sheetData>
  <dataValidations count="3">
    <dataValidation type="list" allowBlank="1" showInputMessage="1" showErrorMessage="1" sqref="M4 Q4" xr:uid="{74397011-6367-422E-8B39-75824766F76E}">
      <formula1>OutputAddresses</formula1>
    </dataValidation>
    <dataValidation type="list" allowBlank="1" showInputMessage="1" showErrorMessage="1" sqref="N4" xr:uid="{16215821-3109-49E6-9BFA-09296EBF20C3}">
      <formula1>InputValues1</formula1>
    </dataValidation>
    <dataValidation type="list" allowBlank="1" showInputMessage="1" showErrorMessage="1" sqref="R4" xr:uid="{A6DB0025-C64C-4C9D-BBCE-C29EBB641333}">
      <formula1>InputValues2</formula1>
    </dataValidation>
  </dataValidation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86851-C2F9-4C00-A4B9-3479DCB2C7D3}">
  <dimension ref="A1:L24"/>
  <sheetViews>
    <sheetView workbookViewId="0">
      <selection activeCell="C16" sqref="C16"/>
    </sheetView>
  </sheetViews>
  <sheetFormatPr defaultRowHeight="14.25" x14ac:dyDescent="0.45"/>
  <cols>
    <col min="2" max="2" width="12.59765625" bestFit="1" customWidth="1"/>
  </cols>
  <sheetData>
    <row r="1" spans="1:12" x14ac:dyDescent="0.45">
      <c r="A1" s="14" t="s">
        <v>307</v>
      </c>
      <c r="K1" s="17" t="str">
        <f>CONCATENATE("Sensitivity of ",$K$4," to ","Juice cost per pound")</f>
        <v>Sensitivity of Total_Profit to Juice cost per pound</v>
      </c>
    </row>
    <row r="3" spans="1:12" x14ac:dyDescent="0.45">
      <c r="A3" t="s">
        <v>327</v>
      </c>
      <c r="K3" t="s">
        <v>111</v>
      </c>
    </row>
    <row r="4" spans="1:12" ht="56.65" x14ac:dyDescent="0.45">
      <c r="B4" s="35" t="s">
        <v>304</v>
      </c>
      <c r="J4" s="17">
        <f>MATCH($K$4,OutputAddresses,0)</f>
        <v>1</v>
      </c>
      <c r="K4" s="16" t="s">
        <v>304</v>
      </c>
    </row>
    <row r="5" spans="1:12" x14ac:dyDescent="0.45">
      <c r="A5" s="22">
        <v>0.30000001192092896</v>
      </c>
      <c r="B5" s="77">
        <v>438749.99731779099</v>
      </c>
      <c r="K5">
        <f>INDEX(OutputValues,1,$J$4)</f>
        <v>438749.99731779099</v>
      </c>
    </row>
    <row r="6" spans="1:12" x14ac:dyDescent="0.45">
      <c r="A6" s="22">
        <v>0.40000000596046448</v>
      </c>
      <c r="B6" s="78">
        <v>416249.99865889549</v>
      </c>
      <c r="K6">
        <f>INDEX(OutputValues,2,$J$4)</f>
        <v>416249.99865889549</v>
      </c>
    </row>
    <row r="7" spans="1:12" x14ac:dyDescent="0.45">
      <c r="A7" s="22">
        <v>0.5</v>
      </c>
      <c r="B7" s="78">
        <v>393750</v>
      </c>
      <c r="K7">
        <f>INDEX(OutputValues,3,$J$4)</f>
        <v>393750</v>
      </c>
    </row>
    <row r="8" spans="1:12" x14ac:dyDescent="0.45">
      <c r="A8" s="22">
        <v>0.60000002384185791</v>
      </c>
      <c r="B8" s="78">
        <v>371249.99463558197</v>
      </c>
      <c r="K8">
        <f>INDEX(OutputValues,4,$J$4)</f>
        <v>371249.99463558197</v>
      </c>
    </row>
    <row r="9" spans="1:12" x14ac:dyDescent="0.45">
      <c r="A9" s="22">
        <v>0.70000004768371582</v>
      </c>
      <c r="B9" s="78">
        <v>355999.93235707283</v>
      </c>
      <c r="K9">
        <f>INDEX(OutputValues,5,$J$4)</f>
        <v>355999.93235707283</v>
      </c>
    </row>
    <row r="10" spans="1:12" x14ac:dyDescent="0.45">
      <c r="A10" s="22">
        <v>0.80000001192092896</v>
      </c>
      <c r="B10" s="78">
        <v>347999.83521813154</v>
      </c>
      <c r="K10">
        <f>INDEX(OutputValues,6,$J$4)</f>
        <v>347999.83521813154</v>
      </c>
    </row>
    <row r="11" spans="1:12" x14ac:dyDescent="0.45">
      <c r="A11" s="22">
        <v>0.90000003576278687</v>
      </c>
      <c r="B11" s="78">
        <v>339999.73331075907</v>
      </c>
      <c r="K11">
        <f>INDEX(OutputValues,7,$J$4)</f>
        <v>339999.73331075907</v>
      </c>
    </row>
    <row r="12" spans="1:12" x14ac:dyDescent="0.45">
      <c r="A12" s="22">
        <v>1</v>
      </c>
      <c r="B12" s="78">
        <v>331999.63617181778</v>
      </c>
      <c r="K12">
        <f>INDEX(OutputValues,8,$J$4)</f>
        <v>331999.63617181778</v>
      </c>
    </row>
    <row r="13" spans="1:12" x14ac:dyDescent="0.45">
      <c r="A13" s="22">
        <v>1.1000000238418579</v>
      </c>
      <c r="B13" s="78">
        <v>323999.63426434994</v>
      </c>
      <c r="K13">
        <f>INDEX(OutputValues,9,$J$4)</f>
        <v>323999.63426434994</v>
      </c>
    </row>
    <row r="14" spans="1:12" x14ac:dyDescent="0.45">
      <c r="A14" s="22">
        <v>1.2000000476837158</v>
      </c>
      <c r="B14" s="78">
        <v>315999.73235702515</v>
      </c>
      <c r="K14">
        <f>INDEX(OutputValues,10,$J$4)</f>
        <v>315999.73235702515</v>
      </c>
    </row>
    <row r="15" spans="1:12" x14ac:dyDescent="0.45">
      <c r="A15" s="22">
        <v>1.3000000715255737</v>
      </c>
      <c r="B15" s="78">
        <v>307999.83044970036</v>
      </c>
      <c r="K15">
        <f>INDEX(OutputValues,11,$J$4)</f>
        <v>307999.83044970036</v>
      </c>
    </row>
    <row r="16" spans="1:12" x14ac:dyDescent="0.45">
      <c r="A16" s="22">
        <v>1.3999999761581421</v>
      </c>
      <c r="B16" s="78">
        <v>299999.93807899952</v>
      </c>
      <c r="C16" t="s">
        <v>330</v>
      </c>
      <c r="K16">
        <f>INDEX(OutputValues,12,$J$4)</f>
        <v>299999.93807899952</v>
      </c>
      <c r="L16" t="s">
        <v>328</v>
      </c>
    </row>
    <row r="17" spans="1:11" x14ac:dyDescent="0.45">
      <c r="A17" s="22">
        <v>1.5</v>
      </c>
      <c r="B17" s="78">
        <v>295999.98235702515</v>
      </c>
      <c r="K17">
        <f>INDEX(OutputValues,13,$J$4)</f>
        <v>295999.98235702515</v>
      </c>
    </row>
    <row r="18" spans="1:11" x14ac:dyDescent="0.45">
      <c r="A18" s="22">
        <v>1.6000000238418579</v>
      </c>
      <c r="B18" s="78">
        <v>295999.98235702515</v>
      </c>
      <c r="K18">
        <f>INDEX(OutputValues,14,$J$4)</f>
        <v>295999.98235702515</v>
      </c>
    </row>
    <row r="19" spans="1:11" x14ac:dyDescent="0.45">
      <c r="A19" s="22">
        <v>1.7000000476837158</v>
      </c>
      <c r="B19" s="78">
        <v>295999.98235702515</v>
      </c>
      <c r="K19">
        <f>INDEX(OutputValues,15,$J$4)</f>
        <v>295999.98235702515</v>
      </c>
    </row>
    <row r="20" spans="1:11" x14ac:dyDescent="0.45">
      <c r="A20" s="22">
        <v>1.8000000715255737</v>
      </c>
      <c r="B20" s="78">
        <v>295999.98235702515</v>
      </c>
      <c r="K20">
        <f>INDEX(OutputValues,16,$J$4)</f>
        <v>295999.98235702515</v>
      </c>
    </row>
    <row r="21" spans="1:11" x14ac:dyDescent="0.45">
      <c r="A21" s="22">
        <v>1.9000000953674316</v>
      </c>
      <c r="B21" s="78">
        <v>295999.98235702515</v>
      </c>
      <c r="K21">
        <f>INDEX(OutputValues,17,$J$4)</f>
        <v>295999.98235702515</v>
      </c>
    </row>
    <row r="22" spans="1:11" x14ac:dyDescent="0.45">
      <c r="A22" s="22">
        <v>2</v>
      </c>
      <c r="B22" s="78">
        <v>295999.98235702515</v>
      </c>
      <c r="K22">
        <f>INDEX(OutputValues,18,$J$4)</f>
        <v>295999.98235702515</v>
      </c>
    </row>
    <row r="23" spans="1:11" x14ac:dyDescent="0.45">
      <c r="A23" s="22">
        <v>2.1000001430511475</v>
      </c>
      <c r="B23" s="78">
        <v>295999.98235702515</v>
      </c>
      <c r="K23">
        <f>INDEX(OutputValues,19,$J$4)</f>
        <v>295999.98235702515</v>
      </c>
    </row>
    <row r="24" spans="1:11" x14ac:dyDescent="0.45">
      <c r="A24" s="22">
        <v>2.2000000476837158</v>
      </c>
      <c r="B24" s="79">
        <v>295999.98235702515</v>
      </c>
      <c r="K24">
        <f>INDEX(OutputValues,20,$J$4)</f>
        <v>295999.98235702515</v>
      </c>
    </row>
  </sheetData>
  <dataValidations count="1">
    <dataValidation type="list" allowBlank="1" showInputMessage="1" showErrorMessage="1" sqref="K4" xr:uid="{D576CF8A-8DC4-493F-9028-7CC05B19973A}">
      <formula1>OutputAddresses</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A37EB-E08F-4573-8560-527FAEFE95F0}">
  <dimension ref="A1:AZ15"/>
  <sheetViews>
    <sheetView topLeftCell="J10" workbookViewId="0">
      <selection activeCell="J5" sqref="J5:L15"/>
    </sheetView>
  </sheetViews>
  <sheetFormatPr defaultRowHeight="14.25" x14ac:dyDescent="0.45"/>
  <cols>
    <col min="1" max="1" width="22.73046875" bestFit="1" customWidth="1"/>
    <col min="10" max="12" width="9.9296875" bestFit="1" customWidth="1"/>
  </cols>
  <sheetData>
    <row r="1" spans="1:52" x14ac:dyDescent="0.45">
      <c r="A1" s="14" t="s">
        <v>209</v>
      </c>
      <c r="N1" s="17" t="str">
        <f>CONCATENATE("Sensitivity of ",$N$4," to ","% of P2 on M1")</f>
        <v>Sensitivity of Total_Cost_of_Production to % of P2 on M1</v>
      </c>
      <c r="R1" s="17" t="str">
        <f>CONCATENATE("Sensitivity of ",$R$4," to ","% of P1 on M2")</f>
        <v>Sensitivity of Total_Cost_of_Production to % of P1 on M2</v>
      </c>
    </row>
    <row r="2" spans="1:52" x14ac:dyDescent="0.45">
      <c r="N2" t="s">
        <v>216</v>
      </c>
      <c r="R2" t="s">
        <v>218</v>
      </c>
      <c r="AZ2" t="s">
        <v>221</v>
      </c>
    </row>
    <row r="3" spans="1:52" x14ac:dyDescent="0.45">
      <c r="A3" t="s">
        <v>215</v>
      </c>
      <c r="N3" t="s">
        <v>62</v>
      </c>
      <c r="O3" t="s">
        <v>217</v>
      </c>
      <c r="R3" t="s">
        <v>62</v>
      </c>
      <c r="S3" t="s">
        <v>219</v>
      </c>
    </row>
    <row r="4" spans="1:52" ht="120" x14ac:dyDescent="0.45">
      <c r="A4" s="13" t="s">
        <v>221</v>
      </c>
      <c r="B4" s="55">
        <v>0</v>
      </c>
      <c r="C4" s="55">
        <v>5.000000074505806E-2</v>
      </c>
      <c r="D4" s="55">
        <v>0.10000000149011612</v>
      </c>
      <c r="E4" s="55">
        <v>0.15000000596046448</v>
      </c>
      <c r="F4" s="55">
        <v>0.20000000298023224</v>
      </c>
      <c r="G4" s="55">
        <v>0.25</v>
      </c>
      <c r="H4" s="55">
        <v>0.30000001192092896</v>
      </c>
      <c r="I4" s="55">
        <v>0.34999999403953552</v>
      </c>
      <c r="J4" s="55">
        <v>0.40000000596046448</v>
      </c>
      <c r="K4" s="55">
        <v>0.45000001788139343</v>
      </c>
      <c r="L4" s="55">
        <v>0.5</v>
      </c>
      <c r="M4" s="17">
        <f>MATCH($N$4,OutputAddresses,0)</f>
        <v>1</v>
      </c>
      <c r="N4" s="16" t="s">
        <v>221</v>
      </c>
      <c r="O4" s="15">
        <v>0</v>
      </c>
      <c r="P4" s="17">
        <f>MATCH($O$4,InputValues1,0)</f>
        <v>1</v>
      </c>
      <c r="Q4" s="17">
        <f>MATCH($R$4,OutputAddresses,0)</f>
        <v>1</v>
      </c>
      <c r="R4" s="16" t="s">
        <v>221</v>
      </c>
      <c r="S4" s="15">
        <v>0</v>
      </c>
      <c r="T4" s="17">
        <f>MATCH($S$4,InputValues2,0)</f>
        <v>1</v>
      </c>
    </row>
    <row r="5" spans="1:52" x14ac:dyDescent="0.45">
      <c r="A5" s="55">
        <v>0</v>
      </c>
      <c r="B5" s="56">
        <v>6556.666666666667</v>
      </c>
      <c r="C5" s="59">
        <v>6556.666666666667</v>
      </c>
      <c r="D5" s="59">
        <v>6556.666666666667</v>
      </c>
      <c r="E5" s="59">
        <v>6556.666666666667</v>
      </c>
      <c r="F5" s="59">
        <v>6557.0714288790305</v>
      </c>
      <c r="G5" s="59">
        <v>6562.2321428571431</v>
      </c>
      <c r="H5" s="59">
        <v>6567.3928583732668</v>
      </c>
      <c r="I5" s="59">
        <v>6572.5535708133666</v>
      </c>
      <c r="J5" s="21">
        <v>6577.7142863294903</v>
      </c>
      <c r="K5" s="21">
        <v>6582.8750018456158</v>
      </c>
      <c r="L5" s="24">
        <v>6588.0357142857138</v>
      </c>
      <c r="M5" s="17" t="str">
        <f>"OutputValues_"&amp;$M$4</f>
        <v>OutputValues_1</v>
      </c>
      <c r="N5">
        <f ca="1">INDEX(INDIRECT($M$5),$P$4,1)</f>
        <v>6556.666666666667</v>
      </c>
      <c r="Q5" s="17" t="str">
        <f>"OutputValues_"&amp;$Q$4</f>
        <v>OutputValues_1</v>
      </c>
      <c r="R5">
        <f ca="1">INDEX(INDIRECT($Q$5),1,$T$4)</f>
        <v>6556.666666666667</v>
      </c>
    </row>
    <row r="6" spans="1:52" x14ac:dyDescent="0.45">
      <c r="A6" s="55">
        <v>5.000000074505806E-2</v>
      </c>
      <c r="B6" s="57">
        <v>6563.7500001055505</v>
      </c>
      <c r="C6" s="60">
        <v>6563.7500001055505</v>
      </c>
      <c r="D6" s="60">
        <v>6563.7500001055505</v>
      </c>
      <c r="E6" s="60">
        <v>6563.7500001055505</v>
      </c>
      <c r="F6" s="60">
        <v>6563.7500001055505</v>
      </c>
      <c r="G6" s="60">
        <v>6563.7500001055505</v>
      </c>
      <c r="H6" s="60">
        <v>6567.3928583732668</v>
      </c>
      <c r="I6" s="60">
        <v>6572.5535708133666</v>
      </c>
      <c r="J6" s="22">
        <v>6577.7142863294903</v>
      </c>
      <c r="K6" s="22">
        <v>6582.8750018456158</v>
      </c>
      <c r="L6" s="25">
        <v>6588.0357142857138</v>
      </c>
      <c r="N6">
        <f ca="1">INDEX(INDIRECT($M$5),$P$4,2)</f>
        <v>6556.666666666667</v>
      </c>
      <c r="R6">
        <f ca="1">INDEX(INDIRECT($Q$5),2,$T$4)</f>
        <v>6563.7500001055505</v>
      </c>
    </row>
    <row r="7" spans="1:52" x14ac:dyDescent="0.45">
      <c r="A7" s="55">
        <v>0.10000000149011612</v>
      </c>
      <c r="B7" s="57">
        <v>6570.8333335444331</v>
      </c>
      <c r="C7" s="60">
        <v>6570.8333335444331</v>
      </c>
      <c r="D7" s="60">
        <v>6570.8333335444331</v>
      </c>
      <c r="E7" s="60">
        <v>6570.8333335444331</v>
      </c>
      <c r="F7" s="60">
        <v>6570.8333335444331</v>
      </c>
      <c r="G7" s="60">
        <v>6570.8333335444331</v>
      </c>
      <c r="H7" s="60">
        <v>6570.8333335444331</v>
      </c>
      <c r="I7" s="60">
        <v>6572.5535708133666</v>
      </c>
      <c r="J7" s="22">
        <v>6577.7142863294903</v>
      </c>
      <c r="K7" s="22">
        <v>6582.8750018456158</v>
      </c>
      <c r="L7" s="25">
        <v>6588.0357142857138</v>
      </c>
      <c r="N7">
        <f ca="1">INDEX(INDIRECT($M$5),$P$4,3)</f>
        <v>6556.666666666667</v>
      </c>
      <c r="R7">
        <f ca="1">INDEX(INDIRECT($Q$5),3,$T$4)</f>
        <v>6570.8333335444331</v>
      </c>
    </row>
    <row r="8" spans="1:52" x14ac:dyDescent="0.45">
      <c r="A8" s="55">
        <v>0.15000000596046448</v>
      </c>
      <c r="B8" s="57">
        <v>6577.9166675110664</v>
      </c>
      <c r="C8" s="60">
        <v>6577.9166675110664</v>
      </c>
      <c r="D8" s="60">
        <v>6577.9166675110664</v>
      </c>
      <c r="E8" s="60">
        <v>6577.9166675110664</v>
      </c>
      <c r="F8" s="60">
        <v>6577.9166675110664</v>
      </c>
      <c r="G8" s="60">
        <v>6577.9166675110664</v>
      </c>
      <c r="H8" s="60">
        <v>6577.9166675110664</v>
      </c>
      <c r="I8" s="60">
        <v>6577.9166675110664</v>
      </c>
      <c r="J8" s="22">
        <v>6577.9166675110664</v>
      </c>
      <c r="K8" s="22">
        <v>6582.8750018456158</v>
      </c>
      <c r="L8" s="25">
        <v>6588.0357142857138</v>
      </c>
      <c r="N8">
        <f ca="1">INDEX(INDIRECT($M$5),$P$4,4)</f>
        <v>6556.666666666667</v>
      </c>
      <c r="R8">
        <f ca="1">INDEX(INDIRECT($Q$5),4,$T$4)</f>
        <v>6577.9166675110664</v>
      </c>
    </row>
    <row r="9" spans="1:52" x14ac:dyDescent="0.45">
      <c r="A9" s="55">
        <v>0.20000000298023224</v>
      </c>
      <c r="B9" s="57">
        <v>6585.0000004222002</v>
      </c>
      <c r="C9" s="60">
        <v>6585.0000004222002</v>
      </c>
      <c r="D9" s="60">
        <v>6585.0000004222002</v>
      </c>
      <c r="E9" s="60">
        <v>6585.0000004222002</v>
      </c>
      <c r="F9" s="60">
        <v>6585.0000004222002</v>
      </c>
      <c r="G9" s="60">
        <v>6585.0000004222002</v>
      </c>
      <c r="H9" s="60">
        <v>6585.0000004222002</v>
      </c>
      <c r="I9" s="60">
        <v>6585.0000004222002</v>
      </c>
      <c r="J9" s="22">
        <v>6585.0000004222002</v>
      </c>
      <c r="K9" s="22">
        <v>6585.0000004222002</v>
      </c>
      <c r="L9" s="25">
        <v>6588.0357142857138</v>
      </c>
      <c r="N9">
        <f ca="1">INDEX(INDIRECT($M$5),$P$4,5)</f>
        <v>6557.0714288790305</v>
      </c>
      <c r="R9">
        <f ca="1">INDEX(INDIRECT($Q$5),5,$T$4)</f>
        <v>6585.0000004222002</v>
      </c>
    </row>
    <row r="10" spans="1:52" x14ac:dyDescent="0.45">
      <c r="A10" s="55">
        <v>0.25</v>
      </c>
      <c r="B10" s="57">
        <v>6592.0833333333339</v>
      </c>
      <c r="C10" s="60">
        <v>6592.0833333333339</v>
      </c>
      <c r="D10" s="60">
        <v>6592.0833333333339</v>
      </c>
      <c r="E10" s="60">
        <v>6592.0833333333339</v>
      </c>
      <c r="F10" s="60">
        <v>6592.0833333333339</v>
      </c>
      <c r="G10" s="60">
        <v>6592.0833333333339</v>
      </c>
      <c r="H10" s="60">
        <v>6592.0833333333339</v>
      </c>
      <c r="I10" s="60">
        <v>6592.0833333333339</v>
      </c>
      <c r="J10" s="22">
        <v>6592.0833333333339</v>
      </c>
      <c r="K10" s="22">
        <v>6592.0833333333339</v>
      </c>
      <c r="L10" s="25">
        <v>6592.0833333333339</v>
      </c>
      <c r="N10">
        <f ca="1">INDEX(INDIRECT($M$5),$P$4,6)</f>
        <v>6562.2321428571431</v>
      </c>
      <c r="R10">
        <f ca="1">INDEX(INDIRECT($Q$5),6,$T$4)</f>
        <v>6592.0833333333339</v>
      </c>
    </row>
    <row r="11" spans="1:52" x14ac:dyDescent="0.45">
      <c r="A11" s="55">
        <v>0.30000001192092896</v>
      </c>
      <c r="B11" s="57">
        <v>6599.1666683554649</v>
      </c>
      <c r="C11" s="60">
        <v>6599.1666683554649</v>
      </c>
      <c r="D11" s="60">
        <v>6599.1666683554649</v>
      </c>
      <c r="E11" s="60">
        <v>6599.1666683554649</v>
      </c>
      <c r="F11" s="60">
        <v>6599.1666683554649</v>
      </c>
      <c r="G11" s="60">
        <v>6599.1666683554649</v>
      </c>
      <c r="H11" s="60">
        <v>6599.1666683554649</v>
      </c>
      <c r="I11" s="60">
        <v>6599.1666683554649</v>
      </c>
      <c r="J11" s="22">
        <v>6599.1666683554649</v>
      </c>
      <c r="K11" s="22">
        <v>6599.1666683554649</v>
      </c>
      <c r="L11" s="25">
        <v>6599.1666683554649</v>
      </c>
      <c r="N11">
        <f ca="1">INDEX(INDIRECT($M$5),$P$4,7)</f>
        <v>6567.3928583732668</v>
      </c>
      <c r="R11">
        <f ca="1">INDEX(INDIRECT($Q$5),7,$T$4)</f>
        <v>6599.1666683554649</v>
      </c>
    </row>
    <row r="12" spans="1:52" x14ac:dyDescent="0.45">
      <c r="A12" s="55">
        <v>0.34999999403953552</v>
      </c>
      <c r="B12" s="57">
        <v>6606.2499991556006</v>
      </c>
      <c r="C12" s="60">
        <v>6606.2499991556006</v>
      </c>
      <c r="D12" s="60">
        <v>6606.2499991556006</v>
      </c>
      <c r="E12" s="60">
        <v>6606.2499991556006</v>
      </c>
      <c r="F12" s="60">
        <v>6606.2499991556006</v>
      </c>
      <c r="G12" s="60">
        <v>6606.2499991556006</v>
      </c>
      <c r="H12" s="60">
        <v>6606.2499991556006</v>
      </c>
      <c r="I12" s="60">
        <v>6606.2499991556006</v>
      </c>
      <c r="J12" s="22">
        <v>6606.2499991556006</v>
      </c>
      <c r="K12" s="22">
        <v>6606.2499991556006</v>
      </c>
      <c r="L12" s="25">
        <v>6606.2499991556006</v>
      </c>
      <c r="N12">
        <f ca="1">INDEX(INDIRECT($M$5),$P$4,8)</f>
        <v>6572.5535708133666</v>
      </c>
      <c r="R12">
        <f ca="1">INDEX(INDIRECT($Q$5),8,$T$4)</f>
        <v>6606.2499991556006</v>
      </c>
    </row>
    <row r="13" spans="1:52" x14ac:dyDescent="0.45">
      <c r="A13" s="55">
        <v>0.40000000596046448</v>
      </c>
      <c r="B13" s="57">
        <v>6613.3333341777325</v>
      </c>
      <c r="C13" s="60">
        <v>6613.3333341777325</v>
      </c>
      <c r="D13" s="60">
        <v>6613.3333341777325</v>
      </c>
      <c r="E13" s="60">
        <v>6613.3333341777325</v>
      </c>
      <c r="F13" s="60">
        <v>6613.3333341777325</v>
      </c>
      <c r="G13" s="60">
        <v>6613.3333341777325</v>
      </c>
      <c r="H13" s="60">
        <v>6613.3333341777325</v>
      </c>
      <c r="I13" s="60">
        <v>6613.3333341777325</v>
      </c>
      <c r="J13" s="22">
        <v>6613.3333341777325</v>
      </c>
      <c r="K13" s="22">
        <v>6613.3333341777325</v>
      </c>
      <c r="L13" s="25">
        <v>6613.3333341777325</v>
      </c>
      <c r="N13">
        <f ca="1">INDEX(INDIRECT($M$5),$P$4,9)</f>
        <v>6577.7142863294903</v>
      </c>
      <c r="R13">
        <f ca="1">INDEX(INDIRECT($Q$5),9,$T$4)</f>
        <v>6613.3333341777325</v>
      </c>
    </row>
    <row r="14" spans="1:52" x14ac:dyDescent="0.45">
      <c r="A14" s="55">
        <v>0.45000001788139343</v>
      </c>
      <c r="B14" s="57">
        <v>6620.4166691998644</v>
      </c>
      <c r="C14" s="60">
        <v>6620.4166691998644</v>
      </c>
      <c r="D14" s="60">
        <v>6620.4166691998644</v>
      </c>
      <c r="E14" s="60">
        <v>6620.4166691998644</v>
      </c>
      <c r="F14" s="60">
        <v>6620.4166691998644</v>
      </c>
      <c r="G14" s="60">
        <v>6620.4166691998644</v>
      </c>
      <c r="H14" s="60">
        <v>6620.4166691998644</v>
      </c>
      <c r="I14" s="60">
        <v>6620.4166691998644</v>
      </c>
      <c r="J14" s="22">
        <v>6620.4166691998644</v>
      </c>
      <c r="K14" s="22">
        <v>6620.4166691998644</v>
      </c>
      <c r="L14" s="25">
        <v>6620.4166691998644</v>
      </c>
      <c r="N14">
        <f ca="1">INDEX(INDIRECT($M$5),$P$4,10)</f>
        <v>6582.8750018456158</v>
      </c>
      <c r="R14">
        <f ca="1">INDEX(INDIRECT($Q$5),10,$T$4)</f>
        <v>6620.4166691998644</v>
      </c>
    </row>
    <row r="15" spans="1:52" x14ac:dyDescent="0.45">
      <c r="A15" s="55">
        <v>0.5</v>
      </c>
      <c r="B15" s="58">
        <v>6627.5</v>
      </c>
      <c r="C15" s="61">
        <v>6627.5</v>
      </c>
      <c r="D15" s="61">
        <v>6627.5</v>
      </c>
      <c r="E15" s="61">
        <v>6627.5</v>
      </c>
      <c r="F15" s="61">
        <v>6627.5</v>
      </c>
      <c r="G15" s="61">
        <v>6627.5</v>
      </c>
      <c r="H15" s="61">
        <v>6627.5</v>
      </c>
      <c r="I15" s="61">
        <v>6627.5</v>
      </c>
      <c r="J15" s="23">
        <v>6627.5</v>
      </c>
      <c r="K15" s="23">
        <v>6627.5</v>
      </c>
      <c r="L15" s="26">
        <v>6627.5</v>
      </c>
      <c r="N15">
        <f ca="1">INDEX(INDIRECT($M$5),$P$4,11)</f>
        <v>6588.0357142857138</v>
      </c>
      <c r="R15">
        <f ca="1">INDEX(INDIRECT($Q$5),11,$T$4)</f>
        <v>6627.5</v>
      </c>
    </row>
  </sheetData>
  <dataValidations count="3">
    <dataValidation type="list" allowBlank="1" showInputMessage="1" showErrorMessage="1" sqref="N4 R4" xr:uid="{9D6FBD31-61A3-4AC8-858E-70B786C70D6F}">
      <formula1>OutputAddresses</formula1>
    </dataValidation>
    <dataValidation type="list" allowBlank="1" showInputMessage="1" showErrorMessage="1" sqref="O4" xr:uid="{033E46EC-24A4-4066-8CBD-36394439232F}">
      <formula1>InputValues1</formula1>
    </dataValidation>
    <dataValidation type="list" allowBlank="1" showInputMessage="1" showErrorMessage="1" sqref="S4" xr:uid="{1A70AAEA-80E9-4570-909D-EBCFA0BB75C1}">
      <formula1>InputValues2</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5E1F1-DA77-412F-A06A-7521892CF3C0}">
  <dimension ref="A1:K11"/>
  <sheetViews>
    <sheetView workbookViewId="0">
      <selection activeCell="G25" sqref="G25"/>
    </sheetView>
  </sheetViews>
  <sheetFormatPr defaultRowHeight="14.25" x14ac:dyDescent="0.45"/>
  <cols>
    <col min="1" max="1" width="8.796875" bestFit="1" customWidth="1"/>
    <col min="2" max="2" width="9.9296875" bestFit="1" customWidth="1"/>
  </cols>
  <sheetData>
    <row r="1" spans="1:11" x14ac:dyDescent="0.45">
      <c r="A1" s="14" t="s">
        <v>324</v>
      </c>
      <c r="K1" s="17" t="str">
        <f>CONCATENATE("Sensitivity of ",$K$4," to ","Product1 Machine2 Unit cost")</f>
        <v>Sensitivity of Total_Cost_of_Production to Product1 Machine2 Unit cost</v>
      </c>
    </row>
    <row r="3" spans="1:11" x14ac:dyDescent="0.45">
      <c r="A3" t="s">
        <v>325</v>
      </c>
      <c r="K3" t="s">
        <v>111</v>
      </c>
    </row>
    <row r="4" spans="1:11" ht="120" x14ac:dyDescent="0.45">
      <c r="B4" s="35" t="s">
        <v>221</v>
      </c>
      <c r="J4" s="17">
        <f>MATCH($K$4,OutputAddresses,0)</f>
        <v>1</v>
      </c>
      <c r="K4" s="16" t="s">
        <v>221</v>
      </c>
    </row>
    <row r="5" spans="1:11" x14ac:dyDescent="0.45">
      <c r="A5" s="22">
        <v>5</v>
      </c>
      <c r="B5" s="77">
        <v>4247.7777777777792</v>
      </c>
      <c r="K5">
        <f>INDEX(OutputValues,1,$J$4)</f>
        <v>4247.7777777777792</v>
      </c>
    </row>
    <row r="6" spans="1:11" x14ac:dyDescent="0.45">
      <c r="A6" s="22">
        <v>10</v>
      </c>
      <c r="B6" s="78">
        <v>5192.2222222222226</v>
      </c>
      <c r="K6">
        <f>INDEX(OutputValues,2,$J$4)</f>
        <v>5192.2222222222226</v>
      </c>
    </row>
    <row r="7" spans="1:11" x14ac:dyDescent="0.45">
      <c r="A7" s="22">
        <v>15</v>
      </c>
      <c r="B7" s="78">
        <v>6136.666666666667</v>
      </c>
      <c r="K7">
        <f>INDEX(OutputValues,3,$J$4)</f>
        <v>6136.666666666667</v>
      </c>
    </row>
    <row r="8" spans="1:11" x14ac:dyDescent="0.45">
      <c r="A8" s="22">
        <v>20</v>
      </c>
      <c r="B8" s="78">
        <v>6877.5</v>
      </c>
      <c r="K8">
        <f>INDEX(OutputValues,4,$J$4)</f>
        <v>6877.5</v>
      </c>
    </row>
    <row r="9" spans="1:11" x14ac:dyDescent="0.45">
      <c r="A9" s="22">
        <v>25</v>
      </c>
      <c r="B9" s="78">
        <v>7502.5</v>
      </c>
      <c r="K9">
        <f>INDEX(OutputValues,5,$J$4)</f>
        <v>7502.5</v>
      </c>
    </row>
    <row r="10" spans="1:11" x14ac:dyDescent="0.45">
      <c r="A10" s="22">
        <v>30</v>
      </c>
      <c r="B10" s="78">
        <v>8127.5</v>
      </c>
      <c r="K10">
        <f>INDEX(OutputValues,6,$J$4)</f>
        <v>8127.5</v>
      </c>
    </row>
    <row r="11" spans="1:11" x14ac:dyDescent="0.45">
      <c r="A11" s="22">
        <v>35</v>
      </c>
      <c r="B11" s="79">
        <v>8752.5</v>
      </c>
      <c r="K11">
        <f>INDEX(OutputValues,7,$J$4)</f>
        <v>8752.5</v>
      </c>
    </row>
  </sheetData>
  <dataValidations count="1">
    <dataValidation type="list" allowBlank="1" showInputMessage="1" showErrorMessage="1" sqref="K4" xr:uid="{E293EE5F-1603-4AD7-BBD9-BF5C3B6BAD98}">
      <formula1>OutputAddresses</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90B8-91D0-4EC5-B8D0-9C6B86A26375}">
  <dimension ref="A1:I37"/>
  <sheetViews>
    <sheetView topLeftCell="D4" workbookViewId="0">
      <selection activeCell="E26" sqref="E26"/>
    </sheetView>
  </sheetViews>
  <sheetFormatPr defaultRowHeight="14.25" x14ac:dyDescent="0.45"/>
  <cols>
    <col min="1" max="1" width="31.265625" bestFit="1" customWidth="1"/>
    <col min="2" max="2" width="65.73046875" bestFit="1" customWidth="1"/>
    <col min="3" max="3" width="26.53125" bestFit="1" customWidth="1"/>
    <col min="4" max="4" width="11" bestFit="1" customWidth="1"/>
    <col min="5" max="5" width="10.46484375" bestFit="1" customWidth="1"/>
    <col min="8" max="8" width="40" bestFit="1" customWidth="1"/>
  </cols>
  <sheetData>
    <row r="1" spans="1:5" x14ac:dyDescent="0.45">
      <c r="A1" s="6" t="s">
        <v>6</v>
      </c>
      <c r="B1" s="3"/>
      <c r="C1" s="3"/>
      <c r="D1" s="3"/>
      <c r="E1" s="3"/>
    </row>
    <row r="2" spans="1:5" x14ac:dyDescent="0.45">
      <c r="A2" s="3"/>
      <c r="B2" s="3"/>
      <c r="C2" s="3"/>
      <c r="D2" s="3"/>
      <c r="E2" s="3"/>
    </row>
    <row r="3" spans="1:5" x14ac:dyDescent="0.45">
      <c r="A3" s="3"/>
      <c r="B3" s="95" t="s">
        <v>5</v>
      </c>
      <c r="C3" s="95"/>
      <c r="D3" s="95" t="s">
        <v>4</v>
      </c>
      <c r="E3" s="95"/>
    </row>
    <row r="4" spans="1:5" x14ac:dyDescent="0.45">
      <c r="A4" s="3"/>
      <c r="B4" s="5" t="s">
        <v>3</v>
      </c>
      <c r="C4" s="5" t="s">
        <v>2</v>
      </c>
      <c r="D4" s="5" t="s">
        <v>3</v>
      </c>
      <c r="E4" s="5" t="s">
        <v>2</v>
      </c>
    </row>
    <row r="5" spans="1:5" x14ac:dyDescent="0.45">
      <c r="A5" s="3" t="s">
        <v>1</v>
      </c>
      <c r="B5" s="4">
        <v>3.8</v>
      </c>
      <c r="C5" s="4">
        <v>4</v>
      </c>
      <c r="D5" s="4">
        <v>4.7</v>
      </c>
      <c r="E5" s="4">
        <v>5.2</v>
      </c>
    </row>
    <row r="6" spans="1:5" x14ac:dyDescent="0.45">
      <c r="A6" s="3" t="s">
        <v>0</v>
      </c>
      <c r="B6" s="2">
        <v>0.2</v>
      </c>
      <c r="C6" s="1">
        <v>0.24</v>
      </c>
      <c r="D6" s="2">
        <v>0.3</v>
      </c>
      <c r="E6" s="1">
        <v>0.33</v>
      </c>
    </row>
    <row r="8" spans="1:5" x14ac:dyDescent="0.45">
      <c r="A8" t="s">
        <v>9</v>
      </c>
      <c r="B8" t="s">
        <v>10</v>
      </c>
    </row>
    <row r="10" spans="1:5" x14ac:dyDescent="0.45">
      <c r="A10" t="s">
        <v>11</v>
      </c>
      <c r="B10" t="s">
        <v>12</v>
      </c>
    </row>
    <row r="11" spans="1:5" x14ac:dyDescent="0.45">
      <c r="B11" t="s">
        <v>14</v>
      </c>
    </row>
    <row r="12" spans="1:5" x14ac:dyDescent="0.45">
      <c r="B12" t="s">
        <v>13</v>
      </c>
    </row>
    <row r="14" spans="1:5" x14ac:dyDescent="0.45">
      <c r="A14" t="s">
        <v>15</v>
      </c>
      <c r="B14" t="s">
        <v>16</v>
      </c>
    </row>
    <row r="16" spans="1:5" x14ac:dyDescent="0.45">
      <c r="A16" t="s">
        <v>1</v>
      </c>
      <c r="B16" t="s">
        <v>7</v>
      </c>
      <c r="C16" t="s">
        <v>8</v>
      </c>
    </row>
    <row r="17" spans="1:9" x14ac:dyDescent="0.45">
      <c r="A17" t="s">
        <v>3</v>
      </c>
      <c r="B17" s="8">
        <v>3.8</v>
      </c>
      <c r="C17" s="8">
        <v>4.7</v>
      </c>
    </row>
    <row r="18" spans="1:9" x14ac:dyDescent="0.45">
      <c r="A18" t="s">
        <v>2</v>
      </c>
      <c r="B18" s="8">
        <v>4</v>
      </c>
      <c r="C18" s="8">
        <v>5.2</v>
      </c>
    </row>
    <row r="19" spans="1:9" x14ac:dyDescent="0.45">
      <c r="H19" s="11" t="s">
        <v>34</v>
      </c>
    </row>
    <row r="20" spans="1:9" x14ac:dyDescent="0.45">
      <c r="B20" t="s">
        <v>7</v>
      </c>
      <c r="C20" t="s">
        <v>8</v>
      </c>
      <c r="H20" t="s">
        <v>35</v>
      </c>
      <c r="I20" t="s">
        <v>36</v>
      </c>
    </row>
    <row r="21" spans="1:9" x14ac:dyDescent="0.45">
      <c r="A21" t="s">
        <v>22</v>
      </c>
      <c r="B21" s="1">
        <v>0.2</v>
      </c>
      <c r="C21" s="1">
        <v>0.3</v>
      </c>
      <c r="H21" t="s">
        <v>37</v>
      </c>
      <c r="I21" t="s">
        <v>38</v>
      </c>
    </row>
    <row r="22" spans="1:9" x14ac:dyDescent="0.45">
      <c r="A22" t="s">
        <v>23</v>
      </c>
      <c r="B22" s="1">
        <v>0.24</v>
      </c>
      <c r="C22" s="1">
        <v>0.33</v>
      </c>
      <c r="H22" t="s">
        <v>39</v>
      </c>
      <c r="I22" t="s">
        <v>40</v>
      </c>
    </row>
    <row r="23" spans="1:9" x14ac:dyDescent="0.45">
      <c r="H23" t="s">
        <v>41</v>
      </c>
      <c r="I23" t="s">
        <v>42</v>
      </c>
    </row>
    <row r="24" spans="1:9" x14ac:dyDescent="0.45">
      <c r="H24" t="s">
        <v>47</v>
      </c>
      <c r="I24" t="s">
        <v>48</v>
      </c>
    </row>
    <row r="25" spans="1:9" x14ac:dyDescent="0.45">
      <c r="B25" t="s">
        <v>17</v>
      </c>
      <c r="C25" t="s">
        <v>18</v>
      </c>
      <c r="H25" t="s">
        <v>49</v>
      </c>
      <c r="I25" t="s">
        <v>50</v>
      </c>
    </row>
    <row r="26" spans="1:9" x14ac:dyDescent="0.45">
      <c r="A26" t="s">
        <v>32</v>
      </c>
      <c r="B26" s="7">
        <v>0</v>
      </c>
      <c r="C26" s="80">
        <v>2666.666748046875</v>
      </c>
      <c r="H26" t="s">
        <v>51</v>
      </c>
      <c r="I26" t="s">
        <v>52</v>
      </c>
    </row>
    <row r="27" spans="1:9" x14ac:dyDescent="0.45">
      <c r="A27" t="s">
        <v>33</v>
      </c>
      <c r="B27" s="7">
        <v>2000</v>
      </c>
      <c r="C27" s="80">
        <v>333.33334350585938</v>
      </c>
      <c r="H27" t="s">
        <v>53</v>
      </c>
      <c r="I27" t="s">
        <v>54</v>
      </c>
    </row>
    <row r="28" spans="1:9" x14ac:dyDescent="0.45">
      <c r="B28" t="s">
        <v>30</v>
      </c>
      <c r="D28" t="s">
        <v>28</v>
      </c>
      <c r="H28" t="s">
        <v>55</v>
      </c>
      <c r="I28" t="s">
        <v>56</v>
      </c>
    </row>
    <row r="29" spans="1:9" x14ac:dyDescent="0.45">
      <c r="A29" t="s">
        <v>19</v>
      </c>
      <c r="B29">
        <f>SUM(pounds_produced_week_Drug1)</f>
        <v>2000</v>
      </c>
      <c r="C29" t="s">
        <v>27</v>
      </c>
      <c r="D29" s="1">
        <v>2000</v>
      </c>
      <c r="H29" t="s">
        <v>43</v>
      </c>
      <c r="I29" t="s">
        <v>44</v>
      </c>
    </row>
    <row r="30" spans="1:9" x14ac:dyDescent="0.45">
      <c r="A30" t="s">
        <v>20</v>
      </c>
      <c r="B30">
        <f>SUM(pounds_produced_week_Drug2)</f>
        <v>3000.0000915527344</v>
      </c>
      <c r="C30" t="s">
        <v>27</v>
      </c>
      <c r="D30" s="1">
        <v>3000</v>
      </c>
      <c r="H30" t="s">
        <v>45</v>
      </c>
      <c r="I30" t="s">
        <v>46</v>
      </c>
    </row>
    <row r="31" spans="1:9" x14ac:dyDescent="0.45">
      <c r="H31" t="s">
        <v>66</v>
      </c>
      <c r="I31" t="s">
        <v>105</v>
      </c>
    </row>
    <row r="33" spans="1:4" x14ac:dyDescent="0.45">
      <c r="B33" t="s">
        <v>31</v>
      </c>
      <c r="D33" t="s">
        <v>26</v>
      </c>
    </row>
    <row r="34" spans="1:4" x14ac:dyDescent="0.45">
      <c r="A34" t="s">
        <v>21</v>
      </c>
      <c r="B34">
        <f>SUMPRODUCT(Machine_hrs_week_Indianapolis,pounds_produced_week_Indianpolis)</f>
        <v>800.00002441406252</v>
      </c>
      <c r="C34" t="s">
        <v>25</v>
      </c>
      <c r="D34" s="1">
        <v>800</v>
      </c>
    </row>
    <row r="35" spans="1:4" x14ac:dyDescent="0.45">
      <c r="A35" t="s">
        <v>24</v>
      </c>
      <c r="B35">
        <f>SUMPRODUCT(Machine_hrs_week_Los_Angeles,pounds_produced_week_Los_Angeles)</f>
        <v>590.00000335693358</v>
      </c>
      <c r="C35" t="s">
        <v>25</v>
      </c>
      <c r="D35" s="1">
        <v>600</v>
      </c>
    </row>
    <row r="37" spans="1:4" x14ac:dyDescent="0.45">
      <c r="A37" t="s">
        <v>29</v>
      </c>
      <c r="B37" s="10">
        <f>SUMPRODUCT(production_matrix,unitcost_perpound_matrix)</f>
        <v>22266.667102050782</v>
      </c>
    </row>
  </sheetData>
  <mergeCells count="2">
    <mergeCell ref="B3:C3"/>
    <mergeCell ref="D3:E3"/>
  </mergeCell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D8322-87AE-4899-949E-86951DFCDA69}">
  <dimension ref="A1:AZ12"/>
  <sheetViews>
    <sheetView topLeftCell="G1" workbookViewId="0">
      <selection activeCell="E26" sqref="E26"/>
    </sheetView>
  </sheetViews>
  <sheetFormatPr defaultRowHeight="14.25" x14ac:dyDescent="0.45"/>
  <cols>
    <col min="1" max="1" width="9.33203125" bestFit="1" customWidth="1"/>
    <col min="2" max="9" width="10.9296875" bestFit="1" customWidth="1"/>
  </cols>
  <sheetData>
    <row r="1" spans="1:52" x14ac:dyDescent="0.45">
      <c r="A1" s="14" t="s">
        <v>59</v>
      </c>
      <c r="K1" s="17" t="str">
        <f>CONCATENATE("Sensitivity of ",$K$4," to ","Los Angeles Hours")</f>
        <v>Sensitivity of Total_cost to Los Angeles Hours</v>
      </c>
      <c r="O1" s="17" t="str">
        <f>CONCATENATE("Sensitivity of ",$O$4," to ","Indianapolis Hours")</f>
        <v>Sensitivity of Total_cost to Indianapolis Hours</v>
      </c>
    </row>
    <row r="2" spans="1:52" x14ac:dyDescent="0.45">
      <c r="K2" t="s">
        <v>61</v>
      </c>
      <c r="O2" t="s">
        <v>64</v>
      </c>
      <c r="AZ2" t="s">
        <v>66</v>
      </c>
    </row>
    <row r="3" spans="1:52" x14ac:dyDescent="0.45">
      <c r="A3" t="s">
        <v>60</v>
      </c>
      <c r="K3" t="s">
        <v>62</v>
      </c>
      <c r="L3" t="s">
        <v>63</v>
      </c>
      <c r="O3" t="s">
        <v>62</v>
      </c>
      <c r="P3" t="s">
        <v>65</v>
      </c>
    </row>
    <row r="4" spans="1:52" ht="49.9" x14ac:dyDescent="0.45">
      <c r="A4" s="13" t="s">
        <v>66</v>
      </c>
      <c r="B4">
        <v>600</v>
      </c>
      <c r="C4">
        <v>610</v>
      </c>
      <c r="D4">
        <v>620</v>
      </c>
      <c r="E4">
        <v>630</v>
      </c>
      <c r="F4">
        <v>640</v>
      </c>
      <c r="G4">
        <v>650</v>
      </c>
      <c r="H4">
        <v>660</v>
      </c>
      <c r="I4">
        <v>670</v>
      </c>
      <c r="J4" s="17">
        <f>MATCH($K$4,OutputAddresses,0)</f>
        <v>1</v>
      </c>
      <c r="K4" s="16" t="s">
        <v>66</v>
      </c>
      <c r="L4" s="15">
        <v>800</v>
      </c>
      <c r="M4" s="17">
        <f>MATCH($L$4,InputValues1,0)</f>
        <v>1</v>
      </c>
      <c r="N4" s="17">
        <f>MATCH($O$4,OutputAddresses,0)</f>
        <v>1</v>
      </c>
      <c r="O4" s="16" t="s">
        <v>66</v>
      </c>
      <c r="P4" s="15">
        <v>600</v>
      </c>
      <c r="Q4" s="17">
        <f>MATCH($P$4,InputValues2,0)</f>
        <v>1</v>
      </c>
    </row>
    <row r="5" spans="1:52" x14ac:dyDescent="0.45">
      <c r="A5">
        <v>800</v>
      </c>
      <c r="B5" s="18">
        <v>22266.666666666668</v>
      </c>
      <c r="C5" s="21">
        <v>22266.666666666668</v>
      </c>
      <c r="D5" s="21">
        <v>22266.666666666668</v>
      </c>
      <c r="E5" s="21">
        <v>22266.666666666668</v>
      </c>
      <c r="F5" s="21">
        <v>22266.666666666668</v>
      </c>
      <c r="G5" s="21">
        <v>22266.666666666668</v>
      </c>
      <c r="H5" s="21">
        <v>22266.666666666668</v>
      </c>
      <c r="I5" s="24">
        <v>22266.666666666668</v>
      </c>
      <c r="J5" s="17" t="str">
        <f>"OutputValues_"&amp;$J$4</f>
        <v>OutputValues_1</v>
      </c>
      <c r="K5">
        <f ca="1">INDEX(INDIRECT($J$5),$M$4,1)</f>
        <v>22266.666666666668</v>
      </c>
      <c r="N5" s="17" t="str">
        <f>"OutputValues_"&amp;$N$4</f>
        <v>OutputValues_1</v>
      </c>
      <c r="O5">
        <f ca="1">INDEX(INDIRECT($N$5),1,$Q$4)</f>
        <v>22266.666666666668</v>
      </c>
    </row>
    <row r="6" spans="1:52" x14ac:dyDescent="0.45">
      <c r="A6">
        <v>810</v>
      </c>
      <c r="B6" s="19">
        <v>22250</v>
      </c>
      <c r="C6" s="22">
        <v>22250</v>
      </c>
      <c r="D6" s="22">
        <v>22250</v>
      </c>
      <c r="E6" s="22">
        <v>22250</v>
      </c>
      <c r="F6" s="22">
        <v>22250</v>
      </c>
      <c r="G6" s="22">
        <v>22250</v>
      </c>
      <c r="H6" s="22">
        <v>22250</v>
      </c>
      <c r="I6" s="25">
        <v>22250</v>
      </c>
      <c r="K6">
        <f ca="1">INDEX(INDIRECT($J$5),$M$4,2)</f>
        <v>22266.666666666668</v>
      </c>
      <c r="O6">
        <f ca="1">INDEX(INDIRECT($N$5),2,$Q$4)</f>
        <v>22250</v>
      </c>
    </row>
    <row r="7" spans="1:52" x14ac:dyDescent="0.45">
      <c r="A7">
        <v>820</v>
      </c>
      <c r="B7" s="19">
        <v>22233.333333333332</v>
      </c>
      <c r="C7" s="22">
        <v>22233.333333333332</v>
      </c>
      <c r="D7" s="22">
        <v>22233.333333333332</v>
      </c>
      <c r="E7" s="22">
        <v>22233.333333333332</v>
      </c>
      <c r="F7" s="22">
        <v>22233.333333333332</v>
      </c>
      <c r="G7" s="22">
        <v>22233.333333333332</v>
      </c>
      <c r="H7" s="22">
        <v>22233.333333333332</v>
      </c>
      <c r="I7" s="25">
        <v>22233.333333333332</v>
      </c>
      <c r="K7">
        <f ca="1">INDEX(INDIRECT($J$5),$M$4,3)</f>
        <v>22266.666666666668</v>
      </c>
      <c r="O7">
        <f ca="1">INDEX(INDIRECT($N$5),3,$Q$4)</f>
        <v>22233.333333333332</v>
      </c>
    </row>
    <row r="8" spans="1:52" x14ac:dyDescent="0.45">
      <c r="A8">
        <v>830</v>
      </c>
      <c r="B8" s="19">
        <v>22216.666666666668</v>
      </c>
      <c r="C8" s="22">
        <v>22216.666666666668</v>
      </c>
      <c r="D8" s="22">
        <v>22216.666666666668</v>
      </c>
      <c r="E8" s="22">
        <v>22216.666666666668</v>
      </c>
      <c r="F8" s="22">
        <v>22216.666666666668</v>
      </c>
      <c r="G8" s="22">
        <v>22216.666666666668</v>
      </c>
      <c r="H8" s="22">
        <v>22216.666666666668</v>
      </c>
      <c r="I8" s="25">
        <v>22216.666666666668</v>
      </c>
      <c r="K8">
        <f ca="1">INDEX(INDIRECT($J$5),$M$4,4)</f>
        <v>22266.666666666668</v>
      </c>
      <c r="O8">
        <f ca="1">INDEX(INDIRECT($N$5),4,$Q$4)</f>
        <v>22216.666666666668</v>
      </c>
    </row>
    <row r="9" spans="1:52" x14ac:dyDescent="0.45">
      <c r="A9">
        <v>840</v>
      </c>
      <c r="B9" s="19">
        <v>22200</v>
      </c>
      <c r="C9" s="22">
        <v>22200</v>
      </c>
      <c r="D9" s="22">
        <v>22200</v>
      </c>
      <c r="E9" s="22">
        <v>22200</v>
      </c>
      <c r="F9" s="22">
        <v>22200</v>
      </c>
      <c r="G9" s="22">
        <v>22200</v>
      </c>
      <c r="H9" s="22">
        <v>22200</v>
      </c>
      <c r="I9" s="25">
        <v>22200</v>
      </c>
      <c r="K9">
        <f ca="1">INDEX(INDIRECT($J$5),$M$4,5)</f>
        <v>22266.666666666668</v>
      </c>
      <c r="O9">
        <f ca="1">INDEX(INDIRECT($N$5),5,$Q$4)</f>
        <v>22200</v>
      </c>
    </row>
    <row r="10" spans="1:52" x14ac:dyDescent="0.45">
      <c r="A10">
        <v>850</v>
      </c>
      <c r="B10" s="19">
        <v>22183.333333333332</v>
      </c>
      <c r="C10" s="22">
        <v>22183.333333333332</v>
      </c>
      <c r="D10" s="22">
        <v>22183.333333333332</v>
      </c>
      <c r="E10" s="22">
        <v>22183.333333333332</v>
      </c>
      <c r="F10" s="22">
        <v>22183.333333333332</v>
      </c>
      <c r="G10" s="22">
        <v>22183.333333333332</v>
      </c>
      <c r="H10" s="22">
        <v>22183.333333333332</v>
      </c>
      <c r="I10" s="25">
        <v>22183.333333333332</v>
      </c>
      <c r="K10">
        <f ca="1">INDEX(INDIRECT($J$5),$M$4,6)</f>
        <v>22266.666666666668</v>
      </c>
      <c r="O10">
        <f ca="1">INDEX(INDIRECT($N$5),6,$Q$4)</f>
        <v>22183.333333333332</v>
      </c>
    </row>
    <row r="11" spans="1:52" x14ac:dyDescent="0.45">
      <c r="A11">
        <v>860</v>
      </c>
      <c r="B11" s="20">
        <v>22166.666666666668</v>
      </c>
      <c r="C11" s="23">
        <v>22166.666666666668</v>
      </c>
      <c r="D11" s="23">
        <v>22166.666666666668</v>
      </c>
      <c r="E11" s="23">
        <v>22166.666666666668</v>
      </c>
      <c r="F11" s="23">
        <v>22166.666666666668</v>
      </c>
      <c r="G11" s="23">
        <v>22166.666666666668</v>
      </c>
      <c r="H11" s="23">
        <v>22166.666666666668</v>
      </c>
      <c r="I11" s="26">
        <v>22166.666666666668</v>
      </c>
      <c r="K11">
        <f ca="1">INDEX(INDIRECT($J$5),$M$4,7)</f>
        <v>22266.666666666668</v>
      </c>
      <c r="O11">
        <f ca="1">INDEX(INDIRECT($N$5),7,$Q$4)</f>
        <v>22166.666666666668</v>
      </c>
    </row>
    <row r="12" spans="1:52" x14ac:dyDescent="0.45">
      <c r="K12">
        <f ca="1">INDEX(INDIRECT($J$5),$M$4,8)</f>
        <v>22266.666666666668</v>
      </c>
    </row>
  </sheetData>
  <dataValidations count="3">
    <dataValidation type="list" allowBlank="1" showInputMessage="1" showErrorMessage="1" sqref="K4 O4" xr:uid="{BF25B309-57C2-492B-883B-2EB93B787EC7}">
      <formula1>OutputAddresses</formula1>
    </dataValidation>
    <dataValidation type="list" allowBlank="1" showInputMessage="1" showErrorMessage="1" sqref="L4" xr:uid="{1293F0ED-0A45-47A4-BAEC-EB7582211C7D}">
      <formula1>InputValues1</formula1>
    </dataValidation>
    <dataValidation type="list" allowBlank="1" showInputMessage="1" showErrorMessage="1" sqref="P4" xr:uid="{BE143A57-87BF-4DEF-ACEE-2FD0B597889D}">
      <formula1>InputValues2</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075D6-9F88-4330-A96C-AD6E3313AE19}">
  <dimension ref="A1:AZ8"/>
  <sheetViews>
    <sheetView workbookViewId="0">
      <selection activeCell="E25" sqref="E25"/>
    </sheetView>
  </sheetViews>
  <sheetFormatPr defaultRowHeight="14.25" x14ac:dyDescent="0.45"/>
  <cols>
    <col min="1" max="1" width="9.33203125" bestFit="1" customWidth="1"/>
    <col min="2" max="3" width="10.9296875" bestFit="1" customWidth="1"/>
  </cols>
  <sheetData>
    <row r="1" spans="1:52" x14ac:dyDescent="0.45">
      <c r="A1" s="14" t="s">
        <v>59</v>
      </c>
      <c r="K1" s="17" t="str">
        <f>CONCATENATE("Sensitivity of ",$K$4," to ","Total pounds Drug2/week")</f>
        <v>Sensitivity of Total_cost to Total pounds Drug2/week</v>
      </c>
      <c r="O1" s="17" t="str">
        <f>CONCATENATE("Sensitivity of ",$O$4," to ","Total pounds Drug1/week")</f>
        <v>Sensitivity of Total_cost to Total pounds Drug1/week</v>
      </c>
    </row>
    <row r="2" spans="1:52" x14ac:dyDescent="0.45">
      <c r="K2" t="s">
        <v>72</v>
      </c>
      <c r="O2" t="s">
        <v>74</v>
      </c>
      <c r="AZ2" t="s">
        <v>66</v>
      </c>
    </row>
    <row r="3" spans="1:52" x14ac:dyDescent="0.45">
      <c r="A3" t="s">
        <v>71</v>
      </c>
      <c r="K3" t="s">
        <v>62</v>
      </c>
      <c r="L3" t="s">
        <v>73</v>
      </c>
      <c r="O3" t="s">
        <v>62</v>
      </c>
      <c r="P3" t="s">
        <v>75</v>
      </c>
    </row>
    <row r="4" spans="1:52" ht="49.9" x14ac:dyDescent="0.45">
      <c r="A4" s="13" t="s">
        <v>66</v>
      </c>
      <c r="B4">
        <v>3000</v>
      </c>
      <c r="C4">
        <v>3100</v>
      </c>
      <c r="D4">
        <v>3200</v>
      </c>
      <c r="E4">
        <v>3300</v>
      </c>
      <c r="J4" s="17">
        <f>MATCH($K$4,OutputAddresses,0)</f>
        <v>1</v>
      </c>
      <c r="K4" s="16" t="s">
        <v>66</v>
      </c>
      <c r="L4" s="15">
        <v>2000</v>
      </c>
      <c r="M4" s="17">
        <f>MATCH($L$4,InputValues1,0)</f>
        <v>1</v>
      </c>
      <c r="N4" s="17">
        <f>MATCH($O$4,OutputAddresses,0)</f>
        <v>1</v>
      </c>
      <c r="O4" s="16" t="s">
        <v>66</v>
      </c>
      <c r="P4" s="15">
        <v>3000</v>
      </c>
      <c r="Q4" s="17">
        <f>MATCH($P$4,InputValues2,0)</f>
        <v>1</v>
      </c>
    </row>
    <row r="5" spans="1:52" x14ac:dyDescent="0.45">
      <c r="A5">
        <v>2000</v>
      </c>
      <c r="B5" s="18">
        <v>22266.666666666668</v>
      </c>
      <c r="C5" s="21">
        <v>22940</v>
      </c>
      <c r="D5" s="30" t="s">
        <v>76</v>
      </c>
      <c r="E5" s="31" t="s">
        <v>76</v>
      </c>
      <c r="J5" s="17" t="str">
        <f>"OutputValues_"&amp;$J$4</f>
        <v>OutputValues_1</v>
      </c>
      <c r="K5">
        <f ca="1">INDEX(INDIRECT($J$5),$M$4,1)</f>
        <v>22266.666666666668</v>
      </c>
      <c r="N5" s="17" t="str">
        <f>"OutputValues_"&amp;$N$4</f>
        <v>OutputValues_1</v>
      </c>
      <c r="O5">
        <f ca="1">INDEX(INDIRECT($N$5),1,$Q$4)</f>
        <v>22266.666666666668</v>
      </c>
    </row>
    <row r="6" spans="1:52" x14ac:dyDescent="0.45">
      <c r="A6">
        <v>2100</v>
      </c>
      <c r="B6" s="19">
        <v>22760.000000000004</v>
      </c>
      <c r="C6" s="28" t="s">
        <v>76</v>
      </c>
      <c r="D6" s="28" t="s">
        <v>76</v>
      </c>
      <c r="E6" s="32" t="s">
        <v>76</v>
      </c>
      <c r="K6">
        <f ca="1">INDEX(INDIRECT($J$5),$M$4,2)</f>
        <v>22940</v>
      </c>
      <c r="O6">
        <f ca="1">INDEX(INDIRECT($N$5),2,$Q$4)</f>
        <v>22760.000000000004</v>
      </c>
    </row>
    <row r="7" spans="1:52" x14ac:dyDescent="0.45">
      <c r="A7">
        <v>2200</v>
      </c>
      <c r="B7" s="19">
        <v>23320</v>
      </c>
      <c r="C7" s="28" t="s">
        <v>76</v>
      </c>
      <c r="D7" s="28" t="s">
        <v>76</v>
      </c>
      <c r="E7" s="32" t="s">
        <v>76</v>
      </c>
      <c r="K7" t="str">
        <f ca="1">INDEX(INDIRECT($J$5),$M$4,3)</f>
        <v>Not feasible</v>
      </c>
      <c r="O7">
        <f ca="1">INDEX(INDIRECT($N$5),3,$Q$4)</f>
        <v>23320</v>
      </c>
    </row>
    <row r="8" spans="1:52" x14ac:dyDescent="0.45">
      <c r="A8">
        <v>2300</v>
      </c>
      <c r="B8" s="27" t="s">
        <v>76</v>
      </c>
      <c r="C8" s="29" t="s">
        <v>76</v>
      </c>
      <c r="D8" s="29" t="s">
        <v>76</v>
      </c>
      <c r="E8" s="33" t="s">
        <v>76</v>
      </c>
      <c r="K8" t="str">
        <f ca="1">INDEX(INDIRECT($J$5),$M$4,4)</f>
        <v>Not feasible</v>
      </c>
      <c r="O8" t="str">
        <f ca="1">INDEX(INDIRECT($N$5),4,$Q$4)</f>
        <v>Not feasible</v>
      </c>
    </row>
  </sheetData>
  <dataValidations count="3">
    <dataValidation type="list" allowBlank="1" showInputMessage="1" showErrorMessage="1" sqref="K4 O4" xr:uid="{F2BF9051-4876-4132-A74E-E3B271837C36}">
      <formula1>OutputAddresses</formula1>
    </dataValidation>
    <dataValidation type="list" allowBlank="1" showInputMessage="1" showErrorMessage="1" sqref="L4" xr:uid="{91A59386-F882-4678-A2C7-6918670B27A8}">
      <formula1>InputValues1</formula1>
    </dataValidation>
    <dataValidation type="list" allowBlank="1" showInputMessage="1" showErrorMessage="1" sqref="P4" xr:uid="{9AFE6A55-DE00-47B0-B11B-42BFDE1C986F}">
      <formula1>InputValues2</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75E5A-C9C9-413D-B7DB-78C1C76670D8}">
  <dimension ref="A1:P10"/>
  <sheetViews>
    <sheetView workbookViewId="0">
      <selection activeCell="H21" sqref="H21"/>
    </sheetView>
  </sheetViews>
  <sheetFormatPr defaultRowHeight="14.25" x14ac:dyDescent="0.45"/>
  <cols>
    <col min="1" max="1" width="29.73046875" bestFit="1" customWidth="1"/>
    <col min="9" max="9" width="9.46484375" bestFit="1" customWidth="1"/>
    <col min="15" max="15" width="40" bestFit="1" customWidth="1"/>
  </cols>
  <sheetData>
    <row r="1" spans="1:16" x14ac:dyDescent="0.45">
      <c r="A1" s="11" t="s">
        <v>77</v>
      </c>
      <c r="O1" s="11" t="s">
        <v>94</v>
      </c>
    </row>
    <row r="2" spans="1:16" x14ac:dyDescent="0.45">
      <c r="O2" t="s">
        <v>99</v>
      </c>
      <c r="P2" t="s">
        <v>100</v>
      </c>
    </row>
    <row r="3" spans="1:16" x14ac:dyDescent="0.45">
      <c r="O3" t="s">
        <v>101</v>
      </c>
      <c r="P3" t="s">
        <v>102</v>
      </c>
    </row>
    <row r="4" spans="1:16" x14ac:dyDescent="0.45">
      <c r="B4" t="s">
        <v>79</v>
      </c>
      <c r="C4" t="s">
        <v>80</v>
      </c>
      <c r="D4" t="s">
        <v>81</v>
      </c>
      <c r="E4" t="s">
        <v>82</v>
      </c>
      <c r="F4" t="s">
        <v>83</v>
      </c>
      <c r="G4" t="s">
        <v>84</v>
      </c>
      <c r="O4" t="s">
        <v>103</v>
      </c>
      <c r="P4" t="s">
        <v>104</v>
      </c>
    </row>
    <row r="5" spans="1:16" x14ac:dyDescent="0.45">
      <c r="A5" t="s">
        <v>78</v>
      </c>
      <c r="B5" s="1">
        <v>4</v>
      </c>
      <c r="C5" s="1">
        <v>4</v>
      </c>
      <c r="D5" s="1">
        <v>7</v>
      </c>
      <c r="E5" s="1">
        <v>7</v>
      </c>
      <c r="F5" s="1">
        <v>8</v>
      </c>
      <c r="G5" s="1">
        <v>10</v>
      </c>
      <c r="I5" t="s">
        <v>89</v>
      </c>
      <c r="J5" t="s">
        <v>90</v>
      </c>
      <c r="O5" t="s">
        <v>106</v>
      </c>
      <c r="P5" t="s">
        <v>107</v>
      </c>
    </row>
    <row r="6" spans="1:16" x14ac:dyDescent="0.45">
      <c r="B6" s="34" t="s">
        <v>85</v>
      </c>
      <c r="C6" s="34" t="s">
        <v>85</v>
      </c>
      <c r="D6" s="34" t="s">
        <v>85</v>
      </c>
      <c r="E6" s="34" t="s">
        <v>85</v>
      </c>
      <c r="F6" s="34" t="s">
        <v>85</v>
      </c>
      <c r="G6" s="34" t="s">
        <v>85</v>
      </c>
      <c r="I6" t="s">
        <v>15</v>
      </c>
      <c r="J6" t="s">
        <v>91</v>
      </c>
    </row>
    <row r="7" spans="1:16" x14ac:dyDescent="0.45">
      <c r="A7" t="s">
        <v>86</v>
      </c>
      <c r="B7">
        <f>B8+G8</f>
        <v>4</v>
      </c>
      <c r="C7">
        <f>C8+B8</f>
        <v>4</v>
      </c>
      <c r="D7">
        <f>D8+C8</f>
        <v>7</v>
      </c>
      <c r="E7">
        <f>E8+D8</f>
        <v>7</v>
      </c>
      <c r="F7">
        <f>F8+E8</f>
        <v>10</v>
      </c>
      <c r="G7">
        <f>G8+F8</f>
        <v>10</v>
      </c>
      <c r="I7" t="s">
        <v>92</v>
      </c>
      <c r="J7" t="s">
        <v>93</v>
      </c>
    </row>
    <row r="8" spans="1:16" x14ac:dyDescent="0.45">
      <c r="A8" t="s">
        <v>87</v>
      </c>
      <c r="B8" s="7">
        <v>4</v>
      </c>
      <c r="C8" s="7">
        <v>0</v>
      </c>
      <c r="D8" s="7">
        <v>7</v>
      </c>
      <c r="E8" s="7">
        <v>0</v>
      </c>
      <c r="F8" s="7">
        <v>10</v>
      </c>
      <c r="G8" s="7">
        <v>0</v>
      </c>
    </row>
    <row r="10" spans="1:16" x14ac:dyDescent="0.45">
      <c r="A10" t="s">
        <v>88</v>
      </c>
      <c r="B10" s="9">
        <f>SUM(no._of_officers_starting_on_this_shift)</f>
        <v>21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236D-46CA-4133-B7FE-1E0D0FCAF106}">
  <dimension ref="A1:B15"/>
  <sheetViews>
    <sheetView workbookViewId="0"/>
  </sheetViews>
  <sheetFormatPr defaultRowHeight="14.25" x14ac:dyDescent="0.45"/>
  <sheetData>
    <row r="1" spans="1:2" x14ac:dyDescent="0.45">
      <c r="A1">
        <v>1</v>
      </c>
    </row>
    <row r="2" spans="1:2" x14ac:dyDescent="0.45">
      <c r="A2" t="s">
        <v>112</v>
      </c>
    </row>
    <row r="3" spans="1:2" x14ac:dyDescent="0.45">
      <c r="A3">
        <v>1</v>
      </c>
    </row>
    <row r="4" spans="1:2" x14ac:dyDescent="0.45">
      <c r="A4">
        <v>5</v>
      </c>
    </row>
    <row r="5" spans="1:2" x14ac:dyDescent="0.45">
      <c r="A5">
        <v>12</v>
      </c>
    </row>
    <row r="6" spans="1:2" x14ac:dyDescent="0.45">
      <c r="A6">
        <v>1</v>
      </c>
    </row>
    <row r="8" spans="1:2" x14ac:dyDescent="0.45">
      <c r="A8" s="12"/>
      <c r="B8" s="12"/>
    </row>
    <row r="9" spans="1:2" x14ac:dyDescent="0.45">
      <c r="A9" t="s">
        <v>108</v>
      </c>
    </row>
    <row r="10" spans="1:2" x14ac:dyDescent="0.45">
      <c r="A10" t="s">
        <v>113</v>
      </c>
    </row>
    <row r="15" spans="1:2" x14ac:dyDescent="0.45">
      <c r="B1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BA19-5408-4536-9827-6CC3D8020ED4}">
  <dimension ref="A1:B18"/>
  <sheetViews>
    <sheetView workbookViewId="0"/>
  </sheetViews>
  <sheetFormatPr defaultRowHeight="14.25" x14ac:dyDescent="0.45"/>
  <sheetData>
    <row r="1" spans="1:2" x14ac:dyDescent="0.45">
      <c r="B1">
        <v>1</v>
      </c>
    </row>
    <row r="2" spans="1:2" x14ac:dyDescent="0.45">
      <c r="B2" t="s">
        <v>67</v>
      </c>
    </row>
    <row r="3" spans="1:2" x14ac:dyDescent="0.45">
      <c r="B3">
        <v>1</v>
      </c>
    </row>
    <row r="4" spans="1:2" x14ac:dyDescent="0.45">
      <c r="B4">
        <v>2000</v>
      </c>
    </row>
    <row r="5" spans="1:2" x14ac:dyDescent="0.45">
      <c r="B5">
        <v>2300</v>
      </c>
    </row>
    <row r="6" spans="1:2" x14ac:dyDescent="0.45">
      <c r="B6">
        <v>100</v>
      </c>
    </row>
    <row r="8" spans="1:2" x14ac:dyDescent="0.45">
      <c r="A8" s="12"/>
      <c r="B8" s="12" t="s">
        <v>57</v>
      </c>
    </row>
    <row r="9" spans="1:2" x14ac:dyDescent="0.45">
      <c r="B9" t="s">
        <v>68</v>
      </c>
    </row>
    <row r="10" spans="1:2" x14ac:dyDescent="0.45">
      <c r="B10">
        <v>1</v>
      </c>
    </row>
    <row r="11" spans="1:2" x14ac:dyDescent="0.45">
      <c r="B11">
        <v>3000</v>
      </c>
    </row>
    <row r="12" spans="1:2" x14ac:dyDescent="0.45">
      <c r="B12">
        <v>3300</v>
      </c>
    </row>
    <row r="13" spans="1:2" x14ac:dyDescent="0.45">
      <c r="B13">
        <v>100</v>
      </c>
    </row>
    <row r="15" spans="1:2" x14ac:dyDescent="0.45">
      <c r="B15" s="12" t="s">
        <v>57</v>
      </c>
    </row>
    <row r="16" spans="1:2" x14ac:dyDescent="0.45">
      <c r="B16" t="s">
        <v>58</v>
      </c>
    </row>
    <row r="17" spans="2:2" x14ac:dyDescent="0.45">
      <c r="B17" t="s">
        <v>69</v>
      </c>
    </row>
    <row r="18" spans="2:2" x14ac:dyDescent="0.45">
      <c r="B18"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120</vt:i4>
      </vt:variant>
    </vt:vector>
  </HeadingPairs>
  <TitlesOfParts>
    <vt:vector size="134" baseType="lpstr">
      <vt:lpstr>3.38(a)</vt:lpstr>
      <vt:lpstr>3.38(b)</vt:lpstr>
      <vt:lpstr>3.38(additional)</vt:lpstr>
      <vt:lpstr>3.42(a)</vt:lpstr>
      <vt:lpstr>3.42(b)</vt:lpstr>
      <vt:lpstr>3.42(additional)</vt:lpstr>
      <vt:lpstr>Office Schedulling</vt:lpstr>
      <vt:lpstr>4.46(b)</vt:lpstr>
      <vt:lpstr>4.46(additional)</vt:lpstr>
      <vt:lpstr>Profit Maximization</vt:lpstr>
      <vt:lpstr>4.50(b)</vt:lpstr>
      <vt:lpstr>4.50(c)</vt:lpstr>
      <vt:lpstr>4.50(d)</vt:lpstr>
      <vt:lpstr>4.50(additional)</vt:lpstr>
      <vt:lpstr>Actual_hours</vt:lpstr>
      <vt:lpstr>Actual_machine_hours_week</vt:lpstr>
      <vt:lpstr>'Profit Maximization'!Actual_Production</vt:lpstr>
      <vt:lpstr>Actual_production</vt:lpstr>
      <vt:lpstr>Actual_Quality</vt:lpstr>
      <vt:lpstr>Average_Quality_Bag</vt:lpstr>
      <vt:lpstr>Average_Quality_Juice</vt:lpstr>
      <vt:lpstr>'Profit Maximization'!Bag_cost_per_pound</vt:lpstr>
      <vt:lpstr>'Profit Maximization'!Bag_revenue_per_pound</vt:lpstr>
      <vt:lpstr>'3.38(additional)'!ChartData</vt:lpstr>
      <vt:lpstr>'4.46(additional)'!ChartData</vt:lpstr>
      <vt:lpstr>'4.46(b)'!ChartData</vt:lpstr>
      <vt:lpstr>'4.50(additional)'!ChartData</vt:lpstr>
      <vt:lpstr>'4.50(b)'!ChartData</vt:lpstr>
      <vt:lpstr>'4.50(c)'!ChartData</vt:lpstr>
      <vt:lpstr>'3.38(b)'!ChartData1</vt:lpstr>
      <vt:lpstr>'3.42(additional)'!ChartData1</vt:lpstr>
      <vt:lpstr>'3.42(b)'!ChartData1</vt:lpstr>
      <vt:lpstr>'4.50(d)'!ChartData1</vt:lpstr>
      <vt:lpstr>'3.38(b)'!ChartData2</vt:lpstr>
      <vt:lpstr>'3.42(additional)'!ChartData2</vt:lpstr>
      <vt:lpstr>'3.42(b)'!ChartData2</vt:lpstr>
      <vt:lpstr>'4.50(d)'!ChartData2</vt:lpstr>
      <vt:lpstr>Grade_6_Oranges</vt:lpstr>
      <vt:lpstr>Grade_9_Oranges</vt:lpstr>
      <vt:lpstr>'3.38(additional)'!InputValues</vt:lpstr>
      <vt:lpstr>'4.46(additional)'!InputValues</vt:lpstr>
      <vt:lpstr>'4.46(b)'!InputValues</vt:lpstr>
      <vt:lpstr>'4.50(additional)'!InputValues</vt:lpstr>
      <vt:lpstr>'4.50(b)'!InputValues</vt:lpstr>
      <vt:lpstr>'4.50(c)'!InputValues</vt:lpstr>
      <vt:lpstr>'3.38(b)'!InputValues1</vt:lpstr>
      <vt:lpstr>'3.42(additional)'!InputValues1</vt:lpstr>
      <vt:lpstr>'3.42(b)'!InputValues1</vt:lpstr>
      <vt:lpstr>'4.50(d)'!InputValues1</vt:lpstr>
      <vt:lpstr>'3.38(b)'!InputValues2</vt:lpstr>
      <vt:lpstr>'3.42(additional)'!InputValues2</vt:lpstr>
      <vt:lpstr>'3.42(b)'!InputValues2</vt:lpstr>
      <vt:lpstr>'4.50(d)'!InputValues2</vt:lpstr>
      <vt:lpstr>'Profit Maximization'!Juice_cost_per_pound</vt:lpstr>
      <vt:lpstr>'Profit Maximization'!Juice_revenue_per_pound</vt:lpstr>
      <vt:lpstr>Labor_Hours_Required_P1_M2</vt:lpstr>
      <vt:lpstr>Labor_Hours_Required_P1_on_M1</vt:lpstr>
      <vt:lpstr>Labor_Hours_Required_P2_M1</vt:lpstr>
      <vt:lpstr>Labor_Hours_Required_P2_M2</vt:lpstr>
      <vt:lpstr>Machine_and_Labor_Hour_Constraint</vt:lpstr>
      <vt:lpstr>Machine_Hours_Required_P1_M2</vt:lpstr>
      <vt:lpstr>Machine_Hours_Required_P1_on_M1</vt:lpstr>
      <vt:lpstr>Machine_Hours_Required_P2_M1</vt:lpstr>
      <vt:lpstr>Machine_Hours_Required_P2_M2</vt:lpstr>
      <vt:lpstr>Machine_hrs_week_Indianapolis</vt:lpstr>
      <vt:lpstr>Machine_hrs_week_Los_Angeles</vt:lpstr>
      <vt:lpstr>Max_hrs_per_week</vt:lpstr>
      <vt:lpstr>Max_Quality_Constraint</vt:lpstr>
      <vt:lpstr>Min_num_officers</vt:lpstr>
      <vt:lpstr>Min_Production_Req_P1</vt:lpstr>
      <vt:lpstr>Min_Production_Req_P2</vt:lpstr>
      <vt:lpstr>Min_Quality_Constraint</vt:lpstr>
      <vt:lpstr>Minimum_Product_1_Requirement</vt:lpstr>
      <vt:lpstr>Minimum_Product_2_Requirement</vt:lpstr>
      <vt:lpstr>Minimum_requirement</vt:lpstr>
      <vt:lpstr>no._of_officers_starting_on_this_shift</vt:lpstr>
      <vt:lpstr>No_of_G6_oranges_bag</vt:lpstr>
      <vt:lpstr>No_of_G6_oranges_Juice</vt:lpstr>
      <vt:lpstr>No_of_G9_oranges_bag</vt:lpstr>
      <vt:lpstr>No_of_G9_oranges_juice</vt:lpstr>
      <vt:lpstr>no_of_officers_working_this_shift</vt:lpstr>
      <vt:lpstr>'3.38(additional)'!OutputAddresses</vt:lpstr>
      <vt:lpstr>'3.38(b)'!OutputAddresses</vt:lpstr>
      <vt:lpstr>'3.42(additional)'!OutputAddresses</vt:lpstr>
      <vt:lpstr>'3.42(b)'!OutputAddresses</vt:lpstr>
      <vt:lpstr>'4.46(additional)'!OutputAddresses</vt:lpstr>
      <vt:lpstr>'4.46(b)'!OutputAddresses</vt:lpstr>
      <vt:lpstr>'4.50(additional)'!OutputAddresses</vt:lpstr>
      <vt:lpstr>'4.50(b)'!OutputAddresses</vt:lpstr>
      <vt:lpstr>'4.50(c)'!OutputAddresses</vt:lpstr>
      <vt:lpstr>'4.50(d)'!OutputAddresses</vt:lpstr>
      <vt:lpstr>'3.38(additional)'!OutputValues</vt:lpstr>
      <vt:lpstr>'4.46(additional)'!OutputValues</vt:lpstr>
      <vt:lpstr>'4.46(b)'!OutputValues</vt:lpstr>
      <vt:lpstr>'4.50(additional)'!OutputValues</vt:lpstr>
      <vt:lpstr>'4.50(b)'!OutputValues</vt:lpstr>
      <vt:lpstr>'4.50(c)'!OutputValues</vt:lpstr>
      <vt:lpstr>'3.38(b)'!OutputValues_1</vt:lpstr>
      <vt:lpstr>'3.42(additional)'!OutputValues_1</vt:lpstr>
      <vt:lpstr>'3.42(b)'!OutputValues_1</vt:lpstr>
      <vt:lpstr>'4.50(d)'!OutputValues_1</vt:lpstr>
      <vt:lpstr>Percent_of_P1_to_Produce_on_M2</vt:lpstr>
      <vt:lpstr>Percent_of_P2_to_Produce_on_M1</vt:lpstr>
      <vt:lpstr>pounds_produced_week_Drug1</vt:lpstr>
      <vt:lpstr>pounds_produced_week_Drug2</vt:lpstr>
      <vt:lpstr>pounds_produced_week_Indianpolis</vt:lpstr>
      <vt:lpstr>pounds_produced_week_Los_Angeles</vt:lpstr>
      <vt:lpstr>production_matrix</vt:lpstr>
      <vt:lpstr>'Profit Maximization'!Profit_Per_Pound_Bag</vt:lpstr>
      <vt:lpstr>'Profit Maximization'!Profit_Per_Pound_Juice</vt:lpstr>
      <vt:lpstr>Quality_Constraint</vt:lpstr>
      <vt:lpstr>Quality_Requirement_Bag</vt:lpstr>
      <vt:lpstr>Quality_Requirement_Juice</vt:lpstr>
      <vt:lpstr>Sum_of_Labor_Hours</vt:lpstr>
      <vt:lpstr>Sum_of_Machine_Hours_M1</vt:lpstr>
      <vt:lpstr>Sum_of_Machine_Hours_M2</vt:lpstr>
      <vt:lpstr>Total_cost</vt:lpstr>
      <vt:lpstr>Total_Cost_of_Production</vt:lpstr>
      <vt:lpstr>Total_G6_oranges</vt:lpstr>
      <vt:lpstr>Total_G9_oranges</vt:lpstr>
      <vt:lpstr>Total_no_of_officers</vt:lpstr>
      <vt:lpstr>'Profit Maximization'!Total_Pound_Constraint</vt:lpstr>
      <vt:lpstr>Total_pounds_bag</vt:lpstr>
      <vt:lpstr>Total_pounds_juice</vt:lpstr>
      <vt:lpstr>Total_Product_1</vt:lpstr>
      <vt:lpstr>Total_Product_2</vt:lpstr>
      <vt:lpstr>Total_Profit</vt:lpstr>
      <vt:lpstr>Total_Profit_Bag</vt:lpstr>
      <vt:lpstr>Total_Profit_Juice</vt:lpstr>
      <vt:lpstr>Unit_Cost_P1_M1</vt:lpstr>
      <vt:lpstr>Unit_Cost_P1_M2</vt:lpstr>
      <vt:lpstr>Unit_Cost_P2_M1</vt:lpstr>
      <vt:lpstr>Unit_Cost_P2_M2</vt:lpstr>
      <vt:lpstr>unitcost_perpound_matrix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Mishra</dc:creator>
  <cp:lastModifiedBy>Asutosh Mishra</cp:lastModifiedBy>
  <dcterms:created xsi:type="dcterms:W3CDTF">2022-03-28T02:01:30Z</dcterms:created>
  <dcterms:modified xsi:type="dcterms:W3CDTF">2024-05-27T01:51:06Z</dcterms:modified>
</cp:coreProperties>
</file>