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8.xml" ContentType="application/vnd.openxmlformats-officedocument.drawing+xml"/>
  <Override PartName="/xl/tables/table2.xml" ContentType="application/vnd.openxmlformats-officedocument.spreadsheetml.table+xml"/>
  <Override PartName="/xl/drawings/drawing9.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14807\Downloads\"/>
    </mc:Choice>
  </mc:AlternateContent>
  <xr:revisionPtr revIDLastSave="0" documentId="13_ncr:1_{295AADBE-2F0A-4C52-9631-1DCACD61ADBA}" xr6:coauthVersionLast="47" xr6:coauthVersionMax="47" xr10:uidLastSave="{00000000-0000-0000-0000-000000000000}"/>
  <bookViews>
    <workbookView xWindow="-98" yWindow="-98" windowWidth="23236" windowHeight="13875" firstSheet="1" activeTab="7" xr2:uid="{DC1B088E-D800-40C3-A3B6-8B320E74CF4C}"/>
  </bookViews>
  <sheets>
    <sheet name="ProductionCostOptimization" sheetId="2" r:id="rId1"/>
    <sheet name="4.48(b)" sheetId="6" r:id="rId2"/>
    <sheet name="4.48(Additional)" sheetId="8" r:id="rId3"/>
    <sheet name="ProfitMaximization" sheetId="15" r:id="rId4"/>
    <sheet name="4.94 (Additional)" sheetId="16" r:id="rId5"/>
    <sheet name="WorkforceCostOptimization" sheetId="17" r:id="rId6"/>
    <sheet name="4.114 (Additional)" sheetId="18" r:id="rId7"/>
    <sheet name="RouteOptimization" sheetId="1" r:id="rId8"/>
    <sheet name="5.43(a)_STS" sheetId="13" state="veryHidden" r:id="rId9"/>
    <sheet name="4.94(a)_STS" sheetId="9" state="veryHidden" r:id="rId10"/>
    <sheet name="4.48(a)_STS" sheetId="7" state="veryHidden" r:id="rId11"/>
    <sheet name="4.48_STS" sheetId="5" state="veryHidden" r:id="rId12"/>
    <sheet name="5.43(Additional)" sheetId="14" r:id="rId13"/>
  </sheets>
  <definedNames>
    <definedName name="active_A_lb">ProductionCostOptimization!$B$11:$B$14</definedName>
    <definedName name="active_B_lb">ProductionCostOptimization!$C$11:$C$14</definedName>
    <definedName name="active_C_lb">ProductionCostOptimization!$D$11:$D$14</definedName>
    <definedName name="Average_quality_level_of_products">#REF!</definedName>
    <definedName name="Average_Quality_Req">ProfitMaximization!$C$38</definedName>
    <definedName name="Average_Quality_Required">ProfitMaximization!$B$14</definedName>
    <definedName name="ChartData" localSheetId="2">'4.48(Additional)'!$K$5:$K$19</definedName>
    <definedName name="ChartData" localSheetId="1">'4.48(b)'!$K$5:$K$15</definedName>
    <definedName name="ChartData1" localSheetId="6">'4.114 (Additional)'!$K$5:$K$10</definedName>
    <definedName name="ChartData1" localSheetId="4">'4.94 (Additional)'!$Q$5:$Q$18</definedName>
    <definedName name="ChartData1" localSheetId="12">'5.43(Additional)'!$S$5:$S$20</definedName>
    <definedName name="ChartData2" localSheetId="6">'4.114 (Additional)'!$O$5:$O$10</definedName>
    <definedName name="ChartData2" localSheetId="4">'4.94 (Additional)'!$U$5:$U$18</definedName>
    <definedName name="ChartData2" localSheetId="12">'5.43(Additional)'!$W$5:$W$12</definedName>
    <definedName name="Combination_of_A_and_B_for_C">ProfitMaximization!$B$10:$D$10</definedName>
    <definedName name="Cost_for_processing_C_unit">#REF!</definedName>
    <definedName name="Cost_for_purc_and_process___RM2">#REF!</definedName>
    <definedName name="Cost_for_purc_and_process__RM1">#REF!</definedName>
    <definedName name="Cost_lb_of_chemicals">ProductionCostOptimization!$B$4:$B$7</definedName>
    <definedName name="Cost_of_FT_employee">WorkforceCostOptimization!$B$36</definedName>
    <definedName name="Cost_of_processing_C">ProfitMaximization!$B$18</definedName>
    <definedName name="Cost_of_PT_employee">WorkforceCostOptimization!$B$37</definedName>
    <definedName name="Decision_to_produce_C">ProfitMaximization!$B$23</definedName>
    <definedName name="Final_Total_Profit">#REF!</definedName>
    <definedName name="FROM">RouteOptimization!$A$15:$A$28</definedName>
    <definedName name="from_org">RouteOptimization!$A$4:$A$10</definedName>
    <definedName name="FT_pay_per_day">WorkforceCostOptimization!$B$20</definedName>
    <definedName name="gallons_from_to_matrix">RouteOptimization!$B$4:$H$10</definedName>
    <definedName name="GAS">RouteOptimization!$D$15:$D$28</definedName>
    <definedName name="Incoming">RouteOptimization!$B$34:$B$39</definedName>
    <definedName name="Incoming_to_LA">RouteOptimization!$B$43</definedName>
    <definedName name="InputValues" localSheetId="2">'4.48(Additional)'!$A$5:$A$19</definedName>
    <definedName name="InputValues" localSheetId="1">'4.48(b)'!$A$5:$A$15</definedName>
    <definedName name="InputValues1" localSheetId="6">'4.114 (Additional)'!$A$5:$A$10</definedName>
    <definedName name="InputValues1" localSheetId="4">'4.94 (Additional)'!$A$5:$A$18</definedName>
    <definedName name="InputValues1" localSheetId="12">'5.43(Additional)'!$A$5:$A$12</definedName>
    <definedName name="InputValues2" localSheetId="6">'4.114 (Additional)'!$B$4:$G$4</definedName>
    <definedName name="InputValues2" localSheetId="4">'4.94 (Additional)'!$B$4:$O$4</definedName>
    <definedName name="InputValues2" localSheetId="12">'5.43(Additional)'!$B$4:$Q$4</definedName>
    <definedName name="Machine_processing_capacity_per_hour">WorkforceCostOptimization!$B$22</definedName>
    <definedName name="Max">#REF!</definedName>
    <definedName name="max_capacity">#REF!</definedName>
    <definedName name="Max_Sale_Constraint">ProfitMaximization!$B$33:$C$33</definedName>
    <definedName name="max_units_sold_A">#REF!</definedName>
    <definedName name="max_units_sold_of_B">#REF!</definedName>
    <definedName name="max_units_sold_of_C">#REF!</definedName>
    <definedName name="Min">#REF!</definedName>
    <definedName name="Min_avg_Quality">#REF!</definedName>
    <definedName name="Min_Chemical3">ProductionCostOptimization!$D$31</definedName>
    <definedName name="Min_Production">ProductionCostOptimization!$D$40</definedName>
    <definedName name="Min_Sale_Constraint">ProfitMaximization!$B$29:$C$29</definedName>
    <definedName name="Min_weight_of_Chemicals">ProductionCostOptimization!$D$36:$D$38</definedName>
    <definedName name="Min_weight_of_Ingredients">ProductionCostOptimization!$D$36:$D$38</definedName>
    <definedName name="minPerc_A">ProductionCostOptimization!$E$36</definedName>
    <definedName name="minPerc_B">ProductionCostOptimization!$E$37</definedName>
    <definedName name="minPerc_C">ProductionCostOptimization!$E$38</definedName>
    <definedName name="Number_of_FT_workers_in_10_to_6_shift">WorkforceCostOptimization!$B$25</definedName>
    <definedName name="Number_of_FT_workers_in_11_to_7_shift">WorkforceCostOptimization!$B$26</definedName>
    <definedName name="Number_of_FT_workers_in_12_to_8_shift">WorkforceCostOptimization!$B$27</definedName>
    <definedName name="Number_of_machines">WorkforceCostOptimization!$B$23</definedName>
    <definedName name="Number_of_PT_workers_in_2_to_7_shift">WorkforceCostOptimization!$B$30</definedName>
    <definedName name="Number_of_PT_workers_in_3_to_8_shift">WorkforceCostOptimization!$B$31</definedName>
    <definedName name="Outgoing">RouteOptimization!$D$34:$D$39</definedName>
    <definedName name="Outgoing_from_LA">RouteOptimization!$D$43</definedName>
    <definedName name="OutputAddresses" localSheetId="6">'4.114 (Additional)'!$AZ$2</definedName>
    <definedName name="OutputAddresses" localSheetId="2">'4.48(Additional)'!$B$4</definedName>
    <definedName name="OutputAddresses" localSheetId="1">'4.48(b)'!$B$4</definedName>
    <definedName name="OutputAddresses" localSheetId="4">'4.94 (Additional)'!$AZ$2</definedName>
    <definedName name="OutputAddresses" localSheetId="12">'5.43(Additional)'!$AZ$2</definedName>
    <definedName name="OutputValues" localSheetId="2">'4.48(Additional)'!$B$5:$B$19</definedName>
    <definedName name="OutputValues" localSheetId="1">'4.48(b)'!$B$5:$B$15</definedName>
    <definedName name="OutputValues_1" localSheetId="6">'4.114 (Additional)'!$B$5:$G$10</definedName>
    <definedName name="OutputValues_1" localSheetId="4">'4.94 (Additional)'!$B$5:$O$18</definedName>
    <definedName name="OutputValues_1" localSheetId="12">'5.43(Additional)'!$B$5:$Q$12</definedName>
    <definedName name="Price">ProfitMaximization!$B$12:$D$12</definedName>
    <definedName name="Price_A">#REF!</definedName>
    <definedName name="Price_B">#REF!</definedName>
    <definedName name="Price_C">#REF!</definedName>
    <definedName name="price_perunit_matrix">#REF!</definedName>
    <definedName name="PT_pay_per_day">WorkforceCostOptimization!$B$21</definedName>
    <definedName name="pur_weight_Chemical_1">ProductionCostOptimization!$B$29</definedName>
    <definedName name="pur_weight_Chemical_2">ProductionCostOptimization!$B$30</definedName>
    <definedName name="pur_weight_Chemical_3">ProductionCostOptimization!$B$31</definedName>
    <definedName name="pur_weight_Chemical_4">ProductionCostOptimization!$B$32</definedName>
    <definedName name="Purchased_weight">ProductionCostOptimization!$B$29:$B$32</definedName>
    <definedName name="Quality_level_A">#REF!</definedName>
    <definedName name="Quality_level_B">#REF!</definedName>
    <definedName name="Quality_Level_C">#REF!</definedName>
    <definedName name="quality_level_matrix">#REF!</definedName>
    <definedName name="Quality_Levels">ProfitMaximization!$B$11:$D$11</definedName>
    <definedName name="Raw_material_1_output">ProfitMaximization!$B$8:$D$8</definedName>
    <definedName name="Raw_Material_1_price">ProfitMaximization!$B$16</definedName>
    <definedName name="Raw_material_1_used">ProfitMaximization!$B$21</definedName>
    <definedName name="Raw_material_2_output">ProfitMaximization!$B$9:$D$9</definedName>
    <definedName name="Raw_Material_2_price">ProfitMaximization!$B$17</definedName>
    <definedName name="Raw_material_2_used">ProfitMaximization!$B$22</definedName>
    <definedName name="Sale_constraint">ProfitMaximization!$D$23</definedName>
    <definedName name="solver_adj" localSheetId="0" hidden="1">ProductionCostOptimization!$B$29:$B$32</definedName>
    <definedName name="solver_adj" localSheetId="3" hidden="1">ProfitMaximization!$B$21:$B$22,ProfitMaximization!$B$23</definedName>
    <definedName name="solver_adj" localSheetId="7" hidden="1">RouteOptimization!$C$15:$C$28</definedName>
    <definedName name="solver_adj" localSheetId="5" hidden="1">WorkforceCostOptimization!$B$25:$B$27,WorkforceCostOptimization!$B$30:$B$31</definedName>
    <definedName name="solver_cvg" localSheetId="0" hidden="1">0.0001</definedName>
    <definedName name="solver_cvg" localSheetId="3" hidden="1">0.0001</definedName>
    <definedName name="solver_cvg" localSheetId="7" hidden="1">0.0001</definedName>
    <definedName name="solver_cvg" localSheetId="5" hidden="1">0.0001</definedName>
    <definedName name="solver_drv" localSheetId="0" hidden="1">2</definedName>
    <definedName name="solver_drv" localSheetId="3" hidden="1">1</definedName>
    <definedName name="solver_drv" localSheetId="7" hidden="1">1</definedName>
    <definedName name="solver_drv" localSheetId="5" hidden="1">1</definedName>
    <definedName name="solver_eng" localSheetId="0" hidden="1">2</definedName>
    <definedName name="solver_eng" localSheetId="3" hidden="1">2</definedName>
    <definedName name="solver_eng" localSheetId="7" hidden="1">2</definedName>
    <definedName name="solver_eng" localSheetId="5" hidden="1">2</definedName>
    <definedName name="solver_est" localSheetId="0" hidden="1">1</definedName>
    <definedName name="solver_est" localSheetId="3" hidden="1">1</definedName>
    <definedName name="solver_est" localSheetId="7" hidden="1">1</definedName>
    <definedName name="solver_est" localSheetId="5" hidden="1">1</definedName>
    <definedName name="solver_itr" localSheetId="0" hidden="1">2147483647</definedName>
    <definedName name="solver_itr" localSheetId="3" hidden="1">2147483647</definedName>
    <definedName name="solver_itr" localSheetId="7" hidden="1">2147483647</definedName>
    <definedName name="solver_itr" localSheetId="5" hidden="1">2147483647</definedName>
    <definedName name="solver_lhs0" localSheetId="3" hidden="1">ProfitMaximization!$C$31</definedName>
    <definedName name="solver_lhs1" localSheetId="0" hidden="1">ProductionCostOptimization!$B$40</definedName>
    <definedName name="solver_lhs1" localSheetId="3" hidden="1">ProfitMaximization!$A$38</definedName>
    <definedName name="solver_lhs1" localSheetId="7" hidden="1">RouteOptimization!$B$43</definedName>
    <definedName name="solver_lhs1" localSheetId="5" hidden="1">WorkforceCostOptimization!$B$25:$B$27</definedName>
    <definedName name="solver_lhs2" localSheetId="0" hidden="1">ProductionCostOptimization!$B$31</definedName>
    <definedName name="solver_lhs2" localSheetId="3" hidden="1">ProfitMaximization!$B$23</definedName>
    <definedName name="solver_lhs2" localSheetId="7" hidden="1">RouteOptimization!$B$34:$B$39</definedName>
    <definedName name="solver_lhs2" localSheetId="5" hidden="1">WorkforceCostOptimization!$B$30:$B$31</definedName>
    <definedName name="solver_lhs3" localSheetId="0" hidden="1">ProductionCostOptimization!$B$36:$B$38</definedName>
    <definedName name="solver_lhs3" localSheetId="3" hidden="1">ProfitMaximization!$B$31:$C$31</definedName>
    <definedName name="solver_lhs3" localSheetId="5" hidden="1">WorkforceCostOptimization!$B$34</definedName>
    <definedName name="solver_lhs4" localSheetId="0" hidden="1">ProductionCostOptimization!$B$31</definedName>
    <definedName name="solver_lhs4" localSheetId="3" hidden="1">ProfitMaximization!$B$31:$C$31</definedName>
    <definedName name="solver_lhs4" localSheetId="5" hidden="1">WorkforceCostOptimization!$B$25</definedName>
    <definedName name="solver_lhs5" localSheetId="0" hidden="1">ProductionCostOptimization!$B$31</definedName>
    <definedName name="solver_lhs5" localSheetId="5" hidden="1">WorkforceCostOptimization!$B$27</definedName>
    <definedName name="solver_lhs6" localSheetId="5" hidden="1">WorkforceCostOptimization!$L$15</definedName>
    <definedName name="solver_mip" localSheetId="0" hidden="1">2147483647</definedName>
    <definedName name="solver_mip" localSheetId="3" hidden="1">2147483647</definedName>
    <definedName name="solver_mip" localSheetId="7" hidden="1">2147483647</definedName>
    <definedName name="solver_mip" localSheetId="5" hidden="1">2147483647</definedName>
    <definedName name="solver_mni" localSheetId="0" hidden="1">30</definedName>
    <definedName name="solver_mni" localSheetId="3" hidden="1">30</definedName>
    <definedName name="solver_mni" localSheetId="7" hidden="1">30</definedName>
    <definedName name="solver_mni" localSheetId="5" hidden="1">30</definedName>
    <definedName name="solver_mrt" localSheetId="0" hidden="1">0.075</definedName>
    <definedName name="solver_mrt" localSheetId="3" hidden="1">0.075</definedName>
    <definedName name="solver_mrt" localSheetId="7" hidden="1">0.075</definedName>
    <definedName name="solver_mrt" localSheetId="5" hidden="1">0.075</definedName>
    <definedName name="solver_msl" localSheetId="0" hidden="1">2</definedName>
    <definedName name="solver_msl" localSheetId="3" hidden="1">2</definedName>
    <definedName name="solver_msl" localSheetId="7" hidden="1">2</definedName>
    <definedName name="solver_msl" localSheetId="5" hidden="1">2</definedName>
    <definedName name="solver_neg" localSheetId="0" hidden="1">1</definedName>
    <definedName name="solver_neg" localSheetId="3" hidden="1">1</definedName>
    <definedName name="solver_neg" localSheetId="7" hidden="1">1</definedName>
    <definedName name="solver_neg" localSheetId="5" hidden="1">1</definedName>
    <definedName name="solver_nod" localSheetId="0" hidden="1">2147483647</definedName>
    <definedName name="solver_nod" localSheetId="3" hidden="1">2147483647</definedName>
    <definedName name="solver_nod" localSheetId="7" hidden="1">2147483647</definedName>
    <definedName name="solver_nod" localSheetId="5" hidden="1">2147483647</definedName>
    <definedName name="solver_num" localSheetId="0" hidden="1">3</definedName>
    <definedName name="solver_num" localSheetId="3" hidden="1">4</definedName>
    <definedName name="solver_num" localSheetId="7" hidden="1">2</definedName>
    <definedName name="solver_num" localSheetId="5" hidden="1">6</definedName>
    <definedName name="solver_nwt" localSheetId="0" hidden="1">1</definedName>
    <definedName name="solver_nwt" localSheetId="3" hidden="1">1</definedName>
    <definedName name="solver_nwt" localSheetId="7" hidden="1">1</definedName>
    <definedName name="solver_nwt" localSheetId="5" hidden="1">1</definedName>
    <definedName name="solver_opt" localSheetId="0" hidden="1">ProductionCostOptimization!$B$42</definedName>
    <definedName name="solver_opt" localSheetId="3" hidden="1">ProfitMaximization!$B$50</definedName>
    <definedName name="solver_opt" localSheetId="7" hidden="1">RouteOptimization!$B$30</definedName>
    <definedName name="solver_opt" localSheetId="5" hidden="1">WorkforceCostOptimization!$B$38</definedName>
    <definedName name="solver_pre" localSheetId="0" hidden="1">0.000001</definedName>
    <definedName name="solver_pre" localSheetId="3" hidden="1">0.000001</definedName>
    <definedName name="solver_pre" localSheetId="7" hidden="1">0.000001</definedName>
    <definedName name="solver_pre" localSheetId="5" hidden="1">0.000001</definedName>
    <definedName name="solver_rbv" localSheetId="0" hidden="1">2</definedName>
    <definedName name="solver_rbv" localSheetId="3" hidden="1">1</definedName>
    <definedName name="solver_rbv" localSheetId="7" hidden="1">1</definedName>
    <definedName name="solver_rbv" localSheetId="5" hidden="1">1</definedName>
    <definedName name="solver_rel0" localSheetId="3" hidden="1">1</definedName>
    <definedName name="solver_rel1" localSheetId="0" hidden="1">3</definedName>
    <definedName name="solver_rel1" localSheetId="3" hidden="1">3</definedName>
    <definedName name="solver_rel1" localSheetId="7" hidden="1">2</definedName>
    <definedName name="solver_rel1" localSheetId="5" hidden="1">4</definedName>
    <definedName name="solver_rel2" localSheetId="0" hidden="1">3</definedName>
    <definedName name="solver_rel2" localSheetId="3" hidden="1">1</definedName>
    <definedName name="solver_rel2" localSheetId="7" hidden="1">3</definedName>
    <definedName name="solver_rel2" localSheetId="5" hidden="1">4</definedName>
    <definedName name="solver_rel3" localSheetId="0" hidden="1">3</definedName>
    <definedName name="solver_rel3" localSheetId="3" hidden="1">1</definedName>
    <definedName name="solver_rel3" localSheetId="5" hidden="1">1</definedName>
    <definedName name="solver_rel4" localSheetId="0" hidden="1">3</definedName>
    <definedName name="solver_rel4" localSheetId="3" hidden="1">3</definedName>
    <definedName name="solver_rel4" localSheetId="5" hidden="1">3</definedName>
    <definedName name="solver_rel5" localSheetId="0" hidden="1">3</definedName>
    <definedName name="solver_rel5" localSheetId="5" hidden="1">3</definedName>
    <definedName name="solver_rel6" localSheetId="5" hidden="1">1</definedName>
    <definedName name="solver_rhs0" localSheetId="3" hidden="1">ProfitMaximization!$C$33</definedName>
    <definedName name="solver_rhs1" localSheetId="0" hidden="1">Min_Production</definedName>
    <definedName name="solver_rhs1" localSheetId="3" hidden="1">Average_Quality_Req</definedName>
    <definedName name="solver_rhs1" localSheetId="7" hidden="1">Outgoing_from_LA</definedName>
    <definedName name="solver_rhs1" localSheetId="5" hidden="1">"integer"</definedName>
    <definedName name="solver_rhs2" localSheetId="0" hidden="1">Min_Chemical3</definedName>
    <definedName name="solver_rhs2" localSheetId="3" hidden="1">Sale_constraint</definedName>
    <definedName name="solver_rhs2" localSheetId="7" hidden="1">Outgoing</definedName>
    <definedName name="solver_rhs2" localSheetId="5" hidden="1">"integer"</definedName>
    <definedName name="solver_rhs3" localSheetId="0" hidden="1">Min_weight_of_Chemicals</definedName>
    <definedName name="solver_rhs3" localSheetId="3" hidden="1">Max_Sale_Constraint</definedName>
    <definedName name="solver_rhs3" localSheetId="5" hidden="1">WorkforceCostOptimization!$D$34</definedName>
    <definedName name="solver_rhs4" localSheetId="0" hidden="1">Min_Chemical3</definedName>
    <definedName name="solver_rhs4" localSheetId="3" hidden="1">Min_Sale_Constraint</definedName>
    <definedName name="solver_rhs4" localSheetId="5" hidden="1">WorkforceCostOptimization!$D$25</definedName>
    <definedName name="solver_rhs5" localSheetId="0" hidden="1">Min_Chemical3</definedName>
    <definedName name="solver_rhs5" localSheetId="5" hidden="1">WorkforceCostOptimization!$D$27</definedName>
    <definedName name="solver_rhs6" localSheetId="5" hidden="1">Total_Capacity</definedName>
    <definedName name="solver_rlx" localSheetId="0" hidden="1">2</definedName>
    <definedName name="solver_rlx" localSheetId="3" hidden="1">2</definedName>
    <definedName name="solver_rlx" localSheetId="7" hidden="1">2</definedName>
    <definedName name="solver_rlx" localSheetId="5" hidden="1">2</definedName>
    <definedName name="solver_rsd" localSheetId="0" hidden="1">0</definedName>
    <definedName name="solver_rsd" localSheetId="3" hidden="1">0</definedName>
    <definedName name="solver_rsd" localSheetId="7" hidden="1">0</definedName>
    <definedName name="solver_rsd" localSheetId="5" hidden="1">0</definedName>
    <definedName name="solver_scl" localSheetId="0" hidden="1">1</definedName>
    <definedName name="solver_scl" localSheetId="3" hidden="1">1</definedName>
    <definedName name="solver_scl" localSheetId="7" hidden="1">1</definedName>
    <definedName name="solver_scl" localSheetId="5" hidden="1">1</definedName>
    <definedName name="solver_sho" localSheetId="0" hidden="1">2</definedName>
    <definedName name="solver_sho" localSheetId="3" hidden="1">2</definedName>
    <definedName name="solver_sho" localSheetId="7" hidden="1">2</definedName>
    <definedName name="solver_sho" localSheetId="5" hidden="1">2</definedName>
    <definedName name="solver_ssz" localSheetId="0" hidden="1">100</definedName>
    <definedName name="solver_ssz" localSheetId="3" hidden="1">100</definedName>
    <definedName name="solver_ssz" localSheetId="7" hidden="1">100</definedName>
    <definedName name="solver_ssz" localSheetId="5" hidden="1">100</definedName>
    <definedName name="solver_tim" localSheetId="0" hidden="1">2147483647</definedName>
    <definedName name="solver_tim" localSheetId="3" hidden="1">2147483647</definedName>
    <definedName name="solver_tim" localSheetId="7" hidden="1">2147483647</definedName>
    <definedName name="solver_tim" localSheetId="5" hidden="1">2147483647</definedName>
    <definedName name="solver_tol" localSheetId="0" hidden="1">0.01</definedName>
    <definedName name="solver_tol" localSheetId="3" hidden="1">0.01</definedName>
    <definedName name="solver_tol" localSheetId="7" hidden="1">0.01</definedName>
    <definedName name="solver_tol" localSheetId="5" hidden="1">0.01</definedName>
    <definedName name="solver_typ" localSheetId="0" hidden="1">2</definedName>
    <definedName name="solver_typ" localSheetId="3" hidden="1">1</definedName>
    <definedName name="solver_typ" localSheetId="7" hidden="1">2</definedName>
    <definedName name="solver_typ" localSheetId="5" hidden="1">2</definedName>
    <definedName name="solver_val" localSheetId="0" hidden="1">0</definedName>
    <definedName name="solver_val" localSheetId="3" hidden="1">0</definedName>
    <definedName name="solver_val" localSheetId="7" hidden="1">0</definedName>
    <definedName name="solver_val" localSheetId="5" hidden="1">0</definedName>
    <definedName name="solver_ver" localSheetId="0" hidden="1">3</definedName>
    <definedName name="solver_ver" localSheetId="3" hidden="1">3</definedName>
    <definedName name="solver_ver" localSheetId="7" hidden="1">3</definedName>
    <definedName name="solver_ver" localSheetId="5" hidden="1">3</definedName>
    <definedName name="Sum_of_FT_employees">WorkforceCostOptimization!$B$28</definedName>
    <definedName name="Sum_of_PT_employees">WorkforceCostOptimization!$B$32</definedName>
    <definedName name="Sum_of_Quality_of_Units_Produced">ProfitMaximization!$A$38</definedName>
    <definedName name="TO">RouteOptimization!$B$15:$B$28</definedName>
    <definedName name="to_org">RouteOptimization!$B$3:$H$3</definedName>
    <definedName name="Total_active_ingredient_A">ProductionCostOptimization!$B$36</definedName>
    <definedName name="Total_active_ingredient_B">ProductionCostOptimization!$B$37</definedName>
    <definedName name="Total_active_ingredient_C">ProductionCostOptimization!$B$38</definedName>
    <definedName name="total_active_ingredient_matrix">ProductionCostOptimization!$B$36:$B$38</definedName>
    <definedName name="Total_Capacity">WorkforceCostOptimization!$L$18</definedName>
    <definedName name="Total_Checks_in_a_Day">WorkforceCostOptimization!$L$15</definedName>
    <definedName name="Total_Cost">ProfitMaximization!$B$40</definedName>
    <definedName name="Total_Cost_A">ProfitMaximization!$B$41</definedName>
    <definedName name="Total_Cost_B">ProfitMaximization!$B$42</definedName>
    <definedName name="Total_Cost_C">ProfitMaximization!$B$43</definedName>
    <definedName name="Total_cost_of_production">ProductionCostOptimization!$B$42</definedName>
    <definedName name="Total_costs_related_to_processing_C">#REF!</definedName>
    <definedName name="Total_costs_related_to_Raw_Material1">#REF!</definedName>
    <definedName name="Total_Costs_related_to_Raw_Material2">#REF!</definedName>
    <definedName name="Total_gallons_used">RouteOptimization!$B$30</definedName>
    <definedName name="Total_quality_level_of_products">#REF!</definedName>
    <definedName name="total_raw_materials_matrix">#REF!</definedName>
    <definedName name="Total_Rev_A">ProfitMaximization!$B$46</definedName>
    <definedName name="Total_Rev_B">ProfitMaximization!$B$47</definedName>
    <definedName name="Total_Rev_C">ProfitMaximization!$B$48</definedName>
    <definedName name="Total_revenue">#REF!</definedName>
    <definedName name="Total_Units_available">ProfitMaximization!$B$26:$C$26</definedName>
    <definedName name="Total_Units_of_A">#REF!</definedName>
    <definedName name="Total_units_of_A_produced">#REF!</definedName>
    <definedName name="Total_Units_of_A_sold">#REF!</definedName>
    <definedName name="Total_Units_of_B">#REF!</definedName>
    <definedName name="Total_Units_of_B_sold">#REF!</definedName>
    <definedName name="Total_units_of_C">#REF!</definedName>
    <definedName name="Total_units_of_C_produced">#REF!</definedName>
    <definedName name="Total_units_of_C_sold">#REF!</definedName>
    <definedName name="total_units_Raw_material_1">#REF!</definedName>
    <definedName name="total_units_Raw_material_2">#REF!</definedName>
    <definedName name="Total_weight_of_drugs_produced__in_lb">ProductionCostOptimization!$B$40</definedName>
    <definedName name="totalunitsproducts_matrix">#REF!</definedName>
    <definedName name="units_A_RM1_RM2">#REF!</definedName>
    <definedName name="Units_available_for_sale">ProfitMaximization!$B$31:$C$31</definedName>
    <definedName name="units_produced_perRM_matrix">#REF!</definedName>
    <definedName name="Units_used_up_in_C">ProfitMaximization!$B$27:$C$27</definedName>
    <definedName name="unitsA_req__C">#REF!</definedName>
    <definedName name="unitsA_RM1_RM2">#REF!</definedName>
    <definedName name="unitsB_req__C">#REF!</definedName>
    <definedName name="unitsB_RM1_RM2">#REF!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5" i="18" l="1"/>
  <c r="Q4" i="18"/>
  <c r="N4" i="18"/>
  <c r="M4" i="18"/>
  <c r="J4" i="18"/>
  <c r="J5" i="18" s="1"/>
  <c r="O1" i="18"/>
  <c r="K1" i="18"/>
  <c r="B37" i="17"/>
  <c r="B38" i="17" s="1"/>
  <c r="B36" i="17"/>
  <c r="D34" i="17"/>
  <c r="B32" i="17"/>
  <c r="B34" i="17" s="1"/>
  <c r="B28" i="17"/>
  <c r="K18" i="17"/>
  <c r="J18" i="17"/>
  <c r="I18" i="17"/>
  <c r="H18" i="17"/>
  <c r="G18" i="17"/>
  <c r="F18" i="17"/>
  <c r="E18" i="17"/>
  <c r="D18" i="17"/>
  <c r="C18" i="17"/>
  <c r="B18" i="17"/>
  <c r="L18" i="17" s="1"/>
  <c r="L15" i="17"/>
  <c r="W4" i="16"/>
  <c r="T4" i="16"/>
  <c r="T5" i="16" s="1"/>
  <c r="S4" i="16"/>
  <c r="P4" i="16"/>
  <c r="P5" i="16" s="1"/>
  <c r="U1" i="16"/>
  <c r="Q1" i="16"/>
  <c r="B48" i="15"/>
  <c r="B43" i="15"/>
  <c r="B42" i="15"/>
  <c r="B40" i="15" s="1"/>
  <c r="B50" i="15" s="1"/>
  <c r="B41" i="15"/>
  <c r="C31" i="15"/>
  <c r="B47" i="15" s="1"/>
  <c r="C27" i="15"/>
  <c r="B27" i="15"/>
  <c r="C26" i="15"/>
  <c r="B26" i="15"/>
  <c r="B31" i="15" s="1"/>
  <c r="O10" i="18"/>
  <c r="C38" i="15" l="1"/>
  <c r="A38" i="15"/>
  <c r="B46" i="15"/>
  <c r="B45" i="15" s="1"/>
  <c r="Q15" i="16"/>
  <c r="Q8" i="16"/>
  <c r="Q6" i="16"/>
  <c r="U9" i="16"/>
  <c r="Q13" i="16"/>
  <c r="K6" i="18"/>
  <c r="Q12" i="16"/>
  <c r="K10" i="18"/>
  <c r="K9" i="18"/>
  <c r="U8" i="16"/>
  <c r="Q18" i="16"/>
  <c r="O8" i="18"/>
  <c r="U14" i="16"/>
  <c r="U13" i="16"/>
  <c r="O6" i="18"/>
  <c r="U7" i="16"/>
  <c r="U5" i="16"/>
  <c r="U16" i="16"/>
  <c r="U18" i="16"/>
  <c r="K5" i="18"/>
  <c r="Q11" i="16"/>
  <c r="U15" i="16"/>
  <c r="Q7" i="16"/>
  <c r="K8" i="18"/>
  <c r="O5" i="18"/>
  <c r="U6" i="16"/>
  <c r="O9" i="18"/>
  <c r="Q5" i="16"/>
  <c r="Q17" i="16"/>
  <c r="Q16" i="16"/>
  <c r="U17" i="16"/>
  <c r="Q10" i="16"/>
  <c r="U12" i="16"/>
  <c r="O7" i="18"/>
  <c r="Q14" i="16"/>
  <c r="U10" i="16"/>
  <c r="K7" i="18"/>
  <c r="U11" i="16"/>
  <c r="Q9" i="16"/>
  <c r="W1" i="14" l="1"/>
  <c r="S1" i="14"/>
  <c r="Y4" i="14"/>
  <c r="V4" i="14"/>
  <c r="V5" i="14" s="1"/>
  <c r="U4" i="14"/>
  <c r="R4" i="14"/>
  <c r="R5" i="14" s="1"/>
  <c r="K1" i="8"/>
  <c r="J4" i="8"/>
  <c r="K19" i="8" s="1"/>
  <c r="K1" i="6"/>
  <c r="J4" i="6"/>
  <c r="K8" i="6" s="1"/>
  <c r="B42" i="2"/>
  <c r="B36" i="2"/>
  <c r="B43" i="1"/>
  <c r="B39" i="1"/>
  <c r="B38" i="1"/>
  <c r="B37" i="1"/>
  <c r="B36" i="1"/>
  <c r="B35" i="1"/>
  <c r="B34" i="1"/>
  <c r="S6" i="14"/>
  <c r="S17" i="14"/>
  <c r="S9" i="14"/>
  <c r="S5" i="14"/>
  <c r="W7" i="14"/>
  <c r="S18" i="14"/>
  <c r="S12" i="14"/>
  <c r="W9" i="14"/>
  <c r="S10" i="14"/>
  <c r="W8" i="14"/>
  <c r="S16" i="14"/>
  <c r="S19" i="14"/>
  <c r="S14" i="14"/>
  <c r="S15" i="14"/>
  <c r="W6" i="14"/>
  <c r="S11" i="14"/>
  <c r="W5" i="14"/>
  <c r="W11" i="14"/>
  <c r="S7" i="14"/>
  <c r="S13" i="14"/>
  <c r="W12" i="14"/>
  <c r="S20" i="14"/>
  <c r="S8" i="14"/>
  <c r="W10" i="14"/>
  <c r="K9" i="8" l="1"/>
  <c r="K11" i="8"/>
  <c r="K13" i="8"/>
  <c r="K12" i="8"/>
  <c r="K10" i="8"/>
  <c r="K8" i="8"/>
  <c r="K13" i="6"/>
  <c r="K14" i="8"/>
  <c r="K10" i="6"/>
  <c r="K9" i="6"/>
  <c r="K11" i="6"/>
  <c r="K15" i="6"/>
  <c r="K12" i="6"/>
  <c r="K6" i="6"/>
  <c r="K5" i="8"/>
  <c r="K17" i="8"/>
  <c r="K14" i="6"/>
  <c r="K15" i="8"/>
  <c r="K5" i="6"/>
  <c r="K7" i="6"/>
  <c r="K6" i="8"/>
  <c r="K18" i="8"/>
  <c r="K16" i="8"/>
  <c r="K7" i="8"/>
  <c r="D39" i="1"/>
  <c r="D38" i="1"/>
  <c r="D37" i="1"/>
  <c r="D36" i="1"/>
  <c r="D35" i="1"/>
  <c r="D34" i="1"/>
  <c r="D16" i="1"/>
  <c r="D18" i="1"/>
  <c r="D17" i="1"/>
  <c r="D15" i="1"/>
  <c r="D19" i="1"/>
  <c r="D20" i="1"/>
  <c r="D21" i="1"/>
  <c r="D22" i="1"/>
  <c r="D23" i="1"/>
  <c r="D24" i="1"/>
  <c r="D25" i="1"/>
  <c r="D26" i="1"/>
  <c r="D27" i="1"/>
  <c r="D28" i="1"/>
  <c r="B40" i="2"/>
  <c r="B38" i="2"/>
  <c r="B37" i="2"/>
  <c r="D38" i="2" l="1"/>
  <c r="D37" i="2"/>
  <c r="D36" i="2"/>
  <c r="B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Ashutosh Mishra</author>
  </authors>
  <commentList>
    <comment ref="B5" authorId="0" shapeId="0" xr:uid="{890E2F53-D1B3-4D39-B4AC-3D3173256A02}">
      <text>
        <r>
          <rPr>
            <sz val="9"/>
            <color indexed="81"/>
            <rFont val="Tahoma"/>
            <family val="2"/>
          </rPr>
          <t>Solver found a solution. All constraints and optimality conditions are satisfied.</t>
        </r>
      </text>
    </comment>
    <comment ref="B6" authorId="0" shapeId="0" xr:uid="{605B4498-2310-4ABC-A7DC-FCF55996F276}">
      <text>
        <r>
          <rPr>
            <sz val="9"/>
            <color indexed="81"/>
            <rFont val="Tahoma"/>
            <family val="2"/>
          </rPr>
          <t>Solver found a solution. All constraints and optimality conditions are satisfied.</t>
        </r>
      </text>
    </comment>
    <comment ref="B7" authorId="0" shapeId="0" xr:uid="{02D7CA52-977C-4660-BD5D-0452A457ADDE}">
      <text>
        <r>
          <rPr>
            <sz val="9"/>
            <color indexed="81"/>
            <rFont val="Tahoma"/>
            <family val="2"/>
          </rPr>
          <t>Solver found a solution. All constraints and optimality conditions are satisfied.</t>
        </r>
      </text>
    </comment>
    <comment ref="B8" authorId="0" shapeId="0" xr:uid="{3CB32D84-E729-4626-89F4-F83A31425D7E}">
      <text>
        <r>
          <rPr>
            <sz val="9"/>
            <color indexed="81"/>
            <rFont val="Tahoma"/>
            <family val="2"/>
          </rPr>
          <t>Solver found a solution. All constraints and optimality conditions are satisfied.</t>
        </r>
      </text>
    </comment>
    <comment ref="B9" authorId="0" shapeId="0" xr:uid="{829364BC-9979-4952-A999-8097C70639FF}">
      <text>
        <r>
          <rPr>
            <sz val="9"/>
            <color indexed="81"/>
            <rFont val="Tahoma"/>
            <family val="2"/>
          </rPr>
          <t>Solver found a solution. All constraints and optimality conditions are satisfied.</t>
        </r>
      </text>
    </comment>
    <comment ref="B10" authorId="0" shapeId="0" xr:uid="{088C85AE-E850-4F1B-B5F2-F5519FBEF4F9}">
      <text>
        <r>
          <rPr>
            <sz val="9"/>
            <color indexed="81"/>
            <rFont val="Tahoma"/>
            <family val="2"/>
          </rPr>
          <t>Solver found a solution. All constraints and optimality conditions are satisfied.</t>
        </r>
      </text>
    </comment>
    <comment ref="B11" authorId="0" shapeId="0" xr:uid="{911FF2BF-8BBC-400B-9DA5-0D8400972C74}">
      <text>
        <r>
          <rPr>
            <sz val="9"/>
            <color indexed="81"/>
            <rFont val="Tahoma"/>
            <family val="2"/>
          </rPr>
          <t>Solver found a solution. All constraints and optimality conditions are satisfied.</t>
        </r>
      </text>
    </comment>
    <comment ref="B12" authorId="0" shapeId="0" xr:uid="{2F90F344-FA6B-4901-9F3C-F92148B89687}">
      <text>
        <r>
          <rPr>
            <sz val="9"/>
            <color indexed="81"/>
            <rFont val="Tahoma"/>
            <family val="2"/>
          </rPr>
          <t>Solver found a solution. All constraints and optimality conditions are satisfied.</t>
        </r>
      </text>
    </comment>
    <comment ref="B13" authorId="0" shapeId="0" xr:uid="{8D3A544E-6698-43E9-B22A-7306F7CAB5F9}">
      <text>
        <r>
          <rPr>
            <sz val="9"/>
            <color indexed="81"/>
            <rFont val="Tahoma"/>
            <family val="2"/>
          </rPr>
          <t>Solver found a solution. All constraints and optimality conditions are satisfied.</t>
        </r>
      </text>
    </comment>
    <comment ref="B14" authorId="0" shapeId="0" xr:uid="{8B401AF7-25CB-4430-A8AD-7835C1662069}">
      <text>
        <r>
          <rPr>
            <sz val="9"/>
            <color indexed="81"/>
            <rFont val="Tahoma"/>
            <family val="2"/>
          </rPr>
          <t>Solver found a solution. All constraints and optimality conditions are satisfied.</t>
        </r>
      </text>
    </comment>
    <comment ref="B15" authorId="0" shapeId="0" xr:uid="{059D2FE9-604F-4D98-BF2C-ABD5BFBB409F}">
      <text>
        <r>
          <rPr>
            <sz val="9"/>
            <color indexed="81"/>
            <rFont val="Tahoma"/>
            <family val="2"/>
          </rPr>
          <t>Solver found a solution. All constraints and optimality conditions are satisfied.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Ashutosh Mishra</author>
  </authors>
  <commentList>
    <comment ref="B5" authorId="0" shapeId="0" xr:uid="{9092FCEC-9422-4A25-AD81-B8EE006EE695}">
      <text>
        <r>
          <rPr>
            <sz val="9"/>
            <color indexed="81"/>
            <rFont val="Tahoma"/>
            <family val="2"/>
          </rPr>
          <t>Solver found a solution. All constraints and optimality conditions are satisfied.</t>
        </r>
      </text>
    </comment>
    <comment ref="B6" authorId="0" shapeId="0" xr:uid="{B7EFB435-146E-4F33-B4ED-758FEB89797B}">
      <text>
        <r>
          <rPr>
            <sz val="9"/>
            <color indexed="81"/>
            <rFont val="Tahoma"/>
            <family val="2"/>
          </rPr>
          <t>Solver found a solution. All constraints and optimality conditions are satisfied.</t>
        </r>
      </text>
    </comment>
    <comment ref="B7" authorId="0" shapeId="0" xr:uid="{ADD94F87-E35F-4AF6-BD86-DB21335546B0}">
      <text>
        <r>
          <rPr>
            <sz val="9"/>
            <color indexed="81"/>
            <rFont val="Tahoma"/>
            <family val="2"/>
          </rPr>
          <t>Solver found a solution. All constraints and optimality conditions are satisfied.</t>
        </r>
      </text>
    </comment>
    <comment ref="B8" authorId="0" shapeId="0" xr:uid="{18506A2F-991A-4F50-801F-05C3CC4775FF}">
      <text>
        <r>
          <rPr>
            <sz val="9"/>
            <color indexed="81"/>
            <rFont val="Tahoma"/>
            <family val="2"/>
          </rPr>
          <t>Solver found a solution. All constraints and optimality conditions are satisfied.</t>
        </r>
      </text>
    </comment>
    <comment ref="B9" authorId="0" shapeId="0" xr:uid="{B9D2B639-40D4-4F56-85EB-1D36887C33DB}">
      <text>
        <r>
          <rPr>
            <sz val="9"/>
            <color indexed="81"/>
            <rFont val="Tahoma"/>
            <family val="2"/>
          </rPr>
          <t>Solver found a solution. All constraints and optimality conditions are satisfied.</t>
        </r>
      </text>
    </comment>
    <comment ref="B10" authorId="0" shapeId="0" xr:uid="{8509C037-263D-45CC-A300-7060CD451DD5}">
      <text>
        <r>
          <rPr>
            <sz val="9"/>
            <color indexed="81"/>
            <rFont val="Tahoma"/>
            <family val="2"/>
          </rPr>
          <t>Solver found a solution. All constraints and optimality conditions are satisfied.</t>
        </r>
      </text>
    </comment>
    <comment ref="B11" authorId="0" shapeId="0" xr:uid="{4DE710E0-D457-4A62-A8EC-F5A022AEC094}">
      <text>
        <r>
          <rPr>
            <sz val="9"/>
            <color indexed="81"/>
            <rFont val="Tahoma"/>
            <family val="2"/>
          </rPr>
          <t>Solver found a solution. All constraints and optimality conditions are satisfied.</t>
        </r>
      </text>
    </comment>
    <comment ref="B12" authorId="0" shapeId="0" xr:uid="{4BC3AB91-F627-4526-B692-7E96D0BE146E}">
      <text>
        <r>
          <rPr>
            <sz val="9"/>
            <color indexed="81"/>
            <rFont val="Tahoma"/>
            <family val="2"/>
          </rPr>
          <t>Solver found a solution. All constraints and optimality conditions are satisfied.</t>
        </r>
      </text>
    </comment>
    <comment ref="B13" authorId="0" shapeId="0" xr:uid="{6BD49843-655B-4615-B350-32036AE9F365}">
      <text>
        <r>
          <rPr>
            <sz val="9"/>
            <color indexed="81"/>
            <rFont val="Tahoma"/>
            <family val="2"/>
          </rPr>
          <t>Solver found a solution. All constraints and optimality conditions are satisfied.</t>
        </r>
      </text>
    </comment>
    <comment ref="B14" authorId="0" shapeId="0" xr:uid="{D63CDB97-291A-4C03-B42D-1430432FA349}">
      <text>
        <r>
          <rPr>
            <sz val="9"/>
            <color indexed="81"/>
            <rFont val="Tahoma"/>
            <family val="2"/>
          </rPr>
          <t>Solver found a solution. All constraints and optimality conditions are satisfied.</t>
        </r>
      </text>
    </comment>
    <comment ref="B15" authorId="0" shapeId="0" xr:uid="{43FB5203-25C3-455F-B199-3399EFBEFFF7}">
      <text>
        <r>
          <rPr>
            <sz val="9"/>
            <color indexed="81"/>
            <rFont val="Tahoma"/>
            <family val="2"/>
          </rPr>
          <t>Solver found a solution. All constraints and optimality conditions are satisfied.</t>
        </r>
      </text>
    </comment>
    <comment ref="B16" authorId="0" shapeId="0" xr:uid="{419C508E-1146-4B36-A9D0-33CE075810BC}">
      <text>
        <r>
          <rPr>
            <sz val="9"/>
            <color indexed="81"/>
            <rFont val="Tahoma"/>
            <family val="2"/>
          </rPr>
          <t>Solver found a solution. All constraints and optimality conditions are satisfied.</t>
        </r>
      </text>
    </comment>
    <comment ref="B17" authorId="0" shapeId="0" xr:uid="{956A9580-28EA-4A4A-9465-D75DC8541975}">
      <text>
        <r>
          <rPr>
            <sz val="9"/>
            <color indexed="81"/>
            <rFont val="Tahoma"/>
            <family val="2"/>
          </rPr>
          <t>Solver found a solution. All constraints and optimality conditions are satisfied.</t>
        </r>
      </text>
    </comment>
    <comment ref="B18" authorId="0" shapeId="0" xr:uid="{546B409C-2639-4F5A-8EA5-26167B94D159}">
      <text>
        <r>
          <rPr>
            <sz val="9"/>
            <color indexed="81"/>
            <rFont val="Tahoma"/>
            <family val="2"/>
          </rPr>
          <t>Solver found a solution. All constraints and optimality conditions are satisfied.</t>
        </r>
      </text>
    </comment>
    <comment ref="B19" authorId="0" shapeId="0" xr:uid="{9B784564-BDF3-49BE-B447-E8AC087E58E0}">
      <text>
        <r>
          <rPr>
            <sz val="9"/>
            <color indexed="81"/>
            <rFont val="Tahoma"/>
            <family val="2"/>
          </rPr>
          <t>Solver found a solution. All constraints and optimality conditions are satisfied.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Zubair Porbunderwala</author>
  </authors>
  <commentList>
    <comment ref="B5" authorId="0" shapeId="0" xr:uid="{76EED7CD-3AF0-40FF-8090-FAF6D72D882E}">
      <text>
        <r>
          <rPr>
            <sz val="9"/>
            <color indexed="81"/>
            <rFont val="Tahoma"/>
            <family val="2"/>
          </rPr>
          <t>Solver found a solution. All constraints and optimality conditions are satisfied.</t>
        </r>
      </text>
    </comment>
    <comment ref="C5" authorId="0" shapeId="0" xr:uid="{31D8F50F-580D-4A02-9CA9-2F9C13ED070A}">
      <text>
        <r>
          <rPr>
            <sz val="9"/>
            <color indexed="81"/>
            <rFont val="Tahoma"/>
            <family val="2"/>
          </rPr>
          <t>Solver found a solution. All constraints and optimality conditions are satisfied.</t>
        </r>
      </text>
    </comment>
    <comment ref="D5" authorId="0" shapeId="0" xr:uid="{1D96C5C0-22A8-4118-877A-97C2E4F02FBC}">
      <text>
        <r>
          <rPr>
            <sz val="9"/>
            <color indexed="81"/>
            <rFont val="Tahoma"/>
            <family val="2"/>
          </rPr>
          <t>Solver found a solution. All constraints and optimality conditions are satisfied.</t>
        </r>
      </text>
    </comment>
    <comment ref="E5" authorId="0" shapeId="0" xr:uid="{45EEE282-3CF1-4426-A71A-A517CD4D584D}">
      <text>
        <r>
          <rPr>
            <sz val="9"/>
            <color indexed="81"/>
            <rFont val="Tahoma"/>
            <family val="2"/>
          </rPr>
          <t>Solver found a solution. All constraints and optimality conditions are satisfied.</t>
        </r>
      </text>
    </comment>
    <comment ref="F5" authorId="0" shapeId="0" xr:uid="{46D481D2-5518-48E0-814F-41C2C8345F74}">
      <text>
        <r>
          <rPr>
            <sz val="9"/>
            <color indexed="81"/>
            <rFont val="Tahoma"/>
            <family val="2"/>
          </rPr>
          <t>Solver found a solution. All constraints and optimality conditions are satisfied.</t>
        </r>
      </text>
    </comment>
    <comment ref="G5" authorId="0" shapeId="0" xr:uid="{A43F28AE-139A-46E1-B0D0-663D23E29FF0}">
      <text>
        <r>
          <rPr>
            <sz val="9"/>
            <color indexed="81"/>
            <rFont val="Tahoma"/>
            <family val="2"/>
          </rPr>
          <t>Solver found a solution. All constraints and optimality conditions are satisfied.</t>
        </r>
      </text>
    </comment>
    <comment ref="H5" authorId="0" shapeId="0" xr:uid="{CF460340-DC02-4227-81FB-460892065DE4}">
      <text>
        <r>
          <rPr>
            <sz val="9"/>
            <color indexed="81"/>
            <rFont val="Tahoma"/>
            <family val="2"/>
          </rPr>
          <t>Solver found a solution. All constraints and optimality conditions are satisfied.</t>
        </r>
      </text>
    </comment>
    <comment ref="I5" authorId="0" shapeId="0" xr:uid="{3D04CCA1-F625-40FD-8448-7A2AFBFB9758}">
      <text>
        <r>
          <rPr>
            <sz val="9"/>
            <color indexed="81"/>
            <rFont val="Tahoma"/>
            <family val="2"/>
          </rPr>
          <t>Solver found a solution. All constraints and optimality conditions are satisfied.</t>
        </r>
      </text>
    </comment>
    <comment ref="J5" authorId="0" shapeId="0" xr:uid="{0D6F2A18-A162-4B1D-93CA-5C27AD0967A6}">
      <text>
        <r>
          <rPr>
            <sz val="9"/>
            <color indexed="81"/>
            <rFont val="Tahoma"/>
            <family val="2"/>
          </rPr>
          <t>Solver found a solution. All constraints and optimality conditions are satisfied.</t>
        </r>
      </text>
    </comment>
    <comment ref="K5" authorId="0" shapeId="0" xr:uid="{32C7F097-E345-4107-B3DA-4A8977092215}">
      <text>
        <r>
          <rPr>
            <sz val="9"/>
            <color indexed="81"/>
            <rFont val="Tahoma"/>
            <family val="2"/>
          </rPr>
          <t>Solver found a solution. All constraints and optimality conditions are satisfied.</t>
        </r>
      </text>
    </comment>
    <comment ref="L5" authorId="0" shapeId="0" xr:uid="{0119EEEA-33AA-4710-8C8B-4B7BFC6F9D60}">
      <text>
        <r>
          <rPr>
            <sz val="9"/>
            <color indexed="81"/>
            <rFont val="Tahoma"/>
            <family val="2"/>
          </rPr>
          <t>Solver found a solution. All constraints and optimality conditions are satisfied.</t>
        </r>
      </text>
    </comment>
    <comment ref="M5" authorId="0" shapeId="0" xr:uid="{B47C9457-9A9B-4B9B-8D89-55299FD8158A}">
      <text>
        <r>
          <rPr>
            <sz val="9"/>
            <color indexed="81"/>
            <rFont val="Tahoma"/>
            <family val="2"/>
          </rPr>
          <t>Solver found a solution. All constraints and optimality conditions are satisfied.</t>
        </r>
      </text>
    </comment>
    <comment ref="N5" authorId="0" shapeId="0" xr:uid="{A56D763A-32C8-4DD7-B48A-83C4A2A0C7CA}">
      <text>
        <r>
          <rPr>
            <sz val="9"/>
            <color indexed="81"/>
            <rFont val="Tahoma"/>
            <family val="2"/>
          </rPr>
          <t>Solver found a solution. All constraints and optimality conditions are satisfied.</t>
        </r>
      </text>
    </comment>
    <comment ref="O5" authorId="0" shapeId="0" xr:uid="{93AE5D3F-9EB7-4204-8790-61041C1C7E8A}">
      <text>
        <r>
          <rPr>
            <sz val="9"/>
            <color indexed="81"/>
            <rFont val="Tahoma"/>
            <family val="2"/>
          </rPr>
          <t>Solver found a solution. All constraints and optimality conditions are satisfied.</t>
        </r>
      </text>
    </comment>
    <comment ref="B6" authorId="0" shapeId="0" xr:uid="{02F19C8A-C253-419E-AFE0-46426DCFAC1C}">
      <text>
        <r>
          <rPr>
            <sz val="9"/>
            <color indexed="81"/>
            <rFont val="Tahoma"/>
            <family val="2"/>
          </rPr>
          <t>Solver found a solution. All constraints and optimality conditions are satisfied.</t>
        </r>
      </text>
    </comment>
    <comment ref="C6" authorId="0" shapeId="0" xr:uid="{D71F7917-FBE1-4C49-8C5F-F92166BDA66F}">
      <text>
        <r>
          <rPr>
            <sz val="9"/>
            <color indexed="81"/>
            <rFont val="Tahoma"/>
            <family val="2"/>
          </rPr>
          <t>Solver found a solution. All constraints and optimality conditions are satisfied.</t>
        </r>
      </text>
    </comment>
    <comment ref="D6" authorId="0" shapeId="0" xr:uid="{F646F382-288E-4290-BB1B-1616DE489534}">
      <text>
        <r>
          <rPr>
            <sz val="9"/>
            <color indexed="81"/>
            <rFont val="Tahoma"/>
            <family val="2"/>
          </rPr>
          <t>Solver found a solution. All constraints and optimality conditions are satisfied.</t>
        </r>
      </text>
    </comment>
    <comment ref="E6" authorId="0" shapeId="0" xr:uid="{45C5665D-B12A-4060-B940-497247520B13}">
      <text>
        <r>
          <rPr>
            <sz val="9"/>
            <color indexed="81"/>
            <rFont val="Tahoma"/>
            <family val="2"/>
          </rPr>
          <t>Solver found a solution. All constraints and optimality conditions are satisfied.</t>
        </r>
      </text>
    </comment>
    <comment ref="F6" authorId="0" shapeId="0" xr:uid="{C1C948CA-72CD-41F5-BEDF-32FF2346802D}">
      <text>
        <r>
          <rPr>
            <sz val="9"/>
            <color indexed="81"/>
            <rFont val="Tahoma"/>
            <family val="2"/>
          </rPr>
          <t>Solver found a solution. All constraints and optimality conditions are satisfied.</t>
        </r>
      </text>
    </comment>
    <comment ref="G6" authorId="0" shapeId="0" xr:uid="{96235907-9FA1-47F1-96BD-32FBE8044EB3}">
      <text>
        <r>
          <rPr>
            <sz val="9"/>
            <color indexed="81"/>
            <rFont val="Tahoma"/>
            <family val="2"/>
          </rPr>
          <t>Solver found a solution. All constraints and optimality conditions are satisfied.</t>
        </r>
      </text>
    </comment>
    <comment ref="H6" authorId="0" shapeId="0" xr:uid="{8CBB1229-DD9E-4C36-8809-4768CB66F9C8}">
      <text>
        <r>
          <rPr>
            <sz val="9"/>
            <color indexed="81"/>
            <rFont val="Tahoma"/>
            <family val="2"/>
          </rPr>
          <t>Solver found a solution. All constraints and optimality conditions are satisfied.</t>
        </r>
      </text>
    </comment>
    <comment ref="I6" authorId="0" shapeId="0" xr:uid="{C7E01C2E-2328-4C7E-A2DD-3A56E793180D}">
      <text>
        <r>
          <rPr>
            <sz val="9"/>
            <color indexed="81"/>
            <rFont val="Tahoma"/>
            <family val="2"/>
          </rPr>
          <t>Solver found a solution. All constraints and optimality conditions are satisfied.</t>
        </r>
      </text>
    </comment>
    <comment ref="J6" authorId="0" shapeId="0" xr:uid="{5F8C3665-314B-40B3-81AA-6B477BC3EB09}">
      <text>
        <r>
          <rPr>
            <sz val="9"/>
            <color indexed="81"/>
            <rFont val="Tahoma"/>
            <family val="2"/>
          </rPr>
          <t>Solver found a solution. All constraints and optimality conditions are satisfied.</t>
        </r>
      </text>
    </comment>
    <comment ref="K6" authorId="0" shapeId="0" xr:uid="{C3CA70D3-A514-481E-A50C-0BA8F81A9DEB}">
      <text>
        <r>
          <rPr>
            <sz val="9"/>
            <color indexed="81"/>
            <rFont val="Tahoma"/>
            <family val="2"/>
          </rPr>
          <t>Solver found a solution. All constraints and optimality conditions are satisfied.</t>
        </r>
      </text>
    </comment>
    <comment ref="L6" authorId="0" shapeId="0" xr:uid="{ABCB8C17-C470-4479-A13D-1B419FA70584}">
      <text>
        <r>
          <rPr>
            <sz val="9"/>
            <color indexed="81"/>
            <rFont val="Tahoma"/>
            <family val="2"/>
          </rPr>
          <t>Solver found a solution. All constraints and optimality conditions are satisfied.</t>
        </r>
      </text>
    </comment>
    <comment ref="M6" authorId="0" shapeId="0" xr:uid="{A3B6BB6E-238A-424F-94F9-D322B113322A}">
      <text>
        <r>
          <rPr>
            <sz val="9"/>
            <color indexed="81"/>
            <rFont val="Tahoma"/>
            <family val="2"/>
          </rPr>
          <t>Solver found a solution. All constraints and optimality conditions are satisfied.</t>
        </r>
      </text>
    </comment>
    <comment ref="N6" authorId="0" shapeId="0" xr:uid="{A34680C3-CC8A-42E6-9FA2-C00892C26F49}">
      <text>
        <r>
          <rPr>
            <sz val="9"/>
            <color indexed="81"/>
            <rFont val="Tahoma"/>
            <family val="2"/>
          </rPr>
          <t>Solver found a solution. All constraints and optimality conditions are satisfied.</t>
        </r>
      </text>
    </comment>
    <comment ref="O6" authorId="0" shapeId="0" xr:uid="{6835AA28-8FAC-4B40-9764-972EC34ABC3A}">
      <text>
        <r>
          <rPr>
            <sz val="9"/>
            <color indexed="81"/>
            <rFont val="Tahoma"/>
            <family val="2"/>
          </rPr>
          <t>Solver found a solution. All constraints and optimality conditions are satisfied.</t>
        </r>
      </text>
    </comment>
    <comment ref="B7" authorId="0" shapeId="0" xr:uid="{8C7E979C-9ECD-41E5-BAA0-C6E5333A726C}">
      <text>
        <r>
          <rPr>
            <sz val="9"/>
            <color indexed="81"/>
            <rFont val="Tahoma"/>
            <family val="2"/>
          </rPr>
          <t>Solver found a solution. All constraints and optimality conditions are satisfied.</t>
        </r>
      </text>
    </comment>
    <comment ref="C7" authorId="0" shapeId="0" xr:uid="{98CFF97B-EBFE-418C-80A4-AF46CD10B794}">
      <text>
        <r>
          <rPr>
            <sz val="9"/>
            <color indexed="81"/>
            <rFont val="Tahoma"/>
            <family val="2"/>
          </rPr>
          <t>Solver found a solution. All constraints and optimality conditions are satisfied.</t>
        </r>
      </text>
    </comment>
    <comment ref="D7" authorId="0" shapeId="0" xr:uid="{23816CA4-4386-4285-9B8D-7F9F5DF52CC2}">
      <text>
        <r>
          <rPr>
            <sz val="9"/>
            <color indexed="81"/>
            <rFont val="Tahoma"/>
            <family val="2"/>
          </rPr>
          <t>Solver found a solution. All constraints and optimality conditions are satisfied.</t>
        </r>
      </text>
    </comment>
    <comment ref="E7" authorId="0" shapeId="0" xr:uid="{94DD1B11-64FA-48F2-8F4F-BB17AFFDE84C}">
      <text>
        <r>
          <rPr>
            <sz val="9"/>
            <color indexed="81"/>
            <rFont val="Tahoma"/>
            <family val="2"/>
          </rPr>
          <t>Solver found a solution. All constraints and optimality conditions are satisfied.</t>
        </r>
      </text>
    </comment>
    <comment ref="F7" authorId="0" shapeId="0" xr:uid="{CD9B7EB5-3D41-4A63-BD36-9368BF1EF535}">
      <text>
        <r>
          <rPr>
            <sz val="9"/>
            <color indexed="81"/>
            <rFont val="Tahoma"/>
            <family val="2"/>
          </rPr>
          <t>Solver found a solution. All constraints and optimality conditions are satisfied.</t>
        </r>
      </text>
    </comment>
    <comment ref="G7" authorId="0" shapeId="0" xr:uid="{2B6C6CFB-CEAF-4EE6-AEB0-9A1F43323B09}">
      <text>
        <r>
          <rPr>
            <sz val="9"/>
            <color indexed="81"/>
            <rFont val="Tahoma"/>
            <family val="2"/>
          </rPr>
          <t>Solver found a solution. All constraints and optimality conditions are satisfied.</t>
        </r>
      </text>
    </comment>
    <comment ref="H7" authorId="0" shapeId="0" xr:uid="{746ADF92-340D-4FF6-818A-474F12F57835}">
      <text>
        <r>
          <rPr>
            <sz val="9"/>
            <color indexed="81"/>
            <rFont val="Tahoma"/>
            <family val="2"/>
          </rPr>
          <t>Solver found a solution. All constraints and optimality conditions are satisfied.</t>
        </r>
      </text>
    </comment>
    <comment ref="I7" authorId="0" shapeId="0" xr:uid="{E8EEFAF5-A33D-4C46-AC43-0A0944D81FB9}">
      <text>
        <r>
          <rPr>
            <sz val="9"/>
            <color indexed="81"/>
            <rFont val="Tahoma"/>
            <family val="2"/>
          </rPr>
          <t>Solver found a solution. All constraints and optimality conditions are satisfied.</t>
        </r>
      </text>
    </comment>
    <comment ref="J7" authorId="0" shapeId="0" xr:uid="{FABD4ECF-53B2-4645-AAB4-C68B7B639A6B}">
      <text>
        <r>
          <rPr>
            <sz val="9"/>
            <color indexed="81"/>
            <rFont val="Tahoma"/>
            <family val="2"/>
          </rPr>
          <t>Solver found a solution. All constraints and optimality conditions are satisfied.</t>
        </r>
      </text>
    </comment>
    <comment ref="K7" authorId="0" shapeId="0" xr:uid="{7F5A67FE-0474-4DC4-96A1-CFFEE9291520}">
      <text>
        <r>
          <rPr>
            <sz val="9"/>
            <color indexed="81"/>
            <rFont val="Tahoma"/>
            <family val="2"/>
          </rPr>
          <t>Solver found a solution. All constraints and optimality conditions are satisfied.</t>
        </r>
      </text>
    </comment>
    <comment ref="L7" authorId="0" shapeId="0" xr:uid="{1CDBBC80-3BFF-42C6-A1FD-364D52EF847A}">
      <text>
        <r>
          <rPr>
            <sz val="9"/>
            <color indexed="81"/>
            <rFont val="Tahoma"/>
            <family val="2"/>
          </rPr>
          <t>Solver found a solution. All constraints and optimality conditions are satisfied.</t>
        </r>
      </text>
    </comment>
    <comment ref="M7" authorId="0" shapeId="0" xr:uid="{9795F59F-886C-4D3C-B33C-4A5AB3BDB7A4}">
      <text>
        <r>
          <rPr>
            <sz val="9"/>
            <color indexed="81"/>
            <rFont val="Tahoma"/>
            <family val="2"/>
          </rPr>
          <t>Solver found a solution. All constraints and optimality conditions are satisfied.</t>
        </r>
      </text>
    </comment>
    <comment ref="N7" authorId="0" shapeId="0" xr:uid="{322CE3A5-B0EB-4DB0-A175-171F4FC998E7}">
      <text>
        <r>
          <rPr>
            <sz val="9"/>
            <color indexed="81"/>
            <rFont val="Tahoma"/>
            <family val="2"/>
          </rPr>
          <t>Solver found a solution. All constraints and optimality conditions are satisfied.</t>
        </r>
      </text>
    </comment>
    <comment ref="O7" authorId="0" shapeId="0" xr:uid="{C11E9DE3-8F80-4480-8214-9D397446B8FB}">
      <text>
        <r>
          <rPr>
            <sz val="9"/>
            <color indexed="81"/>
            <rFont val="Tahoma"/>
            <family val="2"/>
          </rPr>
          <t>Solver found a solution. All constraints and optimality conditions are satisfied.</t>
        </r>
      </text>
    </comment>
    <comment ref="B8" authorId="0" shapeId="0" xr:uid="{AB3964FD-34D5-49AF-AF17-7AEA66C77DEB}">
      <text>
        <r>
          <rPr>
            <sz val="9"/>
            <color indexed="81"/>
            <rFont val="Tahoma"/>
            <family val="2"/>
          </rPr>
          <t>Solver found a solution. All constraints and optimality conditions are satisfied.</t>
        </r>
      </text>
    </comment>
    <comment ref="C8" authorId="0" shapeId="0" xr:uid="{C3A4ED67-EF61-4BDB-BBF2-82EAA0AC94D9}">
      <text>
        <r>
          <rPr>
            <sz val="9"/>
            <color indexed="81"/>
            <rFont val="Tahoma"/>
            <family val="2"/>
          </rPr>
          <t>Solver found a solution. All constraints and optimality conditions are satisfied.</t>
        </r>
      </text>
    </comment>
    <comment ref="D8" authorId="0" shapeId="0" xr:uid="{283F3717-FCF5-4B5A-8C5A-EBBA1EA1E123}">
      <text>
        <r>
          <rPr>
            <sz val="9"/>
            <color indexed="81"/>
            <rFont val="Tahoma"/>
            <family val="2"/>
          </rPr>
          <t>Solver found a solution. All constraints and optimality conditions are satisfied.</t>
        </r>
      </text>
    </comment>
    <comment ref="E8" authorId="0" shapeId="0" xr:uid="{BB987C11-41F3-4996-8002-CCA38A478808}">
      <text>
        <r>
          <rPr>
            <sz val="9"/>
            <color indexed="81"/>
            <rFont val="Tahoma"/>
            <family val="2"/>
          </rPr>
          <t>Solver found a solution. All constraints and optimality conditions are satisfied.</t>
        </r>
      </text>
    </comment>
    <comment ref="F8" authorId="0" shapeId="0" xr:uid="{024B7BBD-ABA0-4CB2-AE6A-D3CAC5A2533F}">
      <text>
        <r>
          <rPr>
            <sz val="9"/>
            <color indexed="81"/>
            <rFont val="Tahoma"/>
            <family val="2"/>
          </rPr>
          <t>Solver found a solution. All constraints and optimality conditions are satisfied.</t>
        </r>
      </text>
    </comment>
    <comment ref="G8" authorId="0" shapeId="0" xr:uid="{488F1ACC-F659-4412-B6E2-49C1680D7297}">
      <text>
        <r>
          <rPr>
            <sz val="9"/>
            <color indexed="81"/>
            <rFont val="Tahoma"/>
            <family val="2"/>
          </rPr>
          <t>Solver found a solution. All constraints and optimality conditions are satisfied.</t>
        </r>
      </text>
    </comment>
    <comment ref="H8" authorId="0" shapeId="0" xr:uid="{E8F5182E-EB7C-4509-98FA-485DA0CFCE9F}">
      <text>
        <r>
          <rPr>
            <sz val="9"/>
            <color indexed="81"/>
            <rFont val="Tahoma"/>
            <family val="2"/>
          </rPr>
          <t>Solver found a solution. All constraints and optimality conditions are satisfied.</t>
        </r>
      </text>
    </comment>
    <comment ref="I8" authorId="0" shapeId="0" xr:uid="{3C9879AD-CFFA-44B4-BDD2-08B5C32596D4}">
      <text>
        <r>
          <rPr>
            <sz val="9"/>
            <color indexed="81"/>
            <rFont val="Tahoma"/>
            <family val="2"/>
          </rPr>
          <t>Solver found a solution. All constraints and optimality conditions are satisfied.</t>
        </r>
      </text>
    </comment>
    <comment ref="J8" authorId="0" shapeId="0" xr:uid="{A1FFC666-6FBC-4ADA-997A-860D623EC827}">
      <text>
        <r>
          <rPr>
            <sz val="9"/>
            <color indexed="81"/>
            <rFont val="Tahoma"/>
            <family val="2"/>
          </rPr>
          <t>Solver found a solution. All constraints and optimality conditions are satisfied.</t>
        </r>
      </text>
    </comment>
    <comment ref="K8" authorId="0" shapeId="0" xr:uid="{DA9FFDDB-C9DF-45DF-9054-F000106555F5}">
      <text>
        <r>
          <rPr>
            <sz val="9"/>
            <color indexed="81"/>
            <rFont val="Tahoma"/>
            <family val="2"/>
          </rPr>
          <t>Solver found a solution. All constraints and optimality conditions are satisfied.</t>
        </r>
      </text>
    </comment>
    <comment ref="L8" authorId="0" shapeId="0" xr:uid="{0BDF43D9-0EB8-41B2-BACB-361A5D9BE4C6}">
      <text>
        <r>
          <rPr>
            <sz val="9"/>
            <color indexed="81"/>
            <rFont val="Tahoma"/>
            <family val="2"/>
          </rPr>
          <t>Solver found a solution. All constraints and optimality conditions are satisfied.</t>
        </r>
      </text>
    </comment>
    <comment ref="M8" authorId="0" shapeId="0" xr:uid="{6AFF163A-61A8-4058-A9F1-336A33EAD30E}">
      <text>
        <r>
          <rPr>
            <sz val="9"/>
            <color indexed="81"/>
            <rFont val="Tahoma"/>
            <family val="2"/>
          </rPr>
          <t>Solver found a solution. All constraints and optimality conditions are satisfied.</t>
        </r>
      </text>
    </comment>
    <comment ref="N8" authorId="0" shapeId="0" xr:uid="{DA11BB4D-573B-400D-B20C-D0542CB10476}">
      <text>
        <r>
          <rPr>
            <sz val="9"/>
            <color indexed="81"/>
            <rFont val="Tahoma"/>
            <family val="2"/>
          </rPr>
          <t>Solver found a solution. All constraints and optimality conditions are satisfied.</t>
        </r>
      </text>
    </comment>
    <comment ref="O8" authorId="0" shapeId="0" xr:uid="{04288FDE-DAFE-4C09-A822-29D4A2C63D38}">
      <text>
        <r>
          <rPr>
            <sz val="9"/>
            <color indexed="81"/>
            <rFont val="Tahoma"/>
            <family val="2"/>
          </rPr>
          <t>Solver found a solution. All constraints and optimality conditions are satisfied.</t>
        </r>
      </text>
    </comment>
    <comment ref="B9" authorId="0" shapeId="0" xr:uid="{3AE94CC4-163B-4F73-A497-7A34707A83F3}">
      <text>
        <r>
          <rPr>
            <sz val="9"/>
            <color indexed="81"/>
            <rFont val="Tahoma"/>
            <family val="2"/>
          </rPr>
          <t>Solver found a solution. All constraints and optimality conditions are satisfied.</t>
        </r>
      </text>
    </comment>
    <comment ref="C9" authorId="0" shapeId="0" xr:uid="{F7C702FD-9FF8-4CF8-A1BD-599E742670FC}">
      <text>
        <r>
          <rPr>
            <sz val="9"/>
            <color indexed="81"/>
            <rFont val="Tahoma"/>
            <family val="2"/>
          </rPr>
          <t>Solver found a solution. All constraints and optimality conditions are satisfied.</t>
        </r>
      </text>
    </comment>
    <comment ref="D9" authorId="0" shapeId="0" xr:uid="{203F911F-5327-4D27-8487-C41942338570}">
      <text>
        <r>
          <rPr>
            <sz val="9"/>
            <color indexed="81"/>
            <rFont val="Tahoma"/>
            <family val="2"/>
          </rPr>
          <t>Solver found a solution. All constraints and optimality conditions are satisfied.</t>
        </r>
      </text>
    </comment>
    <comment ref="E9" authorId="0" shapeId="0" xr:uid="{D322F24D-653D-4F77-A21A-72CB01395006}">
      <text>
        <r>
          <rPr>
            <sz val="9"/>
            <color indexed="81"/>
            <rFont val="Tahoma"/>
            <family val="2"/>
          </rPr>
          <t>Solver found a solution. All constraints and optimality conditions are satisfied.</t>
        </r>
      </text>
    </comment>
    <comment ref="F9" authorId="0" shapeId="0" xr:uid="{3E35CBA7-69B9-4B78-AF37-CCA21AF50350}">
      <text>
        <r>
          <rPr>
            <sz val="9"/>
            <color indexed="81"/>
            <rFont val="Tahoma"/>
            <family val="2"/>
          </rPr>
          <t>Solver found a solution. All constraints and optimality conditions are satisfied.</t>
        </r>
      </text>
    </comment>
    <comment ref="G9" authorId="0" shapeId="0" xr:uid="{E004D884-0D75-4924-AF4E-2466F7F5FE1B}">
      <text>
        <r>
          <rPr>
            <sz val="9"/>
            <color indexed="81"/>
            <rFont val="Tahoma"/>
            <family val="2"/>
          </rPr>
          <t>Solver found a solution. All constraints and optimality conditions are satisfied.</t>
        </r>
      </text>
    </comment>
    <comment ref="H9" authorId="0" shapeId="0" xr:uid="{2DB6A465-7259-4796-96C4-58786F929491}">
      <text>
        <r>
          <rPr>
            <sz val="9"/>
            <color indexed="81"/>
            <rFont val="Tahoma"/>
            <family val="2"/>
          </rPr>
          <t>Solver found a solution. All constraints and optimality conditions are satisfied.</t>
        </r>
      </text>
    </comment>
    <comment ref="I9" authorId="0" shapeId="0" xr:uid="{1CAFC737-52E2-4693-8981-40E6900BD544}">
      <text>
        <r>
          <rPr>
            <sz val="9"/>
            <color indexed="81"/>
            <rFont val="Tahoma"/>
            <family val="2"/>
          </rPr>
          <t>Solver found a solution. All constraints and optimality conditions are satisfied.</t>
        </r>
      </text>
    </comment>
    <comment ref="J9" authorId="0" shapeId="0" xr:uid="{7BE4A031-CB07-41C8-8691-F86FFCD1AAFD}">
      <text>
        <r>
          <rPr>
            <sz val="9"/>
            <color indexed="81"/>
            <rFont val="Tahoma"/>
            <family val="2"/>
          </rPr>
          <t>Solver found a solution. All constraints and optimality conditions are satisfied.</t>
        </r>
      </text>
    </comment>
    <comment ref="K9" authorId="0" shapeId="0" xr:uid="{34FE33E4-3023-40AE-8D56-DCBBA34C1728}">
      <text>
        <r>
          <rPr>
            <sz val="9"/>
            <color indexed="81"/>
            <rFont val="Tahoma"/>
            <family val="2"/>
          </rPr>
          <t>Solver found a solution. All constraints and optimality conditions are satisfied.</t>
        </r>
      </text>
    </comment>
    <comment ref="L9" authorId="0" shapeId="0" xr:uid="{EDDE9D6A-E526-49D6-929A-028DA6079C1E}">
      <text>
        <r>
          <rPr>
            <sz val="9"/>
            <color indexed="81"/>
            <rFont val="Tahoma"/>
            <family val="2"/>
          </rPr>
          <t>Solver found a solution. All constraints and optimality conditions are satisfied.</t>
        </r>
      </text>
    </comment>
    <comment ref="M9" authorId="0" shapeId="0" xr:uid="{960F8C52-0D56-4F84-8609-8D701A9296ED}">
      <text>
        <r>
          <rPr>
            <sz val="9"/>
            <color indexed="81"/>
            <rFont val="Tahoma"/>
            <family val="2"/>
          </rPr>
          <t>Solver found a solution. All constraints and optimality conditions are satisfied.</t>
        </r>
      </text>
    </comment>
    <comment ref="N9" authorId="0" shapeId="0" xr:uid="{E165A3C8-9417-4B0F-BD6E-623738CDD848}">
      <text>
        <r>
          <rPr>
            <sz val="9"/>
            <color indexed="81"/>
            <rFont val="Tahoma"/>
            <family val="2"/>
          </rPr>
          <t>Solver found a solution. All constraints and optimality conditions are satisfied.</t>
        </r>
      </text>
    </comment>
    <comment ref="O9" authorId="0" shapeId="0" xr:uid="{3CD968C9-52DE-4629-A671-A25245156C2F}">
      <text>
        <r>
          <rPr>
            <sz val="9"/>
            <color indexed="81"/>
            <rFont val="Tahoma"/>
            <family val="2"/>
          </rPr>
          <t>Solver found a solution. All constraints and optimality conditions are satisfied.</t>
        </r>
      </text>
    </comment>
    <comment ref="B10" authorId="0" shapeId="0" xr:uid="{1D0AEA6F-AFC4-4C88-AFF6-1C728374053A}">
      <text>
        <r>
          <rPr>
            <sz val="9"/>
            <color indexed="81"/>
            <rFont val="Tahoma"/>
            <family val="2"/>
          </rPr>
          <t>Solver found a solution. All constraints and optimality conditions are satisfied.</t>
        </r>
      </text>
    </comment>
    <comment ref="C10" authorId="0" shapeId="0" xr:uid="{27DF0743-0525-42AD-A99A-56FC38D92454}">
      <text>
        <r>
          <rPr>
            <sz val="9"/>
            <color indexed="81"/>
            <rFont val="Tahoma"/>
            <family val="2"/>
          </rPr>
          <t>Solver found a solution. All constraints and optimality conditions are satisfied.</t>
        </r>
      </text>
    </comment>
    <comment ref="D10" authorId="0" shapeId="0" xr:uid="{30304249-2155-464F-95E4-CC211FCABCC8}">
      <text>
        <r>
          <rPr>
            <sz val="9"/>
            <color indexed="81"/>
            <rFont val="Tahoma"/>
            <family val="2"/>
          </rPr>
          <t>Solver found a solution. All constraints and optimality conditions are satisfied.</t>
        </r>
      </text>
    </comment>
    <comment ref="E10" authorId="0" shapeId="0" xr:uid="{EE933F21-4361-4AF9-B29E-8DACE273C5E1}">
      <text>
        <r>
          <rPr>
            <sz val="9"/>
            <color indexed="81"/>
            <rFont val="Tahoma"/>
            <family val="2"/>
          </rPr>
          <t>Solver found a solution. All constraints and optimality conditions are satisfied.</t>
        </r>
      </text>
    </comment>
    <comment ref="F10" authorId="0" shapeId="0" xr:uid="{F8F3C86D-62F2-4060-9913-6B3C9CDF1104}">
      <text>
        <r>
          <rPr>
            <sz val="9"/>
            <color indexed="81"/>
            <rFont val="Tahoma"/>
            <family val="2"/>
          </rPr>
          <t>Solver found a solution. All constraints and optimality conditions are satisfied.</t>
        </r>
      </text>
    </comment>
    <comment ref="G10" authorId="0" shapeId="0" xr:uid="{B3D80084-3904-4C61-A6E6-ECA16BE3F7D6}">
      <text>
        <r>
          <rPr>
            <sz val="9"/>
            <color indexed="81"/>
            <rFont val="Tahoma"/>
            <family val="2"/>
          </rPr>
          <t>Solver found a solution. All constraints and optimality conditions are satisfied.</t>
        </r>
      </text>
    </comment>
    <comment ref="H10" authorId="0" shapeId="0" xr:uid="{BD6C1DA2-856E-4A3B-B895-00BC9F261A61}">
      <text>
        <r>
          <rPr>
            <sz val="9"/>
            <color indexed="81"/>
            <rFont val="Tahoma"/>
            <family val="2"/>
          </rPr>
          <t>Solver found a solution. All constraints and optimality conditions are satisfied.</t>
        </r>
      </text>
    </comment>
    <comment ref="I10" authorId="0" shapeId="0" xr:uid="{50739454-D045-45E0-8EE3-883F366C9BDA}">
      <text>
        <r>
          <rPr>
            <sz val="9"/>
            <color indexed="81"/>
            <rFont val="Tahoma"/>
            <family val="2"/>
          </rPr>
          <t>Solver found a solution. All constraints and optimality conditions are satisfied.</t>
        </r>
      </text>
    </comment>
    <comment ref="J10" authorId="0" shapeId="0" xr:uid="{E0A3C532-FD2D-451C-8CA8-0B6E64C5A8C1}">
      <text>
        <r>
          <rPr>
            <sz val="9"/>
            <color indexed="81"/>
            <rFont val="Tahoma"/>
            <family val="2"/>
          </rPr>
          <t>Solver found a solution. All constraints and optimality conditions are satisfied.</t>
        </r>
      </text>
    </comment>
    <comment ref="K10" authorId="0" shapeId="0" xr:uid="{5DB27685-582F-4164-8866-655EED1A4D14}">
      <text>
        <r>
          <rPr>
            <sz val="9"/>
            <color indexed="81"/>
            <rFont val="Tahoma"/>
            <family val="2"/>
          </rPr>
          <t>Solver found a solution. All constraints and optimality conditions are satisfied.</t>
        </r>
      </text>
    </comment>
    <comment ref="L10" authorId="0" shapeId="0" xr:uid="{BBE61FE5-D324-4136-A2D3-068E7864CBBF}">
      <text>
        <r>
          <rPr>
            <sz val="9"/>
            <color indexed="81"/>
            <rFont val="Tahoma"/>
            <family val="2"/>
          </rPr>
          <t>Solver found a solution. All constraints and optimality conditions are satisfied.</t>
        </r>
      </text>
    </comment>
    <comment ref="M10" authorId="0" shapeId="0" xr:uid="{6A6BDE58-99E9-44A6-9DE2-2CD22CAA4EB7}">
      <text>
        <r>
          <rPr>
            <sz val="9"/>
            <color indexed="81"/>
            <rFont val="Tahoma"/>
            <family val="2"/>
          </rPr>
          <t>Solver found a solution. All constraints and optimality conditions are satisfied.</t>
        </r>
      </text>
    </comment>
    <comment ref="N10" authorId="0" shapeId="0" xr:uid="{5EB54B0F-F7F0-47D1-9EE4-8BF2489BDC0E}">
      <text>
        <r>
          <rPr>
            <sz val="9"/>
            <color indexed="81"/>
            <rFont val="Tahoma"/>
            <family val="2"/>
          </rPr>
          <t>Solver found a solution. All constraints and optimality conditions are satisfied.</t>
        </r>
      </text>
    </comment>
    <comment ref="O10" authorId="0" shapeId="0" xr:uid="{FD1D519C-5F0A-42CE-8662-ABA4E751D280}">
      <text>
        <r>
          <rPr>
            <sz val="9"/>
            <color indexed="81"/>
            <rFont val="Tahoma"/>
            <family val="2"/>
          </rPr>
          <t>Solver found a solution. All constraints and optimality conditions are satisfied.</t>
        </r>
      </text>
    </comment>
    <comment ref="B11" authorId="0" shapeId="0" xr:uid="{AFE57CE0-2561-47B7-91B1-427DA07408EC}">
      <text>
        <r>
          <rPr>
            <sz val="9"/>
            <color indexed="81"/>
            <rFont val="Tahoma"/>
            <family val="2"/>
          </rPr>
          <t>Solver found a solution. All constraints and optimality conditions are satisfied.</t>
        </r>
      </text>
    </comment>
    <comment ref="C11" authorId="0" shapeId="0" xr:uid="{99DABA19-93C0-4E2C-BB82-8AB49C5FA7CA}">
      <text>
        <r>
          <rPr>
            <sz val="9"/>
            <color indexed="81"/>
            <rFont val="Tahoma"/>
            <family val="2"/>
          </rPr>
          <t>Solver found a solution. All constraints and optimality conditions are satisfied.</t>
        </r>
      </text>
    </comment>
    <comment ref="D11" authorId="0" shapeId="0" xr:uid="{5C9D92A2-16D7-45BE-BF60-EE3CB5E2BFF9}">
      <text>
        <r>
          <rPr>
            <sz val="9"/>
            <color indexed="81"/>
            <rFont val="Tahoma"/>
            <family val="2"/>
          </rPr>
          <t>Solver found a solution. All constraints and optimality conditions are satisfied.</t>
        </r>
      </text>
    </comment>
    <comment ref="E11" authorId="0" shapeId="0" xr:uid="{9902DF33-65D6-4ED2-8E64-9648B63A048A}">
      <text>
        <r>
          <rPr>
            <sz val="9"/>
            <color indexed="81"/>
            <rFont val="Tahoma"/>
            <family val="2"/>
          </rPr>
          <t>Solver found a solution. All constraints and optimality conditions are satisfied.</t>
        </r>
      </text>
    </comment>
    <comment ref="F11" authorId="0" shapeId="0" xr:uid="{2EB1EF93-4883-456F-8DF1-37DB9AC60C33}">
      <text>
        <r>
          <rPr>
            <sz val="9"/>
            <color indexed="81"/>
            <rFont val="Tahoma"/>
            <family val="2"/>
          </rPr>
          <t>Solver found a solution. All constraints and optimality conditions are satisfied.</t>
        </r>
      </text>
    </comment>
    <comment ref="G11" authorId="0" shapeId="0" xr:uid="{8FCC1D9B-C0D4-4BE9-840B-61AFA6583CF1}">
      <text>
        <r>
          <rPr>
            <sz val="9"/>
            <color indexed="81"/>
            <rFont val="Tahoma"/>
            <family val="2"/>
          </rPr>
          <t>Solver found a solution. All constraints and optimality conditions are satisfied.</t>
        </r>
      </text>
    </comment>
    <comment ref="H11" authorId="0" shapeId="0" xr:uid="{CE5ABDE7-B617-442F-BB01-4BB3A9BE1AD4}">
      <text>
        <r>
          <rPr>
            <sz val="9"/>
            <color indexed="81"/>
            <rFont val="Tahoma"/>
            <family val="2"/>
          </rPr>
          <t>Solver found a solution. All constraints and optimality conditions are satisfied.</t>
        </r>
      </text>
    </comment>
    <comment ref="I11" authorId="0" shapeId="0" xr:uid="{93181541-659C-49B2-91D2-F38B12ED68DD}">
      <text>
        <r>
          <rPr>
            <sz val="9"/>
            <color indexed="81"/>
            <rFont val="Tahoma"/>
            <family val="2"/>
          </rPr>
          <t>Solver found a solution. All constraints and optimality conditions are satisfied.</t>
        </r>
      </text>
    </comment>
    <comment ref="J11" authorId="0" shapeId="0" xr:uid="{9FE472D3-B334-4AAB-A1CF-4900CF8ABB94}">
      <text>
        <r>
          <rPr>
            <sz val="9"/>
            <color indexed="81"/>
            <rFont val="Tahoma"/>
            <family val="2"/>
          </rPr>
          <t>Solver found a solution. All constraints and optimality conditions are satisfied.</t>
        </r>
      </text>
    </comment>
    <comment ref="K11" authorId="0" shapeId="0" xr:uid="{23032281-33C4-4C97-83E3-DFCDA78FE2D7}">
      <text>
        <r>
          <rPr>
            <sz val="9"/>
            <color indexed="81"/>
            <rFont val="Tahoma"/>
            <family val="2"/>
          </rPr>
          <t>Solver found a solution. All constraints and optimality conditions are satisfied.</t>
        </r>
      </text>
    </comment>
    <comment ref="L11" authorId="0" shapeId="0" xr:uid="{AC152B62-3DC1-4865-9931-C84C6E24AA3B}">
      <text>
        <r>
          <rPr>
            <sz val="9"/>
            <color indexed="81"/>
            <rFont val="Tahoma"/>
            <family val="2"/>
          </rPr>
          <t>Solver found a solution. All constraints and optimality conditions are satisfied.</t>
        </r>
      </text>
    </comment>
    <comment ref="M11" authorId="0" shapeId="0" xr:uid="{DD880F2F-016E-4CE4-9220-C8FD546CCCB6}">
      <text>
        <r>
          <rPr>
            <sz val="9"/>
            <color indexed="81"/>
            <rFont val="Tahoma"/>
            <family val="2"/>
          </rPr>
          <t>Solver found a solution. All constraints and optimality conditions are satisfied.</t>
        </r>
      </text>
    </comment>
    <comment ref="N11" authorId="0" shapeId="0" xr:uid="{21959DCD-53E6-4D58-929C-CCEE3893D807}">
      <text>
        <r>
          <rPr>
            <sz val="9"/>
            <color indexed="81"/>
            <rFont val="Tahoma"/>
            <family val="2"/>
          </rPr>
          <t>Solver found a solution. All constraints and optimality conditions are satisfied.</t>
        </r>
      </text>
    </comment>
    <comment ref="O11" authorId="0" shapeId="0" xr:uid="{7D240576-68E9-43F1-9056-F09B27EA83CC}">
      <text>
        <r>
          <rPr>
            <sz val="9"/>
            <color indexed="81"/>
            <rFont val="Tahoma"/>
            <family val="2"/>
          </rPr>
          <t>Solver found a solution. All constraints and optimality conditions are satisfied.</t>
        </r>
      </text>
    </comment>
    <comment ref="B12" authorId="0" shapeId="0" xr:uid="{5142051C-3535-4E2E-95B4-8B710CC2D0A2}">
      <text>
        <r>
          <rPr>
            <sz val="9"/>
            <color indexed="81"/>
            <rFont val="Tahoma"/>
            <family val="2"/>
          </rPr>
          <t>Solver found a solution. All constraints and optimality conditions are satisfied.</t>
        </r>
      </text>
    </comment>
    <comment ref="C12" authorId="0" shapeId="0" xr:uid="{3ACFDE67-151A-4DF6-AB67-167DFD1DCD4B}">
      <text>
        <r>
          <rPr>
            <sz val="9"/>
            <color indexed="81"/>
            <rFont val="Tahoma"/>
            <family val="2"/>
          </rPr>
          <t>Solver found a solution. All constraints and optimality conditions are satisfied.</t>
        </r>
      </text>
    </comment>
    <comment ref="D12" authorId="0" shapeId="0" xr:uid="{C640A431-29A8-4569-A52A-F32FEE6B49AB}">
      <text>
        <r>
          <rPr>
            <sz val="9"/>
            <color indexed="81"/>
            <rFont val="Tahoma"/>
            <family val="2"/>
          </rPr>
          <t>Solver found a solution. All constraints and optimality conditions are satisfied.</t>
        </r>
      </text>
    </comment>
    <comment ref="E12" authorId="0" shapeId="0" xr:uid="{F72A6406-538D-409E-8267-CB8C7A193517}">
      <text>
        <r>
          <rPr>
            <sz val="9"/>
            <color indexed="81"/>
            <rFont val="Tahoma"/>
            <family val="2"/>
          </rPr>
          <t>Solver found a solution. All constraints and optimality conditions are satisfied.</t>
        </r>
      </text>
    </comment>
    <comment ref="F12" authorId="0" shapeId="0" xr:uid="{2A20503D-952C-4124-8820-DB30F6434B5A}">
      <text>
        <r>
          <rPr>
            <sz val="9"/>
            <color indexed="81"/>
            <rFont val="Tahoma"/>
            <family val="2"/>
          </rPr>
          <t>Solver found a solution. All constraints and optimality conditions are satisfied.</t>
        </r>
      </text>
    </comment>
    <comment ref="G12" authorId="0" shapeId="0" xr:uid="{18AD375A-8D1E-4AEE-9B7C-36B5FDC38BB2}">
      <text>
        <r>
          <rPr>
            <sz val="9"/>
            <color indexed="81"/>
            <rFont val="Tahoma"/>
            <family val="2"/>
          </rPr>
          <t>Solver found a solution. All constraints and optimality conditions are satisfied.</t>
        </r>
      </text>
    </comment>
    <comment ref="H12" authorId="0" shapeId="0" xr:uid="{678680A2-90C6-486C-B2EC-F34FB3F52FC3}">
      <text>
        <r>
          <rPr>
            <sz val="9"/>
            <color indexed="81"/>
            <rFont val="Tahoma"/>
            <family val="2"/>
          </rPr>
          <t>Solver found a solution. All constraints and optimality conditions are satisfied.</t>
        </r>
      </text>
    </comment>
    <comment ref="I12" authorId="0" shapeId="0" xr:uid="{E8E814ED-25E2-4CE0-9380-0D2F6CD09DB4}">
      <text>
        <r>
          <rPr>
            <sz val="9"/>
            <color indexed="81"/>
            <rFont val="Tahoma"/>
            <family val="2"/>
          </rPr>
          <t>Solver found a solution. All constraints and optimality conditions are satisfied.</t>
        </r>
      </text>
    </comment>
    <comment ref="J12" authorId="0" shapeId="0" xr:uid="{10291ED2-5F99-4ADA-8D50-8794DBCA6334}">
      <text>
        <r>
          <rPr>
            <sz val="9"/>
            <color indexed="81"/>
            <rFont val="Tahoma"/>
            <family val="2"/>
          </rPr>
          <t>Solver found a solution. All constraints and optimality conditions are satisfied.</t>
        </r>
      </text>
    </comment>
    <comment ref="K12" authorId="0" shapeId="0" xr:uid="{318A6580-7981-4EAC-850E-56129D0AFA3A}">
      <text>
        <r>
          <rPr>
            <sz val="9"/>
            <color indexed="81"/>
            <rFont val="Tahoma"/>
            <family val="2"/>
          </rPr>
          <t>Solver found a solution. All constraints and optimality conditions are satisfied.</t>
        </r>
      </text>
    </comment>
    <comment ref="L12" authorId="0" shapeId="0" xr:uid="{6B5B6109-2A0F-4C75-9337-23E38A00E978}">
      <text>
        <r>
          <rPr>
            <sz val="9"/>
            <color indexed="81"/>
            <rFont val="Tahoma"/>
            <family val="2"/>
          </rPr>
          <t>Solver found a solution. All constraints and optimality conditions are satisfied.</t>
        </r>
      </text>
    </comment>
    <comment ref="M12" authorId="0" shapeId="0" xr:uid="{B180CC8D-9C07-423F-A6BE-96B0D56B341F}">
      <text>
        <r>
          <rPr>
            <sz val="9"/>
            <color indexed="81"/>
            <rFont val="Tahoma"/>
            <family val="2"/>
          </rPr>
          <t>Solver found a solution. All constraints and optimality conditions are satisfied.</t>
        </r>
      </text>
    </comment>
    <comment ref="N12" authorId="0" shapeId="0" xr:uid="{CB3B389F-03C2-4471-BBB0-D2F63D9954AF}">
      <text>
        <r>
          <rPr>
            <sz val="9"/>
            <color indexed="81"/>
            <rFont val="Tahoma"/>
            <family val="2"/>
          </rPr>
          <t>Solver found a solution. All constraints and optimality conditions are satisfied.</t>
        </r>
      </text>
    </comment>
    <comment ref="O12" authorId="0" shapeId="0" xr:uid="{FFE244A3-AF81-4630-A83A-20B5B46B52C8}">
      <text>
        <r>
          <rPr>
            <sz val="9"/>
            <color indexed="81"/>
            <rFont val="Tahoma"/>
            <family val="2"/>
          </rPr>
          <t>Solver found a solution. All constraints and optimality conditions are satisfied.</t>
        </r>
      </text>
    </comment>
    <comment ref="B13" authorId="0" shapeId="0" xr:uid="{0A75CD0A-4BF8-460F-B00F-4B516F8D22F2}">
      <text>
        <r>
          <rPr>
            <sz val="9"/>
            <color indexed="81"/>
            <rFont val="Tahoma"/>
            <family val="2"/>
          </rPr>
          <t>Solver found a solution. All constraints and optimality conditions are satisfied.</t>
        </r>
      </text>
    </comment>
    <comment ref="C13" authorId="0" shapeId="0" xr:uid="{966EE6D0-0B1F-4C7C-A575-FCD2F097E68E}">
      <text>
        <r>
          <rPr>
            <sz val="9"/>
            <color indexed="81"/>
            <rFont val="Tahoma"/>
            <family val="2"/>
          </rPr>
          <t>Solver found a solution. All constraints and optimality conditions are satisfied.</t>
        </r>
      </text>
    </comment>
    <comment ref="D13" authorId="0" shapeId="0" xr:uid="{BDF683CB-B37B-4E90-A09C-B590B88477E7}">
      <text>
        <r>
          <rPr>
            <sz val="9"/>
            <color indexed="81"/>
            <rFont val="Tahoma"/>
            <family val="2"/>
          </rPr>
          <t>Solver found a solution. All constraints and optimality conditions are satisfied.</t>
        </r>
      </text>
    </comment>
    <comment ref="E13" authorId="0" shapeId="0" xr:uid="{3D88527E-0408-44E7-8162-21A80B006CEA}">
      <text>
        <r>
          <rPr>
            <sz val="9"/>
            <color indexed="81"/>
            <rFont val="Tahoma"/>
            <family val="2"/>
          </rPr>
          <t>Solver found a solution. All constraints and optimality conditions are satisfied.</t>
        </r>
      </text>
    </comment>
    <comment ref="F13" authorId="0" shapeId="0" xr:uid="{895A33B8-3530-4FC9-9F2A-45724CF42ABB}">
      <text>
        <r>
          <rPr>
            <sz val="9"/>
            <color indexed="81"/>
            <rFont val="Tahoma"/>
            <family val="2"/>
          </rPr>
          <t>Solver found a solution. All constraints and optimality conditions are satisfied.</t>
        </r>
      </text>
    </comment>
    <comment ref="G13" authorId="0" shapeId="0" xr:uid="{326A4223-55BA-4201-A4FE-D57E90A81CD7}">
      <text>
        <r>
          <rPr>
            <sz val="9"/>
            <color indexed="81"/>
            <rFont val="Tahoma"/>
            <family val="2"/>
          </rPr>
          <t>Solver found a solution. All constraints and optimality conditions are satisfied.</t>
        </r>
      </text>
    </comment>
    <comment ref="H13" authorId="0" shapeId="0" xr:uid="{4D07AC21-BA2C-4701-B9DE-8AF18A47BDB8}">
      <text>
        <r>
          <rPr>
            <sz val="9"/>
            <color indexed="81"/>
            <rFont val="Tahoma"/>
            <family val="2"/>
          </rPr>
          <t>Solver found a solution. All constraints and optimality conditions are satisfied.</t>
        </r>
      </text>
    </comment>
    <comment ref="I13" authorId="0" shapeId="0" xr:uid="{6C1A6AF7-D7E9-4EB0-8A9B-5BA31E1B659E}">
      <text>
        <r>
          <rPr>
            <sz val="9"/>
            <color indexed="81"/>
            <rFont val="Tahoma"/>
            <family val="2"/>
          </rPr>
          <t>Solver found a solution. All constraints and optimality conditions are satisfied.</t>
        </r>
      </text>
    </comment>
    <comment ref="J13" authorId="0" shapeId="0" xr:uid="{088C1F91-CEF1-4742-B1E8-9D15B46C085F}">
      <text>
        <r>
          <rPr>
            <sz val="9"/>
            <color indexed="81"/>
            <rFont val="Tahoma"/>
            <family val="2"/>
          </rPr>
          <t>Solver found a solution. All constraints and optimality conditions are satisfied.</t>
        </r>
      </text>
    </comment>
    <comment ref="K13" authorId="0" shapeId="0" xr:uid="{8FBEE813-CD4A-4A37-B001-CA10AB25317D}">
      <text>
        <r>
          <rPr>
            <sz val="9"/>
            <color indexed="81"/>
            <rFont val="Tahoma"/>
            <family val="2"/>
          </rPr>
          <t>Solver found a solution. All constraints and optimality conditions are satisfied.</t>
        </r>
      </text>
    </comment>
    <comment ref="L13" authorId="0" shapeId="0" xr:uid="{7F34638D-AB74-47C0-BF6B-8B75320B689C}">
      <text>
        <r>
          <rPr>
            <sz val="9"/>
            <color indexed="81"/>
            <rFont val="Tahoma"/>
            <family val="2"/>
          </rPr>
          <t>Solver found a solution. All constraints and optimality conditions are satisfied.</t>
        </r>
      </text>
    </comment>
    <comment ref="M13" authorId="0" shapeId="0" xr:uid="{8E0CF1CB-F91D-40E1-9830-EA8B299CED07}">
      <text>
        <r>
          <rPr>
            <sz val="9"/>
            <color indexed="81"/>
            <rFont val="Tahoma"/>
            <family val="2"/>
          </rPr>
          <t>Solver found a solution. All constraints and optimality conditions are satisfied.</t>
        </r>
      </text>
    </comment>
    <comment ref="N13" authorId="0" shapeId="0" xr:uid="{EE8054BD-C2F5-40D5-927E-D5B71F3CBF0C}">
      <text>
        <r>
          <rPr>
            <sz val="9"/>
            <color indexed="81"/>
            <rFont val="Tahoma"/>
            <family val="2"/>
          </rPr>
          <t>Solver found a solution. All constraints and optimality conditions are satisfied.</t>
        </r>
      </text>
    </comment>
    <comment ref="O13" authorId="0" shapeId="0" xr:uid="{E3DF07A1-36FF-47AA-9595-932A5A4C5AFD}">
      <text>
        <r>
          <rPr>
            <sz val="9"/>
            <color indexed="81"/>
            <rFont val="Tahoma"/>
            <family val="2"/>
          </rPr>
          <t>Solver found a solution. All constraints and optimality conditions are satisfied.</t>
        </r>
      </text>
    </comment>
    <comment ref="B14" authorId="0" shapeId="0" xr:uid="{A8A98C9A-DCDE-409C-B8D7-B414F4672809}">
      <text>
        <r>
          <rPr>
            <sz val="9"/>
            <color indexed="81"/>
            <rFont val="Tahoma"/>
            <family val="2"/>
          </rPr>
          <t>Solver found a solution. All constraints and optimality conditions are satisfied.</t>
        </r>
      </text>
    </comment>
    <comment ref="C14" authorId="0" shapeId="0" xr:uid="{9D7A8014-031F-4739-9AEA-E3BCFC724522}">
      <text>
        <r>
          <rPr>
            <sz val="9"/>
            <color indexed="81"/>
            <rFont val="Tahoma"/>
            <family val="2"/>
          </rPr>
          <t>Solver found a solution. All constraints and optimality conditions are satisfied.</t>
        </r>
      </text>
    </comment>
    <comment ref="D14" authorId="0" shapeId="0" xr:uid="{04970BB9-28C9-425D-86B8-13CE1CF096DD}">
      <text>
        <r>
          <rPr>
            <sz val="9"/>
            <color indexed="81"/>
            <rFont val="Tahoma"/>
            <family val="2"/>
          </rPr>
          <t>Solver found a solution. All constraints and optimality conditions are satisfied.</t>
        </r>
      </text>
    </comment>
    <comment ref="E14" authorId="0" shapeId="0" xr:uid="{353CC7CE-491B-46EB-BCC6-BBFC59D2EEE9}">
      <text>
        <r>
          <rPr>
            <sz val="9"/>
            <color indexed="81"/>
            <rFont val="Tahoma"/>
            <family val="2"/>
          </rPr>
          <t>Solver found a solution. All constraints and optimality conditions are satisfied.</t>
        </r>
      </text>
    </comment>
    <comment ref="F14" authorId="0" shapeId="0" xr:uid="{E4D2C313-5198-400E-B6F3-807CCB9B8D25}">
      <text>
        <r>
          <rPr>
            <sz val="9"/>
            <color indexed="81"/>
            <rFont val="Tahoma"/>
            <family val="2"/>
          </rPr>
          <t>Solver found a solution. All constraints and optimality conditions are satisfied.</t>
        </r>
      </text>
    </comment>
    <comment ref="G14" authorId="0" shapeId="0" xr:uid="{C4DDB350-5661-445F-9D36-2353415B5E75}">
      <text>
        <r>
          <rPr>
            <sz val="9"/>
            <color indexed="81"/>
            <rFont val="Tahoma"/>
            <family val="2"/>
          </rPr>
          <t>Solver found a solution. All constraints and optimality conditions are satisfied.</t>
        </r>
      </text>
    </comment>
    <comment ref="H14" authorId="0" shapeId="0" xr:uid="{C14DF00E-EF85-4314-A08A-00E24D923209}">
      <text>
        <r>
          <rPr>
            <sz val="9"/>
            <color indexed="81"/>
            <rFont val="Tahoma"/>
            <family val="2"/>
          </rPr>
          <t>Solver found a solution. All constraints and optimality conditions are satisfied.</t>
        </r>
      </text>
    </comment>
    <comment ref="I14" authorId="0" shapeId="0" xr:uid="{1F1A9895-BD91-451C-9B8C-10745C5D983F}">
      <text>
        <r>
          <rPr>
            <sz val="9"/>
            <color indexed="81"/>
            <rFont val="Tahoma"/>
            <family val="2"/>
          </rPr>
          <t>Solver found a solution. All constraints and optimality conditions are satisfied.</t>
        </r>
      </text>
    </comment>
    <comment ref="J14" authorId="0" shapeId="0" xr:uid="{9D501FBB-E2D1-4FB5-8BE9-BFDC98A66A3A}">
      <text>
        <r>
          <rPr>
            <sz val="9"/>
            <color indexed="81"/>
            <rFont val="Tahoma"/>
            <family val="2"/>
          </rPr>
          <t>Solver found a solution. All constraints and optimality conditions are satisfied.</t>
        </r>
      </text>
    </comment>
    <comment ref="K14" authorId="0" shapeId="0" xr:uid="{C4E4267E-7B64-414E-BFDB-2B456D00C4E8}">
      <text>
        <r>
          <rPr>
            <sz val="9"/>
            <color indexed="81"/>
            <rFont val="Tahoma"/>
            <family val="2"/>
          </rPr>
          <t>Solver found a solution. All constraints and optimality conditions are satisfied.</t>
        </r>
      </text>
    </comment>
    <comment ref="L14" authorId="0" shapeId="0" xr:uid="{39AC4CB9-38B3-4E68-B94D-C10FE20707A5}">
      <text>
        <r>
          <rPr>
            <sz val="9"/>
            <color indexed="81"/>
            <rFont val="Tahoma"/>
            <family val="2"/>
          </rPr>
          <t>Solver found a solution. All constraints and optimality conditions are satisfied.</t>
        </r>
      </text>
    </comment>
    <comment ref="M14" authorId="0" shapeId="0" xr:uid="{DEEE612E-167B-44D9-BF85-464992AF992F}">
      <text>
        <r>
          <rPr>
            <sz val="9"/>
            <color indexed="81"/>
            <rFont val="Tahoma"/>
            <family val="2"/>
          </rPr>
          <t>Solver found a solution. All constraints and optimality conditions are satisfied.</t>
        </r>
      </text>
    </comment>
    <comment ref="N14" authorId="0" shapeId="0" xr:uid="{7CE7D77F-98CE-4717-9C69-2132B7BFA976}">
      <text>
        <r>
          <rPr>
            <sz val="9"/>
            <color indexed="81"/>
            <rFont val="Tahoma"/>
            <family val="2"/>
          </rPr>
          <t>Solver found a solution. All constraints and optimality conditions are satisfied.</t>
        </r>
      </text>
    </comment>
    <comment ref="O14" authorId="0" shapeId="0" xr:uid="{B1F96F36-BC0E-4F24-8BC6-6608F76DF2BE}">
      <text>
        <r>
          <rPr>
            <sz val="9"/>
            <color indexed="81"/>
            <rFont val="Tahoma"/>
            <family val="2"/>
          </rPr>
          <t>Solver found a solution. All constraints and optimality conditions are satisfied.</t>
        </r>
      </text>
    </comment>
    <comment ref="B15" authorId="0" shapeId="0" xr:uid="{1DBCACC3-A8CD-4774-86AA-4E48FB12FC82}">
      <text>
        <r>
          <rPr>
            <sz val="9"/>
            <color indexed="81"/>
            <rFont val="Tahoma"/>
            <family val="2"/>
          </rPr>
          <t>Solver found a solution. All constraints and optimality conditions are satisfied.</t>
        </r>
      </text>
    </comment>
    <comment ref="C15" authorId="0" shapeId="0" xr:uid="{D4A56CF5-E001-41F9-819D-2F3C349D775B}">
      <text>
        <r>
          <rPr>
            <sz val="9"/>
            <color indexed="81"/>
            <rFont val="Tahoma"/>
            <family val="2"/>
          </rPr>
          <t>Solver found a solution. All constraints and optimality conditions are satisfied.</t>
        </r>
      </text>
    </comment>
    <comment ref="D15" authorId="0" shapeId="0" xr:uid="{C4688B7B-C039-4EAC-BBB3-E2D4EFDB42B8}">
      <text>
        <r>
          <rPr>
            <sz val="9"/>
            <color indexed="81"/>
            <rFont val="Tahoma"/>
            <family val="2"/>
          </rPr>
          <t>Solver found a solution. All constraints and optimality conditions are satisfied.</t>
        </r>
      </text>
    </comment>
    <comment ref="E15" authorId="0" shapeId="0" xr:uid="{2337F2DB-C984-4FA9-867A-9D727F482DD4}">
      <text>
        <r>
          <rPr>
            <sz val="9"/>
            <color indexed="81"/>
            <rFont val="Tahoma"/>
            <family val="2"/>
          </rPr>
          <t>Solver found a solution. All constraints and optimality conditions are satisfied.</t>
        </r>
      </text>
    </comment>
    <comment ref="F15" authorId="0" shapeId="0" xr:uid="{078DDCBE-B026-41A4-A070-2DA6177986F0}">
      <text>
        <r>
          <rPr>
            <sz val="9"/>
            <color indexed="81"/>
            <rFont val="Tahoma"/>
            <family val="2"/>
          </rPr>
          <t>Solver found a solution. All constraints and optimality conditions are satisfied.</t>
        </r>
      </text>
    </comment>
    <comment ref="G15" authorId="0" shapeId="0" xr:uid="{AD808AF0-80EF-4ECB-AE16-0EEF4B7AB586}">
      <text>
        <r>
          <rPr>
            <sz val="9"/>
            <color indexed="81"/>
            <rFont val="Tahoma"/>
            <family val="2"/>
          </rPr>
          <t>Solver found a solution. All constraints and optimality conditions are satisfied.</t>
        </r>
      </text>
    </comment>
    <comment ref="H15" authorId="0" shapeId="0" xr:uid="{72F8A38B-28C1-4CD8-9ED5-B8242900B691}">
      <text>
        <r>
          <rPr>
            <sz val="9"/>
            <color indexed="81"/>
            <rFont val="Tahoma"/>
            <family val="2"/>
          </rPr>
          <t>Solver found a solution. All constraints and optimality conditions are satisfied.</t>
        </r>
      </text>
    </comment>
    <comment ref="I15" authorId="0" shapeId="0" xr:uid="{FF911C57-0A7B-48EC-8BBB-0599BC43A570}">
      <text>
        <r>
          <rPr>
            <sz val="9"/>
            <color indexed="81"/>
            <rFont val="Tahoma"/>
            <family val="2"/>
          </rPr>
          <t>Solver found a solution. All constraints and optimality conditions are satisfied.</t>
        </r>
      </text>
    </comment>
    <comment ref="J15" authorId="0" shapeId="0" xr:uid="{371F4E17-A759-47C9-B5BE-9980F59ED8D6}">
      <text>
        <r>
          <rPr>
            <sz val="9"/>
            <color indexed="81"/>
            <rFont val="Tahoma"/>
            <family val="2"/>
          </rPr>
          <t>Solver found a solution. All constraints and optimality conditions are satisfied.</t>
        </r>
      </text>
    </comment>
    <comment ref="K15" authorId="0" shapeId="0" xr:uid="{A925AA22-0587-4190-B626-D695583AB938}">
      <text>
        <r>
          <rPr>
            <sz val="9"/>
            <color indexed="81"/>
            <rFont val="Tahoma"/>
            <family val="2"/>
          </rPr>
          <t>Solver found a solution. All constraints and optimality conditions are satisfied.</t>
        </r>
      </text>
    </comment>
    <comment ref="L15" authorId="0" shapeId="0" xr:uid="{151167D3-73D3-4D1F-8E4F-95EF2C67F509}">
      <text>
        <r>
          <rPr>
            <sz val="9"/>
            <color indexed="81"/>
            <rFont val="Tahoma"/>
            <family val="2"/>
          </rPr>
          <t>Solver found a solution. All constraints and optimality conditions are satisfied.</t>
        </r>
      </text>
    </comment>
    <comment ref="M15" authorId="0" shapeId="0" xr:uid="{46850DB5-F3B3-4922-95CD-CC5C845DB10D}">
      <text>
        <r>
          <rPr>
            <sz val="9"/>
            <color indexed="81"/>
            <rFont val="Tahoma"/>
            <family val="2"/>
          </rPr>
          <t>Solver found a solution. All constraints and optimality conditions are satisfied.</t>
        </r>
      </text>
    </comment>
    <comment ref="N15" authorId="0" shapeId="0" xr:uid="{CAACFDE2-310D-4C89-B640-363408F5BB14}">
      <text>
        <r>
          <rPr>
            <sz val="9"/>
            <color indexed="81"/>
            <rFont val="Tahoma"/>
            <family val="2"/>
          </rPr>
          <t>Solver found a solution. All constraints and optimality conditions are satisfied.</t>
        </r>
      </text>
    </comment>
    <comment ref="O15" authorId="0" shapeId="0" xr:uid="{F2D149FE-5AB7-4D8A-8C13-F7674E69817C}">
      <text>
        <r>
          <rPr>
            <sz val="9"/>
            <color indexed="81"/>
            <rFont val="Tahoma"/>
            <family val="2"/>
          </rPr>
          <t>Solver found a solution. All constraints and optimality conditions are satisfied.</t>
        </r>
      </text>
    </comment>
    <comment ref="B16" authorId="0" shapeId="0" xr:uid="{6B70C9F8-33C6-4CD0-9158-F6CDFE0C5CE8}">
      <text>
        <r>
          <rPr>
            <sz val="9"/>
            <color indexed="81"/>
            <rFont val="Tahoma"/>
            <family val="2"/>
          </rPr>
          <t>Solver found a solution. All constraints and optimality conditions are satisfied.</t>
        </r>
      </text>
    </comment>
    <comment ref="C16" authorId="0" shapeId="0" xr:uid="{79082B18-05F8-4C6C-AD06-11B628BBB155}">
      <text>
        <r>
          <rPr>
            <sz val="9"/>
            <color indexed="81"/>
            <rFont val="Tahoma"/>
            <family val="2"/>
          </rPr>
          <t>Solver found a solution. All constraints and optimality conditions are satisfied.</t>
        </r>
      </text>
    </comment>
    <comment ref="D16" authorId="0" shapeId="0" xr:uid="{8E2157B7-9635-4458-A1AC-46FF83C62418}">
      <text>
        <r>
          <rPr>
            <sz val="9"/>
            <color indexed="81"/>
            <rFont val="Tahoma"/>
            <family val="2"/>
          </rPr>
          <t>Solver found a solution. All constraints and optimality conditions are satisfied.</t>
        </r>
      </text>
    </comment>
    <comment ref="E16" authorId="0" shapeId="0" xr:uid="{D496AD6D-BC21-4D24-8467-B9E1FC5E1E85}">
      <text>
        <r>
          <rPr>
            <sz val="9"/>
            <color indexed="81"/>
            <rFont val="Tahoma"/>
            <family val="2"/>
          </rPr>
          <t>Solver found a solution. All constraints and optimality conditions are satisfied.</t>
        </r>
      </text>
    </comment>
    <comment ref="F16" authorId="0" shapeId="0" xr:uid="{2B24FAA0-A576-4C57-B209-D73D65C2A2D4}">
      <text>
        <r>
          <rPr>
            <sz val="9"/>
            <color indexed="81"/>
            <rFont val="Tahoma"/>
            <family val="2"/>
          </rPr>
          <t>Solver found a solution. All constraints and optimality conditions are satisfied.</t>
        </r>
      </text>
    </comment>
    <comment ref="G16" authorId="0" shapeId="0" xr:uid="{37C9F8CD-647D-49AF-8EFC-0B1D1EE75054}">
      <text>
        <r>
          <rPr>
            <sz val="9"/>
            <color indexed="81"/>
            <rFont val="Tahoma"/>
            <family val="2"/>
          </rPr>
          <t>Solver found a solution. All constraints and optimality conditions are satisfied.</t>
        </r>
      </text>
    </comment>
    <comment ref="H16" authorId="0" shapeId="0" xr:uid="{AD0E36E8-6CBC-47DA-A093-730F6D609556}">
      <text>
        <r>
          <rPr>
            <sz val="9"/>
            <color indexed="81"/>
            <rFont val="Tahoma"/>
            <family val="2"/>
          </rPr>
          <t>Solver found a solution. All constraints and optimality conditions are satisfied.</t>
        </r>
      </text>
    </comment>
    <comment ref="I16" authorId="0" shapeId="0" xr:uid="{D5059D7B-09B1-45C0-A666-64C09EEBD7BC}">
      <text>
        <r>
          <rPr>
            <sz val="9"/>
            <color indexed="81"/>
            <rFont val="Tahoma"/>
            <family val="2"/>
          </rPr>
          <t>Solver found a solution. All constraints and optimality conditions are satisfied.</t>
        </r>
      </text>
    </comment>
    <comment ref="J16" authorId="0" shapeId="0" xr:uid="{0DF66424-B19C-48D9-AFE7-8101028D532B}">
      <text>
        <r>
          <rPr>
            <sz val="9"/>
            <color indexed="81"/>
            <rFont val="Tahoma"/>
            <family val="2"/>
          </rPr>
          <t>Solver found a solution. All constraints and optimality conditions are satisfied.</t>
        </r>
      </text>
    </comment>
    <comment ref="K16" authorId="0" shapeId="0" xr:uid="{21314B75-1C1E-47F2-8330-141FD7DFAD5E}">
      <text>
        <r>
          <rPr>
            <sz val="9"/>
            <color indexed="81"/>
            <rFont val="Tahoma"/>
            <family val="2"/>
          </rPr>
          <t>Solver found a solution. All constraints and optimality conditions are satisfied.</t>
        </r>
      </text>
    </comment>
    <comment ref="L16" authorId="0" shapeId="0" xr:uid="{FDEEEDEB-7599-4625-95D1-93FB3F65E646}">
      <text>
        <r>
          <rPr>
            <sz val="9"/>
            <color indexed="81"/>
            <rFont val="Tahoma"/>
            <family val="2"/>
          </rPr>
          <t>Solver found a solution. All constraints and optimality conditions are satisfied.</t>
        </r>
      </text>
    </comment>
    <comment ref="M16" authorId="0" shapeId="0" xr:uid="{88213918-D512-4D75-82DF-9C60E6714E80}">
      <text>
        <r>
          <rPr>
            <sz val="9"/>
            <color indexed="81"/>
            <rFont val="Tahoma"/>
            <family val="2"/>
          </rPr>
          <t>Solver found a solution. All constraints and optimality conditions are satisfied.</t>
        </r>
      </text>
    </comment>
    <comment ref="N16" authorId="0" shapeId="0" xr:uid="{0EBC52F2-4E04-495E-864A-9B4943D0816D}">
      <text>
        <r>
          <rPr>
            <sz val="9"/>
            <color indexed="81"/>
            <rFont val="Tahoma"/>
            <family val="2"/>
          </rPr>
          <t>Solver found a solution. All constraints and optimality conditions are satisfied.</t>
        </r>
      </text>
    </comment>
    <comment ref="O16" authorId="0" shapeId="0" xr:uid="{9DFB7BF7-9E4F-4DF2-BE79-8FE3B01A2F02}">
      <text>
        <r>
          <rPr>
            <sz val="9"/>
            <color indexed="81"/>
            <rFont val="Tahoma"/>
            <family val="2"/>
          </rPr>
          <t>Solver found a solution. All constraints and optimality conditions are satisfied.</t>
        </r>
      </text>
    </comment>
    <comment ref="B17" authorId="0" shapeId="0" xr:uid="{8AD62666-DBE9-438B-95C5-6570A7E2680A}">
      <text>
        <r>
          <rPr>
            <sz val="9"/>
            <color indexed="81"/>
            <rFont val="Tahoma"/>
            <family val="2"/>
          </rPr>
          <t>Solver found a solution. All constraints and optimality conditions are satisfied.</t>
        </r>
      </text>
    </comment>
    <comment ref="C17" authorId="0" shapeId="0" xr:uid="{1E54AA9A-324E-4A34-9248-407F74AA18D1}">
      <text>
        <r>
          <rPr>
            <sz val="9"/>
            <color indexed="81"/>
            <rFont val="Tahoma"/>
            <family val="2"/>
          </rPr>
          <t>Solver found a solution. All constraints and optimality conditions are satisfied.</t>
        </r>
      </text>
    </comment>
    <comment ref="D17" authorId="0" shapeId="0" xr:uid="{24378898-83C7-490E-A4B0-F6DAA7A4A1A5}">
      <text>
        <r>
          <rPr>
            <sz val="9"/>
            <color indexed="81"/>
            <rFont val="Tahoma"/>
            <family val="2"/>
          </rPr>
          <t>Solver found a solution. All constraints and optimality conditions are satisfied.</t>
        </r>
      </text>
    </comment>
    <comment ref="E17" authorId="0" shapeId="0" xr:uid="{0AF3571F-15DE-4DCF-A580-627BB756632C}">
      <text>
        <r>
          <rPr>
            <sz val="9"/>
            <color indexed="81"/>
            <rFont val="Tahoma"/>
            <family val="2"/>
          </rPr>
          <t>Solver found a solution. All constraints and optimality conditions are satisfied.</t>
        </r>
      </text>
    </comment>
    <comment ref="F17" authorId="0" shapeId="0" xr:uid="{BBE11689-BD6B-4EF8-B10A-65D7367780E4}">
      <text>
        <r>
          <rPr>
            <sz val="9"/>
            <color indexed="81"/>
            <rFont val="Tahoma"/>
            <family val="2"/>
          </rPr>
          <t>Solver found a solution. All constraints and optimality conditions are satisfied.</t>
        </r>
      </text>
    </comment>
    <comment ref="G17" authorId="0" shapeId="0" xr:uid="{C6C0CE44-02D5-4DA9-803D-67014FE8F678}">
      <text>
        <r>
          <rPr>
            <sz val="9"/>
            <color indexed="81"/>
            <rFont val="Tahoma"/>
            <family val="2"/>
          </rPr>
          <t>Solver found a solution. All constraints and optimality conditions are satisfied.</t>
        </r>
      </text>
    </comment>
    <comment ref="H17" authorId="0" shapeId="0" xr:uid="{8FA847D4-D0EF-4D35-9355-31A97B07183E}">
      <text>
        <r>
          <rPr>
            <sz val="9"/>
            <color indexed="81"/>
            <rFont val="Tahoma"/>
            <family val="2"/>
          </rPr>
          <t>Solver found a solution. All constraints and optimality conditions are satisfied.</t>
        </r>
      </text>
    </comment>
    <comment ref="I17" authorId="0" shapeId="0" xr:uid="{01C0A9FF-FEF4-412E-B829-2B0DACEBDC7A}">
      <text>
        <r>
          <rPr>
            <sz val="9"/>
            <color indexed="81"/>
            <rFont val="Tahoma"/>
            <family val="2"/>
          </rPr>
          <t>Solver found a solution. All constraints and optimality conditions are satisfied.</t>
        </r>
      </text>
    </comment>
    <comment ref="J17" authorId="0" shapeId="0" xr:uid="{330763EC-0D99-4883-8603-92505F7057A0}">
      <text>
        <r>
          <rPr>
            <sz val="9"/>
            <color indexed="81"/>
            <rFont val="Tahoma"/>
            <family val="2"/>
          </rPr>
          <t>Solver found a solution. All constraints and optimality conditions are satisfied.</t>
        </r>
      </text>
    </comment>
    <comment ref="K17" authorId="0" shapeId="0" xr:uid="{AD61B1BD-7A1D-4EF2-8363-934B4EB1DEA6}">
      <text>
        <r>
          <rPr>
            <sz val="9"/>
            <color indexed="81"/>
            <rFont val="Tahoma"/>
            <family val="2"/>
          </rPr>
          <t>Solver found a solution. All constraints and optimality conditions are satisfied.</t>
        </r>
      </text>
    </comment>
    <comment ref="L17" authorId="0" shapeId="0" xr:uid="{9D09288C-5447-4FC8-BAFB-FAF4A26C99C6}">
      <text>
        <r>
          <rPr>
            <sz val="9"/>
            <color indexed="81"/>
            <rFont val="Tahoma"/>
            <family val="2"/>
          </rPr>
          <t>Solver found a solution. All constraints and optimality conditions are satisfied.</t>
        </r>
      </text>
    </comment>
    <comment ref="M17" authorId="0" shapeId="0" xr:uid="{D19E0BA6-2EEC-431B-9C6D-59B74CCD5EFF}">
      <text>
        <r>
          <rPr>
            <sz val="9"/>
            <color indexed="81"/>
            <rFont val="Tahoma"/>
            <family val="2"/>
          </rPr>
          <t>Solver found a solution. All constraints and optimality conditions are satisfied.</t>
        </r>
      </text>
    </comment>
    <comment ref="N17" authorId="0" shapeId="0" xr:uid="{0D1FE3CC-EA13-4AFB-861D-6054DD3D2572}">
      <text>
        <r>
          <rPr>
            <sz val="9"/>
            <color indexed="81"/>
            <rFont val="Tahoma"/>
            <family val="2"/>
          </rPr>
          <t>Solver found a solution. All constraints and optimality conditions are satisfied.</t>
        </r>
      </text>
    </comment>
    <comment ref="O17" authorId="0" shapeId="0" xr:uid="{6FF3937D-7E1D-4E5E-AC14-E9571C0E4A6B}">
      <text>
        <r>
          <rPr>
            <sz val="9"/>
            <color indexed="81"/>
            <rFont val="Tahoma"/>
            <family val="2"/>
          </rPr>
          <t>Solver found a solution. All constraints and optimality conditions are satisfied.</t>
        </r>
      </text>
    </comment>
    <comment ref="B18" authorId="0" shapeId="0" xr:uid="{46A49A42-CBF0-41F5-9522-5917DE4908BF}">
      <text>
        <r>
          <rPr>
            <sz val="9"/>
            <color indexed="81"/>
            <rFont val="Tahoma"/>
            <family val="2"/>
          </rPr>
          <t>Solver found a solution. All constraints and optimality conditions are satisfied.</t>
        </r>
      </text>
    </comment>
    <comment ref="C18" authorId="0" shapeId="0" xr:uid="{5EF42464-E0E3-4C3C-A407-427CCCA5C50C}">
      <text>
        <r>
          <rPr>
            <sz val="9"/>
            <color indexed="81"/>
            <rFont val="Tahoma"/>
            <family val="2"/>
          </rPr>
          <t>Solver found a solution. All constraints and optimality conditions are satisfied.</t>
        </r>
      </text>
    </comment>
    <comment ref="D18" authorId="0" shapeId="0" xr:uid="{7C4D345D-5D56-4121-82EA-65D36E27939A}">
      <text>
        <r>
          <rPr>
            <sz val="9"/>
            <color indexed="81"/>
            <rFont val="Tahoma"/>
            <family val="2"/>
          </rPr>
          <t>Solver found a solution. All constraints and optimality conditions are satisfied.</t>
        </r>
      </text>
    </comment>
    <comment ref="E18" authorId="0" shapeId="0" xr:uid="{1859AD13-49B1-4C37-BEFB-A6EA1AD79BD5}">
      <text>
        <r>
          <rPr>
            <sz val="9"/>
            <color indexed="81"/>
            <rFont val="Tahoma"/>
            <family val="2"/>
          </rPr>
          <t>Solver found a solution. All constraints and optimality conditions are satisfied.</t>
        </r>
      </text>
    </comment>
    <comment ref="F18" authorId="0" shapeId="0" xr:uid="{2430C277-EB8F-4721-855E-83E02A946A4E}">
      <text>
        <r>
          <rPr>
            <sz val="9"/>
            <color indexed="81"/>
            <rFont val="Tahoma"/>
            <family val="2"/>
          </rPr>
          <t>Solver found a solution. All constraints and optimality conditions are satisfied.</t>
        </r>
      </text>
    </comment>
    <comment ref="G18" authorId="0" shapeId="0" xr:uid="{BBE7F354-19A9-4ACA-94B4-50487964EC71}">
      <text>
        <r>
          <rPr>
            <sz val="9"/>
            <color indexed="81"/>
            <rFont val="Tahoma"/>
            <family val="2"/>
          </rPr>
          <t>Solver found a solution. All constraints and optimality conditions are satisfied.</t>
        </r>
      </text>
    </comment>
    <comment ref="H18" authorId="0" shapeId="0" xr:uid="{22D64A07-A9F9-4DBB-AFE0-AA2FF730C62B}">
      <text>
        <r>
          <rPr>
            <sz val="9"/>
            <color indexed="81"/>
            <rFont val="Tahoma"/>
            <family val="2"/>
          </rPr>
          <t>Solver found a solution. All constraints and optimality conditions are satisfied.</t>
        </r>
      </text>
    </comment>
    <comment ref="I18" authorId="0" shapeId="0" xr:uid="{70F78941-A42F-4055-A6B1-9F562EE81880}">
      <text>
        <r>
          <rPr>
            <sz val="9"/>
            <color indexed="81"/>
            <rFont val="Tahoma"/>
            <family val="2"/>
          </rPr>
          <t>Solver found a solution. All constraints and optimality conditions are satisfied.</t>
        </r>
      </text>
    </comment>
    <comment ref="J18" authorId="0" shapeId="0" xr:uid="{DB9D0D66-90E2-4963-9C54-A91AD16B81AE}">
      <text>
        <r>
          <rPr>
            <sz val="9"/>
            <color indexed="81"/>
            <rFont val="Tahoma"/>
            <family val="2"/>
          </rPr>
          <t>Solver found a solution. All constraints and optimality conditions are satisfied.</t>
        </r>
      </text>
    </comment>
    <comment ref="K18" authorId="0" shapeId="0" xr:uid="{4787A309-075A-443D-9C2F-2386A84254C3}">
      <text>
        <r>
          <rPr>
            <sz val="9"/>
            <color indexed="81"/>
            <rFont val="Tahoma"/>
            <family val="2"/>
          </rPr>
          <t>Solver found a solution. All constraints and optimality conditions are satisfied.</t>
        </r>
      </text>
    </comment>
    <comment ref="L18" authorId="0" shapeId="0" xr:uid="{2659AB20-7C49-4E4F-92B9-B13BB7FFB73A}">
      <text>
        <r>
          <rPr>
            <sz val="9"/>
            <color indexed="81"/>
            <rFont val="Tahoma"/>
            <family val="2"/>
          </rPr>
          <t>Solver found a solution. All constraints and optimality conditions are satisfied.</t>
        </r>
      </text>
    </comment>
    <comment ref="M18" authorId="0" shapeId="0" xr:uid="{3056B62D-52CC-4CAF-8F2E-E9E2408A8F63}">
      <text>
        <r>
          <rPr>
            <sz val="9"/>
            <color indexed="81"/>
            <rFont val="Tahoma"/>
            <family val="2"/>
          </rPr>
          <t>Solver found a solution. All constraints and optimality conditions are satisfied.</t>
        </r>
      </text>
    </comment>
    <comment ref="N18" authorId="0" shapeId="0" xr:uid="{C7121F2C-7BF5-4803-AF12-73A0084F8E52}">
      <text>
        <r>
          <rPr>
            <sz val="9"/>
            <color indexed="81"/>
            <rFont val="Tahoma"/>
            <family val="2"/>
          </rPr>
          <t>Solver found a solution. All constraints and optimality conditions are satisfied.</t>
        </r>
      </text>
    </comment>
    <comment ref="O18" authorId="0" shapeId="0" xr:uid="{F55883B1-5ECA-421C-B648-0225AA7CA37A}">
      <text>
        <r>
          <rPr>
            <sz val="9"/>
            <color indexed="81"/>
            <rFont val="Tahoma"/>
            <family val="2"/>
          </rPr>
          <t>Solver found a solution. All constraints and optimality conditions are satisfied.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Zubair Porbunderwala</author>
  </authors>
  <commentList>
    <comment ref="B5" authorId="0" shapeId="0" xr:uid="{17A04217-1B61-47DB-9C18-B9BCAA813F3E}">
      <text>
        <r>
          <rPr>
            <sz val="9"/>
            <color indexed="81"/>
            <rFont val="Tahoma"/>
            <family val="2"/>
          </rPr>
          <t>Solver found a solution. All constraints and optimality conditions are satisfied.</t>
        </r>
      </text>
    </comment>
    <comment ref="C5" authorId="0" shapeId="0" xr:uid="{667B8554-6C85-43FF-9454-BF647059A1F3}">
      <text>
        <r>
          <rPr>
            <sz val="9"/>
            <color indexed="81"/>
            <rFont val="Tahoma"/>
            <family val="2"/>
          </rPr>
          <t>Solver found a solution. All constraints and optimality conditions are satisfied.</t>
        </r>
      </text>
    </comment>
    <comment ref="D5" authorId="0" shapeId="0" xr:uid="{C0E0FBD4-596C-4C46-ADD0-DCEC9E5038BA}">
      <text>
        <r>
          <rPr>
            <sz val="9"/>
            <color indexed="81"/>
            <rFont val="Tahoma"/>
            <family val="2"/>
          </rPr>
          <t>Solver found a solution. All constraints and optimality conditions are satisfied.</t>
        </r>
      </text>
    </comment>
    <comment ref="E5" authorId="0" shapeId="0" xr:uid="{D3E89CBB-7492-4461-8148-790F75A3146E}">
      <text>
        <r>
          <rPr>
            <sz val="9"/>
            <color indexed="81"/>
            <rFont val="Tahoma"/>
            <family val="2"/>
          </rPr>
          <t>Solver found an integer solution within tolerance. All constraints are satisfied.</t>
        </r>
      </text>
    </comment>
    <comment ref="F5" authorId="0" shapeId="0" xr:uid="{573823D2-EC44-4D36-9511-3A654496BDC8}">
      <text>
        <r>
          <rPr>
            <sz val="9"/>
            <color indexed="81"/>
            <rFont val="Tahoma"/>
            <family val="2"/>
          </rPr>
          <t>Solver found a solution. All constraints and optimality conditions are satisfied.</t>
        </r>
      </text>
    </comment>
    <comment ref="G5" authorId="0" shapeId="0" xr:uid="{C9C43F98-6329-4A58-843D-2D93E5E5D418}">
      <text>
        <r>
          <rPr>
            <sz val="9"/>
            <color indexed="81"/>
            <rFont val="Tahoma"/>
            <family val="2"/>
          </rPr>
          <t>Solver found a solution. All constraints and optimality conditions are satisfied.</t>
        </r>
      </text>
    </comment>
    <comment ref="B6" authorId="0" shapeId="0" xr:uid="{A4262209-183C-4D96-A7AF-2AF86219AA73}">
      <text>
        <r>
          <rPr>
            <sz val="9"/>
            <color indexed="81"/>
            <rFont val="Tahoma"/>
            <family val="2"/>
          </rPr>
          <t>Solver found a solution. All constraints and optimality conditions are satisfied.</t>
        </r>
      </text>
    </comment>
    <comment ref="C6" authorId="0" shapeId="0" xr:uid="{66A1594D-4CD8-4216-A53C-9F6DB2932471}">
      <text>
        <r>
          <rPr>
            <sz val="9"/>
            <color indexed="81"/>
            <rFont val="Tahoma"/>
            <family val="2"/>
          </rPr>
          <t>Solver found a solution. All constraints and optimality conditions are satisfied.</t>
        </r>
      </text>
    </comment>
    <comment ref="D6" authorId="0" shapeId="0" xr:uid="{CBD87105-590C-430F-9508-18D047AAED6E}">
      <text>
        <r>
          <rPr>
            <sz val="9"/>
            <color indexed="81"/>
            <rFont val="Tahoma"/>
            <family val="2"/>
          </rPr>
          <t>Solver found an integer solution within tolerance. All constraints are satisfied.</t>
        </r>
      </text>
    </comment>
    <comment ref="E6" authorId="0" shapeId="0" xr:uid="{0AE6581F-018F-4DD5-9AA6-54D62236D3B1}">
      <text>
        <r>
          <rPr>
            <sz val="9"/>
            <color indexed="81"/>
            <rFont val="Tahoma"/>
            <family val="2"/>
          </rPr>
          <t>Solver found a solution. All constraints and optimality conditions are satisfied.</t>
        </r>
      </text>
    </comment>
    <comment ref="F6" authorId="0" shapeId="0" xr:uid="{6D296A74-7266-4D52-8E5C-833250A9070A}">
      <text>
        <r>
          <rPr>
            <sz val="9"/>
            <color indexed="81"/>
            <rFont val="Tahoma"/>
            <family val="2"/>
          </rPr>
          <t>Solver found a solution. All constraints and optimality conditions are satisfied.</t>
        </r>
      </text>
    </comment>
    <comment ref="G6" authorId="0" shapeId="0" xr:uid="{5DA284EE-3DDB-4924-A92F-F3ACA046738A}">
      <text>
        <r>
          <rPr>
            <sz val="9"/>
            <color indexed="81"/>
            <rFont val="Tahoma"/>
            <family val="2"/>
          </rPr>
          <t>Solver could not find a feasible solution.</t>
        </r>
      </text>
    </comment>
    <comment ref="B7" authorId="0" shapeId="0" xr:uid="{03B75A1F-91A5-40E8-BEA1-7AF80B9D9B80}">
      <text>
        <r>
          <rPr>
            <sz val="9"/>
            <color indexed="81"/>
            <rFont val="Tahoma"/>
            <family val="2"/>
          </rPr>
          <t>Solver found a solution. All constraints and optimality conditions are satisfied.</t>
        </r>
      </text>
    </comment>
    <comment ref="C7" authorId="0" shapeId="0" xr:uid="{19E3B31C-6E68-46AC-8B45-762169B01658}">
      <text>
        <r>
          <rPr>
            <sz val="9"/>
            <color indexed="81"/>
            <rFont val="Tahoma"/>
            <family val="2"/>
          </rPr>
          <t>Solver found an integer solution within tolerance. All constraints are satisfied.</t>
        </r>
      </text>
    </comment>
    <comment ref="D7" authorId="0" shapeId="0" xr:uid="{B62E5A86-467B-481B-B210-680D40A42424}">
      <text>
        <r>
          <rPr>
            <sz val="9"/>
            <color indexed="81"/>
            <rFont val="Tahoma"/>
            <family val="2"/>
          </rPr>
          <t>Solver found a solution. All constraints and optimality conditions are satisfied.</t>
        </r>
      </text>
    </comment>
    <comment ref="E7" authorId="0" shapeId="0" xr:uid="{39D62901-ED47-4A89-A6C8-EA8DCEB836B5}">
      <text>
        <r>
          <rPr>
            <sz val="9"/>
            <color indexed="81"/>
            <rFont val="Tahoma"/>
            <family val="2"/>
          </rPr>
          <t>Solver found a solution. All constraints and optimality conditions are satisfied.</t>
        </r>
      </text>
    </comment>
    <comment ref="F7" authorId="0" shapeId="0" xr:uid="{898A3B8E-B720-496E-9A44-054CC6464BA5}">
      <text>
        <r>
          <rPr>
            <sz val="9"/>
            <color indexed="81"/>
            <rFont val="Tahoma"/>
            <family val="2"/>
          </rPr>
          <t>Solver could not find a feasible solution.</t>
        </r>
      </text>
    </comment>
    <comment ref="G7" authorId="0" shapeId="0" xr:uid="{FEF0F22C-79DC-4CF0-98C2-4056275FC1B6}">
      <text>
        <r>
          <rPr>
            <sz val="9"/>
            <color indexed="81"/>
            <rFont val="Tahoma"/>
            <family val="2"/>
          </rPr>
          <t>Solver could not find a feasible solution.</t>
        </r>
      </text>
    </comment>
    <comment ref="B8" authorId="0" shapeId="0" xr:uid="{C0082EA9-B364-429C-88C2-0219C4A84318}">
      <text>
        <r>
          <rPr>
            <sz val="9"/>
            <color indexed="81"/>
            <rFont val="Tahoma"/>
            <family val="2"/>
          </rPr>
          <t>Solver found an integer solution within tolerance. All constraints are satisfied.</t>
        </r>
      </text>
    </comment>
    <comment ref="C8" authorId="0" shapeId="0" xr:uid="{27C754A3-479E-4B97-A635-7A0E4E63AD57}">
      <text>
        <r>
          <rPr>
            <sz val="9"/>
            <color indexed="81"/>
            <rFont val="Tahoma"/>
            <family val="2"/>
          </rPr>
          <t>Solver found a solution. All constraints and optimality conditions are satisfied.</t>
        </r>
      </text>
    </comment>
    <comment ref="D8" authorId="0" shapeId="0" xr:uid="{39B10FDE-925C-4708-82F6-B4DC43521A68}">
      <text>
        <r>
          <rPr>
            <sz val="9"/>
            <color indexed="81"/>
            <rFont val="Tahoma"/>
            <family val="2"/>
          </rPr>
          <t>Solver found a solution. All constraints and optimality conditions are satisfied.</t>
        </r>
      </text>
    </comment>
    <comment ref="E8" authorId="0" shapeId="0" xr:uid="{AC0C1BDF-08A0-47C6-A89E-6AC39B866655}">
      <text>
        <r>
          <rPr>
            <sz val="9"/>
            <color indexed="81"/>
            <rFont val="Tahoma"/>
            <family val="2"/>
          </rPr>
          <t>Solver could not find a feasible solution.</t>
        </r>
      </text>
    </comment>
    <comment ref="F8" authorId="0" shapeId="0" xr:uid="{CD0AA4C1-616D-4FA9-B68B-7D3F6B907357}">
      <text>
        <r>
          <rPr>
            <sz val="9"/>
            <color indexed="81"/>
            <rFont val="Tahoma"/>
            <family val="2"/>
          </rPr>
          <t>Solver could not find a feasible solution.</t>
        </r>
      </text>
    </comment>
    <comment ref="G8" authorId="0" shapeId="0" xr:uid="{32D5F5A7-1FC5-4F4C-A4B6-30B324312809}">
      <text>
        <r>
          <rPr>
            <sz val="9"/>
            <color indexed="81"/>
            <rFont val="Tahoma"/>
            <family val="2"/>
          </rPr>
          <t>Solver could not find a feasible solution.</t>
        </r>
      </text>
    </comment>
    <comment ref="B9" authorId="0" shapeId="0" xr:uid="{88291E18-7084-4661-AD15-2871A8B4D100}">
      <text>
        <r>
          <rPr>
            <sz val="9"/>
            <color indexed="81"/>
            <rFont val="Tahoma"/>
            <family val="2"/>
          </rPr>
          <t>Solver found a solution. All constraints and optimality conditions are satisfied.</t>
        </r>
      </text>
    </comment>
    <comment ref="C9" authorId="0" shapeId="0" xr:uid="{A9F58B59-5F15-4E02-AD14-CBA605A0CCA6}">
      <text>
        <r>
          <rPr>
            <sz val="9"/>
            <color indexed="81"/>
            <rFont val="Tahoma"/>
            <family val="2"/>
          </rPr>
          <t>Solver found a solution. All constraints and optimality conditions are satisfied.</t>
        </r>
      </text>
    </comment>
    <comment ref="D9" authorId="0" shapeId="0" xr:uid="{F40CE651-8CA4-4539-A189-3FB9B11FB57A}">
      <text>
        <r>
          <rPr>
            <sz val="9"/>
            <color indexed="81"/>
            <rFont val="Tahoma"/>
            <family val="2"/>
          </rPr>
          <t>Solver could not find a feasible solution.</t>
        </r>
      </text>
    </comment>
    <comment ref="E9" authorId="0" shapeId="0" xr:uid="{5D0F626E-6EDA-4EC1-B3C1-19C0CCF4DF8B}">
      <text>
        <r>
          <rPr>
            <sz val="9"/>
            <color indexed="81"/>
            <rFont val="Tahoma"/>
            <family val="2"/>
          </rPr>
          <t>Solver could not find a feasible solution.</t>
        </r>
      </text>
    </comment>
    <comment ref="F9" authorId="0" shapeId="0" xr:uid="{E785DD0B-9A82-423A-A879-8E60AE38704B}">
      <text>
        <r>
          <rPr>
            <sz val="9"/>
            <color indexed="81"/>
            <rFont val="Tahoma"/>
            <family val="2"/>
          </rPr>
          <t>Solver could not find a feasible solution.</t>
        </r>
      </text>
    </comment>
    <comment ref="G9" authorId="0" shapeId="0" xr:uid="{80C15361-E3F9-43B9-9B4A-B3570D4F6E8A}">
      <text>
        <r>
          <rPr>
            <sz val="9"/>
            <color indexed="81"/>
            <rFont val="Tahoma"/>
            <family val="2"/>
          </rPr>
          <t>Solver could not find a feasible solution.</t>
        </r>
      </text>
    </comment>
    <comment ref="B10" authorId="0" shapeId="0" xr:uid="{41885B6E-97B3-41C3-95EB-CBFCB3D22C1C}">
      <text>
        <r>
          <rPr>
            <sz val="9"/>
            <color indexed="81"/>
            <rFont val="Tahoma"/>
            <family val="2"/>
          </rPr>
          <t>Solver found a solution. All constraints and optimality conditions are satisfied.</t>
        </r>
      </text>
    </comment>
    <comment ref="C10" authorId="0" shapeId="0" xr:uid="{B7A61EDD-9EB3-42CE-A120-086C9A4A1BB4}">
      <text>
        <r>
          <rPr>
            <sz val="9"/>
            <color indexed="81"/>
            <rFont val="Tahoma"/>
            <family val="2"/>
          </rPr>
          <t>Solver could not find a feasible solution.</t>
        </r>
      </text>
    </comment>
    <comment ref="D10" authorId="0" shapeId="0" xr:uid="{542D6E16-D675-43D3-A3EE-5606CA63270C}">
      <text>
        <r>
          <rPr>
            <sz val="9"/>
            <color indexed="81"/>
            <rFont val="Tahoma"/>
            <family val="2"/>
          </rPr>
          <t>Solver could not find a feasible solution.</t>
        </r>
      </text>
    </comment>
    <comment ref="E10" authorId="0" shapeId="0" xr:uid="{7C2BFE39-FBC2-488B-BBE3-AC7A8A3A1E2A}">
      <text>
        <r>
          <rPr>
            <sz val="9"/>
            <color indexed="81"/>
            <rFont val="Tahoma"/>
            <family val="2"/>
          </rPr>
          <t>Solver could not find a feasible solution.</t>
        </r>
      </text>
    </comment>
    <comment ref="F10" authorId="0" shapeId="0" xr:uid="{662BE4BE-374F-41BA-BFFF-AD3A76AE6F1E}">
      <text>
        <r>
          <rPr>
            <sz val="9"/>
            <color indexed="81"/>
            <rFont val="Tahoma"/>
            <family val="2"/>
          </rPr>
          <t>Solver could not find a feasible solution.</t>
        </r>
      </text>
    </comment>
    <comment ref="G10" authorId="0" shapeId="0" xr:uid="{046C4F7D-2DCE-4D0D-8C66-6C568737EFCF}">
      <text>
        <r>
          <rPr>
            <sz val="9"/>
            <color indexed="81"/>
            <rFont val="Tahoma"/>
            <family val="2"/>
          </rPr>
          <t>Solver could not find a feasible solution.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Ashutosh Mishra</author>
  </authors>
  <commentList>
    <comment ref="B5" authorId="0" shapeId="0" xr:uid="{90F3059E-CD8B-4613-931D-452CD7FAD4A1}">
      <text>
        <r>
          <rPr>
            <sz val="9"/>
            <color indexed="81"/>
            <rFont val="Tahoma"/>
            <family val="2"/>
          </rPr>
          <t>Solver found a solution. All constraints and optimality conditions are satisfied.</t>
        </r>
      </text>
    </comment>
    <comment ref="C5" authorId="0" shapeId="0" xr:uid="{074CEACD-2D27-43E4-AFBD-0DCE0696CE49}">
      <text>
        <r>
          <rPr>
            <sz val="9"/>
            <color indexed="81"/>
            <rFont val="Tahoma"/>
            <family val="2"/>
          </rPr>
          <t>Solver found a solution. All constraints and optimality conditions are satisfied.</t>
        </r>
      </text>
    </comment>
    <comment ref="D5" authorId="0" shapeId="0" xr:uid="{1C639B48-4573-471E-B77D-169351E924FA}">
      <text>
        <r>
          <rPr>
            <sz val="9"/>
            <color indexed="81"/>
            <rFont val="Tahoma"/>
            <family val="2"/>
          </rPr>
          <t>Solver found a solution. All constraints and optimality conditions are satisfied.</t>
        </r>
      </text>
    </comment>
    <comment ref="E5" authorId="0" shapeId="0" xr:uid="{7899E938-2207-4ADA-95F4-77F9A2EC6CD4}">
      <text>
        <r>
          <rPr>
            <sz val="9"/>
            <color indexed="81"/>
            <rFont val="Tahoma"/>
            <family val="2"/>
          </rPr>
          <t>Solver found a solution. All constraints and optimality conditions are satisfied.</t>
        </r>
      </text>
    </comment>
    <comment ref="F5" authorId="0" shapeId="0" xr:uid="{1B77E81D-4A04-4F86-B93A-F27C2FCEE7D4}">
      <text>
        <r>
          <rPr>
            <sz val="9"/>
            <color indexed="81"/>
            <rFont val="Tahoma"/>
            <family val="2"/>
          </rPr>
          <t>Solver found a solution. All constraints and optimality conditions are satisfied.</t>
        </r>
      </text>
    </comment>
    <comment ref="G5" authorId="0" shapeId="0" xr:uid="{EC2FA45C-0559-48F1-BE9D-B068C603600E}">
      <text>
        <r>
          <rPr>
            <sz val="9"/>
            <color indexed="81"/>
            <rFont val="Tahoma"/>
            <family val="2"/>
          </rPr>
          <t>Solver found a solution. All constraints and optimality conditions are satisfied.</t>
        </r>
      </text>
    </comment>
    <comment ref="H5" authorId="0" shapeId="0" xr:uid="{8434C5DD-6844-42C6-A84F-A1FD62326DEE}">
      <text>
        <r>
          <rPr>
            <sz val="9"/>
            <color indexed="81"/>
            <rFont val="Tahoma"/>
            <family val="2"/>
          </rPr>
          <t>Solver found a solution. All constraints and optimality conditions are satisfied.</t>
        </r>
      </text>
    </comment>
    <comment ref="I5" authorId="0" shapeId="0" xr:uid="{200579AC-9738-425F-B17A-BABBD3ADD95E}">
      <text>
        <r>
          <rPr>
            <sz val="9"/>
            <color indexed="81"/>
            <rFont val="Tahoma"/>
            <family val="2"/>
          </rPr>
          <t>Solver found a solution. All constraints and optimality conditions are satisfied.</t>
        </r>
      </text>
    </comment>
    <comment ref="J5" authorId="0" shapeId="0" xr:uid="{F27B0591-FCB8-4CB5-A7BF-0702B043A039}">
      <text>
        <r>
          <rPr>
            <sz val="9"/>
            <color indexed="81"/>
            <rFont val="Tahoma"/>
            <family val="2"/>
          </rPr>
          <t>Solver found a solution. All constraints and optimality conditions are satisfied.</t>
        </r>
      </text>
    </comment>
    <comment ref="K5" authorId="0" shapeId="0" xr:uid="{EFA09F68-7A8B-42A8-9EE0-75055DB1C748}">
      <text>
        <r>
          <rPr>
            <sz val="9"/>
            <color indexed="81"/>
            <rFont val="Tahoma"/>
            <family val="2"/>
          </rPr>
          <t>Solver found a solution. All constraints and optimality conditions are satisfied.</t>
        </r>
      </text>
    </comment>
    <comment ref="L5" authorId="0" shapeId="0" xr:uid="{4C091E79-0606-4F3A-99A3-FA8BDA9F7514}">
      <text>
        <r>
          <rPr>
            <sz val="9"/>
            <color indexed="81"/>
            <rFont val="Tahoma"/>
            <family val="2"/>
          </rPr>
          <t>Solver found a solution. All constraints and optimality conditions are satisfied.</t>
        </r>
      </text>
    </comment>
    <comment ref="M5" authorId="0" shapeId="0" xr:uid="{BFBFD25A-6E6E-4F12-A411-4D4207AEF33C}">
      <text>
        <r>
          <rPr>
            <sz val="9"/>
            <color indexed="81"/>
            <rFont val="Tahoma"/>
            <family val="2"/>
          </rPr>
          <t>Solver found a solution. All constraints and optimality conditions are satisfied.</t>
        </r>
      </text>
    </comment>
    <comment ref="N5" authorId="0" shapeId="0" xr:uid="{297304EF-DE06-441E-B177-169504B4BC55}">
      <text>
        <r>
          <rPr>
            <sz val="9"/>
            <color indexed="81"/>
            <rFont val="Tahoma"/>
            <family val="2"/>
          </rPr>
          <t>Solver found a solution. All constraints and optimality conditions are satisfied.</t>
        </r>
      </text>
    </comment>
    <comment ref="O5" authorId="0" shapeId="0" xr:uid="{F16EDD67-8D8F-486B-B768-503C24B4256F}">
      <text>
        <r>
          <rPr>
            <sz val="9"/>
            <color indexed="81"/>
            <rFont val="Tahoma"/>
            <family val="2"/>
          </rPr>
          <t>Solver found a solution. All constraints and optimality conditions are satisfied.</t>
        </r>
      </text>
    </comment>
    <comment ref="P5" authorId="0" shapeId="0" xr:uid="{C1F51392-4BEA-4334-A070-93806E2E6F45}">
      <text>
        <r>
          <rPr>
            <sz val="9"/>
            <color indexed="81"/>
            <rFont val="Tahoma"/>
            <family val="2"/>
          </rPr>
          <t>Solver found a solution. All constraints and optimality conditions are satisfied.</t>
        </r>
      </text>
    </comment>
    <comment ref="Q5" authorId="0" shapeId="0" xr:uid="{6D5F552A-CF1F-4E4F-B021-9A6039A91602}">
      <text>
        <r>
          <rPr>
            <sz val="9"/>
            <color indexed="81"/>
            <rFont val="Tahoma"/>
            <family val="2"/>
          </rPr>
          <t>Solver found a solution. All constraints and optimality conditions are satisfied.</t>
        </r>
      </text>
    </comment>
    <comment ref="B6" authorId="0" shapeId="0" xr:uid="{EE004EBA-08CF-4914-90CE-50C5A6641326}">
      <text>
        <r>
          <rPr>
            <sz val="9"/>
            <color indexed="81"/>
            <rFont val="Tahoma"/>
            <family val="2"/>
          </rPr>
          <t>Solver found a solution. All constraints and optimality conditions are satisfied.</t>
        </r>
      </text>
    </comment>
    <comment ref="C6" authorId="0" shapeId="0" xr:uid="{7D760CA1-4064-4ABD-BF12-F3AE0292F4B6}">
      <text>
        <r>
          <rPr>
            <sz val="9"/>
            <color indexed="81"/>
            <rFont val="Tahoma"/>
            <family val="2"/>
          </rPr>
          <t>Solver found a solution. All constraints and optimality conditions are satisfied.</t>
        </r>
      </text>
    </comment>
    <comment ref="D6" authorId="0" shapeId="0" xr:uid="{40693936-0409-4DB9-8EA4-B4FF88948CC7}">
      <text>
        <r>
          <rPr>
            <sz val="9"/>
            <color indexed="81"/>
            <rFont val="Tahoma"/>
            <family val="2"/>
          </rPr>
          <t>Solver found a solution. All constraints and optimality conditions are satisfied.</t>
        </r>
      </text>
    </comment>
    <comment ref="E6" authorId="0" shapeId="0" xr:uid="{5F5B3B59-5019-482E-A809-94CB334434C4}">
      <text>
        <r>
          <rPr>
            <sz val="9"/>
            <color indexed="81"/>
            <rFont val="Tahoma"/>
            <family val="2"/>
          </rPr>
          <t>Solver found a solution. All constraints and optimality conditions are satisfied.</t>
        </r>
      </text>
    </comment>
    <comment ref="F6" authorId="0" shapeId="0" xr:uid="{40846EF8-7C9B-4456-AA7E-C6FCF743543F}">
      <text>
        <r>
          <rPr>
            <sz val="9"/>
            <color indexed="81"/>
            <rFont val="Tahoma"/>
            <family val="2"/>
          </rPr>
          <t>Solver found a solution. All constraints and optimality conditions are satisfied.</t>
        </r>
      </text>
    </comment>
    <comment ref="G6" authorId="0" shapeId="0" xr:uid="{6694FF8E-1A52-4512-B804-ABB0D80C7C43}">
      <text>
        <r>
          <rPr>
            <sz val="9"/>
            <color indexed="81"/>
            <rFont val="Tahoma"/>
            <family val="2"/>
          </rPr>
          <t>Solver found a solution. All constraints and optimality conditions are satisfied.</t>
        </r>
      </text>
    </comment>
    <comment ref="H6" authorId="0" shapeId="0" xr:uid="{14005556-F1E5-4E6F-9823-31C5C5AB549C}">
      <text>
        <r>
          <rPr>
            <sz val="9"/>
            <color indexed="81"/>
            <rFont val="Tahoma"/>
            <family val="2"/>
          </rPr>
          <t>Solver found a solution. All constraints and optimality conditions are satisfied.</t>
        </r>
      </text>
    </comment>
    <comment ref="I6" authorId="0" shapeId="0" xr:uid="{323142AB-CB21-4EF3-839C-67B89F7C75B0}">
      <text>
        <r>
          <rPr>
            <sz val="9"/>
            <color indexed="81"/>
            <rFont val="Tahoma"/>
            <family val="2"/>
          </rPr>
          <t>Solver found a solution. All constraints and optimality conditions are satisfied.</t>
        </r>
      </text>
    </comment>
    <comment ref="J6" authorId="0" shapeId="0" xr:uid="{FA712BC1-B2FB-4EFB-B01D-CDF98DA04025}">
      <text>
        <r>
          <rPr>
            <sz val="9"/>
            <color indexed="81"/>
            <rFont val="Tahoma"/>
            <family val="2"/>
          </rPr>
          <t>Solver found a solution. All constraints and optimality conditions are satisfied.</t>
        </r>
      </text>
    </comment>
    <comment ref="K6" authorId="0" shapeId="0" xr:uid="{983ED05C-DE94-47EF-93D4-62B40B22B629}">
      <text>
        <r>
          <rPr>
            <sz val="9"/>
            <color indexed="81"/>
            <rFont val="Tahoma"/>
            <family val="2"/>
          </rPr>
          <t>Solver found a solution. All constraints and optimality conditions are satisfied.</t>
        </r>
      </text>
    </comment>
    <comment ref="L6" authorId="0" shapeId="0" xr:uid="{9C6B677B-953C-4911-8AAA-F94E59744911}">
      <text>
        <r>
          <rPr>
            <sz val="9"/>
            <color indexed="81"/>
            <rFont val="Tahoma"/>
            <family val="2"/>
          </rPr>
          <t>Solver found a solution. All constraints and optimality conditions are satisfied.</t>
        </r>
      </text>
    </comment>
    <comment ref="M6" authorId="0" shapeId="0" xr:uid="{8289D7ED-F9BA-462A-9A85-9754EE9C045F}">
      <text>
        <r>
          <rPr>
            <sz val="9"/>
            <color indexed="81"/>
            <rFont val="Tahoma"/>
            <family val="2"/>
          </rPr>
          <t>Solver found a solution. All constraints and optimality conditions are satisfied.</t>
        </r>
      </text>
    </comment>
    <comment ref="N6" authorId="0" shapeId="0" xr:uid="{C400CA4A-BA30-412B-8C7D-13A0425CDDC2}">
      <text>
        <r>
          <rPr>
            <sz val="9"/>
            <color indexed="81"/>
            <rFont val="Tahoma"/>
            <family val="2"/>
          </rPr>
          <t>Solver found a solution. All constraints and optimality conditions are satisfied.</t>
        </r>
      </text>
    </comment>
    <comment ref="O6" authorId="0" shapeId="0" xr:uid="{BFE5A1AC-5FA6-4CDE-9FB4-CFA0A3AD68D3}">
      <text>
        <r>
          <rPr>
            <sz val="9"/>
            <color indexed="81"/>
            <rFont val="Tahoma"/>
            <family val="2"/>
          </rPr>
          <t>Solver found a solution. All constraints and optimality conditions are satisfied.</t>
        </r>
      </text>
    </comment>
    <comment ref="P6" authorId="0" shapeId="0" xr:uid="{4B113F5E-98CA-4C88-9E36-D917231B38C8}">
      <text>
        <r>
          <rPr>
            <sz val="9"/>
            <color indexed="81"/>
            <rFont val="Tahoma"/>
            <family val="2"/>
          </rPr>
          <t>Solver found a solution. All constraints and optimality conditions are satisfied.</t>
        </r>
      </text>
    </comment>
    <comment ref="Q6" authorId="0" shapeId="0" xr:uid="{28A50076-DFA0-4BB2-8D39-A28F91D02BAA}">
      <text>
        <r>
          <rPr>
            <sz val="9"/>
            <color indexed="81"/>
            <rFont val="Tahoma"/>
            <family val="2"/>
          </rPr>
          <t>Solver found a solution. All constraints and optimality conditions are satisfied.</t>
        </r>
      </text>
    </comment>
    <comment ref="B7" authorId="0" shapeId="0" xr:uid="{ACEFCD23-FD90-43C1-9253-D0B9537BF73A}">
      <text>
        <r>
          <rPr>
            <sz val="9"/>
            <color indexed="81"/>
            <rFont val="Tahoma"/>
            <family val="2"/>
          </rPr>
          <t>Solver found a solution. All constraints and optimality conditions are satisfied.</t>
        </r>
      </text>
    </comment>
    <comment ref="C7" authorId="0" shapeId="0" xr:uid="{65D0ECC1-063A-41D7-9AEB-758FDB9F4436}">
      <text>
        <r>
          <rPr>
            <sz val="9"/>
            <color indexed="81"/>
            <rFont val="Tahoma"/>
            <family val="2"/>
          </rPr>
          <t>Solver found a solution. All constraints and optimality conditions are satisfied.</t>
        </r>
      </text>
    </comment>
    <comment ref="D7" authorId="0" shapeId="0" xr:uid="{37CB9552-D9DD-4A37-AEDA-8A0BE8589F19}">
      <text>
        <r>
          <rPr>
            <sz val="9"/>
            <color indexed="81"/>
            <rFont val="Tahoma"/>
            <family val="2"/>
          </rPr>
          <t>Solver found a solution. All constraints and optimality conditions are satisfied.</t>
        </r>
      </text>
    </comment>
    <comment ref="E7" authorId="0" shapeId="0" xr:uid="{AE26E8DF-C922-409A-8884-F45D3F1988E7}">
      <text>
        <r>
          <rPr>
            <sz val="9"/>
            <color indexed="81"/>
            <rFont val="Tahoma"/>
            <family val="2"/>
          </rPr>
          <t>Solver found a solution. All constraints and optimality conditions are satisfied.</t>
        </r>
      </text>
    </comment>
    <comment ref="F7" authorId="0" shapeId="0" xr:uid="{B8D4CC38-4EFA-4AED-9E53-C7D9ADE919E0}">
      <text>
        <r>
          <rPr>
            <sz val="9"/>
            <color indexed="81"/>
            <rFont val="Tahoma"/>
            <family val="2"/>
          </rPr>
          <t>Solver found a solution. All constraints and optimality conditions are satisfied.</t>
        </r>
      </text>
    </comment>
    <comment ref="G7" authorId="0" shapeId="0" xr:uid="{DBD7668C-56C6-4B1A-9F46-5430C3056693}">
      <text>
        <r>
          <rPr>
            <sz val="9"/>
            <color indexed="81"/>
            <rFont val="Tahoma"/>
            <family val="2"/>
          </rPr>
          <t>Solver found a solution. All constraints and optimality conditions are satisfied.</t>
        </r>
      </text>
    </comment>
    <comment ref="H7" authorId="0" shapeId="0" xr:uid="{6DAEF376-4814-4145-9B70-2C9C8B930B8D}">
      <text>
        <r>
          <rPr>
            <sz val="9"/>
            <color indexed="81"/>
            <rFont val="Tahoma"/>
            <family val="2"/>
          </rPr>
          <t>Solver found a solution. All constraints and optimality conditions are satisfied.</t>
        </r>
      </text>
    </comment>
    <comment ref="I7" authorId="0" shapeId="0" xr:uid="{5DEAB671-9EA8-4953-A4AF-74C16714ACE1}">
      <text>
        <r>
          <rPr>
            <sz val="9"/>
            <color indexed="81"/>
            <rFont val="Tahoma"/>
            <family val="2"/>
          </rPr>
          <t>Solver found a solution. All constraints and optimality conditions are satisfied.</t>
        </r>
      </text>
    </comment>
    <comment ref="J7" authorId="0" shapeId="0" xr:uid="{CAE06501-1E4C-4A5D-9EC6-6D25978346E2}">
      <text>
        <r>
          <rPr>
            <sz val="9"/>
            <color indexed="81"/>
            <rFont val="Tahoma"/>
            <family val="2"/>
          </rPr>
          <t>Solver found a solution. All constraints and optimality conditions are satisfied.</t>
        </r>
      </text>
    </comment>
    <comment ref="K7" authorId="0" shapeId="0" xr:uid="{3D14624F-98A5-4A68-914A-59AE1F049EA1}">
      <text>
        <r>
          <rPr>
            <sz val="9"/>
            <color indexed="81"/>
            <rFont val="Tahoma"/>
            <family val="2"/>
          </rPr>
          <t>Solver found a solution. All constraints and optimality conditions are satisfied.</t>
        </r>
      </text>
    </comment>
    <comment ref="L7" authorId="0" shapeId="0" xr:uid="{99F8FBC8-5A64-45BF-B651-A60F31ECE978}">
      <text>
        <r>
          <rPr>
            <sz val="9"/>
            <color indexed="81"/>
            <rFont val="Tahoma"/>
            <family val="2"/>
          </rPr>
          <t>Solver found a solution. All constraints and optimality conditions are satisfied.</t>
        </r>
      </text>
    </comment>
    <comment ref="M7" authorId="0" shapeId="0" xr:uid="{F3009A0C-6A3B-468E-8E27-11A11BA1E1D3}">
      <text>
        <r>
          <rPr>
            <sz val="9"/>
            <color indexed="81"/>
            <rFont val="Tahoma"/>
            <family val="2"/>
          </rPr>
          <t>Solver found a solution. All constraints and optimality conditions are satisfied.</t>
        </r>
      </text>
    </comment>
    <comment ref="N7" authorId="0" shapeId="0" xr:uid="{7AC8B6C9-701C-4105-BD5C-6301297E8CE9}">
      <text>
        <r>
          <rPr>
            <sz val="9"/>
            <color indexed="81"/>
            <rFont val="Tahoma"/>
            <family val="2"/>
          </rPr>
          <t>Solver found a solution. All constraints and optimality conditions are satisfied.</t>
        </r>
      </text>
    </comment>
    <comment ref="O7" authorId="0" shapeId="0" xr:uid="{5FBCBC24-0CC1-4DD3-81C0-A68C33327C06}">
      <text>
        <r>
          <rPr>
            <sz val="9"/>
            <color indexed="81"/>
            <rFont val="Tahoma"/>
            <family val="2"/>
          </rPr>
          <t>Solver found a solution. All constraints and optimality conditions are satisfied.</t>
        </r>
      </text>
    </comment>
    <comment ref="P7" authorId="0" shapeId="0" xr:uid="{47150437-0075-408D-A7BF-4903DBDF0FA4}">
      <text>
        <r>
          <rPr>
            <sz val="9"/>
            <color indexed="81"/>
            <rFont val="Tahoma"/>
            <family val="2"/>
          </rPr>
          <t>Solver found a solution. All constraints and optimality conditions are satisfied.</t>
        </r>
      </text>
    </comment>
    <comment ref="Q7" authorId="0" shapeId="0" xr:uid="{51DBE008-67A6-43DB-94E2-26E358ED1E6B}">
      <text>
        <r>
          <rPr>
            <sz val="9"/>
            <color indexed="81"/>
            <rFont val="Tahoma"/>
            <family val="2"/>
          </rPr>
          <t>Solver found a solution. All constraints and optimality conditions are satisfied.</t>
        </r>
      </text>
    </comment>
    <comment ref="B8" authorId="0" shapeId="0" xr:uid="{0B1948E0-F21D-44F3-B63F-F8F8A33CD905}">
      <text>
        <r>
          <rPr>
            <sz val="9"/>
            <color indexed="81"/>
            <rFont val="Tahoma"/>
            <family val="2"/>
          </rPr>
          <t>Solver found a solution. All constraints and optimality conditions are satisfied.</t>
        </r>
      </text>
    </comment>
    <comment ref="C8" authorId="0" shapeId="0" xr:uid="{D2D696A6-A3E1-4A0F-96F7-39570A7F003B}">
      <text>
        <r>
          <rPr>
            <sz val="9"/>
            <color indexed="81"/>
            <rFont val="Tahoma"/>
            <family val="2"/>
          </rPr>
          <t>Solver found a solution. All constraints and optimality conditions are satisfied.</t>
        </r>
      </text>
    </comment>
    <comment ref="D8" authorId="0" shapeId="0" xr:uid="{4E5647A9-D4A0-443D-8D1D-80DEF2AA5235}">
      <text>
        <r>
          <rPr>
            <sz val="9"/>
            <color indexed="81"/>
            <rFont val="Tahoma"/>
            <family val="2"/>
          </rPr>
          <t>Solver found a solution. All constraints and optimality conditions are satisfied.</t>
        </r>
      </text>
    </comment>
    <comment ref="E8" authorId="0" shapeId="0" xr:uid="{7164FD31-1C04-42B2-8ECA-71406E3BE636}">
      <text>
        <r>
          <rPr>
            <sz val="9"/>
            <color indexed="81"/>
            <rFont val="Tahoma"/>
            <family val="2"/>
          </rPr>
          <t>Solver found a solution. All constraints and optimality conditions are satisfied.</t>
        </r>
      </text>
    </comment>
    <comment ref="F8" authorId="0" shapeId="0" xr:uid="{70E8CAEF-10CC-41F9-A28D-C506DAEE034C}">
      <text>
        <r>
          <rPr>
            <sz val="9"/>
            <color indexed="81"/>
            <rFont val="Tahoma"/>
            <family val="2"/>
          </rPr>
          <t>Solver found a solution. All constraints and optimality conditions are satisfied.</t>
        </r>
      </text>
    </comment>
    <comment ref="G8" authorId="0" shapeId="0" xr:uid="{A29A1065-548B-49E0-9138-FF2A32E13466}">
      <text>
        <r>
          <rPr>
            <sz val="9"/>
            <color indexed="81"/>
            <rFont val="Tahoma"/>
            <family val="2"/>
          </rPr>
          <t>Solver found a solution. All constraints and optimality conditions are satisfied.</t>
        </r>
      </text>
    </comment>
    <comment ref="H8" authorId="0" shapeId="0" xr:uid="{B67DBFF7-740C-4652-B02D-1865885F8FBD}">
      <text>
        <r>
          <rPr>
            <sz val="9"/>
            <color indexed="81"/>
            <rFont val="Tahoma"/>
            <family val="2"/>
          </rPr>
          <t>Solver found a solution. All constraints and optimality conditions are satisfied.</t>
        </r>
      </text>
    </comment>
    <comment ref="I8" authorId="0" shapeId="0" xr:uid="{3DB4BB43-3E50-4C55-8D37-00AC0F3AC9ED}">
      <text>
        <r>
          <rPr>
            <sz val="9"/>
            <color indexed="81"/>
            <rFont val="Tahoma"/>
            <family val="2"/>
          </rPr>
          <t>Solver found a solution. All constraints and optimality conditions are satisfied.</t>
        </r>
      </text>
    </comment>
    <comment ref="J8" authorId="0" shapeId="0" xr:uid="{DB4EDE6B-1D9B-49D1-A61C-7B69D41E32A6}">
      <text>
        <r>
          <rPr>
            <sz val="9"/>
            <color indexed="81"/>
            <rFont val="Tahoma"/>
            <family val="2"/>
          </rPr>
          <t>Solver found a solution. All constraints and optimality conditions are satisfied.</t>
        </r>
      </text>
    </comment>
    <comment ref="K8" authorId="0" shapeId="0" xr:uid="{EE96A5F7-7396-4F36-B500-254DA36C4C8A}">
      <text>
        <r>
          <rPr>
            <sz val="9"/>
            <color indexed="81"/>
            <rFont val="Tahoma"/>
            <family val="2"/>
          </rPr>
          <t>Solver found a solution. All constraints and optimality conditions are satisfied.</t>
        </r>
      </text>
    </comment>
    <comment ref="L8" authorId="0" shapeId="0" xr:uid="{065CE1F6-8EA9-4B51-83B5-2D7EB3A95783}">
      <text>
        <r>
          <rPr>
            <sz val="9"/>
            <color indexed="81"/>
            <rFont val="Tahoma"/>
            <family val="2"/>
          </rPr>
          <t>Solver found a solution. All constraints and optimality conditions are satisfied.</t>
        </r>
      </text>
    </comment>
    <comment ref="M8" authorId="0" shapeId="0" xr:uid="{A636490C-C792-4888-B255-C28DC51EE5B6}">
      <text>
        <r>
          <rPr>
            <sz val="9"/>
            <color indexed="81"/>
            <rFont val="Tahoma"/>
            <family val="2"/>
          </rPr>
          <t>Solver found a solution. All constraints and optimality conditions are satisfied.</t>
        </r>
      </text>
    </comment>
    <comment ref="N8" authorId="0" shapeId="0" xr:uid="{EA7F58C2-C6C9-44ED-9F34-3BC8C3ED552E}">
      <text>
        <r>
          <rPr>
            <sz val="9"/>
            <color indexed="81"/>
            <rFont val="Tahoma"/>
            <family val="2"/>
          </rPr>
          <t>Solver found a solution. All constraints and optimality conditions are satisfied.</t>
        </r>
      </text>
    </comment>
    <comment ref="O8" authorId="0" shapeId="0" xr:uid="{B7319B25-5E1F-4112-A05B-35388DAACB51}">
      <text>
        <r>
          <rPr>
            <sz val="9"/>
            <color indexed="81"/>
            <rFont val="Tahoma"/>
            <family val="2"/>
          </rPr>
          <t>Solver found a solution. All constraints and optimality conditions are satisfied.</t>
        </r>
      </text>
    </comment>
    <comment ref="P8" authorId="0" shapeId="0" xr:uid="{4D683F70-0E0D-4FFC-B796-3E42A1C712B6}">
      <text>
        <r>
          <rPr>
            <sz val="9"/>
            <color indexed="81"/>
            <rFont val="Tahoma"/>
            <family val="2"/>
          </rPr>
          <t>Solver found a solution. All constraints and optimality conditions are satisfied.</t>
        </r>
      </text>
    </comment>
    <comment ref="Q8" authorId="0" shapeId="0" xr:uid="{C094E7B9-9125-479F-ABC1-C596A2248C14}">
      <text>
        <r>
          <rPr>
            <sz val="9"/>
            <color indexed="81"/>
            <rFont val="Tahoma"/>
            <family val="2"/>
          </rPr>
          <t>Solver found a solution. All constraints and optimality conditions are satisfied.</t>
        </r>
      </text>
    </comment>
    <comment ref="B9" authorId="0" shapeId="0" xr:uid="{D884AA7A-83FE-4D3F-86BD-1B31D203B2BE}">
      <text>
        <r>
          <rPr>
            <sz val="9"/>
            <color indexed="81"/>
            <rFont val="Tahoma"/>
            <family val="2"/>
          </rPr>
          <t>Solver found a solution. All constraints and optimality conditions are satisfied.</t>
        </r>
      </text>
    </comment>
    <comment ref="C9" authorId="0" shapeId="0" xr:uid="{8E2C450E-EF3F-4B13-B464-DC4F7932C4E4}">
      <text>
        <r>
          <rPr>
            <sz val="9"/>
            <color indexed="81"/>
            <rFont val="Tahoma"/>
            <family val="2"/>
          </rPr>
          <t>Solver found a solution. All constraints and optimality conditions are satisfied.</t>
        </r>
      </text>
    </comment>
    <comment ref="D9" authorId="0" shapeId="0" xr:uid="{CFC6F068-871B-45CC-8349-9BF4DE3F99F3}">
      <text>
        <r>
          <rPr>
            <sz val="9"/>
            <color indexed="81"/>
            <rFont val="Tahoma"/>
            <family val="2"/>
          </rPr>
          <t>Solver found a solution. All constraints and optimality conditions are satisfied.</t>
        </r>
      </text>
    </comment>
    <comment ref="E9" authorId="0" shapeId="0" xr:uid="{94252997-6E7E-4ADB-BF13-FE0EEAFCDDA5}">
      <text>
        <r>
          <rPr>
            <sz val="9"/>
            <color indexed="81"/>
            <rFont val="Tahoma"/>
            <family val="2"/>
          </rPr>
          <t>Solver found a solution. All constraints and optimality conditions are satisfied.</t>
        </r>
      </text>
    </comment>
    <comment ref="F9" authorId="0" shapeId="0" xr:uid="{5779A003-1D35-4107-B4F3-58592E9657CF}">
      <text>
        <r>
          <rPr>
            <sz val="9"/>
            <color indexed="81"/>
            <rFont val="Tahoma"/>
            <family val="2"/>
          </rPr>
          <t>Solver found a solution. All constraints and optimality conditions are satisfied.</t>
        </r>
      </text>
    </comment>
    <comment ref="G9" authorId="0" shapeId="0" xr:uid="{8C066774-79D8-4DE2-A213-38AC834FE389}">
      <text>
        <r>
          <rPr>
            <sz val="9"/>
            <color indexed="81"/>
            <rFont val="Tahoma"/>
            <family val="2"/>
          </rPr>
          <t>Solver found a solution. All constraints and optimality conditions are satisfied.</t>
        </r>
      </text>
    </comment>
    <comment ref="H9" authorId="0" shapeId="0" xr:uid="{5000526A-A679-438A-A337-DE6C6AFB9BD4}">
      <text>
        <r>
          <rPr>
            <sz val="9"/>
            <color indexed="81"/>
            <rFont val="Tahoma"/>
            <family val="2"/>
          </rPr>
          <t>Solver found a solution. All constraints and optimality conditions are satisfied.</t>
        </r>
      </text>
    </comment>
    <comment ref="I9" authorId="0" shapeId="0" xr:uid="{CD672765-7D94-42CD-8132-E1B1892D0A01}">
      <text>
        <r>
          <rPr>
            <sz val="9"/>
            <color indexed="81"/>
            <rFont val="Tahoma"/>
            <family val="2"/>
          </rPr>
          <t>Solver found a solution. All constraints and optimality conditions are satisfied.</t>
        </r>
      </text>
    </comment>
    <comment ref="J9" authorId="0" shapeId="0" xr:uid="{B1C6147B-53E8-47EE-AFA0-0250571F96B8}">
      <text>
        <r>
          <rPr>
            <sz val="9"/>
            <color indexed="81"/>
            <rFont val="Tahoma"/>
            <family val="2"/>
          </rPr>
          <t>Solver found a solution. All constraints and optimality conditions are satisfied.</t>
        </r>
      </text>
    </comment>
    <comment ref="K9" authorId="0" shapeId="0" xr:uid="{4BA416C5-25CF-4B26-8C29-18490A2E8945}">
      <text>
        <r>
          <rPr>
            <sz val="9"/>
            <color indexed="81"/>
            <rFont val="Tahoma"/>
            <family val="2"/>
          </rPr>
          <t>Solver found a solution. All constraints and optimality conditions are satisfied.</t>
        </r>
      </text>
    </comment>
    <comment ref="L9" authorId="0" shapeId="0" xr:uid="{75DA4F1A-5803-4B0B-A0AF-7670DD339C7B}">
      <text>
        <r>
          <rPr>
            <sz val="9"/>
            <color indexed="81"/>
            <rFont val="Tahoma"/>
            <family val="2"/>
          </rPr>
          <t>Solver found a solution. All constraints and optimality conditions are satisfied.</t>
        </r>
      </text>
    </comment>
    <comment ref="M9" authorId="0" shapeId="0" xr:uid="{A923B5D5-A1F3-48C3-8D84-C3105EFB1D8B}">
      <text>
        <r>
          <rPr>
            <sz val="9"/>
            <color indexed="81"/>
            <rFont val="Tahoma"/>
            <family val="2"/>
          </rPr>
          <t>Solver found a solution. All constraints and optimality conditions are satisfied.</t>
        </r>
      </text>
    </comment>
    <comment ref="N9" authorId="0" shapeId="0" xr:uid="{FB595F1D-F642-4AED-AA11-BBE725894F1E}">
      <text>
        <r>
          <rPr>
            <sz val="9"/>
            <color indexed="81"/>
            <rFont val="Tahoma"/>
            <family val="2"/>
          </rPr>
          <t>Solver found a solution. All constraints and optimality conditions are satisfied.</t>
        </r>
      </text>
    </comment>
    <comment ref="O9" authorId="0" shapeId="0" xr:uid="{6892911F-70A8-4DBF-8540-82BC4C89EAD0}">
      <text>
        <r>
          <rPr>
            <sz val="9"/>
            <color indexed="81"/>
            <rFont val="Tahoma"/>
            <family val="2"/>
          </rPr>
          <t>Solver found a solution. All constraints and optimality conditions are satisfied.</t>
        </r>
      </text>
    </comment>
    <comment ref="P9" authorId="0" shapeId="0" xr:uid="{3D2BE69C-F39A-4445-88B9-8CCADDC8B270}">
      <text>
        <r>
          <rPr>
            <sz val="9"/>
            <color indexed="81"/>
            <rFont val="Tahoma"/>
            <family val="2"/>
          </rPr>
          <t>Solver found a solution. All constraints and optimality conditions are satisfied.</t>
        </r>
      </text>
    </comment>
    <comment ref="Q9" authorId="0" shapeId="0" xr:uid="{C700BD17-66CC-43EA-8D83-889235A1BE8E}">
      <text>
        <r>
          <rPr>
            <sz val="9"/>
            <color indexed="81"/>
            <rFont val="Tahoma"/>
            <family val="2"/>
          </rPr>
          <t>Solver found a solution. All constraints and optimality conditions are satisfied.</t>
        </r>
      </text>
    </comment>
    <comment ref="B10" authorId="0" shapeId="0" xr:uid="{3A293AFB-C116-40B6-B071-28692C2012BE}">
      <text>
        <r>
          <rPr>
            <sz val="9"/>
            <color indexed="81"/>
            <rFont val="Tahoma"/>
            <family val="2"/>
          </rPr>
          <t>Solver found a solution. All constraints and optimality conditions are satisfied.</t>
        </r>
      </text>
    </comment>
    <comment ref="C10" authorId="0" shapeId="0" xr:uid="{1F13FF6E-DBA1-4D37-94CC-CEB9F36C3D30}">
      <text>
        <r>
          <rPr>
            <sz val="9"/>
            <color indexed="81"/>
            <rFont val="Tahoma"/>
            <family val="2"/>
          </rPr>
          <t>Solver found a solution. All constraints and optimality conditions are satisfied.</t>
        </r>
      </text>
    </comment>
    <comment ref="D10" authorId="0" shapeId="0" xr:uid="{284024F1-335E-4E51-863E-ABA49982E81C}">
      <text>
        <r>
          <rPr>
            <sz val="9"/>
            <color indexed="81"/>
            <rFont val="Tahoma"/>
            <family val="2"/>
          </rPr>
          <t>Solver found a solution. All constraints and optimality conditions are satisfied.</t>
        </r>
      </text>
    </comment>
    <comment ref="E10" authorId="0" shapeId="0" xr:uid="{F924DCC0-3F00-4602-AAB0-76738D00FA92}">
      <text>
        <r>
          <rPr>
            <sz val="9"/>
            <color indexed="81"/>
            <rFont val="Tahoma"/>
            <family val="2"/>
          </rPr>
          <t>Solver found a solution. All constraints and optimality conditions are satisfied.</t>
        </r>
      </text>
    </comment>
    <comment ref="F10" authorId="0" shapeId="0" xr:uid="{8BB50F1A-8800-4CA3-8400-E7E89E41CC28}">
      <text>
        <r>
          <rPr>
            <sz val="9"/>
            <color indexed="81"/>
            <rFont val="Tahoma"/>
            <family val="2"/>
          </rPr>
          <t>Solver found a solution. All constraints and optimality conditions are satisfied.</t>
        </r>
      </text>
    </comment>
    <comment ref="G10" authorId="0" shapeId="0" xr:uid="{4ADF8C39-9779-420E-AA53-28BD880DDBA7}">
      <text>
        <r>
          <rPr>
            <sz val="9"/>
            <color indexed="81"/>
            <rFont val="Tahoma"/>
            <family val="2"/>
          </rPr>
          <t>Solver found a solution. All constraints and optimality conditions are satisfied.</t>
        </r>
      </text>
    </comment>
    <comment ref="H10" authorId="0" shapeId="0" xr:uid="{48118D9C-776F-4A5F-9D07-B7855C8E403A}">
      <text>
        <r>
          <rPr>
            <sz val="9"/>
            <color indexed="81"/>
            <rFont val="Tahoma"/>
            <family val="2"/>
          </rPr>
          <t>Solver found a solution. All constraints and optimality conditions are satisfied.</t>
        </r>
      </text>
    </comment>
    <comment ref="I10" authorId="0" shapeId="0" xr:uid="{2141607D-FBA8-4526-B47C-5F4158514AC5}">
      <text>
        <r>
          <rPr>
            <sz val="9"/>
            <color indexed="81"/>
            <rFont val="Tahoma"/>
            <family val="2"/>
          </rPr>
          <t>Solver found a solution. All constraints and optimality conditions are satisfied.</t>
        </r>
      </text>
    </comment>
    <comment ref="J10" authorId="0" shapeId="0" xr:uid="{A0A21A43-9C0D-4B9D-BF1B-B9AF1E730CC8}">
      <text>
        <r>
          <rPr>
            <sz val="9"/>
            <color indexed="81"/>
            <rFont val="Tahoma"/>
            <family val="2"/>
          </rPr>
          <t>Solver found a solution. All constraints and optimality conditions are satisfied.</t>
        </r>
      </text>
    </comment>
    <comment ref="K10" authorId="0" shapeId="0" xr:uid="{93CC69D0-A9BF-4FDE-8841-047A632ED77D}">
      <text>
        <r>
          <rPr>
            <sz val="9"/>
            <color indexed="81"/>
            <rFont val="Tahoma"/>
            <family val="2"/>
          </rPr>
          <t>Solver found a solution. All constraints and optimality conditions are satisfied.</t>
        </r>
      </text>
    </comment>
    <comment ref="L10" authorId="0" shapeId="0" xr:uid="{CA7B7F4C-1DB3-4764-BD00-3B36B3FC62EB}">
      <text>
        <r>
          <rPr>
            <sz val="9"/>
            <color indexed="81"/>
            <rFont val="Tahoma"/>
            <family val="2"/>
          </rPr>
          <t>Solver found a solution. All constraints and optimality conditions are satisfied.</t>
        </r>
      </text>
    </comment>
    <comment ref="M10" authorId="0" shapeId="0" xr:uid="{02764A39-326D-4775-84BF-9B3BD219A8CD}">
      <text>
        <r>
          <rPr>
            <sz val="9"/>
            <color indexed="81"/>
            <rFont val="Tahoma"/>
            <family val="2"/>
          </rPr>
          <t>Solver found a solution. All constraints and optimality conditions are satisfied.</t>
        </r>
      </text>
    </comment>
    <comment ref="N10" authorId="0" shapeId="0" xr:uid="{B71ACACD-14AC-4FF6-A30A-7F40B5EBBB3E}">
      <text>
        <r>
          <rPr>
            <sz val="9"/>
            <color indexed="81"/>
            <rFont val="Tahoma"/>
            <family val="2"/>
          </rPr>
          <t>Solver found a solution. All constraints and optimality conditions are satisfied.</t>
        </r>
      </text>
    </comment>
    <comment ref="O10" authorId="0" shapeId="0" xr:uid="{407EA919-C1AF-4323-A137-9740C2223941}">
      <text>
        <r>
          <rPr>
            <sz val="9"/>
            <color indexed="81"/>
            <rFont val="Tahoma"/>
            <family val="2"/>
          </rPr>
          <t>Solver found a solution. All constraints and optimality conditions are satisfied.</t>
        </r>
      </text>
    </comment>
    <comment ref="P10" authorId="0" shapeId="0" xr:uid="{619E7819-2A1C-4F25-88F5-DDF205B00FB4}">
      <text>
        <r>
          <rPr>
            <sz val="9"/>
            <color indexed="81"/>
            <rFont val="Tahoma"/>
            <family val="2"/>
          </rPr>
          <t>Solver found a solution. All constraints and optimality conditions are satisfied.</t>
        </r>
      </text>
    </comment>
    <comment ref="Q10" authorId="0" shapeId="0" xr:uid="{1FB570F4-98B9-49CC-A267-FBC281B46B97}">
      <text>
        <r>
          <rPr>
            <sz val="9"/>
            <color indexed="81"/>
            <rFont val="Tahoma"/>
            <family val="2"/>
          </rPr>
          <t>Solver found a solution. All constraints and optimality conditions are satisfied.</t>
        </r>
      </text>
    </comment>
    <comment ref="B11" authorId="0" shapeId="0" xr:uid="{BF964F7C-F0B9-44B5-B95E-606963B3A040}">
      <text>
        <r>
          <rPr>
            <sz val="9"/>
            <color indexed="81"/>
            <rFont val="Tahoma"/>
            <family val="2"/>
          </rPr>
          <t>Solver found a solution. All constraints and optimality conditions are satisfied.</t>
        </r>
      </text>
    </comment>
    <comment ref="C11" authorId="0" shapeId="0" xr:uid="{83562390-59D1-4926-8029-CAC17A5D6303}">
      <text>
        <r>
          <rPr>
            <sz val="9"/>
            <color indexed="81"/>
            <rFont val="Tahoma"/>
            <family val="2"/>
          </rPr>
          <t>Solver found a solution. All constraints and optimality conditions are satisfied.</t>
        </r>
      </text>
    </comment>
    <comment ref="D11" authorId="0" shapeId="0" xr:uid="{380BD622-A9AF-4EC8-954B-97920DDC1EC7}">
      <text>
        <r>
          <rPr>
            <sz val="9"/>
            <color indexed="81"/>
            <rFont val="Tahoma"/>
            <family val="2"/>
          </rPr>
          <t>Solver found a solution. All constraints and optimality conditions are satisfied.</t>
        </r>
      </text>
    </comment>
    <comment ref="E11" authorId="0" shapeId="0" xr:uid="{B492CB20-89C7-4E08-AD76-F08CB3BA825E}">
      <text>
        <r>
          <rPr>
            <sz val="9"/>
            <color indexed="81"/>
            <rFont val="Tahoma"/>
            <family val="2"/>
          </rPr>
          <t>Solver found a solution. All constraints and optimality conditions are satisfied.</t>
        </r>
      </text>
    </comment>
    <comment ref="F11" authorId="0" shapeId="0" xr:uid="{43A9C42B-E7AE-4650-82F7-A2B2043F7226}">
      <text>
        <r>
          <rPr>
            <sz val="9"/>
            <color indexed="81"/>
            <rFont val="Tahoma"/>
            <family val="2"/>
          </rPr>
          <t>Solver found a solution. All constraints and optimality conditions are satisfied.</t>
        </r>
      </text>
    </comment>
    <comment ref="G11" authorId="0" shapeId="0" xr:uid="{D8DE3FC7-7559-404C-8B55-63710BCC6034}">
      <text>
        <r>
          <rPr>
            <sz val="9"/>
            <color indexed="81"/>
            <rFont val="Tahoma"/>
            <family val="2"/>
          </rPr>
          <t>Solver found a solution. All constraints and optimality conditions are satisfied.</t>
        </r>
      </text>
    </comment>
    <comment ref="H11" authorId="0" shapeId="0" xr:uid="{06E183A1-833A-450C-A8E3-51D5B30D9AB1}">
      <text>
        <r>
          <rPr>
            <sz val="9"/>
            <color indexed="81"/>
            <rFont val="Tahoma"/>
            <family val="2"/>
          </rPr>
          <t>Solver found a solution. All constraints and optimality conditions are satisfied.</t>
        </r>
      </text>
    </comment>
    <comment ref="I11" authorId="0" shapeId="0" xr:uid="{2F194CB5-ABB2-4E6F-AFFF-0BA5A99D1122}">
      <text>
        <r>
          <rPr>
            <sz val="9"/>
            <color indexed="81"/>
            <rFont val="Tahoma"/>
            <family val="2"/>
          </rPr>
          <t>Solver found a solution. All constraints and optimality conditions are satisfied.</t>
        </r>
      </text>
    </comment>
    <comment ref="J11" authorId="0" shapeId="0" xr:uid="{789747BA-49DB-43D6-8A9A-3682D9E25B69}">
      <text>
        <r>
          <rPr>
            <sz val="9"/>
            <color indexed="81"/>
            <rFont val="Tahoma"/>
            <family val="2"/>
          </rPr>
          <t>Solver found a solution. All constraints and optimality conditions are satisfied.</t>
        </r>
      </text>
    </comment>
    <comment ref="K11" authorId="0" shapeId="0" xr:uid="{6D2B993F-8EC8-4BC7-886F-6F408020549E}">
      <text>
        <r>
          <rPr>
            <sz val="9"/>
            <color indexed="81"/>
            <rFont val="Tahoma"/>
            <family val="2"/>
          </rPr>
          <t>Solver found a solution. All constraints and optimality conditions are satisfied.</t>
        </r>
      </text>
    </comment>
    <comment ref="L11" authorId="0" shapeId="0" xr:uid="{E11606C3-F029-454C-91A2-95FC03D4C8AA}">
      <text>
        <r>
          <rPr>
            <sz val="9"/>
            <color indexed="81"/>
            <rFont val="Tahoma"/>
            <family val="2"/>
          </rPr>
          <t>Solver found a solution. All constraints and optimality conditions are satisfied.</t>
        </r>
      </text>
    </comment>
    <comment ref="M11" authorId="0" shapeId="0" xr:uid="{AA05E2FF-AC6E-4D81-97ED-79F199553C5C}">
      <text>
        <r>
          <rPr>
            <sz val="9"/>
            <color indexed="81"/>
            <rFont val="Tahoma"/>
            <family val="2"/>
          </rPr>
          <t>Solver found a solution. All constraints and optimality conditions are satisfied.</t>
        </r>
      </text>
    </comment>
    <comment ref="N11" authorId="0" shapeId="0" xr:uid="{10BEF7E1-2157-4723-8E4C-3913D5756C5E}">
      <text>
        <r>
          <rPr>
            <sz val="9"/>
            <color indexed="81"/>
            <rFont val="Tahoma"/>
            <family val="2"/>
          </rPr>
          <t>Solver found a solution. All constraints and optimality conditions are satisfied.</t>
        </r>
      </text>
    </comment>
    <comment ref="O11" authorId="0" shapeId="0" xr:uid="{3D0A2AB4-C825-49A9-95A9-BC806F4B835A}">
      <text>
        <r>
          <rPr>
            <sz val="9"/>
            <color indexed="81"/>
            <rFont val="Tahoma"/>
            <family val="2"/>
          </rPr>
          <t>Solver found a solution. All constraints and optimality conditions are satisfied.</t>
        </r>
      </text>
    </comment>
    <comment ref="P11" authorId="0" shapeId="0" xr:uid="{1811F8FF-3FBC-42C1-B02C-5FA41A239F13}">
      <text>
        <r>
          <rPr>
            <sz val="9"/>
            <color indexed="81"/>
            <rFont val="Tahoma"/>
            <family val="2"/>
          </rPr>
          <t>Solver found a solution. All constraints and optimality conditions are satisfied.</t>
        </r>
      </text>
    </comment>
    <comment ref="Q11" authorId="0" shapeId="0" xr:uid="{94770971-645A-4FFD-A420-7026117FA37D}">
      <text>
        <r>
          <rPr>
            <sz val="9"/>
            <color indexed="81"/>
            <rFont val="Tahoma"/>
            <family val="2"/>
          </rPr>
          <t>Solver found a solution. All constraints and optimality conditions are satisfied.</t>
        </r>
      </text>
    </comment>
    <comment ref="B12" authorId="0" shapeId="0" xr:uid="{AF867A17-0F11-43DF-957C-5F98DA044442}">
      <text>
        <r>
          <rPr>
            <sz val="9"/>
            <color indexed="81"/>
            <rFont val="Tahoma"/>
            <family val="2"/>
          </rPr>
          <t>Solver found a solution. All constraints and optimality conditions are satisfied.</t>
        </r>
      </text>
    </comment>
    <comment ref="C12" authorId="0" shapeId="0" xr:uid="{BFD2C403-923F-48B4-93FC-F62D051CD6CC}">
      <text>
        <r>
          <rPr>
            <sz val="9"/>
            <color indexed="81"/>
            <rFont val="Tahoma"/>
            <family val="2"/>
          </rPr>
          <t>Solver found a solution. All constraints and optimality conditions are satisfied.</t>
        </r>
      </text>
    </comment>
    <comment ref="D12" authorId="0" shapeId="0" xr:uid="{A2486F4A-27CA-44E3-A53D-A97535E8D8E6}">
      <text>
        <r>
          <rPr>
            <sz val="9"/>
            <color indexed="81"/>
            <rFont val="Tahoma"/>
            <family val="2"/>
          </rPr>
          <t>Solver found a solution. All constraints and optimality conditions are satisfied.</t>
        </r>
      </text>
    </comment>
    <comment ref="E12" authorId="0" shapeId="0" xr:uid="{3E856673-2CDF-4DE3-88C3-56F08AE55B73}">
      <text>
        <r>
          <rPr>
            <sz val="9"/>
            <color indexed="81"/>
            <rFont val="Tahoma"/>
            <family val="2"/>
          </rPr>
          <t>Solver found a solution. All constraints and optimality conditions are satisfied.</t>
        </r>
      </text>
    </comment>
    <comment ref="F12" authorId="0" shapeId="0" xr:uid="{407D66BA-651D-4F29-A225-A46384912619}">
      <text>
        <r>
          <rPr>
            <sz val="9"/>
            <color indexed="81"/>
            <rFont val="Tahoma"/>
            <family val="2"/>
          </rPr>
          <t>Solver found a solution. All constraints and optimality conditions are satisfied.</t>
        </r>
      </text>
    </comment>
    <comment ref="G12" authorId="0" shapeId="0" xr:uid="{41B8DAA2-497C-4B4D-8C4A-0B4932F21C30}">
      <text>
        <r>
          <rPr>
            <sz val="9"/>
            <color indexed="81"/>
            <rFont val="Tahoma"/>
            <family val="2"/>
          </rPr>
          <t>Solver found a solution. All constraints and optimality conditions are satisfied.</t>
        </r>
      </text>
    </comment>
    <comment ref="H12" authorId="0" shapeId="0" xr:uid="{03690937-53D3-4745-9C55-250A450FC85C}">
      <text>
        <r>
          <rPr>
            <sz val="9"/>
            <color indexed="81"/>
            <rFont val="Tahoma"/>
            <family val="2"/>
          </rPr>
          <t>Solver found a solution. All constraints and optimality conditions are satisfied.</t>
        </r>
      </text>
    </comment>
    <comment ref="I12" authorId="0" shapeId="0" xr:uid="{95072942-40A7-4299-90BC-F53510EDD50C}">
      <text>
        <r>
          <rPr>
            <sz val="9"/>
            <color indexed="81"/>
            <rFont val="Tahoma"/>
            <family val="2"/>
          </rPr>
          <t>Solver found a solution. All constraints and optimality conditions are satisfied.</t>
        </r>
      </text>
    </comment>
    <comment ref="J12" authorId="0" shapeId="0" xr:uid="{9524A594-C1D8-4F24-8322-FF7263AC18C8}">
      <text>
        <r>
          <rPr>
            <sz val="9"/>
            <color indexed="81"/>
            <rFont val="Tahoma"/>
            <family val="2"/>
          </rPr>
          <t>Solver found a solution. All constraints and optimality conditions are satisfied.</t>
        </r>
      </text>
    </comment>
    <comment ref="K12" authorId="0" shapeId="0" xr:uid="{FA73A9AF-20C1-411B-9538-4D9E9F1A34FC}">
      <text>
        <r>
          <rPr>
            <sz val="9"/>
            <color indexed="81"/>
            <rFont val="Tahoma"/>
            <family val="2"/>
          </rPr>
          <t>Solver found a solution. All constraints and optimality conditions are satisfied.</t>
        </r>
      </text>
    </comment>
    <comment ref="L12" authorId="0" shapeId="0" xr:uid="{82D80455-0011-47D7-BCD2-6F573E9F6EE3}">
      <text>
        <r>
          <rPr>
            <sz val="9"/>
            <color indexed="81"/>
            <rFont val="Tahoma"/>
            <family val="2"/>
          </rPr>
          <t>Solver found a solution. All constraints and optimality conditions are satisfied.</t>
        </r>
      </text>
    </comment>
    <comment ref="M12" authorId="0" shapeId="0" xr:uid="{9EA8405F-FBA0-408F-A0D6-385CA81AB46E}">
      <text>
        <r>
          <rPr>
            <sz val="9"/>
            <color indexed="81"/>
            <rFont val="Tahoma"/>
            <family val="2"/>
          </rPr>
          <t>Solver found a solution. All constraints and optimality conditions are satisfied.</t>
        </r>
      </text>
    </comment>
    <comment ref="N12" authorId="0" shapeId="0" xr:uid="{36CA44A3-6885-4350-807F-173A33479353}">
      <text>
        <r>
          <rPr>
            <sz val="9"/>
            <color indexed="81"/>
            <rFont val="Tahoma"/>
            <family val="2"/>
          </rPr>
          <t>Solver found a solution. All constraints and optimality conditions are satisfied.</t>
        </r>
      </text>
    </comment>
    <comment ref="O12" authorId="0" shapeId="0" xr:uid="{15D9FC9E-35D5-4507-9CA9-FCB3DAD079C6}">
      <text>
        <r>
          <rPr>
            <sz val="9"/>
            <color indexed="81"/>
            <rFont val="Tahoma"/>
            <family val="2"/>
          </rPr>
          <t>Solver found a solution. All constraints and optimality conditions are satisfied.</t>
        </r>
      </text>
    </comment>
    <comment ref="P12" authorId="0" shapeId="0" xr:uid="{7E82807B-F590-4E12-AF09-724AE5B575CE}">
      <text>
        <r>
          <rPr>
            <sz val="9"/>
            <color indexed="81"/>
            <rFont val="Tahoma"/>
            <family val="2"/>
          </rPr>
          <t>Solver found a solution. All constraints and optimality conditions are satisfied.</t>
        </r>
      </text>
    </comment>
    <comment ref="Q12" authorId="0" shapeId="0" xr:uid="{10B90880-2AE4-4A13-865B-4C6E76D82BE3}">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<sst xmlns="http://schemas.openxmlformats.org/spreadsheetml/2006/main" count="445" uniqueCount="325">
  <si>
    <t>NewAge data</t>
  </si>
  <si>
    <t>Cost/lb of chemicals</t>
  </si>
  <si>
    <t>Chemical 1</t>
  </si>
  <si>
    <t>Chemical 2</t>
  </si>
  <si>
    <t>Chemical 3</t>
  </si>
  <si>
    <t>Chemical 4</t>
  </si>
  <si>
    <t>Ingredient/lb of chemical</t>
  </si>
  <si>
    <t>A</t>
  </si>
  <si>
    <t>B</t>
  </si>
  <si>
    <t>Objective:</t>
  </si>
  <si>
    <t>Constraints:</t>
  </si>
  <si>
    <t>Produce atleast 5000 lb of drugs</t>
  </si>
  <si>
    <t>weight of A &gt;= 7% of total drug weight</t>
  </si>
  <si>
    <t>weight of B &gt;= 5% of total drug weight</t>
  </si>
  <si>
    <t>weight of C &gt;= 3% of total drug weight</t>
  </si>
  <si>
    <t>DV:</t>
  </si>
  <si>
    <t>total weight of chemical 3 &gt;=  600 lb</t>
  </si>
  <si>
    <t>Weight of chemicals used in pounds (x4)</t>
  </si>
  <si>
    <t>Purchased weight</t>
  </si>
  <si>
    <t>pur_weight_Chemical 1</t>
  </si>
  <si>
    <t>pur_weight_Chemical 2</t>
  </si>
  <si>
    <t>pur_weight_Chemical 3</t>
  </si>
  <si>
    <t>pur_weight_Chemical 4</t>
  </si>
  <si>
    <t>active A/lb</t>
  </si>
  <si>
    <t>active B/lb</t>
  </si>
  <si>
    <t>active C/lb</t>
  </si>
  <si>
    <t>Total weight of drugs produced (in lb)</t>
  </si>
  <si>
    <t>Total active ingredient A (lb)</t>
  </si>
  <si>
    <t>Total active ingredient B (lb)</t>
  </si>
  <si>
    <t>Total active ingredient C (lb)</t>
  </si>
  <si>
    <t>Total cost of production</t>
  </si>
  <si>
    <t>Min Production</t>
  </si>
  <si>
    <t>Min % of Chemicals</t>
  </si>
  <si>
    <t>Cell Names:</t>
  </si>
  <si>
    <t>active_A_lb</t>
  </si>
  <si>
    <t>='4.48'!$B$11:$B$14</t>
  </si>
  <si>
    <t>active_B_lb</t>
  </si>
  <si>
    <t>='4.48'!$C$11:$C$14</t>
  </si>
  <si>
    <t>active_C_lb</t>
  </si>
  <si>
    <t>='4.48'!$D$11:$D$14</t>
  </si>
  <si>
    <t>Cost_lb_of_chemicals</t>
  </si>
  <si>
    <t>='4.48'!$B$4:$B$7</t>
  </si>
  <si>
    <t>Min_Chemical3</t>
  </si>
  <si>
    <t>='4.48'!$D$31</t>
  </si>
  <si>
    <t>Min_Production</t>
  </si>
  <si>
    <t>='4.48'!$D$40</t>
  </si>
  <si>
    <t>minPerc_A</t>
  </si>
  <si>
    <t>='4.48'!$D$36</t>
  </si>
  <si>
    <t>minPerc_B</t>
  </si>
  <si>
    <t>='4.48'!$D$37</t>
  </si>
  <si>
    <t>minPerc_C</t>
  </si>
  <si>
    <t>='4.48'!$D$38</t>
  </si>
  <si>
    <t>pur_weight_Chemical_1</t>
  </si>
  <si>
    <t>='4.48'!$B$29</t>
  </si>
  <si>
    <t>pur_weight_Chemical_2</t>
  </si>
  <si>
    <t>='4.48'!$B$30</t>
  </si>
  <si>
    <t>pur_weight_Chemical_3</t>
  </si>
  <si>
    <t>='4.48'!$B$31</t>
  </si>
  <si>
    <t>pur_weight_Chemical_4</t>
  </si>
  <si>
    <t>='4.48'!$B$32</t>
  </si>
  <si>
    <t>Purchased_weight</t>
  </si>
  <si>
    <t>='4.48'!$B$29:$B$32</t>
  </si>
  <si>
    <t>Total_active_ingredient_A</t>
  </si>
  <si>
    <t>='4.48'!$B$36</t>
  </si>
  <si>
    <t>Total_active_ingredient_B</t>
  </si>
  <si>
    <t>='4.48'!$B$37</t>
  </si>
  <si>
    <t>Total_active_ingredient_C</t>
  </si>
  <si>
    <t>='4.48'!$B$38</t>
  </si>
  <si>
    <t>Total_cost_of_production</t>
  </si>
  <si>
    <t>='4.48'!$B$42</t>
  </si>
  <si>
    <t>Total_weight_of_drugs_produced__in_lb</t>
  </si>
  <si>
    <t>='4.48'!$B$40</t>
  </si>
  <si>
    <t>Objective</t>
  </si>
  <si>
    <t>DV</t>
  </si>
  <si>
    <t>NY</t>
  </si>
  <si>
    <t>NAS</t>
  </si>
  <si>
    <t>CLE</t>
  </si>
  <si>
    <t>STL</t>
  </si>
  <si>
    <t>PHX</t>
  </si>
  <si>
    <t>SLC</t>
  </si>
  <si>
    <t>DAL</t>
  </si>
  <si>
    <t>LA</t>
  </si>
  <si>
    <t xml:space="preserve">FROM </t>
  </si>
  <si>
    <t>TO</t>
  </si>
  <si>
    <t>ROUTED</t>
  </si>
  <si>
    <t>GAS</t>
  </si>
  <si>
    <t>Cell Name</t>
  </si>
  <si>
    <t>Reference</t>
  </si>
  <si>
    <t>Transhipment</t>
  </si>
  <si>
    <t>Incoming</t>
  </si>
  <si>
    <t>Outgoing</t>
  </si>
  <si>
    <t>≥</t>
  </si>
  <si>
    <t>Total_gallons_used</t>
  </si>
  <si>
    <t>Gallons Used from NY to LA</t>
  </si>
  <si>
    <t>=</t>
  </si>
  <si>
    <t>Minimize total gallons used from NY to LA</t>
  </si>
  <si>
    <t>Incoming shipments &gt;= Outgoing shipments</t>
  </si>
  <si>
    <t>Incoming shipment at LA = Outgoing shipment at LA = 1</t>
  </si>
  <si>
    <t xml:space="preserve">#_shipments routed </t>
  </si>
  <si>
    <t>Destination LA</t>
  </si>
  <si>
    <t>FROM</t>
  </si>
  <si>
    <t>='5.43'!$A$15:$A$28</t>
  </si>
  <si>
    <t>from_org</t>
  </si>
  <si>
    <t>='5.43'!$A$4:$A$10</t>
  </si>
  <si>
    <t>gallons_from_to_matrix</t>
  </si>
  <si>
    <t>='5.43'!$B$4:$H$10</t>
  </si>
  <si>
    <t>='5.43'!$D$15:$D$28</t>
  </si>
  <si>
    <t>='5.43'!$B$34:$B$39</t>
  </si>
  <si>
    <t>='5.43'!$D$34:$D$39</t>
  </si>
  <si>
    <t>='5.43'!$B$15:$B$28</t>
  </si>
  <si>
    <t>to_org</t>
  </si>
  <si>
    <t>='5.43'!$B$3:$H$3</t>
  </si>
  <si>
    <t>='5.43'!$B$30</t>
  </si>
  <si>
    <t>Incoming to LA</t>
  </si>
  <si>
    <t>Outgoing from LA</t>
  </si>
  <si>
    <t>Min weight of Ingredients</t>
  </si>
  <si>
    <t xml:space="preserve">Min_Chemical3 </t>
  </si>
  <si>
    <t>Minimize cost of producing today's nasamist drugs</t>
  </si>
  <si>
    <t>$E$37</t>
  </si>
  <si>
    <t>$B$42</t>
  </si>
  <si>
    <t>%_required_of_B</t>
  </si>
  <si>
    <t>Oneway analysis for Solver model in 4.48 worksheet</t>
  </si>
  <si>
    <t>%_required_of_B (cell $E$37) values along side, output cell(s) along top</t>
  </si>
  <si>
    <t>Data for chart</t>
  </si>
  <si>
    <t>$E$36</t>
  </si>
  <si>
    <t>%_required_of_A</t>
  </si>
  <si>
    <t>Oneway analysis for Solver model in 4.48(a) worksheet</t>
  </si>
  <si>
    <t>%_required_of_A (cell $E$36) values along side, output cell(s) along top</t>
  </si>
  <si>
    <t>≤</t>
  </si>
  <si>
    <t>$D$36</t>
  </si>
  <si>
    <t>$B$47</t>
  </si>
  <si>
    <t/>
  </si>
  <si>
    <t>$D$38</t>
  </si>
  <si>
    <t>Max_units_sold_of_A</t>
  </si>
  <si>
    <t>Max_units_sold_of_C</t>
  </si>
  <si>
    <t>Output</t>
  </si>
  <si>
    <t>$D$37</t>
  </si>
  <si>
    <t>Max_units_of_B_sold</t>
  </si>
  <si>
    <t>$D$4</t>
  </si>
  <si>
    <t>$E$6</t>
  </si>
  <si>
    <t>$B$30</t>
  </si>
  <si>
    <t>Gallons_NY_to_STL</t>
  </si>
  <si>
    <t>Gallons_CLE_to_PHX</t>
  </si>
  <si>
    <t>Twoway analysis for Solver model in 5.43(a) worksheet</t>
  </si>
  <si>
    <t>Gallons_NY_to_STL (cell $D$4) values along side, Gallons_CLE_to_PHX (cell $E$6) values along top, output cell in corner</t>
  </si>
  <si>
    <t>Output and Gallons_NY_to_STL value for chart</t>
  </si>
  <si>
    <t>Gallons_NY_to_STL value</t>
  </si>
  <si>
    <t>Output and Gallons_CLE_to_PHX value for chart</t>
  </si>
  <si>
    <t>Gallons_CLE_to_PHX value</t>
  </si>
  <si>
    <t>Maximize profits</t>
  </si>
  <si>
    <t>Constraints</t>
  </si>
  <si>
    <t>Selling constriant for A, B, and C</t>
  </si>
  <si>
    <t>Average_Quality_Req</t>
  </si>
  <si>
    <t>=Sheet1!$C$38</t>
  </si>
  <si>
    <t>Average quality level to be 8</t>
  </si>
  <si>
    <t>Average_Quality_Required</t>
  </si>
  <si>
    <t>=Sheet1!$B$14</t>
  </si>
  <si>
    <t>Choice b/w raw material 1 and 2</t>
  </si>
  <si>
    <t>Combination_of_A_and_B_for_C</t>
  </si>
  <si>
    <t>=Sheet1!$B$10:$D$10</t>
  </si>
  <si>
    <t>Cost_of_processing_C</t>
  </si>
  <si>
    <t>=Sheet1!$B$18</t>
  </si>
  <si>
    <t>Decision_to_produce_C</t>
  </si>
  <si>
    <t>=Sheet1!$B$23</t>
  </si>
  <si>
    <t>C</t>
  </si>
  <si>
    <t>Max_Sale_Constraint</t>
  </si>
  <si>
    <t>=Sheet1!$B$33:$C$33</t>
  </si>
  <si>
    <t>Raw material 1 output</t>
  </si>
  <si>
    <t>Min_Sale_Constraint</t>
  </si>
  <si>
    <t>=Sheet1!$B$29:$C$29</t>
  </si>
  <si>
    <t>Raw material 2 output</t>
  </si>
  <si>
    <t>Price</t>
  </si>
  <si>
    <t>=Sheet1!$B$12:$D$12</t>
  </si>
  <si>
    <t>Combination of A and B for C</t>
  </si>
  <si>
    <t>Quality_Levels</t>
  </si>
  <si>
    <t>=Sheet1!$B$11:$D$11</t>
  </si>
  <si>
    <t>Quality Levels</t>
  </si>
  <si>
    <t>Raw_material_1_output</t>
  </si>
  <si>
    <t>=Sheet1!$B$8:$D$8</t>
  </si>
  <si>
    <t>Raw_Material_1_price</t>
  </si>
  <si>
    <t>=Sheet1!$B$16</t>
  </si>
  <si>
    <t>Raw_material_1_used</t>
  </si>
  <si>
    <t>=Sheet1!$B$21</t>
  </si>
  <si>
    <t>Average Quality Required</t>
  </si>
  <si>
    <t>Raw_material_2_output</t>
  </si>
  <si>
    <t>=Sheet1!$B$9:$D$9</t>
  </si>
  <si>
    <t>Raw_Material_2_price</t>
  </si>
  <si>
    <t>=Sheet1!$B$17</t>
  </si>
  <si>
    <t>Raw Material 1 price</t>
  </si>
  <si>
    <t>Raw_material_2_used</t>
  </si>
  <si>
    <t>=Sheet1!$B$22</t>
  </si>
  <si>
    <t>Raw Material 2 price</t>
  </si>
  <si>
    <t>Sale_constraint</t>
  </si>
  <si>
    <t>=Sheet1!$D$23</t>
  </si>
  <si>
    <t>Cost of processing C</t>
  </si>
  <si>
    <t>Sum_of_Quality_of_Units_Produced</t>
  </si>
  <si>
    <t>=Sheet1!$A$38</t>
  </si>
  <si>
    <t>Total_Cost</t>
  </si>
  <si>
    <t>=Sheet1!$B$40</t>
  </si>
  <si>
    <t>Total_Cost_A</t>
  </si>
  <si>
    <t>=Sheet1!$B$41</t>
  </si>
  <si>
    <t>Raw material 1 used</t>
  </si>
  <si>
    <t>Total_Cost_B</t>
  </si>
  <si>
    <t>=Sheet1!$B$42</t>
  </si>
  <si>
    <t>Raw material 2 used</t>
  </si>
  <si>
    <t>Sale constraint</t>
  </si>
  <si>
    <t>Total_Cost_C</t>
  </si>
  <si>
    <t>=Sheet1!$B$43</t>
  </si>
  <si>
    <t>Decision to produce C</t>
  </si>
  <si>
    <t>Total_Rev_A</t>
  </si>
  <si>
    <t>=Sheet1!$B$46</t>
  </si>
  <si>
    <t>Total_Rev_B</t>
  </si>
  <si>
    <t>=Sheet1!$B$47</t>
  </si>
  <si>
    <t>Total_Rev_C</t>
  </si>
  <si>
    <t>=Sheet1!$B$48</t>
  </si>
  <si>
    <t>Total Units available</t>
  </si>
  <si>
    <t>Total_Revenue</t>
  </si>
  <si>
    <t>=Sheet1!$B$45</t>
  </si>
  <si>
    <t>Units used up in C</t>
  </si>
  <si>
    <t>Total_Units_available</t>
  </si>
  <si>
    <t>=Sheet1!$B$26:$C$26</t>
  </si>
  <si>
    <t>Units_available_for_sale</t>
  </si>
  <si>
    <t>=Sheet1!$B$31:$C$31</t>
  </si>
  <si>
    <t>Min Sale Constraint</t>
  </si>
  <si>
    <t>Units_used_up_in_C</t>
  </si>
  <si>
    <t>=Sheet1!$B$27:$C$27</t>
  </si>
  <si>
    <t>Units available for sale</t>
  </si>
  <si>
    <t>Max Sale Constraint</t>
  </si>
  <si>
    <t>Average Quality Constraint</t>
  </si>
  <si>
    <t>Sum of Quality of Units Produced</t>
  </si>
  <si>
    <t>Average Quality Req</t>
  </si>
  <si>
    <t>Total Cost</t>
  </si>
  <si>
    <t>Total Cost Raw Material A</t>
  </si>
  <si>
    <t>Total Cost Raw Material B</t>
  </si>
  <si>
    <t>Total Cost C</t>
  </si>
  <si>
    <t>Total Revenue</t>
  </si>
  <si>
    <t>Total Rev A</t>
  </si>
  <si>
    <t>Total Rev B</t>
  </si>
  <si>
    <t>Total Rev C</t>
  </si>
  <si>
    <t>Total Profit</t>
  </si>
  <si>
    <t>Twoway analysis for Solver model in Sheet1 worksheet</t>
  </si>
  <si>
    <t>Output and Price A value for chart</t>
  </si>
  <si>
    <t>Output and Price B value for chart</t>
  </si>
  <si>
    <t>$B$50</t>
  </si>
  <si>
    <t>Price A (cell $B$12) values along side, Price B (cell $C$12) values along top, output cell in corner</t>
  </si>
  <si>
    <t>Price A value</t>
  </si>
  <si>
    <t>Price B value</t>
  </si>
  <si>
    <t>Bank One data</t>
  </si>
  <si>
    <t>Cost_of_FT_employee</t>
  </si>
  <si>
    <t>=Data!$B$36</t>
  </si>
  <si>
    <t>Minimize labor cost</t>
  </si>
  <si>
    <t>Cost_of_PT_employee</t>
  </si>
  <si>
    <t>=Data!$B$37</t>
  </si>
  <si>
    <t>Each processing machine can process 1200 checks per hour</t>
  </si>
  <si>
    <t>FT_pay_per_day</t>
  </si>
  <si>
    <t>=Data!$B$20</t>
  </si>
  <si>
    <t>Total of 5 processing machines</t>
  </si>
  <si>
    <t>Machine_processing_capacity_per_hour</t>
  </si>
  <si>
    <t>=Data!$B$22</t>
  </si>
  <si>
    <t>1 worker to operate each machine</t>
  </si>
  <si>
    <t>Number_of_FT_workers_in_10_to_6_shift</t>
  </si>
  <si>
    <t>=Data!$B$25</t>
  </si>
  <si>
    <t>Operating hours 10 - 7</t>
  </si>
  <si>
    <t>Number_of_FT_workers_in_11_to_7_shift</t>
  </si>
  <si>
    <t>=Data!$B$26</t>
  </si>
  <si>
    <t>FT hours (8 hours) 10 to 6, 11 to 7, 12 to 8</t>
  </si>
  <si>
    <t>Number_of_FT_workers_in_12_to_8_shift</t>
  </si>
  <si>
    <t>=Data!$B$27</t>
  </si>
  <si>
    <t>PT hours (5 hours) 2 to 7, 3 to 8</t>
  </si>
  <si>
    <t>Number_of_machines</t>
  </si>
  <si>
    <t>=Data!$B$23</t>
  </si>
  <si>
    <t>At least 2 FT workers</t>
  </si>
  <si>
    <t>Number_of_PT_workers_in_2_to_7_shift</t>
  </si>
  <si>
    <t>=Data!$B$30</t>
  </si>
  <si>
    <t>Process checks in the same day</t>
  </si>
  <si>
    <t>Number_of_PT_workers_in_3_to_8_shift</t>
  </si>
  <si>
    <t>=Data!$B$31</t>
  </si>
  <si>
    <t>Work schedule</t>
  </si>
  <si>
    <t>PT_pay_per_day</t>
  </si>
  <si>
    <t>=Data!$B$21</t>
  </si>
  <si>
    <t>Sum_of_FT_employees</t>
  </si>
  <si>
    <t>=Data!$B$28</t>
  </si>
  <si>
    <t>Time</t>
  </si>
  <si>
    <t>10A-11A</t>
  </si>
  <si>
    <t>11A-N</t>
  </si>
  <si>
    <t>N-1P</t>
  </si>
  <si>
    <t>1P-2P</t>
  </si>
  <si>
    <t>2P-3P</t>
  </si>
  <si>
    <t>3P-4P</t>
  </si>
  <si>
    <t>4P-5P</t>
  </si>
  <si>
    <t>5P-6P</t>
  </si>
  <si>
    <t>6P-7P</t>
  </si>
  <si>
    <t>7P-8P</t>
  </si>
  <si>
    <t>Total Checks in a Day</t>
  </si>
  <si>
    <t>Sum_of_PT_employees</t>
  </si>
  <si>
    <t>=Data!$B$32</t>
  </si>
  <si>
    <t>Checks arriving</t>
  </si>
  <si>
    <t>Total_Capacity</t>
  </si>
  <si>
    <t>=Data!$L$18</t>
  </si>
  <si>
    <t>Total_Checks_in_a_Day</t>
  </si>
  <si>
    <t>=Data!$L$15</t>
  </si>
  <si>
    <t>Total Capacity</t>
  </si>
  <si>
    <t>Capacity</t>
  </si>
  <si>
    <t>FT pay per day</t>
  </si>
  <si>
    <t>PT pay per day</t>
  </si>
  <si>
    <t>Machine processing capacity per hour</t>
  </si>
  <si>
    <t>Number of machines</t>
  </si>
  <si>
    <t>Number of FT workers in 10 to 6 shift</t>
  </si>
  <si>
    <t>Number of FT workers in 11 to 7 shift</t>
  </si>
  <si>
    <t>Number of FT workers in 12 to 8 shift</t>
  </si>
  <si>
    <t>Sum of FT employees</t>
  </si>
  <si>
    <t>Number of PT workers in 2 to 7 shift</t>
  </si>
  <si>
    <t>Number of PT workers in 3 to 8 shift</t>
  </si>
  <si>
    <t>Sum of PT employees</t>
  </si>
  <si>
    <t>Sum of workers</t>
  </si>
  <si>
    <t>Cost of FT employee</t>
  </si>
  <si>
    <t>Cost of PT employee</t>
  </si>
  <si>
    <t>Twoway analysis for Solver model in Data worksheet</t>
  </si>
  <si>
    <t>Output and Input1 value for chart</t>
  </si>
  <si>
    <t>Output and Input2 value for chart</t>
  </si>
  <si>
    <t>$B$38</t>
  </si>
  <si>
    <t>Input1 (cell $D$25) values along side, Input2 (cell $D$27) values along top, output cell in corner</t>
  </si>
  <si>
    <t>Input1 value</t>
  </si>
  <si>
    <t>Input2 value</t>
  </si>
  <si>
    <t>Not feasible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</si>
</sst>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409]* #,##0.00_ ;_-[$$-409]* \-#,##0.00\ ;_-[$$-409]* &quot;-&quot;??_ ;_-@_ "/>
    <numFmt numFmtId="165" formatCode="_-[$$-409]* #,##0_ ;_-[$$-409]* \-#,##0\ ;_-[$$-409]* &quot;-&quot;??_ ;_-@_ "/>
    <numFmt numFmtId="166" formatCode="&quot;$&quot;#,##0.00"/>
    <numFmt numFmtId="167" formatCode="_(* #,##0_);_(* \(#,##0\);_(* &quot;-&quot;??_);_(@_)"/>
    <numFmt numFmtId="168" formatCode="_(&quot;$&quot;* #,##0_);_(&quot;$&quot;* \(#,##0\);_(&quot;$&quot;* &quot;-&quot;??_);_(@_)"/>
  </numFmts>
  <fonts count="14"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b/>
      <i/>
      <sz val="11"/>
      <color theme="1"/>
      <name val="Calibri"/>
      <family val="2"/>
      <scheme val="minor"/>
    </font>
    <font>
      <sz val="11"/>
      <color theme="1"/>
      <name val="Calibri"/>
      <family val="2"/>
    </font>
    <font>
      <b/>
      <sz val="11"/>
      <color theme="1"/>
      <name val="Calibri"/>
      <family val="2"/>
    </font>
    <font>
      <sz val="11"/>
      <color rgb="FFFFFFFF"/>
      <name val="Calibri"/>
      <family val="2"/>
      <scheme val="minor"/>
    </font>
    <font>
      <sz val="9"/>
      <color indexed="81"/>
      <name val="Tahoma"/>
      <family val="2"/>
    </font>
    <font>
      <sz val="10"/>
      <name val="Arial"/>
      <family val="2"/>
    </font>
    <font>
      <b/>
      <sz val="11"/>
      <name val="Calibri"/>
      <family val="2"/>
    </font>
    <font>
      <sz val="11"/>
      <name val="Calibri"/>
      <family val="2"/>
    </font>
    <font>
      <b/>
      <sz val="10"/>
      <name val="Arial"/>
      <family val="2"/>
    </font>
    <font>
      <sz val="10"/>
      <color rgb="FFFFFFFF"/>
      <name val="Arial"/>
      <family val="2"/>
    </font>
  </fonts>
  <fills count="10">
    <fill>
      <patternFill patternType="none"/>
    </fill>
    <fill>
      <patternFill patternType="gray125"/>
    </fill>
    <fill>
      <patternFill patternType="solid">
        <fgColor rgb="FFC6EFCE"/>
      </patternFill>
    </fill>
    <fill>
      <patternFill patternType="solid">
        <fgColor theme="4" tint="0.59999389629810485"/>
        <bgColor indexed="65"/>
      </patternFill>
    </fill>
    <fill>
      <patternFill patternType="solid">
        <fgColor theme="5" tint="0.59999389629810485"/>
        <bgColor indexed="65"/>
      </patternFill>
    </fill>
    <fill>
      <patternFill patternType="solid">
        <fgColor theme="9" tint="0.59999389629810485"/>
        <bgColor indexed="64"/>
      </patternFill>
    </fill>
    <fill>
      <patternFill patternType="solid">
        <fgColor theme="6" tint="0.59999389629810485"/>
        <bgColor indexed="64"/>
      </patternFill>
    </fill>
    <fill>
      <patternFill patternType="solid">
        <fgColor theme="4" tint="0.39997558519241921"/>
        <bgColor indexed="65"/>
      </patternFill>
    </fill>
    <fill>
      <patternFill patternType="solid">
        <fgColor theme="5" tint="0.39997558519241921"/>
        <bgColor indexed="65"/>
      </patternFill>
    </fill>
    <fill>
      <patternFill patternType="solid">
        <fgColor indexed="47"/>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0">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43" fontId="1" fillId="0" borderId="0" applyFont="0" applyFill="0" applyBorder="0" applyAlignment="0" applyProtection="0"/>
    <xf numFmtId="0" fontId="1" fillId="7" borderId="0" applyNumberFormat="0" applyBorder="0" applyAlignment="0" applyProtection="0"/>
    <xf numFmtId="0" fontId="1" fillId="8" borderId="0" applyNumberFormat="0" applyBorder="0" applyAlignment="0" applyProtection="0"/>
    <xf numFmtId="0" fontId="9" fillId="0" borderId="0"/>
    <xf numFmtId="43" fontId="9" fillId="0" borderId="0" applyFont="0" applyFill="0" applyBorder="0" applyAlignment="0" applyProtection="0"/>
    <xf numFmtId="44" fontId="9" fillId="0" borderId="0" applyFont="0" applyFill="0" applyBorder="0" applyAlignment="0" applyProtection="0"/>
  </cellStyleXfs>
  <cellXfs count="87">
    <xf numFmtId="0" fontId="0" fillId="0" borderId="0" xfId="0"/>
    <xf numFmtId="0" fontId="1" fillId="3" borderId="0" xfId="2"/>
    <xf numFmtId="0" fontId="3" fillId="0" borderId="0" xfId="0" applyFont="1"/>
    <xf numFmtId="0" fontId="1" fillId="4" borderId="0" xfId="3"/>
    <xf numFmtId="164" fontId="1" fillId="3" borderId="0" xfId="2" applyNumberFormat="1"/>
    <xf numFmtId="9" fontId="1" fillId="3" borderId="0" xfId="2" applyNumberFormat="1"/>
    <xf numFmtId="0" fontId="4" fillId="0" borderId="0" xfId="0" applyFont="1"/>
    <xf numFmtId="0" fontId="5" fillId="0" borderId="0" xfId="0" applyFont="1" applyAlignment="1">
      <alignment horizontal="center"/>
    </xf>
    <xf numFmtId="0" fontId="6" fillId="0" borderId="0" xfId="0" applyFont="1" applyAlignment="1">
      <alignment horizontal="center"/>
    </xf>
    <xf numFmtId="0" fontId="0" fillId="0" borderId="0" xfId="0" applyAlignment="1">
      <alignment horizontal="center"/>
    </xf>
    <xf numFmtId="165" fontId="2" fillId="2" borderId="0" xfId="1" applyNumberFormat="1"/>
    <xf numFmtId="2" fontId="1" fillId="4" borderId="0" xfId="3" applyNumberFormat="1"/>
    <xf numFmtId="49" fontId="0" fillId="0" borderId="0" xfId="0" applyNumberFormat="1"/>
    <xf numFmtId="9" fontId="0" fillId="0" borderId="0" xfId="0" applyNumberFormat="1"/>
    <xf numFmtId="0" fontId="0" fillId="0" borderId="0" xfId="0" applyAlignment="1">
      <alignment horizontal="right" textRotation="90"/>
    </xf>
    <xf numFmtId="0" fontId="0" fillId="5" borderId="0" xfId="0" applyFill="1" applyAlignment="1">
      <alignment horizontal="right" textRotation="90"/>
    </xf>
    <xf numFmtId="0" fontId="7" fillId="0" borderId="0" xfId="0" applyFont="1"/>
    <xf numFmtId="165" fontId="0" fillId="0" borderId="1" xfId="0" applyNumberFormat="1" applyBorder="1"/>
    <xf numFmtId="165" fontId="0" fillId="0" borderId="2" xfId="0" applyNumberFormat="1" applyBorder="1"/>
    <xf numFmtId="165" fontId="0" fillId="0" borderId="3" xfId="0" applyNumberFormat="1" applyBorder="1"/>
    <xf numFmtId="0" fontId="0" fillId="0" borderId="0" xfId="0" applyAlignment="1">
      <alignment horizontal="right"/>
    </xf>
    <xf numFmtId="0" fontId="0" fillId="6" borderId="0" xfId="0" applyFill="1"/>
    <xf numFmtId="164" fontId="0" fillId="0" borderId="4" xfId="0" applyNumberFormat="1" applyBorder="1"/>
    <xf numFmtId="164" fontId="0" fillId="0" borderId="7" xfId="0" applyNumberFormat="1" applyBorder="1"/>
    <xf numFmtId="164" fontId="0" fillId="0" borderId="9" xfId="0" applyNumberFormat="1" applyBorder="1"/>
    <xf numFmtId="164" fontId="0" fillId="0" borderId="5" xfId="0" applyNumberFormat="1" applyBorder="1"/>
    <xf numFmtId="164" fontId="0" fillId="0" borderId="0" xfId="0" applyNumberFormat="1"/>
    <xf numFmtId="164" fontId="0" fillId="0" borderId="10" xfId="0" applyNumberFormat="1" applyBorder="1"/>
    <xf numFmtId="164" fontId="0" fillId="0" borderId="6" xfId="0" applyNumberFormat="1" applyBorder="1"/>
    <xf numFmtId="164" fontId="0" fillId="0" borderId="8" xfId="0" applyNumberFormat="1" applyBorder="1"/>
    <xf numFmtId="164" fontId="0" fillId="0" borderId="11" xfId="0" applyNumberFormat="1" applyBorder="1"/>
    <xf numFmtId="2" fontId="0" fillId="0" borderId="0" xfId="0" applyNumberFormat="1"/>
    <xf numFmtId="0" fontId="2" fillId="2" borderId="0" xfId="1" applyNumberFormat="1" applyAlignment="1">
      <alignment horizontal="center"/>
    </xf>
    <xf numFmtId="0" fontId="3" fillId="0" borderId="0" xfId="0" applyFont="1" applyAlignment="1">
      <alignment horizontal="center"/>
    </xf>
    <xf numFmtId="0" fontId="1" fillId="7" borderId="0" xfId="5"/>
    <xf numFmtId="44" fontId="1" fillId="7" borderId="0" xfId="5" applyNumberFormat="1"/>
    <xf numFmtId="0" fontId="1" fillId="0" borderId="0" xfId="5" applyFill="1"/>
    <xf numFmtId="166" fontId="1" fillId="7" borderId="0" xfId="5" applyNumberFormat="1"/>
    <xf numFmtId="167" fontId="1" fillId="8" borderId="0" xfId="4" applyNumberFormat="1" applyFill="1"/>
    <xf numFmtId="167" fontId="0" fillId="0" borderId="0" xfId="4" applyNumberFormat="1" applyFont="1"/>
    <xf numFmtId="0" fontId="3" fillId="0" borderId="0" xfId="0" applyFont="1" applyAlignment="1">
      <alignment wrapText="1"/>
    </xf>
    <xf numFmtId="167" fontId="2" fillId="2" borderId="0" xfId="4" applyNumberFormat="1" applyFont="1" applyFill="1"/>
    <xf numFmtId="44" fontId="0" fillId="0" borderId="0" xfId="0" applyNumberFormat="1"/>
    <xf numFmtId="167" fontId="0" fillId="0" borderId="4" xfId="0" applyNumberFormat="1" applyBorder="1"/>
    <xf numFmtId="167" fontId="0" fillId="0" borderId="5" xfId="0" applyNumberFormat="1" applyBorder="1"/>
    <xf numFmtId="167" fontId="0" fillId="0" borderId="6" xfId="0" applyNumberFormat="1" applyBorder="1"/>
    <xf numFmtId="167" fontId="0" fillId="0" borderId="7" xfId="0" applyNumberFormat="1" applyBorder="1"/>
    <xf numFmtId="167" fontId="0" fillId="0" borderId="0" xfId="0" applyNumberFormat="1"/>
    <xf numFmtId="167" fontId="0" fillId="0" borderId="8" xfId="0" applyNumberFormat="1" applyBorder="1"/>
    <xf numFmtId="167" fontId="0" fillId="0" borderId="9" xfId="0" applyNumberFormat="1" applyBorder="1"/>
    <xf numFmtId="167" fontId="0" fillId="0" borderId="10" xfId="0" applyNumberFormat="1" applyBorder="1"/>
    <xf numFmtId="167" fontId="0" fillId="0" borderId="11" xfId="0" applyNumberFormat="1" applyBorder="1"/>
    <xf numFmtId="0" fontId="10" fillId="0" borderId="0" xfId="7" applyFont="1" applyAlignment="1">
      <alignment wrapText="1"/>
    </xf>
    <xf numFmtId="0" fontId="11" fillId="0" borderId="0" xfId="7" applyFont="1"/>
    <xf numFmtId="0" fontId="11" fillId="0" borderId="0" xfId="7" applyFont="1" applyAlignment="1">
      <alignment wrapText="1"/>
    </xf>
    <xf numFmtId="0" fontId="11" fillId="0" borderId="0" xfId="7" applyFont="1" applyAlignment="1">
      <alignment horizontal="right"/>
    </xf>
    <xf numFmtId="0" fontId="10" fillId="0" borderId="0" xfId="7" applyFont="1"/>
    <xf numFmtId="167" fontId="1" fillId="7" borderId="0" xfId="8" applyNumberFormat="1" applyFont="1" applyFill="1" applyBorder="1"/>
    <xf numFmtId="167" fontId="11" fillId="0" borderId="0" xfId="7" applyNumberFormat="1" applyFont="1"/>
    <xf numFmtId="167" fontId="1" fillId="0" borderId="0" xfId="8" applyNumberFormat="1" applyFont="1" applyFill="1" applyBorder="1"/>
    <xf numFmtId="167" fontId="10" fillId="0" borderId="0" xfId="7" applyNumberFormat="1" applyFont="1" applyAlignment="1">
      <alignment horizontal="center"/>
    </xf>
    <xf numFmtId="167" fontId="11" fillId="0" borderId="0" xfId="8" applyNumberFormat="1" applyFont="1"/>
    <xf numFmtId="168" fontId="1" fillId="7" borderId="0" xfId="9" applyNumberFormat="1" applyFont="1" applyFill="1"/>
    <xf numFmtId="167" fontId="1" fillId="7" borderId="0" xfId="8" applyNumberFormat="1" applyFont="1" applyFill="1"/>
    <xf numFmtId="16" fontId="11" fillId="0" borderId="0" xfId="7" applyNumberFormat="1" applyFont="1"/>
    <xf numFmtId="0" fontId="11" fillId="0" borderId="0" xfId="7" applyFont="1" applyAlignment="1">
      <alignment horizontal="center" vertical="center"/>
    </xf>
    <xf numFmtId="0" fontId="11" fillId="0" borderId="0" xfId="7" applyFont="1" applyAlignment="1">
      <alignment vertical="center"/>
    </xf>
    <xf numFmtId="0" fontId="11" fillId="0" borderId="0" xfId="7" applyFont="1" applyAlignment="1">
      <alignment horizontal="center"/>
    </xf>
    <xf numFmtId="168" fontId="11" fillId="0" borderId="0" xfId="9" applyNumberFormat="1" applyFont="1"/>
    <xf numFmtId="168" fontId="2" fillId="2" borderId="0" xfId="9" applyNumberFormat="1" applyFont="1" applyFill="1"/>
    <xf numFmtId="0" fontId="12" fillId="0" borderId="0" xfId="7" applyFont="1"/>
    <xf numFmtId="0" fontId="9" fillId="0" borderId="0" xfId="7"/>
    <xf numFmtId="0" fontId="13" fillId="0" borderId="0" xfId="7" applyFont="1"/>
    <xf numFmtId="0" fontId="9" fillId="0" borderId="0" xfId="7" applyAlignment="1">
      <alignment horizontal="right"/>
    </xf>
    <xf numFmtId="0" fontId="9" fillId="5" borderId="0" xfId="7" applyFill="1" applyAlignment="1">
      <alignment horizontal="right" textRotation="90"/>
    </xf>
    <xf numFmtId="0" fontId="9" fillId="6" borderId="0" xfId="7" applyFill="1"/>
    <xf numFmtId="168" fontId="9" fillId="0" borderId="4" xfId="7" applyNumberFormat="1" applyBorder="1"/>
    <xf numFmtId="168" fontId="9" fillId="0" borderId="5" xfId="7" applyNumberFormat="1" applyBorder="1"/>
    <xf numFmtId="168" fontId="9" fillId="0" borderId="6" xfId="7" applyNumberFormat="1" applyBorder="1"/>
    <xf numFmtId="168" fontId="9" fillId="0" borderId="7" xfId="7" applyNumberFormat="1" applyBorder="1"/>
    <xf numFmtId="168" fontId="9" fillId="0" borderId="0" xfId="7" applyNumberFormat="1"/>
    <xf numFmtId="0" fontId="9" fillId="9" borderId="8" xfId="7" applyFill="1" applyBorder="1"/>
    <xf numFmtId="0" fontId="9" fillId="9" borderId="0" xfId="7" applyFill="1"/>
    <xf numFmtId="168" fontId="9" fillId="0" borderId="9" xfId="7" applyNumberFormat="1" applyBorder="1"/>
    <xf numFmtId="0" fontId="9" fillId="9" borderId="10" xfId="7" applyFill="1" applyBorder="1"/>
    <xf numFmtId="0" fontId="9" fillId="9" borderId="11" xfId="7" applyFill="1" applyBorder="1"/>
    <xf numFmtId="0" fontId="1" fillId="8" borderId="0" xfId="6" applyAlignment="1">
      <alignment vertical="center"/>
    </xf>
  </cellXfs>
  <cellStyles count="10">
    <cellStyle name="40% - Accent1" xfId="2" builtinId="31"/>
    <cellStyle name="40% - Accent2" xfId="3" builtinId="35"/>
    <cellStyle name="60% - Accent1" xfId="5" builtinId="32"/>
    <cellStyle name="60% - Accent2" xfId="6" builtinId="36"/>
    <cellStyle name="Comma" xfId="4" builtinId="3"/>
    <cellStyle name="Comma 2" xfId="8" xr:uid="{AA236202-44AE-4F41-8FE6-5504945466CD}"/>
    <cellStyle name="Currency 2" xfId="9" xr:uid="{0BE11559-2CF9-496E-BCAF-1A0D1B24BA3D}"/>
    <cellStyle name="Good" xfId="1" builtinId="26"/>
    <cellStyle name="Normal" xfId="0" builtinId="0"/>
    <cellStyle name="Normal 2" xfId="7" xr:uid="{ACACF12C-8EF0-4583-89CF-ACDF76BCDC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'4.48(b)'!$K$1</c:f>
          <c:strCache>
            <c:ptCount val="1"/>
            <c:pt idx="0">
              <c:v>Sensitivity of Total_cost_of_production to %_required_of_B</c:v>
            </c:pt>
          </c:strCache>
        </c:strRef>
      </c:tx>
      <c:overlay val="0"/>
      <c:txPr>
        <a:bodyPr/>
        <a:lstStyle/>
        <a:p>
          <a:pPr>
            <a:defRPr sz="1200"/>
          </a:pPr>
          <a:endParaRPr lang="en-US"/>
        </a:p>
      </c:txPr>
    </c:title>
    <c:autoTitleDeleted val="0"/>
    <c:plotArea>
      <c:layout/>
      <c:lineChart>
        <c:grouping val="standard"/>
        <c:varyColors val="0"/>
        <c:ser>
          <c:idx val="0"/>
          <c:order val="0"/>
          <c:cat>
            <c:numRef>
              <c:f>'4.48(b)'!$A$5:$A$15</c:f>
              <c:numCache>
                <c:formatCode>0%</c:formatCode>
                <c:ptCount val="11"/>
                <c:pt idx="0">
                  <c:v>2.9999999329447746E-2</c:v>
                </c:pt>
                <c:pt idx="1">
                  <c:v>3.5000000149011612E-2</c:v>
                </c:pt>
                <c:pt idx="2">
                  <c:v>3.9999999105930328E-2</c:v>
                </c:pt>
                <c:pt idx="3">
                  <c:v>4.4999998062849045E-2</c:v>
                </c:pt>
                <c:pt idx="4">
                  <c:v>4.9999997019767761E-2</c:v>
                </c:pt>
                <c:pt idx="5">
                  <c:v>5.4999999701976776E-2</c:v>
                </c:pt>
                <c:pt idx="6">
                  <c:v>5.9999998658895493E-2</c:v>
                </c:pt>
                <c:pt idx="7">
                  <c:v>6.4999997615814209E-2</c:v>
                </c:pt>
                <c:pt idx="8">
                  <c:v>7.0000000298023224E-2</c:v>
                </c:pt>
                <c:pt idx="9">
                  <c:v>7.4999995529651642E-2</c:v>
                </c:pt>
                <c:pt idx="10">
                  <c:v>7.9999998211860657E-2</c:v>
                </c:pt>
              </c:numCache>
            </c:numRef>
          </c:cat>
          <c:val>
            <c:numRef>
              <c:f>'4.48(b)'!$K$5:$K$15</c:f>
              <c:numCache>
                <c:formatCode>General</c:formatCode>
                <c:ptCount val="11"/>
                <c:pt idx="0">
                  <c:v>47266.666666666664</c:v>
                </c:pt>
                <c:pt idx="1">
                  <c:v>47266.666666666657</c:v>
                </c:pt>
                <c:pt idx="2">
                  <c:v>47266.666666666657</c:v>
                </c:pt>
                <c:pt idx="3">
                  <c:v>47638.888727459642</c:v>
                </c:pt>
                <c:pt idx="4">
                  <c:v>48055.555307202856</c:v>
                </c:pt>
                <c:pt idx="5">
                  <c:v>48472.222197386945</c:v>
                </c:pt>
                <c:pt idx="6">
                  <c:v>48888.888777130182</c:v>
                </c:pt>
                <c:pt idx="7">
                  <c:v>49305.555356873403</c:v>
                </c:pt>
                <c:pt idx="8">
                  <c:v>49722.222247057492</c:v>
                </c:pt>
                <c:pt idx="9">
                  <c:v>50499.9986588955</c:v>
                </c:pt>
                <c:pt idx="10">
                  <c:v>51999.999463558204</c:v>
                </c:pt>
              </c:numCache>
            </c:numRef>
          </c:val>
          <c:smooth val="0"/>
          <c:extLst>
            <c:ext xmlns:c16="http://schemas.microsoft.com/office/drawing/2014/chart" uri="{C3380CC4-5D6E-409C-BE32-E72D297353CC}">
              <c16:uniqueId val="{00000001-3EDF-446A-8B47-60F179F7355D}"/>
            </c:ext>
          </c:extLst>
        </c:ser>
        <c:dLbls>
          <c:showLegendKey val="0"/>
          <c:showVal val="0"/>
          <c:showCatName val="0"/>
          <c:showSerName val="0"/>
          <c:showPercent val="0"/>
          <c:showBubbleSize val="0"/>
        </c:dLbls>
        <c:marker val="1"/>
        <c:smooth val="0"/>
        <c:axId val="450248319"/>
        <c:axId val="526321295"/>
      </c:lineChart>
      <c:catAx>
        <c:axId val="450248319"/>
        <c:scaling>
          <c:orientation val="minMax"/>
        </c:scaling>
        <c:delete val="0"/>
        <c:axPos val="b"/>
        <c:title>
          <c:tx>
            <c:rich>
              <a:bodyPr/>
              <a:lstStyle/>
              <a:p>
                <a:pPr>
                  <a:defRPr/>
                </a:pPr>
                <a:r>
                  <a:rPr lang="en-IN"/>
                  <a:t>%_required_of_B ($E$37)</a:t>
                </a:r>
              </a:p>
            </c:rich>
          </c:tx>
          <c:overlay val="0"/>
        </c:title>
        <c:numFmt formatCode="0%" sourceLinked="1"/>
        <c:majorTickMark val="out"/>
        <c:minorTickMark val="none"/>
        <c:tickLblPos val="nextTo"/>
        <c:crossAx val="526321295"/>
        <c:crosses val="autoZero"/>
        <c:auto val="1"/>
        <c:lblAlgn val="ctr"/>
        <c:lblOffset val="100"/>
        <c:noMultiLvlLbl val="0"/>
      </c:catAx>
      <c:valAx>
        <c:axId val="526321295"/>
        <c:scaling>
          <c:orientation val="minMax"/>
        </c:scaling>
        <c:delete val="0"/>
        <c:axPos val="l"/>
        <c:majorGridlines/>
        <c:numFmt formatCode="General" sourceLinked="1"/>
        <c:majorTickMark val="out"/>
        <c:minorTickMark val="none"/>
        <c:tickLblPos val="nextTo"/>
        <c:crossAx val="450248319"/>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'4.48(Additional)'!$K$1</c:f>
          <c:strCache>
            <c:ptCount val="1"/>
            <c:pt idx="0">
              <c:v>Sensitivity of Total_cost_of_production to %_required_of_A</c:v>
            </c:pt>
          </c:strCache>
        </c:strRef>
      </c:tx>
      <c:overlay val="0"/>
      <c:txPr>
        <a:bodyPr/>
        <a:lstStyle/>
        <a:p>
          <a:pPr>
            <a:defRPr sz="1200"/>
          </a:pPr>
          <a:endParaRPr lang="en-US"/>
        </a:p>
      </c:txPr>
    </c:title>
    <c:autoTitleDeleted val="0"/>
    <c:plotArea>
      <c:layout/>
      <c:lineChart>
        <c:grouping val="standard"/>
        <c:varyColors val="0"/>
        <c:ser>
          <c:idx val="0"/>
          <c:order val="0"/>
          <c:cat>
            <c:numRef>
              <c:f>'4.48(Additional)'!$A$5:$A$19</c:f>
              <c:numCache>
                <c:formatCode>0%</c:formatCode>
                <c:ptCount val="15"/>
                <c:pt idx="0">
                  <c:v>2.9999999329447746E-2</c:v>
                </c:pt>
                <c:pt idx="1">
                  <c:v>3.5000000149011612E-2</c:v>
                </c:pt>
                <c:pt idx="2">
                  <c:v>3.9999999105930328E-2</c:v>
                </c:pt>
                <c:pt idx="3">
                  <c:v>4.4999998062849045E-2</c:v>
                </c:pt>
                <c:pt idx="4">
                  <c:v>4.9999997019767761E-2</c:v>
                </c:pt>
                <c:pt idx="5">
                  <c:v>5.4999999701976776E-2</c:v>
                </c:pt>
                <c:pt idx="6">
                  <c:v>5.9999998658895493E-2</c:v>
                </c:pt>
                <c:pt idx="7">
                  <c:v>6.4999997615814209E-2</c:v>
                </c:pt>
                <c:pt idx="8">
                  <c:v>7.0000000298023224E-2</c:v>
                </c:pt>
                <c:pt idx="9">
                  <c:v>7.4999995529651642E-2</c:v>
                </c:pt>
                <c:pt idx="10">
                  <c:v>7.9999998211860657E-2</c:v>
                </c:pt>
                <c:pt idx="11">
                  <c:v>8.5000000894069672E-2</c:v>
                </c:pt>
                <c:pt idx="12">
                  <c:v>8.999999612569809E-2</c:v>
                </c:pt>
                <c:pt idx="13">
                  <c:v>9.4999998807907104E-2</c:v>
                </c:pt>
                <c:pt idx="14">
                  <c:v>9.9999994039535522E-2</c:v>
                </c:pt>
              </c:numCache>
            </c:numRef>
          </c:cat>
          <c:val>
            <c:numRef>
              <c:f>'4.48(Additional)'!$K$5:$K$19</c:f>
              <c:numCache>
                <c:formatCode>General</c:formatCode>
                <c:ptCount val="15"/>
                <c:pt idx="0">
                  <c:v>48055.555617643724</c:v>
                </c:pt>
                <c:pt idx="1">
                  <c:v>48055.555617643731</c:v>
                </c:pt>
                <c:pt idx="2">
                  <c:v>48055.555617643731</c:v>
                </c:pt>
                <c:pt idx="3">
                  <c:v>48055.555617643724</c:v>
                </c:pt>
                <c:pt idx="4">
                  <c:v>48055.555617643724</c:v>
                </c:pt>
                <c:pt idx="5">
                  <c:v>48055.555617643724</c:v>
                </c:pt>
                <c:pt idx="6">
                  <c:v>48055.555617643724</c:v>
                </c:pt>
                <c:pt idx="7">
                  <c:v>48055.555617643724</c:v>
                </c:pt>
                <c:pt idx="8">
                  <c:v>48055.555617643724</c:v>
                </c:pt>
                <c:pt idx="9">
                  <c:v>48055.555617643724</c:v>
                </c:pt>
                <c:pt idx="10">
                  <c:v>48055.555617643724</c:v>
                </c:pt>
                <c:pt idx="11">
                  <c:v>48055.555617643724</c:v>
                </c:pt>
                <c:pt idx="12">
                  <c:v>48055.555617643724</c:v>
                </c:pt>
                <c:pt idx="13">
                  <c:v>48749.999701976776</c:v>
                </c:pt>
                <c:pt idx="14">
                  <c:v>49999.998509883888</c:v>
                </c:pt>
              </c:numCache>
            </c:numRef>
          </c:val>
          <c:smooth val="0"/>
          <c:extLst>
            <c:ext xmlns:c16="http://schemas.microsoft.com/office/drawing/2014/chart" uri="{C3380CC4-5D6E-409C-BE32-E72D297353CC}">
              <c16:uniqueId val="{00000001-F922-407B-828B-3ED93E5388E1}"/>
            </c:ext>
          </c:extLst>
        </c:ser>
        <c:dLbls>
          <c:showLegendKey val="0"/>
          <c:showVal val="0"/>
          <c:showCatName val="0"/>
          <c:showSerName val="0"/>
          <c:showPercent val="0"/>
          <c:showBubbleSize val="0"/>
        </c:dLbls>
        <c:marker val="1"/>
        <c:smooth val="0"/>
        <c:axId val="533577951"/>
        <c:axId val="533578367"/>
      </c:lineChart>
      <c:catAx>
        <c:axId val="533577951"/>
        <c:scaling>
          <c:orientation val="minMax"/>
        </c:scaling>
        <c:delete val="0"/>
        <c:axPos val="b"/>
        <c:title>
          <c:tx>
            <c:rich>
              <a:bodyPr/>
              <a:lstStyle/>
              <a:p>
                <a:pPr>
                  <a:defRPr/>
                </a:pPr>
                <a:r>
                  <a:rPr lang="en-IN"/>
                  <a:t>%_required_of_A ($E$36)</a:t>
                </a:r>
              </a:p>
            </c:rich>
          </c:tx>
          <c:overlay val="0"/>
        </c:title>
        <c:numFmt formatCode="0%" sourceLinked="1"/>
        <c:majorTickMark val="out"/>
        <c:minorTickMark val="none"/>
        <c:tickLblPos val="nextTo"/>
        <c:crossAx val="533578367"/>
        <c:crosses val="autoZero"/>
        <c:auto val="1"/>
        <c:lblAlgn val="ctr"/>
        <c:lblOffset val="100"/>
        <c:noMultiLvlLbl val="0"/>
      </c:catAx>
      <c:valAx>
        <c:axId val="533578367"/>
        <c:scaling>
          <c:orientation val="minMax"/>
        </c:scaling>
        <c:delete val="0"/>
        <c:axPos val="l"/>
        <c:majorGridlines/>
        <c:numFmt formatCode="General" sourceLinked="1"/>
        <c:majorTickMark val="out"/>
        <c:minorTickMark val="none"/>
        <c:tickLblPos val="nextTo"/>
        <c:crossAx val="533577951"/>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'4.94 (Additional)'!$Q$1</c:f>
          <c:strCache>
            <c:ptCount val="1"/>
            <c:pt idx="0">
              <c:v>Sensitivity of $B$50 to Price B</c:v>
            </c:pt>
          </c:strCache>
        </c:strRef>
      </c:tx>
      <c:overlay val="0"/>
      <c:txPr>
        <a:bodyPr/>
        <a:lstStyle/>
        <a:p>
          <a:pPr>
            <a:defRPr sz="1200"/>
          </a:pPr>
          <a:endParaRPr lang="en-US"/>
        </a:p>
      </c:txPr>
    </c:title>
    <c:autoTitleDeleted val="0"/>
    <c:plotArea>
      <c:layout/>
      <c:lineChart>
        <c:grouping val="standard"/>
        <c:varyColors val="0"/>
        <c:ser>
          <c:idx val="0"/>
          <c:order val="0"/>
          <c:cat>
            <c:numRef>
              <c:f>'4.94 (Additional)'!$B$4:$O$4</c:f>
              <c:numCache>
                <c:formatCode>_("$"* #,##0.00_);_("$"* \(#,##0.00\);_("$"* "-"??_);_(@_)</c:formatCode>
                <c:ptCount val="14"/>
                <c:pt idx="0">
                  <c:v>4</c:v>
                </c:pt>
                <c:pt idx="1">
                  <c:v>6</c:v>
                </c:pt>
                <c:pt idx="2">
                  <c:v>8</c:v>
                </c:pt>
                <c:pt idx="3">
                  <c:v>10</c:v>
                </c:pt>
                <c:pt idx="4">
                  <c:v>12</c:v>
                </c:pt>
                <c:pt idx="5">
                  <c:v>14</c:v>
                </c:pt>
                <c:pt idx="6">
                  <c:v>16</c:v>
                </c:pt>
                <c:pt idx="7">
                  <c:v>18</c:v>
                </c:pt>
                <c:pt idx="8">
                  <c:v>20</c:v>
                </c:pt>
                <c:pt idx="9">
                  <c:v>22</c:v>
                </c:pt>
                <c:pt idx="10">
                  <c:v>24</c:v>
                </c:pt>
                <c:pt idx="11">
                  <c:v>26</c:v>
                </c:pt>
                <c:pt idx="12">
                  <c:v>28</c:v>
                </c:pt>
                <c:pt idx="13">
                  <c:v>30</c:v>
                </c:pt>
              </c:numCache>
            </c:numRef>
          </c:cat>
          <c:val>
            <c:numRef>
              <c:f>'4.94 (Additional)'!$Q$5:$Q$18</c:f>
              <c:numCache>
                <c:formatCode>General</c:formatCode>
                <c:ptCount val="14"/>
                <c:pt idx="0">
                  <c:v>35250</c:v>
                </c:pt>
                <c:pt idx="1">
                  <c:v>41250</c:v>
                </c:pt>
                <c:pt idx="2">
                  <c:v>47250</c:v>
                </c:pt>
                <c:pt idx="3">
                  <c:v>53250</c:v>
                </c:pt>
                <c:pt idx="4">
                  <c:v>59250</c:v>
                </c:pt>
                <c:pt idx="5">
                  <c:v>65250</c:v>
                </c:pt>
                <c:pt idx="6">
                  <c:v>71250</c:v>
                </c:pt>
                <c:pt idx="7">
                  <c:v>77250</c:v>
                </c:pt>
                <c:pt idx="8">
                  <c:v>83250</c:v>
                </c:pt>
                <c:pt idx="9">
                  <c:v>89250</c:v>
                </c:pt>
                <c:pt idx="10">
                  <c:v>95250</c:v>
                </c:pt>
                <c:pt idx="11">
                  <c:v>101250</c:v>
                </c:pt>
                <c:pt idx="12">
                  <c:v>107250</c:v>
                </c:pt>
                <c:pt idx="13">
                  <c:v>113250</c:v>
                </c:pt>
              </c:numCache>
            </c:numRef>
          </c:val>
          <c:smooth val="0"/>
          <c:extLst>
            <c:ext xmlns:c16="http://schemas.microsoft.com/office/drawing/2014/chart" uri="{C3380CC4-5D6E-409C-BE32-E72D297353CC}">
              <c16:uniqueId val="{00000000-A03C-45D2-B194-2345FFD0EFD7}"/>
            </c:ext>
          </c:extLst>
        </c:ser>
        <c:dLbls>
          <c:showLegendKey val="0"/>
          <c:showVal val="0"/>
          <c:showCatName val="0"/>
          <c:showSerName val="0"/>
          <c:showPercent val="0"/>
          <c:showBubbleSize val="0"/>
        </c:dLbls>
        <c:marker val="1"/>
        <c:smooth val="0"/>
        <c:axId val="1101225760"/>
        <c:axId val="1101227008"/>
      </c:lineChart>
      <c:catAx>
        <c:axId val="1101225760"/>
        <c:scaling>
          <c:orientation val="minMax"/>
        </c:scaling>
        <c:delete val="0"/>
        <c:axPos val="b"/>
        <c:title>
          <c:tx>
            <c:rich>
              <a:bodyPr/>
              <a:lstStyle/>
              <a:p>
                <a:pPr>
                  <a:defRPr/>
                </a:pPr>
                <a:r>
                  <a:rPr lang="en-US"/>
                  <a:t>Price B ($C$12)</a:t>
                </a:r>
              </a:p>
            </c:rich>
          </c:tx>
          <c:overlay val="0"/>
        </c:title>
        <c:numFmt formatCode="_(&quot;$&quot;* #,##0.00_);_(&quot;$&quot;* \(#,##0.00\);_(&quot;$&quot;* &quot;-&quot;??_);_(@_)" sourceLinked="1"/>
        <c:majorTickMark val="out"/>
        <c:minorTickMark val="none"/>
        <c:tickLblPos val="nextTo"/>
        <c:crossAx val="1101227008"/>
        <c:crosses val="autoZero"/>
        <c:auto val="1"/>
        <c:lblAlgn val="ctr"/>
        <c:lblOffset val="100"/>
        <c:noMultiLvlLbl val="0"/>
      </c:catAx>
      <c:valAx>
        <c:axId val="1101227008"/>
        <c:scaling>
          <c:orientation val="minMax"/>
        </c:scaling>
        <c:delete val="0"/>
        <c:axPos val="l"/>
        <c:majorGridlines/>
        <c:numFmt formatCode="General" sourceLinked="1"/>
        <c:majorTickMark val="out"/>
        <c:minorTickMark val="none"/>
        <c:tickLblPos val="nextTo"/>
        <c:crossAx val="1101225760"/>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'4.94 (Additional)'!$U$1</c:f>
          <c:strCache>
            <c:ptCount val="1"/>
            <c:pt idx="0">
              <c:v>Sensitivity of $B$50 to Price A</c:v>
            </c:pt>
          </c:strCache>
        </c:strRef>
      </c:tx>
      <c:overlay val="0"/>
      <c:txPr>
        <a:bodyPr/>
        <a:lstStyle/>
        <a:p>
          <a:pPr>
            <a:defRPr sz="1200"/>
          </a:pPr>
          <a:endParaRPr lang="en-US"/>
        </a:p>
      </c:txPr>
    </c:title>
    <c:autoTitleDeleted val="0"/>
    <c:plotArea>
      <c:layout/>
      <c:lineChart>
        <c:grouping val="standard"/>
        <c:varyColors val="0"/>
        <c:ser>
          <c:idx val="0"/>
          <c:order val="0"/>
          <c:cat>
            <c:numRef>
              <c:f>'4.94 (Additional)'!$A$5:$A$18</c:f>
              <c:numCache>
                <c:formatCode>_("$"* #,##0.00_);_("$"* \(#,##0.00\);_("$"* "-"??_);_(@_)</c:formatCode>
                <c:ptCount val="14"/>
                <c:pt idx="0">
                  <c:v>4</c:v>
                </c:pt>
                <c:pt idx="1">
                  <c:v>6</c:v>
                </c:pt>
                <c:pt idx="2">
                  <c:v>8</c:v>
                </c:pt>
                <c:pt idx="3">
                  <c:v>10</c:v>
                </c:pt>
                <c:pt idx="4">
                  <c:v>12</c:v>
                </c:pt>
                <c:pt idx="5">
                  <c:v>14</c:v>
                </c:pt>
                <c:pt idx="6">
                  <c:v>16</c:v>
                </c:pt>
                <c:pt idx="7">
                  <c:v>18</c:v>
                </c:pt>
                <c:pt idx="8">
                  <c:v>20</c:v>
                </c:pt>
                <c:pt idx="9">
                  <c:v>22</c:v>
                </c:pt>
                <c:pt idx="10">
                  <c:v>24</c:v>
                </c:pt>
                <c:pt idx="11">
                  <c:v>26</c:v>
                </c:pt>
                <c:pt idx="12">
                  <c:v>28</c:v>
                </c:pt>
                <c:pt idx="13">
                  <c:v>30</c:v>
                </c:pt>
              </c:numCache>
            </c:numRef>
          </c:cat>
          <c:val>
            <c:numRef>
              <c:f>'4.94 (Additional)'!$U$5:$U$18</c:f>
              <c:numCache>
                <c:formatCode>General</c:formatCode>
                <c:ptCount val="14"/>
                <c:pt idx="0">
                  <c:v>35250</c:v>
                </c:pt>
                <c:pt idx="1">
                  <c:v>35250</c:v>
                </c:pt>
                <c:pt idx="2">
                  <c:v>35250</c:v>
                </c:pt>
                <c:pt idx="3">
                  <c:v>35250</c:v>
                </c:pt>
                <c:pt idx="4">
                  <c:v>35500</c:v>
                </c:pt>
                <c:pt idx="5">
                  <c:v>37500</c:v>
                </c:pt>
                <c:pt idx="6">
                  <c:v>39500</c:v>
                </c:pt>
                <c:pt idx="7">
                  <c:v>41500</c:v>
                </c:pt>
                <c:pt idx="8">
                  <c:v>43500</c:v>
                </c:pt>
                <c:pt idx="9">
                  <c:v>45500</c:v>
                </c:pt>
                <c:pt idx="10">
                  <c:v>47500</c:v>
                </c:pt>
                <c:pt idx="11">
                  <c:v>49500</c:v>
                </c:pt>
                <c:pt idx="12">
                  <c:v>51500</c:v>
                </c:pt>
                <c:pt idx="13">
                  <c:v>53500</c:v>
                </c:pt>
              </c:numCache>
            </c:numRef>
          </c:val>
          <c:smooth val="0"/>
          <c:extLst>
            <c:ext xmlns:c16="http://schemas.microsoft.com/office/drawing/2014/chart" uri="{C3380CC4-5D6E-409C-BE32-E72D297353CC}">
              <c16:uniqueId val="{00000000-340A-4E1D-8C23-B4D9591C47C1}"/>
            </c:ext>
          </c:extLst>
        </c:ser>
        <c:dLbls>
          <c:showLegendKey val="0"/>
          <c:showVal val="0"/>
          <c:showCatName val="0"/>
          <c:showSerName val="0"/>
          <c:showPercent val="0"/>
          <c:showBubbleSize val="0"/>
        </c:dLbls>
        <c:marker val="1"/>
        <c:smooth val="0"/>
        <c:axId val="1101226592"/>
        <c:axId val="1101227424"/>
      </c:lineChart>
      <c:catAx>
        <c:axId val="1101226592"/>
        <c:scaling>
          <c:orientation val="minMax"/>
        </c:scaling>
        <c:delete val="0"/>
        <c:axPos val="b"/>
        <c:title>
          <c:tx>
            <c:rich>
              <a:bodyPr/>
              <a:lstStyle/>
              <a:p>
                <a:pPr>
                  <a:defRPr/>
                </a:pPr>
                <a:r>
                  <a:rPr lang="en-US"/>
                  <a:t>Price A ($B$12)</a:t>
                </a:r>
              </a:p>
            </c:rich>
          </c:tx>
          <c:overlay val="0"/>
        </c:title>
        <c:numFmt formatCode="_(&quot;$&quot;* #,##0.00_);_(&quot;$&quot;* \(#,##0.00\);_(&quot;$&quot;* &quot;-&quot;??_);_(@_)" sourceLinked="1"/>
        <c:majorTickMark val="out"/>
        <c:minorTickMark val="none"/>
        <c:tickLblPos val="nextTo"/>
        <c:crossAx val="1101227424"/>
        <c:crosses val="autoZero"/>
        <c:auto val="1"/>
        <c:lblAlgn val="ctr"/>
        <c:lblOffset val="100"/>
        <c:noMultiLvlLbl val="0"/>
      </c:catAx>
      <c:valAx>
        <c:axId val="1101227424"/>
        <c:scaling>
          <c:orientation val="minMax"/>
        </c:scaling>
        <c:delete val="0"/>
        <c:axPos val="l"/>
        <c:majorGridlines/>
        <c:numFmt formatCode="General" sourceLinked="1"/>
        <c:majorTickMark val="out"/>
        <c:minorTickMark val="none"/>
        <c:tickLblPos val="nextTo"/>
        <c:crossAx val="1101226592"/>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'4.114 (Additional)'!$K$1</c:f>
          <c:strCache>
            <c:ptCount val="1"/>
            <c:pt idx="0">
              <c:v>Sensitivity of $B$38 to Input2</c:v>
            </c:pt>
          </c:strCache>
        </c:strRef>
      </c:tx>
      <c:overlay val="0"/>
      <c:txPr>
        <a:bodyPr/>
        <a:lstStyle/>
        <a:p>
          <a:pPr>
            <a:defRPr sz="1200"/>
          </a:pPr>
          <a:endParaRPr lang="en-US"/>
        </a:p>
      </c:txPr>
    </c:title>
    <c:autoTitleDeleted val="0"/>
    <c:plotArea>
      <c:layout/>
      <c:lineChart>
        <c:grouping val="standard"/>
        <c:varyColors val="0"/>
        <c:ser>
          <c:idx val="0"/>
          <c:order val="0"/>
          <c:cat>
            <c:numRef>
              <c:f>'4.114 (Additional)'!$B$4:$G$4</c:f>
              <c:numCache>
                <c:formatCode>General</c:formatCode>
                <c:ptCount val="6"/>
                <c:pt idx="0">
                  <c:v>0</c:v>
                </c:pt>
                <c:pt idx="1">
                  <c:v>1</c:v>
                </c:pt>
                <c:pt idx="2">
                  <c:v>2</c:v>
                </c:pt>
                <c:pt idx="3">
                  <c:v>3</c:v>
                </c:pt>
                <c:pt idx="4">
                  <c:v>4</c:v>
                </c:pt>
                <c:pt idx="5">
                  <c:v>5</c:v>
                </c:pt>
              </c:numCache>
            </c:numRef>
          </c:cat>
          <c:val>
            <c:numRef>
              <c:f>'4.114 (Additional)'!$K$5:$K$10</c:f>
              <c:numCache>
                <c:formatCode>General</c:formatCode>
                <c:ptCount val="6"/>
                <c:pt idx="0">
                  <c:v>545</c:v>
                </c:pt>
                <c:pt idx="1">
                  <c:v>545</c:v>
                </c:pt>
                <c:pt idx="2">
                  <c:v>545</c:v>
                </c:pt>
                <c:pt idx="3">
                  <c:v>555</c:v>
                </c:pt>
                <c:pt idx="4">
                  <c:v>640</c:v>
                </c:pt>
                <c:pt idx="5">
                  <c:v>800</c:v>
                </c:pt>
              </c:numCache>
            </c:numRef>
          </c:val>
          <c:smooth val="0"/>
          <c:extLst>
            <c:ext xmlns:c16="http://schemas.microsoft.com/office/drawing/2014/chart" uri="{C3380CC4-5D6E-409C-BE32-E72D297353CC}">
              <c16:uniqueId val="{00000000-ECF1-4084-B273-91704314D8B1}"/>
            </c:ext>
          </c:extLst>
        </c:ser>
        <c:dLbls>
          <c:showLegendKey val="0"/>
          <c:showVal val="0"/>
          <c:showCatName val="0"/>
          <c:showSerName val="0"/>
          <c:showPercent val="0"/>
          <c:showBubbleSize val="0"/>
        </c:dLbls>
        <c:marker val="1"/>
        <c:smooth val="0"/>
        <c:axId val="1102889008"/>
        <c:axId val="1102890256"/>
      </c:lineChart>
      <c:catAx>
        <c:axId val="1102889008"/>
        <c:scaling>
          <c:orientation val="minMax"/>
        </c:scaling>
        <c:delete val="0"/>
        <c:axPos val="b"/>
        <c:title>
          <c:tx>
            <c:rich>
              <a:bodyPr/>
              <a:lstStyle/>
              <a:p>
                <a:pPr>
                  <a:defRPr/>
                </a:pPr>
                <a:r>
                  <a:rPr lang="en-US"/>
                  <a:t>Input2 ($D$27)</a:t>
                </a:r>
              </a:p>
            </c:rich>
          </c:tx>
          <c:overlay val="0"/>
        </c:title>
        <c:numFmt formatCode="General" sourceLinked="1"/>
        <c:majorTickMark val="out"/>
        <c:minorTickMark val="none"/>
        <c:tickLblPos val="nextTo"/>
        <c:crossAx val="1102890256"/>
        <c:crosses val="autoZero"/>
        <c:auto val="1"/>
        <c:lblAlgn val="ctr"/>
        <c:lblOffset val="100"/>
        <c:noMultiLvlLbl val="0"/>
      </c:catAx>
      <c:valAx>
        <c:axId val="1102890256"/>
        <c:scaling>
          <c:orientation val="minMax"/>
        </c:scaling>
        <c:delete val="0"/>
        <c:axPos val="l"/>
        <c:majorGridlines/>
        <c:numFmt formatCode="General" sourceLinked="1"/>
        <c:majorTickMark val="out"/>
        <c:minorTickMark val="none"/>
        <c:tickLblPos val="nextTo"/>
        <c:crossAx val="1102889008"/>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'4.114 (Additional)'!$O$1</c:f>
          <c:strCache>
            <c:ptCount val="1"/>
            <c:pt idx="0">
              <c:v>Sensitivity of $B$38 to Input1</c:v>
            </c:pt>
          </c:strCache>
        </c:strRef>
      </c:tx>
      <c:overlay val="0"/>
      <c:txPr>
        <a:bodyPr/>
        <a:lstStyle/>
        <a:p>
          <a:pPr>
            <a:defRPr sz="1200"/>
          </a:pPr>
          <a:endParaRPr lang="en-US"/>
        </a:p>
      </c:txPr>
    </c:title>
    <c:autoTitleDeleted val="0"/>
    <c:plotArea>
      <c:layout/>
      <c:lineChart>
        <c:grouping val="standard"/>
        <c:varyColors val="0"/>
        <c:ser>
          <c:idx val="0"/>
          <c:order val="0"/>
          <c:cat>
            <c:numRef>
              <c:f>'4.114 (Additional)'!$A$5:$A$10</c:f>
              <c:numCache>
                <c:formatCode>General</c:formatCode>
                <c:ptCount val="6"/>
                <c:pt idx="0">
                  <c:v>0</c:v>
                </c:pt>
                <c:pt idx="1">
                  <c:v>1</c:v>
                </c:pt>
                <c:pt idx="2">
                  <c:v>2</c:v>
                </c:pt>
                <c:pt idx="3">
                  <c:v>3</c:v>
                </c:pt>
                <c:pt idx="4">
                  <c:v>4</c:v>
                </c:pt>
                <c:pt idx="5">
                  <c:v>5</c:v>
                </c:pt>
              </c:numCache>
            </c:numRef>
          </c:cat>
          <c:val>
            <c:numRef>
              <c:f>'4.114 (Additional)'!$O$5:$O$10</c:f>
              <c:numCache>
                <c:formatCode>General</c:formatCode>
                <c:ptCount val="6"/>
                <c:pt idx="0">
                  <c:v>545</c:v>
                </c:pt>
                <c:pt idx="1">
                  <c:v>545</c:v>
                </c:pt>
                <c:pt idx="2">
                  <c:v>545</c:v>
                </c:pt>
                <c:pt idx="3">
                  <c:v>555</c:v>
                </c:pt>
                <c:pt idx="4">
                  <c:v>640</c:v>
                </c:pt>
                <c:pt idx="5">
                  <c:v>800</c:v>
                </c:pt>
              </c:numCache>
            </c:numRef>
          </c:val>
          <c:smooth val="0"/>
          <c:extLst>
            <c:ext xmlns:c16="http://schemas.microsoft.com/office/drawing/2014/chart" uri="{C3380CC4-5D6E-409C-BE32-E72D297353CC}">
              <c16:uniqueId val="{00000000-734C-42CD-B47C-CE308CF2CF8C}"/>
            </c:ext>
          </c:extLst>
        </c:ser>
        <c:dLbls>
          <c:showLegendKey val="0"/>
          <c:showVal val="0"/>
          <c:showCatName val="0"/>
          <c:showSerName val="0"/>
          <c:showPercent val="0"/>
          <c:showBubbleSize val="0"/>
        </c:dLbls>
        <c:marker val="1"/>
        <c:smooth val="0"/>
        <c:axId val="1102889424"/>
        <c:axId val="1102887344"/>
      </c:lineChart>
      <c:catAx>
        <c:axId val="1102889424"/>
        <c:scaling>
          <c:orientation val="minMax"/>
        </c:scaling>
        <c:delete val="0"/>
        <c:axPos val="b"/>
        <c:title>
          <c:tx>
            <c:rich>
              <a:bodyPr/>
              <a:lstStyle/>
              <a:p>
                <a:pPr>
                  <a:defRPr/>
                </a:pPr>
                <a:r>
                  <a:rPr lang="en-US"/>
                  <a:t>Input1 ($D$25)</a:t>
                </a:r>
              </a:p>
            </c:rich>
          </c:tx>
          <c:overlay val="0"/>
        </c:title>
        <c:numFmt formatCode="General" sourceLinked="1"/>
        <c:majorTickMark val="out"/>
        <c:minorTickMark val="none"/>
        <c:tickLblPos val="nextTo"/>
        <c:crossAx val="1102887344"/>
        <c:crosses val="autoZero"/>
        <c:auto val="1"/>
        <c:lblAlgn val="ctr"/>
        <c:lblOffset val="100"/>
        <c:noMultiLvlLbl val="0"/>
      </c:catAx>
      <c:valAx>
        <c:axId val="1102887344"/>
        <c:scaling>
          <c:orientation val="minMax"/>
        </c:scaling>
        <c:delete val="0"/>
        <c:axPos val="l"/>
        <c:majorGridlines/>
        <c:numFmt formatCode="General" sourceLinked="1"/>
        <c:majorTickMark val="out"/>
        <c:minorTickMark val="none"/>
        <c:tickLblPos val="nextTo"/>
        <c:crossAx val="1102889424"/>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'5.43(Additional)'!$S$1</c:f>
          <c:strCache>
            <c:ptCount val="1"/>
            <c:pt idx="0">
              <c:v>Sensitivity of Total_gallons_used to Gallons_CLE_to_PHX</c:v>
            </c:pt>
          </c:strCache>
        </c:strRef>
      </c:tx>
      <c:overlay val="0"/>
      <c:txPr>
        <a:bodyPr/>
        <a:lstStyle/>
        <a:p>
          <a:pPr>
            <a:defRPr sz="1200"/>
          </a:pPr>
          <a:endParaRPr lang="en-US"/>
        </a:p>
      </c:txPr>
    </c:title>
    <c:autoTitleDeleted val="0"/>
    <c:plotArea>
      <c:layout/>
      <c:lineChart>
        <c:grouping val="standard"/>
        <c:varyColors val="0"/>
        <c:ser>
          <c:idx val="0"/>
          <c:order val="0"/>
          <c:cat>
            <c:numRef>
              <c:f>'5.43(Additional)'!$B$4:$Q$4</c:f>
              <c:numCache>
                <c:formatCode>General</c:formatCode>
                <c:ptCount val="16"/>
                <c:pt idx="0">
                  <c:v>500</c:v>
                </c:pt>
                <c:pt idx="1">
                  <c:v>600</c:v>
                </c:pt>
                <c:pt idx="2">
                  <c:v>700</c:v>
                </c:pt>
                <c:pt idx="3">
                  <c:v>800</c:v>
                </c:pt>
                <c:pt idx="4">
                  <c:v>900</c:v>
                </c:pt>
                <c:pt idx="5">
                  <c:v>1000</c:v>
                </c:pt>
                <c:pt idx="6">
                  <c:v>1100</c:v>
                </c:pt>
                <c:pt idx="7">
                  <c:v>1200</c:v>
                </c:pt>
                <c:pt idx="8">
                  <c:v>1300</c:v>
                </c:pt>
                <c:pt idx="9">
                  <c:v>1400</c:v>
                </c:pt>
                <c:pt idx="10">
                  <c:v>1500</c:v>
                </c:pt>
                <c:pt idx="11">
                  <c:v>1600</c:v>
                </c:pt>
                <c:pt idx="12">
                  <c:v>1700</c:v>
                </c:pt>
                <c:pt idx="13">
                  <c:v>1800</c:v>
                </c:pt>
                <c:pt idx="14">
                  <c:v>1900</c:v>
                </c:pt>
                <c:pt idx="15">
                  <c:v>2000</c:v>
                </c:pt>
              </c:numCache>
            </c:numRef>
          </c:cat>
          <c:val>
            <c:numRef>
              <c:f>'5.43(Additional)'!$S$5:$S$20</c:f>
              <c:numCache>
                <c:formatCode>General</c:formatCode>
                <c:ptCount val="16"/>
                <c:pt idx="0">
                  <c:v>1300</c:v>
                </c:pt>
                <c:pt idx="1">
                  <c:v>1400</c:v>
                </c:pt>
                <c:pt idx="2">
                  <c:v>1500</c:v>
                </c:pt>
                <c:pt idx="3">
                  <c:v>1600</c:v>
                </c:pt>
                <c:pt idx="4">
                  <c:v>1700</c:v>
                </c:pt>
                <c:pt idx="5">
                  <c:v>1800</c:v>
                </c:pt>
                <c:pt idx="6">
                  <c:v>1900</c:v>
                </c:pt>
                <c:pt idx="7">
                  <c:v>2000</c:v>
                </c:pt>
                <c:pt idx="8">
                  <c:v>2000</c:v>
                </c:pt>
                <c:pt idx="9">
                  <c:v>2000</c:v>
                </c:pt>
                <c:pt idx="10">
                  <c:v>2000</c:v>
                </c:pt>
                <c:pt idx="11">
                  <c:v>2000</c:v>
                </c:pt>
                <c:pt idx="12">
                  <c:v>2000</c:v>
                </c:pt>
                <c:pt idx="13">
                  <c:v>2000</c:v>
                </c:pt>
                <c:pt idx="14">
                  <c:v>2000</c:v>
                </c:pt>
                <c:pt idx="15">
                  <c:v>2000</c:v>
                </c:pt>
              </c:numCache>
            </c:numRef>
          </c:val>
          <c:smooth val="0"/>
          <c:extLst>
            <c:ext xmlns:c16="http://schemas.microsoft.com/office/drawing/2014/chart" uri="{C3380CC4-5D6E-409C-BE32-E72D297353CC}">
              <c16:uniqueId val="{00000001-ED48-4354-BF62-4D9FC90A14CB}"/>
            </c:ext>
          </c:extLst>
        </c:ser>
        <c:dLbls>
          <c:showLegendKey val="0"/>
          <c:showVal val="0"/>
          <c:showCatName val="0"/>
          <c:showSerName val="0"/>
          <c:showPercent val="0"/>
          <c:showBubbleSize val="0"/>
        </c:dLbls>
        <c:marker val="1"/>
        <c:smooth val="0"/>
        <c:axId val="446294479"/>
        <c:axId val="446298639"/>
      </c:lineChart>
      <c:catAx>
        <c:axId val="446294479"/>
        <c:scaling>
          <c:orientation val="minMax"/>
        </c:scaling>
        <c:delete val="0"/>
        <c:axPos val="b"/>
        <c:title>
          <c:tx>
            <c:rich>
              <a:bodyPr/>
              <a:lstStyle/>
              <a:p>
                <a:pPr>
                  <a:defRPr/>
                </a:pPr>
                <a:r>
                  <a:rPr lang="en-IN"/>
                  <a:t>Gallons_CLE_to_PHX ($E$6)</a:t>
                </a:r>
              </a:p>
            </c:rich>
          </c:tx>
          <c:overlay val="0"/>
        </c:title>
        <c:numFmt formatCode="General" sourceLinked="1"/>
        <c:majorTickMark val="out"/>
        <c:minorTickMark val="none"/>
        <c:tickLblPos val="nextTo"/>
        <c:crossAx val="446298639"/>
        <c:crosses val="autoZero"/>
        <c:auto val="1"/>
        <c:lblAlgn val="ctr"/>
        <c:lblOffset val="100"/>
        <c:noMultiLvlLbl val="0"/>
      </c:catAx>
      <c:valAx>
        <c:axId val="446298639"/>
        <c:scaling>
          <c:orientation val="minMax"/>
        </c:scaling>
        <c:delete val="0"/>
        <c:axPos val="l"/>
        <c:majorGridlines/>
        <c:numFmt formatCode="General" sourceLinked="1"/>
        <c:majorTickMark val="out"/>
        <c:minorTickMark val="none"/>
        <c:tickLblPos val="nextTo"/>
        <c:crossAx val="446294479"/>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'5.43(Additional)'!$W$1</c:f>
          <c:strCache>
            <c:ptCount val="1"/>
            <c:pt idx="0">
              <c:v>Sensitivity of Total_gallons_used to Gallons_NY_to_STL</c:v>
            </c:pt>
          </c:strCache>
        </c:strRef>
      </c:tx>
      <c:overlay val="0"/>
      <c:txPr>
        <a:bodyPr/>
        <a:lstStyle/>
        <a:p>
          <a:pPr>
            <a:defRPr sz="1200"/>
          </a:pPr>
          <a:endParaRPr lang="en-US"/>
        </a:p>
      </c:txPr>
    </c:title>
    <c:autoTitleDeleted val="0"/>
    <c:plotArea>
      <c:layout/>
      <c:lineChart>
        <c:grouping val="standard"/>
        <c:varyColors val="0"/>
        <c:ser>
          <c:idx val="0"/>
          <c:order val="0"/>
          <c:cat>
            <c:numRef>
              <c:f>'5.43(Additional)'!$A$5:$A$12</c:f>
              <c:numCache>
                <c:formatCode>General</c:formatCode>
                <c:ptCount val="8"/>
                <c:pt idx="0">
                  <c:v>500</c:v>
                </c:pt>
                <c:pt idx="1">
                  <c:v>600</c:v>
                </c:pt>
                <c:pt idx="2">
                  <c:v>700</c:v>
                </c:pt>
                <c:pt idx="3">
                  <c:v>800</c:v>
                </c:pt>
                <c:pt idx="4">
                  <c:v>900</c:v>
                </c:pt>
                <c:pt idx="5">
                  <c:v>1000</c:v>
                </c:pt>
                <c:pt idx="6">
                  <c:v>1100</c:v>
                </c:pt>
                <c:pt idx="7">
                  <c:v>1200</c:v>
                </c:pt>
              </c:numCache>
            </c:numRef>
          </c:cat>
          <c:val>
            <c:numRef>
              <c:f>'5.43(Additional)'!$W$5:$W$12</c:f>
              <c:numCache>
                <c:formatCode>General</c:formatCode>
                <c:ptCount val="8"/>
                <c:pt idx="0">
                  <c:v>1300</c:v>
                </c:pt>
                <c:pt idx="1">
                  <c:v>1300</c:v>
                </c:pt>
                <c:pt idx="2">
                  <c:v>1300</c:v>
                </c:pt>
                <c:pt idx="3">
                  <c:v>1300</c:v>
                </c:pt>
                <c:pt idx="4">
                  <c:v>1300</c:v>
                </c:pt>
                <c:pt idx="5">
                  <c:v>1300</c:v>
                </c:pt>
                <c:pt idx="6">
                  <c:v>1300</c:v>
                </c:pt>
                <c:pt idx="7">
                  <c:v>1300</c:v>
                </c:pt>
              </c:numCache>
            </c:numRef>
          </c:val>
          <c:smooth val="0"/>
          <c:extLst>
            <c:ext xmlns:c16="http://schemas.microsoft.com/office/drawing/2014/chart" uri="{C3380CC4-5D6E-409C-BE32-E72D297353CC}">
              <c16:uniqueId val="{00000001-52F4-45BD-B030-8719570283BC}"/>
            </c:ext>
          </c:extLst>
        </c:ser>
        <c:dLbls>
          <c:showLegendKey val="0"/>
          <c:showVal val="0"/>
          <c:showCatName val="0"/>
          <c:showSerName val="0"/>
          <c:showPercent val="0"/>
          <c:showBubbleSize val="0"/>
        </c:dLbls>
        <c:marker val="1"/>
        <c:smooth val="0"/>
        <c:axId val="584002095"/>
        <c:axId val="584004175"/>
      </c:lineChart>
      <c:catAx>
        <c:axId val="584002095"/>
        <c:scaling>
          <c:orientation val="minMax"/>
        </c:scaling>
        <c:delete val="0"/>
        <c:axPos val="b"/>
        <c:title>
          <c:tx>
            <c:rich>
              <a:bodyPr/>
              <a:lstStyle/>
              <a:p>
                <a:pPr>
                  <a:defRPr/>
                </a:pPr>
                <a:r>
                  <a:rPr lang="en-IN"/>
                  <a:t>Gallons_NY_to_STL ($D$4)</a:t>
                </a:r>
              </a:p>
            </c:rich>
          </c:tx>
          <c:overlay val="0"/>
        </c:title>
        <c:numFmt formatCode="General" sourceLinked="1"/>
        <c:majorTickMark val="out"/>
        <c:minorTickMark val="none"/>
        <c:tickLblPos val="nextTo"/>
        <c:crossAx val="584004175"/>
        <c:crosses val="autoZero"/>
        <c:auto val="1"/>
        <c:lblAlgn val="ctr"/>
        <c:lblOffset val="100"/>
        <c:noMultiLvlLbl val="0"/>
      </c:catAx>
      <c:valAx>
        <c:axId val="584004175"/>
        <c:scaling>
          <c:orientation val="minMax"/>
        </c:scaling>
        <c:delete val="0"/>
        <c:axPos val="l"/>
        <c:majorGridlines/>
        <c:numFmt formatCode="General" sourceLinked="1"/>
        <c:majorTickMark val="out"/>
        <c:minorTickMark val="none"/>
        <c:tickLblPos val="nextTo"/>
        <c:crossAx val="584002095"/>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6</xdr:col>
      <xdr:colOff>228600</xdr:colOff>
      <xdr:row>27</xdr:row>
      <xdr:rowOff>127000</xdr:rowOff>
    </xdr:from>
    <xdr:to>
      <xdr:col>10</xdr:col>
      <xdr:colOff>406400</xdr:colOff>
      <xdr:row>31</xdr:row>
      <xdr:rowOff>50800</xdr:rowOff>
    </xdr:to>
    <xdr:pic>
      <xdr:nvPicPr>
        <xdr:cNvPr id="2" name="Picture 1">
          <a:extLst>
            <a:ext uri="{FF2B5EF4-FFF2-40B4-BE49-F238E27FC236}">
              <a16:creationId xmlns:a16="http://schemas.microsoft.com/office/drawing/2014/main" id="{DF323D28-68FD-420C-A5BC-D7A0E729F2D7}"/>
            </a:ext>
          </a:extLst>
        </xdr:cNvPr>
        <xdr:cNvPicPr>
          <a:picLocks noChangeAspect="1"/>
        </xdr:cNvPicPr>
      </xdr:nvPicPr>
      <xdr:blipFill>
        <a:blip xmlns:r="http://schemas.openxmlformats.org/officeDocument/2006/relationships" r:embed="rId1"/>
        <a:stretch>
          <a:fillRect/>
        </a:stretch>
      </xdr:blipFill>
      <xdr:spPr>
        <a:xfrm>
          <a:off x="9436100" y="5099050"/>
          <a:ext cx="2616200" cy="660400"/>
        </a:xfrm>
        <a:prstGeom prst="rect">
          <a:avLst/>
        </a:prstGeom>
      </xdr:spPr>
    </xdr:pic>
    <xdr:clientData/>
  </xdr:twoCellAnchor>
  <xdr:twoCellAnchor editAs="oneCell">
    <xdr:from>
      <xdr:col>6</xdr:col>
      <xdr:colOff>279400</xdr:colOff>
      <xdr:row>30</xdr:row>
      <xdr:rowOff>171450</xdr:rowOff>
    </xdr:from>
    <xdr:to>
      <xdr:col>10</xdr:col>
      <xdr:colOff>609600</xdr:colOff>
      <xdr:row>40</xdr:row>
      <xdr:rowOff>39260</xdr:rowOff>
    </xdr:to>
    <xdr:pic>
      <xdr:nvPicPr>
        <xdr:cNvPr id="3" name="Picture 2">
          <a:extLst>
            <a:ext uri="{FF2B5EF4-FFF2-40B4-BE49-F238E27FC236}">
              <a16:creationId xmlns:a16="http://schemas.microsoft.com/office/drawing/2014/main" id="{519162AD-734C-4439-B356-FEC093CD6408}"/>
            </a:ext>
          </a:extLst>
        </xdr:cNvPr>
        <xdr:cNvPicPr>
          <a:picLocks noChangeAspect="1"/>
        </xdr:cNvPicPr>
      </xdr:nvPicPr>
      <xdr:blipFill>
        <a:blip xmlns:r="http://schemas.openxmlformats.org/officeDocument/2006/relationships" r:embed="rId2"/>
        <a:stretch>
          <a:fillRect/>
        </a:stretch>
      </xdr:blipFill>
      <xdr:spPr>
        <a:xfrm>
          <a:off x="9486900" y="5695950"/>
          <a:ext cx="2768600" cy="1709310"/>
        </a:xfrm>
        <a:prstGeom prst="rect">
          <a:avLst/>
        </a:prstGeom>
      </xdr:spPr>
    </xdr:pic>
    <xdr:clientData/>
  </xdr:twoCellAnchor>
  <xdr:twoCellAnchor>
    <xdr:from>
      <xdr:col>4</xdr:col>
      <xdr:colOff>158750</xdr:colOff>
      <xdr:row>0</xdr:row>
      <xdr:rowOff>69850</xdr:rowOff>
    </xdr:from>
    <xdr:to>
      <xdr:col>9</xdr:col>
      <xdr:colOff>533400</xdr:colOff>
      <xdr:row>26</xdr:row>
      <xdr:rowOff>114300</xdr:rowOff>
    </xdr:to>
    <xdr:sp macro="" textlink="">
      <xdr:nvSpPr>
        <xdr:cNvPr id="4" name="TextBox 3">
          <a:extLst>
            <a:ext uri="{FF2B5EF4-FFF2-40B4-BE49-F238E27FC236}">
              <a16:creationId xmlns:a16="http://schemas.microsoft.com/office/drawing/2014/main" id="{32A0326A-4C01-4B24-995B-63E2991B6751}"/>
            </a:ext>
          </a:extLst>
        </xdr:cNvPr>
        <xdr:cNvSpPr txBox="1"/>
      </xdr:nvSpPr>
      <xdr:spPr>
        <a:xfrm>
          <a:off x="7264400" y="69850"/>
          <a:ext cx="3422650" cy="4832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 Using solver</a:t>
          </a:r>
          <a:r>
            <a:rPr lang="en-IN" sz="1100" baseline="0"/>
            <a:t>, we are able to calculate that the cheapest way of producing today's batch will be to purchase 1666.67 lb of Chemical 1, 1944.44 lb of Chemical 2, 1388.89 lb of Chemical 3 and 0 pounds of Chemical 4, which makes sense because Chemical 4 is the costliest of all chemicals per pound. Using this purchasing combination, our minimized cost turns out to be $48,056.</a:t>
          </a:r>
        </a:p>
        <a:p>
          <a:endParaRPr lang="en-IN" sz="1100" baseline="0"/>
        </a:p>
        <a:p>
          <a:r>
            <a:rPr lang="en-IN" sz="1100" baseline="0"/>
            <a:t>b.) Using solvertable and conducting sensitivity analysis of min % weight of ingredient B on total production cost, we find as we vary min % from 3 to 8%, our total production cost ranges from $46,267 to $52,000.</a:t>
          </a:r>
        </a:p>
        <a:p>
          <a:endParaRPr lang="en-IN" sz="1100" baseline="0"/>
        </a:p>
        <a:p>
          <a:r>
            <a:rPr lang="en-IN" sz="1100" baseline="0"/>
            <a:t>Additional.) Doing another sensitivity analysis of min % weight of ingredient A on total production cost, we find that total production starts shooting up when we increase min % from 9% and total production cost is $50,000 corresponding to 10%.</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0</xdr:colOff>
      <xdr:row>16</xdr:row>
      <xdr:rowOff>95250</xdr:rowOff>
    </xdr:from>
    <xdr:to>
      <xdr:col>18</xdr:col>
      <xdr:colOff>0</xdr:colOff>
      <xdr:row>32</xdr:row>
      <xdr:rowOff>6350</xdr:rowOff>
    </xdr:to>
    <xdr:graphicFrame macro="">
      <xdr:nvGraphicFramePr>
        <xdr:cNvPr id="2" name="STS_1_Chart">
          <a:extLst>
            <a:ext uri="{FF2B5EF4-FFF2-40B4-BE49-F238E27FC236}">
              <a16:creationId xmlns:a16="http://schemas.microsoft.com/office/drawing/2014/main" id="{21923427-E9E1-40CB-9D99-9672060C4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3</xdr:row>
      <xdr:rowOff>19050</xdr:rowOff>
    </xdr:from>
    <xdr:to>
      <xdr:col>16</xdr:col>
      <xdr:colOff>0</xdr:colOff>
      <xdr:row>3</xdr:row>
      <xdr:rowOff>781050</xdr:rowOff>
    </xdr:to>
    <xdr:sp macro="" textlink="">
      <xdr:nvSpPr>
        <xdr:cNvPr id="3" name="TextBox 2">
          <a:extLst>
            <a:ext uri="{FF2B5EF4-FFF2-40B4-BE49-F238E27FC236}">
              <a16:creationId xmlns:a16="http://schemas.microsoft.com/office/drawing/2014/main" id="{EB2C2248-DE23-4691-951C-F0F0F2E08E49}"/>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When you select an output from the dropdown list in cell $K$4, the chart will adapt to that output.</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10</xdr:col>
      <xdr:colOff>0</xdr:colOff>
      <xdr:row>20</xdr:row>
      <xdr:rowOff>120650</xdr:rowOff>
    </xdr:from>
    <xdr:to>
      <xdr:col>18</xdr:col>
      <xdr:colOff>0</xdr:colOff>
      <xdr:row>36</xdr:row>
      <xdr:rowOff>31750</xdr:rowOff>
    </xdr:to>
    <xdr:graphicFrame macro="">
      <xdr:nvGraphicFramePr>
        <xdr:cNvPr id="2" name="STS_1_Chart">
          <a:extLst>
            <a:ext uri="{FF2B5EF4-FFF2-40B4-BE49-F238E27FC236}">
              <a16:creationId xmlns:a16="http://schemas.microsoft.com/office/drawing/2014/main" id="{C0AE8FA4-C261-4B46-B577-A83BD5B1C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3</xdr:row>
      <xdr:rowOff>19050</xdr:rowOff>
    </xdr:from>
    <xdr:to>
      <xdr:col>16</xdr:col>
      <xdr:colOff>0</xdr:colOff>
      <xdr:row>3</xdr:row>
      <xdr:rowOff>781050</xdr:rowOff>
    </xdr:to>
    <xdr:sp macro="" textlink="">
      <xdr:nvSpPr>
        <xdr:cNvPr id="3" name="TextBox 2">
          <a:extLst>
            <a:ext uri="{FF2B5EF4-FFF2-40B4-BE49-F238E27FC236}">
              <a16:creationId xmlns:a16="http://schemas.microsoft.com/office/drawing/2014/main" id="{B8728C6D-70E4-41F9-8633-F3AF137CB401}"/>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When you select an output from the dropdown list in cell $K$4, the chart will adapt to that output.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603250</xdr:colOff>
      <xdr:row>0</xdr:row>
      <xdr:rowOff>177800</xdr:rowOff>
    </xdr:from>
    <xdr:to>
      <xdr:col>9</xdr:col>
      <xdr:colOff>584200</xdr:colOff>
      <xdr:row>17</xdr:row>
      <xdr:rowOff>152400</xdr:rowOff>
    </xdr:to>
    <xdr:sp macro="" textlink="">
      <xdr:nvSpPr>
        <xdr:cNvPr id="2" name="TextBox 1">
          <a:extLst>
            <a:ext uri="{FF2B5EF4-FFF2-40B4-BE49-F238E27FC236}">
              <a16:creationId xmlns:a16="http://schemas.microsoft.com/office/drawing/2014/main" id="{1D9BF8F6-ACA7-41D4-A6BF-083BA26F11C9}"/>
            </a:ext>
          </a:extLst>
        </xdr:cNvPr>
        <xdr:cNvSpPr txBox="1"/>
      </xdr:nvSpPr>
      <xdr:spPr>
        <a:xfrm>
          <a:off x="4889500" y="177800"/>
          <a:ext cx="3028950" cy="3105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Our results show that the decision variables selected</a:t>
          </a:r>
          <a:r>
            <a:rPr lang="en-US" sz="1100" baseline="0"/>
            <a:t> would be using 750 units of RM 1, 1,500 of RM 2, and producing 1,500 units of C. This will maximize our total profit at </a:t>
          </a:r>
          <a:r>
            <a:rPr lang="en-US" sz="1100" b="1" baseline="0"/>
            <a:t>$ 50,250</a:t>
          </a:r>
          <a:r>
            <a:rPr lang="en-US" sz="1100" baseline="0"/>
            <a:t>.</a:t>
          </a:r>
        </a:p>
        <a:p>
          <a:endParaRPr lang="en-US" sz="1100" baseline="0"/>
        </a:p>
        <a:p>
          <a:r>
            <a:rPr lang="en-US" sz="1100" b="1" baseline="0"/>
            <a:t>SENSITIVITY ANALYSIS</a:t>
          </a:r>
        </a:p>
        <a:p>
          <a:r>
            <a:rPr lang="en-US" sz="1100" b="0" baseline="0"/>
            <a:t>We thought it'd be interesting to note how the total profits change as we increase the market price of Product A and Product B. The results were intuitive as increasing the price yielded a higher profit (in a linear fashion). </a:t>
          </a:r>
        </a:p>
        <a:p>
          <a:r>
            <a:rPr lang="en-US" sz="1100" b="0" baseline="0"/>
            <a:t>What was interesting was that under the price of $ 12, profits were flat at $ 35,250 probably implying that it is not profitable to sell Product A at any price less than $ 12. That is why in our optimized solution also shows that at $ 10 it's better to use all of A to create C.</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17</xdr:col>
      <xdr:colOff>0</xdr:colOff>
      <xdr:row>19</xdr:row>
      <xdr:rowOff>114300</xdr:rowOff>
    </xdr:from>
    <xdr:to>
      <xdr:col>25</xdr:col>
      <xdr:colOff>0</xdr:colOff>
      <xdr:row>35</xdr:row>
      <xdr:rowOff>25400</xdr:rowOff>
    </xdr:to>
    <xdr:graphicFrame macro="">
      <xdr:nvGraphicFramePr>
        <xdr:cNvPr id="2" name="STS_1_Chart1">
          <a:extLst>
            <a:ext uri="{FF2B5EF4-FFF2-40B4-BE49-F238E27FC236}">
              <a16:creationId xmlns:a16="http://schemas.microsoft.com/office/drawing/2014/main" id="{B9CCA0FD-DD75-4A81-BCB5-434376403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26</xdr:col>
      <xdr:colOff>0</xdr:colOff>
      <xdr:row>19</xdr:row>
      <xdr:rowOff>114300</xdr:rowOff>
    </xdr:from>
    <xdr:to>
      <xdr:col>34</xdr:col>
      <xdr:colOff>0</xdr:colOff>
      <xdr:row>35</xdr:row>
      <xdr:rowOff>25400</xdr:rowOff>
    </xdr:to>
    <xdr:graphicFrame macro="">
      <xdr:nvGraphicFramePr>
        <xdr:cNvPr id="3" name="STS_1_Chart2">
          <a:extLst>
            <a:ext uri="{FF2B5EF4-FFF2-40B4-BE49-F238E27FC236}">
              <a16:creationId xmlns:a16="http://schemas.microsoft.com/office/drawing/2014/main" id="{598DD8DD-9286-4659-B0C3-2294A21BC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24</xdr:col>
      <xdr:colOff>0</xdr:colOff>
      <xdr:row>3</xdr:row>
      <xdr:rowOff>19050</xdr:rowOff>
    </xdr:from>
    <xdr:to>
      <xdr:col>30</xdr:col>
      <xdr:colOff>0</xdr:colOff>
      <xdr:row>9</xdr:row>
      <xdr:rowOff>19050</xdr:rowOff>
    </xdr:to>
    <xdr:sp macro="" textlink="">
      <xdr:nvSpPr>
        <xdr:cNvPr id="4" name="TextBox 3">
          <a:extLst>
            <a:ext uri="{FF2B5EF4-FFF2-40B4-BE49-F238E27FC236}">
              <a16:creationId xmlns:a16="http://schemas.microsoft.com/office/drawing/2014/main" id="{CF224DEC-7E88-4395-B33D-92EBD8C184B7}"/>
            </a:ext>
          </a:extLst>
        </xdr:cNvPr>
        <xdr:cNvSpPr txBox="1"/>
      </xdr:nvSpPr>
      <xdr:spPr>
        <a:xfrm>
          <a:off x="14554200" y="571500"/>
          <a:ext cx="3657600" cy="13335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By making appropriate selections in cells $Q$4, $R$4, $U$4, and $V$4, you can chart any row (in left chart) or column (in right chart) of any table to the left.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1</xdr:row>
      <xdr:rowOff>0</xdr:rowOff>
    </xdr:from>
    <xdr:to>
      <xdr:col>18</xdr:col>
      <xdr:colOff>6350</xdr:colOff>
      <xdr:row>21</xdr:row>
      <xdr:rowOff>228600</xdr:rowOff>
    </xdr:to>
    <xdr:sp macro="" textlink="">
      <xdr:nvSpPr>
        <xdr:cNvPr id="2" name="TextBox 1">
          <a:extLst>
            <a:ext uri="{FF2B5EF4-FFF2-40B4-BE49-F238E27FC236}">
              <a16:creationId xmlns:a16="http://schemas.microsoft.com/office/drawing/2014/main" id="{FFFD4C3A-B203-4C6D-9B3E-D68D49AF8264}"/>
            </a:ext>
          </a:extLst>
        </xdr:cNvPr>
        <xdr:cNvSpPr txBox="1"/>
      </xdr:nvSpPr>
      <xdr:spPr>
        <a:xfrm>
          <a:off x="9804400" y="184150"/>
          <a:ext cx="3213100" cy="391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Our</a:t>
          </a:r>
          <a:r>
            <a:rPr lang="en-US" sz="1100" baseline="0"/>
            <a:t> results show that the optimal solution given our constraints would be to hire one FT employee in the 10 to 6 shift, one in the 12 to 8 shift, and 3 part time employees in the 3 to 8 shift. This would minimize our cost per day at </a:t>
          </a:r>
          <a:r>
            <a:rPr lang="en-US" sz="1100" b="1" baseline="0"/>
            <a:t>$ 545</a:t>
          </a:r>
          <a:r>
            <a:rPr lang="en-US" sz="1100" baseline="0"/>
            <a:t>.</a:t>
          </a:r>
        </a:p>
        <a:p>
          <a:endParaRPr lang="en-US" sz="1100" baseline="0"/>
        </a:p>
        <a:p>
          <a:r>
            <a:rPr lang="en-US" sz="1100" b="1" baseline="0"/>
            <a:t>SENSITIVITY ANALYSIS</a:t>
          </a:r>
          <a:endParaRPr lang="en-US" sz="1100" b="0" baseline="0"/>
        </a:p>
        <a:p>
          <a:r>
            <a:rPr lang="en-US" sz="1100" b="0" baseline="0"/>
            <a:t>We felt it would be interesting to see how the minimized cost would be impacted if we change the constraint for minimum workers required during opening hours. </a:t>
          </a:r>
        </a:p>
        <a:p>
          <a:r>
            <a:rPr lang="en-US" sz="1100" b="0" baseline="0"/>
            <a:t>Our results showed that a base cost of $ 545 would still be incurred after which costs would only increase if the constraint increases. This makes intuitive sense as we believe the capacity brought in by part time employees would get displaced with full time employees thereby giving a suboptimal solution.</a:t>
          </a:r>
        </a:p>
        <a:p>
          <a:r>
            <a:rPr lang="en-US" sz="1100" b="0" baseline="0"/>
            <a:t>Combinations where total workers are greater than 5 are not feasible as they go against our constraint where we only need a max of 5 employees to run the machines.</a:t>
          </a:r>
          <a:endParaRPr lang="en-US" sz="1100" b="1"/>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9</xdr:col>
      <xdr:colOff>0</xdr:colOff>
      <xdr:row>12</xdr:row>
      <xdr:rowOff>152400</xdr:rowOff>
    </xdr:from>
    <xdr:to>
      <xdr:col>17</xdr:col>
      <xdr:colOff>0</xdr:colOff>
      <xdr:row>30</xdr:row>
      <xdr:rowOff>152400</xdr:rowOff>
    </xdr:to>
    <xdr:graphicFrame macro="">
      <xdr:nvGraphicFramePr>
        <xdr:cNvPr id="2" name="STS_1_Chart1">
          <a:extLst>
            <a:ext uri="{FF2B5EF4-FFF2-40B4-BE49-F238E27FC236}">
              <a16:creationId xmlns:a16="http://schemas.microsoft.com/office/drawing/2014/main" id="{ACD4A545-176C-41F5-8B38-A0F314199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18</xdr:col>
      <xdr:colOff>0</xdr:colOff>
      <xdr:row>12</xdr:row>
      <xdr:rowOff>152400</xdr:rowOff>
    </xdr:from>
    <xdr:to>
      <xdr:col>26</xdr:col>
      <xdr:colOff>0</xdr:colOff>
      <xdr:row>30</xdr:row>
      <xdr:rowOff>152400</xdr:rowOff>
    </xdr:to>
    <xdr:graphicFrame macro="">
      <xdr:nvGraphicFramePr>
        <xdr:cNvPr id="3" name="STS_1_Chart2">
          <a:extLst>
            <a:ext uri="{FF2B5EF4-FFF2-40B4-BE49-F238E27FC236}">
              <a16:creationId xmlns:a16="http://schemas.microsoft.com/office/drawing/2014/main" id="{A03D0A02-8188-4C41-A5E7-F3C8519D3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18</xdr:col>
      <xdr:colOff>0</xdr:colOff>
      <xdr:row>3</xdr:row>
      <xdr:rowOff>88900</xdr:rowOff>
    </xdr:from>
    <xdr:to>
      <xdr:col>24</xdr:col>
      <xdr:colOff>0</xdr:colOff>
      <xdr:row>10</xdr:row>
      <xdr:rowOff>50800</xdr:rowOff>
    </xdr:to>
    <xdr:sp macro="" textlink="">
      <xdr:nvSpPr>
        <xdr:cNvPr id="4" name="TextBox 3">
          <a:extLst>
            <a:ext uri="{FF2B5EF4-FFF2-40B4-BE49-F238E27FC236}">
              <a16:creationId xmlns:a16="http://schemas.microsoft.com/office/drawing/2014/main" id="{570E4551-6D10-4298-9F1E-B5074D18DF27}"/>
            </a:ext>
          </a:extLst>
        </xdr:cNvPr>
        <xdr:cNvSpPr txBox="1"/>
      </xdr:nvSpPr>
      <xdr:spPr>
        <a:xfrm>
          <a:off x="10782300" y="571500"/>
          <a:ext cx="3657600" cy="13335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By making appropriate selections in cells $K$4, $L$4, $O$4, and $P$4, you can chart any row (in left chart) or column (in right chart) of any table to the left.</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114300</xdr:colOff>
      <xdr:row>23</xdr:row>
      <xdr:rowOff>171450</xdr:rowOff>
    </xdr:from>
    <xdr:to>
      <xdr:col>14</xdr:col>
      <xdr:colOff>88900</xdr:colOff>
      <xdr:row>32</xdr:row>
      <xdr:rowOff>0</xdr:rowOff>
    </xdr:to>
    <xdr:pic>
      <xdr:nvPicPr>
        <xdr:cNvPr id="2" name="Picture 1">
          <a:extLst>
            <a:ext uri="{FF2B5EF4-FFF2-40B4-BE49-F238E27FC236}">
              <a16:creationId xmlns:a16="http://schemas.microsoft.com/office/drawing/2014/main" id="{55002A1B-0615-4B2B-8772-D20FA75A35C0}"/>
            </a:ext>
          </a:extLst>
        </xdr:cNvPr>
        <xdr:cNvPicPr>
          <a:picLocks noChangeAspect="1"/>
        </xdr:cNvPicPr>
      </xdr:nvPicPr>
      <xdr:blipFill>
        <a:blip xmlns:r="http://schemas.openxmlformats.org/officeDocument/2006/relationships" r:embed="rId1"/>
        <a:stretch>
          <a:fillRect/>
        </a:stretch>
      </xdr:blipFill>
      <xdr:spPr>
        <a:xfrm>
          <a:off x="5899150" y="4406900"/>
          <a:ext cx="3022600" cy="1485900"/>
        </a:xfrm>
        <a:prstGeom prst="rect">
          <a:avLst/>
        </a:prstGeom>
      </xdr:spPr>
    </xdr:pic>
    <xdr:clientData/>
  </xdr:twoCellAnchor>
  <xdr:twoCellAnchor editAs="oneCell">
    <xdr:from>
      <xdr:col>8</xdr:col>
      <xdr:colOff>584200</xdr:colOff>
      <xdr:row>31</xdr:row>
      <xdr:rowOff>133350</xdr:rowOff>
    </xdr:from>
    <xdr:to>
      <xdr:col>14</xdr:col>
      <xdr:colOff>304974</xdr:colOff>
      <xdr:row>40</xdr:row>
      <xdr:rowOff>120735</xdr:rowOff>
    </xdr:to>
    <xdr:pic>
      <xdr:nvPicPr>
        <xdr:cNvPr id="3" name="Picture 2">
          <a:extLst>
            <a:ext uri="{FF2B5EF4-FFF2-40B4-BE49-F238E27FC236}">
              <a16:creationId xmlns:a16="http://schemas.microsoft.com/office/drawing/2014/main" id="{BC9500C6-2454-4A6D-9016-85EF33581B57}"/>
            </a:ext>
          </a:extLst>
        </xdr:cNvPr>
        <xdr:cNvPicPr>
          <a:picLocks noChangeAspect="1"/>
        </xdr:cNvPicPr>
      </xdr:nvPicPr>
      <xdr:blipFill>
        <a:blip xmlns:r="http://schemas.openxmlformats.org/officeDocument/2006/relationships" r:embed="rId2"/>
        <a:stretch>
          <a:fillRect/>
        </a:stretch>
      </xdr:blipFill>
      <xdr:spPr>
        <a:xfrm>
          <a:off x="6959600" y="5842000"/>
          <a:ext cx="3378374" cy="1644735"/>
        </a:xfrm>
        <a:prstGeom prst="rect">
          <a:avLst/>
        </a:prstGeom>
      </xdr:spPr>
    </xdr:pic>
    <xdr:clientData/>
  </xdr:twoCellAnchor>
  <xdr:twoCellAnchor>
    <xdr:from>
      <xdr:col>8</xdr:col>
      <xdr:colOff>260350</xdr:colOff>
      <xdr:row>0</xdr:row>
      <xdr:rowOff>177800</xdr:rowOff>
    </xdr:from>
    <xdr:to>
      <xdr:col>14</xdr:col>
      <xdr:colOff>6350</xdr:colOff>
      <xdr:row>18</xdr:row>
      <xdr:rowOff>6350</xdr:rowOff>
    </xdr:to>
    <xdr:sp macro="" textlink="">
      <xdr:nvSpPr>
        <xdr:cNvPr id="4" name="TextBox 3">
          <a:extLst>
            <a:ext uri="{FF2B5EF4-FFF2-40B4-BE49-F238E27FC236}">
              <a16:creationId xmlns:a16="http://schemas.microsoft.com/office/drawing/2014/main" id="{3C142254-AB33-4193-B8E4-121B2A1A5AA4}"/>
            </a:ext>
          </a:extLst>
        </xdr:cNvPr>
        <xdr:cNvSpPr txBox="1"/>
      </xdr:nvSpPr>
      <xdr:spPr>
        <a:xfrm>
          <a:off x="6635750" y="177800"/>
          <a:ext cx="3403600" cy="314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 Using solver</a:t>
          </a:r>
          <a:r>
            <a:rPr lang="en-IN" sz="1100" baseline="0"/>
            <a:t> under the given constraints, we find that the route that will use minimum amount of gas will be New York -&gt; St. Louis -&gt; Phoenix -&gt; Los Angeles. Total amount of gas used along this route is 2450 gallons.</a:t>
          </a:r>
        </a:p>
        <a:p>
          <a:endParaRPr lang="en-IN" sz="1100" baseline="0"/>
        </a:p>
        <a:p>
          <a:r>
            <a:rPr lang="en-IN" sz="1100" baseline="0"/>
            <a:t>b.) Using two-way solvertable, we tried to do sensitivity analysis of amount of gas used between Cleveland to Phoenix ( CLE-PHX) and amount of gas used between New York to St.Lous ( NY- STL) on the route that will consume minimum gas. When we vary the number associated with CLE-PHX route from 500-1200 in increments of 100 , total gallons consumed for entire journey varies from 1300 to 2000 gallons and then stagnates. Similarly when we vary the amount of gas used in  New York to St. Louis ( NY-STL) from 500 -1200 in increments of 100, the total gallons consumed along intended route remains the same at 1300.</a:t>
          </a:r>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16</xdr:col>
      <xdr:colOff>590550</xdr:colOff>
      <xdr:row>21</xdr:row>
      <xdr:rowOff>127000</xdr:rowOff>
    </xdr:from>
    <xdr:to>
      <xdr:col>24</xdr:col>
      <xdr:colOff>508000</xdr:colOff>
      <xdr:row>37</xdr:row>
      <xdr:rowOff>38100</xdr:rowOff>
    </xdr:to>
    <xdr:graphicFrame macro="">
      <xdr:nvGraphicFramePr>
        <xdr:cNvPr id="2" name="STS_1_Chart1">
          <a:extLst>
            <a:ext uri="{FF2B5EF4-FFF2-40B4-BE49-F238E27FC236}">
              <a16:creationId xmlns:a16="http://schemas.microsoft.com/office/drawing/2014/main" id="{44298451-8929-4B27-985B-E7FD33BC6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25</xdr:col>
      <xdr:colOff>508000</xdr:colOff>
      <xdr:row>21</xdr:row>
      <xdr:rowOff>127000</xdr:rowOff>
    </xdr:from>
    <xdr:to>
      <xdr:col>33</xdr:col>
      <xdr:colOff>508000</xdr:colOff>
      <xdr:row>37</xdr:row>
      <xdr:rowOff>38100</xdr:rowOff>
    </xdr:to>
    <xdr:graphicFrame macro="">
      <xdr:nvGraphicFramePr>
        <xdr:cNvPr id="3" name="STS_1_Chart2">
          <a:extLst>
            <a:ext uri="{FF2B5EF4-FFF2-40B4-BE49-F238E27FC236}">
              <a16:creationId xmlns:a16="http://schemas.microsoft.com/office/drawing/2014/main" id="{D945C158-614C-469D-8A20-DB232875D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23</xdr:col>
      <xdr:colOff>508000</xdr:colOff>
      <xdr:row>3</xdr:row>
      <xdr:rowOff>19050</xdr:rowOff>
    </xdr:from>
    <xdr:to>
      <xdr:col>29</xdr:col>
      <xdr:colOff>508000</xdr:colOff>
      <xdr:row>4</xdr:row>
      <xdr:rowOff>165100</xdr:rowOff>
    </xdr:to>
    <xdr:sp macro="" textlink="">
      <xdr:nvSpPr>
        <xdr:cNvPr id="4" name="TextBox 3">
          <a:extLst>
            <a:ext uri="{FF2B5EF4-FFF2-40B4-BE49-F238E27FC236}">
              <a16:creationId xmlns:a16="http://schemas.microsoft.com/office/drawing/2014/main" id="{DDF055A6-0EEC-48C7-808A-CC0C183F5B0A}"/>
            </a:ext>
          </a:extLst>
        </xdr:cNvPr>
        <xdr:cNvSpPr txBox="1"/>
      </xdr:nvSpPr>
      <xdr:spPr>
        <a:xfrm>
          <a:off x="16427450" y="571500"/>
          <a:ext cx="3657600" cy="13335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By making appropriate selections in cells $S$4, $T$4, $W$4, and $X$4, you can chart any row (in left chart) or column (in right chart) of any table to the left.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8A0C54-D118-4FA0-AE30-A48EFC1FC9D9}" name="Table1" displayName="Table1" ref="K2:L21" totalsRowShown="0">
  <autoFilter ref="K2:L21" xr:uid="{AB8A0C54-D118-4FA0-AE30-A48EFC1FC9D9}"/>
  <tableColumns count="2">
    <tableColumn id="1" xr3:uid="{1C77BF0A-6C8D-4BD4-986B-CD3A95B072DD}" name="Cell Name"/>
    <tableColumn id="2" xr3:uid="{7FC0F6EF-8592-49D5-BE9A-F42F27E8EAA6}" name="Referenc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E33054A-ADF1-46C5-B573-8424D3E7C991}" name="Table5" displayName="Table5" ref="P2:Q11" totalsRowShown="0">
  <autoFilter ref="P2:Q11" xr:uid="{AE33054A-ADF1-46C5-B573-8424D3E7C991}"/>
  <tableColumns count="2">
    <tableColumn id="1" xr3:uid="{59A9D4C8-B27E-4CE6-8FDE-113182E44F08}" name="Cell Name"/>
    <tableColumn id="2" xr3:uid="{E3C42E6D-CEB4-4EFC-8B84-059B34FC127F}" name="Reference"/>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4AB1C-CED4-4A92-9594-696F74735F27}">
  <dimension ref="A1:L42"/>
  <sheetViews>
    <sheetView workbookViewId="0">
      <selection activeCell="A29" sqref="A29"/>
    </sheetView>
  </sheetViews>
  <sheetFormatPr defaultRowHeight="14.25" x14ac:dyDescent="0.45"/>
  <cols>
    <col min="1" max="1" width="32.46484375" bestFit="1" customWidth="1"/>
    <col min="2" max="2" width="42.53125" bestFit="1" customWidth="1"/>
    <col min="3" max="3" width="9.53125" bestFit="1" customWidth="1"/>
    <col min="4" max="4" width="21.33203125" bestFit="1" customWidth="1"/>
    <col min="5" max="5" width="17.19921875" bestFit="1" customWidth="1"/>
    <col min="11" max="11" width="35.53125" bestFit="1" customWidth="1"/>
    <col min="12" max="12" width="18.19921875" bestFit="1" customWidth="1"/>
  </cols>
  <sheetData>
    <row r="1" spans="1:12" x14ac:dyDescent="0.45">
      <c r="A1" s="2" t="s">
        <v>0</v>
      </c>
      <c r="K1" s="6" t="s">
        <v>33</v>
      </c>
    </row>
    <row r="2" spans="1:12" x14ac:dyDescent="0.45">
      <c r="K2" t="s">
        <v>86</v>
      </c>
      <c r="L2" t="s">
        <v>87</v>
      </c>
    </row>
    <row r="3" spans="1:12" x14ac:dyDescent="0.45">
      <c r="B3" t="s">
        <v>1</v>
      </c>
      <c r="K3" t="s">
        <v>34</v>
      </c>
      <c r="L3" t="s">
        <v>35</v>
      </c>
    </row>
    <row r="4" spans="1:12" x14ac:dyDescent="0.45">
      <c r="A4" t="s">
        <v>2</v>
      </c>
      <c r="B4" s="4">
        <v>8</v>
      </c>
      <c r="K4" t="s">
        <v>36</v>
      </c>
      <c r="L4" t="s">
        <v>37</v>
      </c>
    </row>
    <row r="5" spans="1:12" x14ac:dyDescent="0.45">
      <c r="A5" t="s">
        <v>3</v>
      </c>
      <c r="B5" s="4">
        <v>10</v>
      </c>
      <c r="K5" t="s">
        <v>38</v>
      </c>
      <c r="L5" t="s">
        <v>39</v>
      </c>
    </row>
    <row r="6" spans="1:12" x14ac:dyDescent="0.45">
      <c r="A6" t="s">
        <v>4</v>
      </c>
      <c r="B6" s="4">
        <v>11</v>
      </c>
      <c r="K6" t="s">
        <v>40</v>
      </c>
      <c r="L6" t="s">
        <v>41</v>
      </c>
    </row>
    <row r="7" spans="1:12" x14ac:dyDescent="0.45">
      <c r="A7" t="s">
        <v>5</v>
      </c>
      <c r="B7" s="4">
        <v>14</v>
      </c>
      <c r="K7" t="s">
        <v>42</v>
      </c>
      <c r="L7" t="s">
        <v>43</v>
      </c>
    </row>
    <row r="8" spans="1:12" x14ac:dyDescent="0.45">
      <c r="K8" t="s">
        <v>44</v>
      </c>
      <c r="L8" t="s">
        <v>45</v>
      </c>
    </row>
    <row r="9" spans="1:12" x14ac:dyDescent="0.45">
      <c r="A9" t="s">
        <v>6</v>
      </c>
      <c r="K9" t="s">
        <v>46</v>
      </c>
      <c r="L9" t="s">
        <v>47</v>
      </c>
    </row>
    <row r="10" spans="1:12" x14ac:dyDescent="0.45">
      <c r="B10" t="s">
        <v>23</v>
      </c>
      <c r="C10" t="s">
        <v>24</v>
      </c>
      <c r="D10" t="s">
        <v>25</v>
      </c>
      <c r="K10" t="s">
        <v>48</v>
      </c>
      <c r="L10" t="s">
        <v>49</v>
      </c>
    </row>
    <row r="11" spans="1:12" x14ac:dyDescent="0.45">
      <c r="A11" t="s">
        <v>2</v>
      </c>
      <c r="B11" s="1">
        <v>0.06</v>
      </c>
      <c r="C11" s="1">
        <v>0.04</v>
      </c>
      <c r="D11" s="1">
        <v>0.01</v>
      </c>
      <c r="K11" t="s">
        <v>50</v>
      </c>
      <c r="L11" t="s">
        <v>51</v>
      </c>
    </row>
    <row r="12" spans="1:12" x14ac:dyDescent="0.45">
      <c r="A12" t="s">
        <v>3</v>
      </c>
      <c r="B12" s="1">
        <v>0.1</v>
      </c>
      <c r="C12" s="1">
        <v>0.03</v>
      </c>
      <c r="D12" s="1">
        <v>0.04</v>
      </c>
      <c r="K12" t="s">
        <v>52</v>
      </c>
      <c r="L12" t="s">
        <v>53</v>
      </c>
    </row>
    <row r="13" spans="1:12" x14ac:dyDescent="0.45">
      <c r="A13" t="s">
        <v>4</v>
      </c>
      <c r="B13" s="1">
        <v>0.12</v>
      </c>
      <c r="C13" s="1">
        <v>0.09</v>
      </c>
      <c r="D13" s="1">
        <v>0.04</v>
      </c>
      <c r="K13" t="s">
        <v>54</v>
      </c>
      <c r="L13" t="s">
        <v>55</v>
      </c>
    </row>
    <row r="14" spans="1:12" x14ac:dyDescent="0.45">
      <c r="A14" t="s">
        <v>5</v>
      </c>
      <c r="B14" s="1">
        <v>0.03</v>
      </c>
      <c r="C14" s="1">
        <v>0.02</v>
      </c>
      <c r="D14" s="1">
        <v>0.01</v>
      </c>
      <c r="K14" t="s">
        <v>56</v>
      </c>
      <c r="L14" t="s">
        <v>57</v>
      </c>
    </row>
    <row r="15" spans="1:12" x14ac:dyDescent="0.45">
      <c r="K15" t="s">
        <v>58</v>
      </c>
      <c r="L15" t="s">
        <v>59</v>
      </c>
    </row>
    <row r="16" spans="1:12" x14ac:dyDescent="0.45">
      <c r="K16" t="s">
        <v>60</v>
      </c>
      <c r="L16" t="s">
        <v>61</v>
      </c>
    </row>
    <row r="17" spans="1:12" x14ac:dyDescent="0.45">
      <c r="A17" s="6" t="s">
        <v>9</v>
      </c>
      <c r="B17" t="s">
        <v>117</v>
      </c>
      <c r="K17" t="s">
        <v>62</v>
      </c>
      <c r="L17" t="s">
        <v>63</v>
      </c>
    </row>
    <row r="18" spans="1:12" x14ac:dyDescent="0.45">
      <c r="A18" s="6"/>
      <c r="K18" t="s">
        <v>64</v>
      </c>
      <c r="L18" t="s">
        <v>65</v>
      </c>
    </row>
    <row r="19" spans="1:12" x14ac:dyDescent="0.45">
      <c r="A19" s="6" t="s">
        <v>10</v>
      </c>
      <c r="B19" t="s">
        <v>11</v>
      </c>
      <c r="K19" t="s">
        <v>66</v>
      </c>
      <c r="L19" t="s">
        <v>67</v>
      </c>
    </row>
    <row r="20" spans="1:12" x14ac:dyDescent="0.45">
      <c r="A20" s="6"/>
      <c r="B20" t="s">
        <v>12</v>
      </c>
      <c r="K20" t="s">
        <v>68</v>
      </c>
      <c r="L20" t="s">
        <v>69</v>
      </c>
    </row>
    <row r="21" spans="1:12" x14ac:dyDescent="0.45">
      <c r="A21" s="6"/>
      <c r="B21" t="s">
        <v>13</v>
      </c>
      <c r="K21" t="s">
        <v>70</v>
      </c>
      <c r="L21" t="s">
        <v>71</v>
      </c>
    </row>
    <row r="22" spans="1:12" x14ac:dyDescent="0.45">
      <c r="A22" s="6"/>
      <c r="B22" t="s">
        <v>14</v>
      </c>
    </row>
    <row r="23" spans="1:12" x14ac:dyDescent="0.45">
      <c r="A23" s="6"/>
      <c r="B23" t="s">
        <v>16</v>
      </c>
    </row>
    <row r="24" spans="1:12" x14ac:dyDescent="0.45">
      <c r="A24" s="6"/>
    </row>
    <row r="25" spans="1:12" x14ac:dyDescent="0.45">
      <c r="A25" s="6"/>
    </row>
    <row r="26" spans="1:12" x14ac:dyDescent="0.45">
      <c r="A26" s="6" t="s">
        <v>15</v>
      </c>
      <c r="B26" t="s">
        <v>17</v>
      </c>
    </row>
    <row r="28" spans="1:12" x14ac:dyDescent="0.45">
      <c r="B28" t="s">
        <v>18</v>
      </c>
    </row>
    <row r="29" spans="1:12" x14ac:dyDescent="0.45">
      <c r="A29" t="s">
        <v>19</v>
      </c>
      <c r="B29" s="11">
        <v>1666.6666259765625</v>
      </c>
    </row>
    <row r="30" spans="1:12" x14ac:dyDescent="0.45">
      <c r="A30" t="s">
        <v>20</v>
      </c>
      <c r="B30" s="11">
        <v>1944.4444580078125</v>
      </c>
      <c r="D30" t="s">
        <v>116</v>
      </c>
    </row>
    <row r="31" spans="1:12" x14ac:dyDescent="0.45">
      <c r="A31" t="s">
        <v>21</v>
      </c>
      <c r="B31" s="11">
        <v>1388.888916015625</v>
      </c>
      <c r="C31" s="7" t="s">
        <v>91</v>
      </c>
      <c r="D31" s="1">
        <v>600</v>
      </c>
    </row>
    <row r="32" spans="1:12" x14ac:dyDescent="0.45">
      <c r="A32" t="s">
        <v>22</v>
      </c>
      <c r="B32" s="3">
        <v>0</v>
      </c>
      <c r="C32" s="9"/>
    </row>
    <row r="33" spans="1:5" x14ac:dyDescent="0.45">
      <c r="C33" s="9"/>
    </row>
    <row r="34" spans="1:5" x14ac:dyDescent="0.45">
      <c r="C34" s="9"/>
    </row>
    <row r="35" spans="1:5" x14ac:dyDescent="0.45">
      <c r="C35" s="9"/>
      <c r="D35" t="s">
        <v>115</v>
      </c>
      <c r="E35" t="s">
        <v>32</v>
      </c>
    </row>
    <row r="36" spans="1:5" x14ac:dyDescent="0.45">
      <c r="A36" t="s">
        <v>27</v>
      </c>
      <c r="B36" s="31">
        <f>SUMPRODUCT(Purchased_weight,active_A_lb)</f>
        <v>461.11111328124997</v>
      </c>
      <c r="C36" s="9" t="s">
        <v>91</v>
      </c>
      <c r="D36">
        <f>minPerc_A*Total_weight_of_drugs_produced__in_lb</f>
        <v>350.00000149011612</v>
      </c>
      <c r="E36" s="5">
        <v>7.0000000298023224E-2</v>
      </c>
    </row>
    <row r="37" spans="1:5" x14ac:dyDescent="0.45">
      <c r="A37" t="s">
        <v>28</v>
      </c>
      <c r="B37" s="31">
        <f>SUMPRODUCT(Purchased_weight,active_B_lb)</f>
        <v>250.00000122070313</v>
      </c>
      <c r="C37" s="9" t="s">
        <v>91</v>
      </c>
      <c r="D37">
        <f>minPerc_B*Total_weight_of_drugs_produced__in_lb</f>
        <v>250.0000037252903</v>
      </c>
      <c r="E37" s="5">
        <v>5.000000074505806E-2</v>
      </c>
    </row>
    <row r="38" spans="1:5" x14ac:dyDescent="0.45">
      <c r="A38" t="s">
        <v>29</v>
      </c>
      <c r="B38" s="31">
        <f>SUMPRODUCT(Purchased_weight,active_C_lb)</f>
        <v>150.00000122070315</v>
      </c>
      <c r="C38" s="9" t="s">
        <v>91</v>
      </c>
      <c r="D38">
        <f>minPerc_C*Total_weight_of_drugs_produced__in_lb</f>
        <v>150</v>
      </c>
      <c r="E38" s="5">
        <v>0.03</v>
      </c>
    </row>
    <row r="39" spans="1:5" x14ac:dyDescent="0.45">
      <c r="C39" s="9"/>
      <c r="D39" t="s">
        <v>31</v>
      </c>
    </row>
    <row r="40" spans="1:5" x14ac:dyDescent="0.45">
      <c r="A40" t="s">
        <v>26</v>
      </c>
      <c r="B40">
        <f>SUM(Purchased_weight)</f>
        <v>5000</v>
      </c>
      <c r="C40" s="9" t="s">
        <v>91</v>
      </c>
      <c r="D40" s="1">
        <v>5000</v>
      </c>
    </row>
    <row r="42" spans="1:5" x14ac:dyDescent="0.45">
      <c r="A42" t="s">
        <v>30</v>
      </c>
      <c r="B42" s="10">
        <f>SUMPRODUCT(Purchased_weight,Cost_lb_of_chemicals)</f>
        <v>48055.5556640625</v>
      </c>
    </row>
  </sheetData>
  <pageMargins left="0.7" right="0.7" top="0.75" bottom="0.75" header="0.3" footer="0.3"/>
  <pageSetup paperSize="9" orientation="portrait" horizontalDpi="1200" verticalDpi="1200"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3EFAD-FA6A-4CDB-ACA9-F9C68F90F5A4}">
  <dimension ref="A1:B18"/>
  <sheetViews>
    <sheetView workbookViewId="0"/>
  </sheetViews>
  <sheetFormatPr defaultRowHeight="14.25" x14ac:dyDescent="0.45"/>
  <sheetData>
    <row r="1" spans="1:2" x14ac:dyDescent="0.45">
      <c r="A1">
        <v>1</v>
      </c>
      <c r="B1">
        <v>1</v>
      </c>
    </row>
    <row r="2" spans="1:2" x14ac:dyDescent="0.45">
      <c r="A2" t="s">
        <v>136</v>
      </c>
      <c r="B2" t="s">
        <v>129</v>
      </c>
    </row>
    <row r="3" spans="1:2" x14ac:dyDescent="0.45">
      <c r="A3">
        <v>1</v>
      </c>
      <c r="B3">
        <v>1</v>
      </c>
    </row>
    <row r="4" spans="1:2" x14ac:dyDescent="0.45">
      <c r="A4">
        <v>1000</v>
      </c>
      <c r="B4">
        <v>1000</v>
      </c>
    </row>
    <row r="5" spans="1:2" x14ac:dyDescent="0.45">
      <c r="A5">
        <v>7000</v>
      </c>
      <c r="B5">
        <v>10000</v>
      </c>
    </row>
    <row r="6" spans="1:2" x14ac:dyDescent="0.45">
      <c r="A6">
        <v>500</v>
      </c>
      <c r="B6">
        <v>500</v>
      </c>
    </row>
    <row r="8" spans="1:2" x14ac:dyDescent="0.45">
      <c r="A8" s="12"/>
      <c r="B8" s="12" t="s">
        <v>131</v>
      </c>
    </row>
    <row r="9" spans="1:2" x14ac:dyDescent="0.45">
      <c r="A9" t="s">
        <v>130</v>
      </c>
      <c r="B9" t="s">
        <v>132</v>
      </c>
    </row>
    <row r="10" spans="1:2" x14ac:dyDescent="0.45">
      <c r="A10" t="s">
        <v>137</v>
      </c>
      <c r="B10">
        <v>1</v>
      </c>
    </row>
    <row r="11" spans="1:2" x14ac:dyDescent="0.45">
      <c r="B11">
        <v>2000</v>
      </c>
    </row>
    <row r="12" spans="1:2" x14ac:dyDescent="0.45">
      <c r="B12">
        <v>10000</v>
      </c>
    </row>
    <row r="13" spans="1:2" x14ac:dyDescent="0.45">
      <c r="B13">
        <v>1000</v>
      </c>
    </row>
    <row r="15" spans="1:2" x14ac:dyDescent="0.45">
      <c r="B15" s="12" t="s">
        <v>131</v>
      </c>
    </row>
    <row r="16" spans="1:2" x14ac:dyDescent="0.45">
      <c r="B16" t="s">
        <v>130</v>
      </c>
    </row>
    <row r="17" spans="2:2" x14ac:dyDescent="0.45">
      <c r="B17" t="s">
        <v>133</v>
      </c>
    </row>
    <row r="18" spans="2:2" x14ac:dyDescent="0.45">
      <c r="B18" t="s">
        <v>134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72D4E-B265-4A00-A981-BB8F83464B58}">
  <dimension ref="A1:B15"/>
  <sheetViews>
    <sheetView workbookViewId="0"/>
  </sheetViews>
  <sheetFormatPr defaultRowHeight="14.25" x14ac:dyDescent="0.45"/>
  <sheetData>
    <row r="1" spans="1:2" x14ac:dyDescent="0.45">
      <c r="A1">
        <v>1</v>
      </c>
    </row>
    <row r="2" spans="1:2" x14ac:dyDescent="0.45">
      <c r="A2" t="s">
        <v>124</v>
      </c>
    </row>
    <row r="3" spans="1:2" x14ac:dyDescent="0.45">
      <c r="A3">
        <v>1</v>
      </c>
    </row>
    <row r="4" spans="1:2" x14ac:dyDescent="0.45">
      <c r="A4">
        <v>0.03</v>
      </c>
    </row>
    <row r="5" spans="1:2" x14ac:dyDescent="0.45">
      <c r="A5">
        <v>0.1</v>
      </c>
    </row>
    <row r="6" spans="1:2" x14ac:dyDescent="0.45">
      <c r="A6">
        <v>5.0000000000000001E-3</v>
      </c>
    </row>
    <row r="8" spans="1:2" x14ac:dyDescent="0.45">
      <c r="A8" s="12"/>
      <c r="B8" s="12"/>
    </row>
    <row r="9" spans="1:2" x14ac:dyDescent="0.45">
      <c r="A9" t="s">
        <v>119</v>
      </c>
    </row>
    <row r="10" spans="1:2" x14ac:dyDescent="0.45">
      <c r="A10" t="s">
        <v>125</v>
      </c>
    </row>
    <row r="15" spans="1:2" x14ac:dyDescent="0.45">
      <c r="B15" s="1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3496C-00CD-41A8-8BA2-3BF871C9CB20}">
  <dimension ref="A1:B15"/>
  <sheetViews>
    <sheetView workbookViewId="0"/>
  </sheetViews>
  <sheetFormatPr defaultRowHeight="14.25" x14ac:dyDescent="0.45"/>
  <sheetData>
    <row r="1" spans="1:2" x14ac:dyDescent="0.45">
      <c r="A1">
        <v>1</v>
      </c>
    </row>
    <row r="2" spans="1:2" x14ac:dyDescent="0.45">
      <c r="A2" t="s">
        <v>118</v>
      </c>
    </row>
    <row r="3" spans="1:2" x14ac:dyDescent="0.45">
      <c r="A3">
        <v>1</v>
      </c>
    </row>
    <row r="4" spans="1:2" x14ac:dyDescent="0.45">
      <c r="A4">
        <v>0.03</v>
      </c>
    </row>
    <row r="5" spans="1:2" x14ac:dyDescent="0.45">
      <c r="A5">
        <v>0.08</v>
      </c>
    </row>
    <row r="6" spans="1:2" x14ac:dyDescent="0.45">
      <c r="A6">
        <v>5.0000000000000001E-3</v>
      </c>
    </row>
    <row r="8" spans="1:2" x14ac:dyDescent="0.45">
      <c r="A8" s="12"/>
      <c r="B8" s="12"/>
    </row>
    <row r="9" spans="1:2" x14ac:dyDescent="0.45">
      <c r="A9" t="s">
        <v>119</v>
      </c>
    </row>
    <row r="10" spans="1:2" x14ac:dyDescent="0.45">
      <c r="A10" t="s">
        <v>120</v>
      </c>
    </row>
    <row r="15" spans="1:2" x14ac:dyDescent="0.45">
      <c r="B15" s="1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23CF2-964C-4E83-BF4A-2BB01A335DCE}">
  <dimension ref="A1:AZ20"/>
  <sheetViews>
    <sheetView topLeftCell="M10" workbookViewId="0">
      <selection activeCell="I23" sqref="I23"/>
    </sheetView>
  </sheetViews>
  <sheetFormatPr defaultRowHeight="14.25" x14ac:dyDescent="0.45"/>
  <cols>
    <col min="1" max="1" width="17" bestFit="1" customWidth="1"/>
    <col min="2" max="17" width="9.9296875" bestFit="1" customWidth="1"/>
  </cols>
  <sheetData>
    <row r="1" spans="1:52" x14ac:dyDescent="0.45">
      <c r="A1" s="2" t="s">
        <v>143</v>
      </c>
      <c r="S1" s="16" t="str">
        <f>CONCATENATE("Sensitivity of ",$S$4," to ","Gallons_CLE_to_PHX")</f>
        <v>Sensitivity of Total_gallons_used to Gallons_CLE_to_PHX</v>
      </c>
      <c r="W1" s="16" t="str">
        <f>CONCATENATE("Sensitivity of ",$W$4," to ","Gallons_NY_to_STL")</f>
        <v>Sensitivity of Total_gallons_used to Gallons_NY_to_STL</v>
      </c>
    </row>
    <row r="2" spans="1:52" x14ac:dyDescent="0.45">
      <c r="S2" t="s">
        <v>145</v>
      </c>
      <c r="W2" t="s">
        <v>147</v>
      </c>
      <c r="AZ2" t="s">
        <v>92</v>
      </c>
    </row>
    <row r="3" spans="1:52" x14ac:dyDescent="0.45">
      <c r="A3" t="s">
        <v>144</v>
      </c>
      <c r="S3" t="s">
        <v>135</v>
      </c>
      <c r="T3" t="s">
        <v>146</v>
      </c>
      <c r="W3" t="s">
        <v>135</v>
      </c>
      <c r="X3" t="s">
        <v>148</v>
      </c>
    </row>
    <row r="4" spans="1:52" ht="89.25" x14ac:dyDescent="0.45">
      <c r="A4" s="20" t="s">
        <v>92</v>
      </c>
      <c r="B4">
        <v>500</v>
      </c>
      <c r="C4">
        <v>600</v>
      </c>
      <c r="D4">
        <v>700</v>
      </c>
      <c r="E4">
        <v>800</v>
      </c>
      <c r="F4">
        <v>900</v>
      </c>
      <c r="G4">
        <v>1000</v>
      </c>
      <c r="H4">
        <v>1100</v>
      </c>
      <c r="I4">
        <v>1200</v>
      </c>
      <c r="J4">
        <v>1300</v>
      </c>
      <c r="K4">
        <v>1400</v>
      </c>
      <c r="L4">
        <v>1500</v>
      </c>
      <c r="M4">
        <v>1600</v>
      </c>
      <c r="N4">
        <v>1700</v>
      </c>
      <c r="O4">
        <v>1800</v>
      </c>
      <c r="P4">
        <v>1900</v>
      </c>
      <c r="Q4">
        <v>2000</v>
      </c>
      <c r="R4" s="16">
        <f>MATCH($S$4,OutputAddresses,0)</f>
        <v>1</v>
      </c>
      <c r="S4" s="15" t="s">
        <v>92</v>
      </c>
      <c r="T4" s="21">
        <v>500</v>
      </c>
      <c r="U4" s="16">
        <f>MATCH($T$4,InputValues1,0)</f>
        <v>1</v>
      </c>
      <c r="V4" s="16">
        <f>MATCH($W$4,OutputAddresses,0)</f>
        <v>1</v>
      </c>
      <c r="W4" s="15" t="s">
        <v>92</v>
      </c>
      <c r="X4" s="21">
        <v>500</v>
      </c>
      <c r="Y4" s="16">
        <f>MATCH($X$4,InputValues2,0)</f>
        <v>1</v>
      </c>
    </row>
    <row r="5" spans="1:52" x14ac:dyDescent="0.45">
      <c r="A5">
        <v>500</v>
      </c>
      <c r="B5" s="22">
        <v>1300</v>
      </c>
      <c r="C5" s="25">
        <v>1400</v>
      </c>
      <c r="D5" s="25">
        <v>1500</v>
      </c>
      <c r="E5" s="25">
        <v>1600</v>
      </c>
      <c r="F5" s="25">
        <v>1700</v>
      </c>
      <c r="G5" s="25">
        <v>1800</v>
      </c>
      <c r="H5" s="25">
        <v>1900</v>
      </c>
      <c r="I5" s="25">
        <v>2000</v>
      </c>
      <c r="J5" s="25">
        <v>2000</v>
      </c>
      <c r="K5" s="25">
        <v>2000</v>
      </c>
      <c r="L5" s="25">
        <v>2000</v>
      </c>
      <c r="M5" s="25">
        <v>2000</v>
      </c>
      <c r="N5" s="25">
        <v>2000</v>
      </c>
      <c r="O5" s="25">
        <v>2000</v>
      </c>
      <c r="P5" s="25">
        <v>2000</v>
      </c>
      <c r="Q5" s="28">
        <v>2000</v>
      </c>
      <c r="R5" s="16" t="str">
        <f>"OutputValues_"&amp;$R$4</f>
        <v>OutputValues_1</v>
      </c>
      <c r="S5">
        <f ca="1">INDEX(INDIRECT($R$5),$U$4,1)</f>
        <v>1300</v>
      </c>
      <c r="V5" s="16" t="str">
        <f>"OutputValues_"&amp;$V$4</f>
        <v>OutputValues_1</v>
      </c>
      <c r="W5">
        <f ca="1">INDEX(INDIRECT($V$5),1,$Y$4)</f>
        <v>1300</v>
      </c>
    </row>
    <row r="6" spans="1:52" x14ac:dyDescent="0.45">
      <c r="A6">
        <v>600</v>
      </c>
      <c r="B6" s="23">
        <v>1300</v>
      </c>
      <c r="C6" s="26">
        <v>1400</v>
      </c>
      <c r="D6" s="26">
        <v>1500</v>
      </c>
      <c r="E6" s="26">
        <v>1600</v>
      </c>
      <c r="F6" s="26">
        <v>1700</v>
      </c>
      <c r="G6" s="26">
        <v>1800</v>
      </c>
      <c r="H6" s="26">
        <v>1900</v>
      </c>
      <c r="I6" s="26">
        <v>2000</v>
      </c>
      <c r="J6" s="26">
        <v>2100</v>
      </c>
      <c r="K6" s="26">
        <v>2100</v>
      </c>
      <c r="L6" s="26">
        <v>2100</v>
      </c>
      <c r="M6" s="26">
        <v>2100</v>
      </c>
      <c r="N6" s="26">
        <v>2100</v>
      </c>
      <c r="O6" s="26">
        <v>2100</v>
      </c>
      <c r="P6" s="26">
        <v>2100</v>
      </c>
      <c r="Q6" s="29">
        <v>2100</v>
      </c>
      <c r="S6">
        <f ca="1">INDEX(INDIRECT($R$5),$U$4,2)</f>
        <v>1400</v>
      </c>
      <c r="W6">
        <f ca="1">INDEX(INDIRECT($V$5),2,$Y$4)</f>
        <v>1300</v>
      </c>
    </row>
    <row r="7" spans="1:52" x14ac:dyDescent="0.45">
      <c r="A7">
        <v>700</v>
      </c>
      <c r="B7" s="23">
        <v>1300</v>
      </c>
      <c r="C7" s="26">
        <v>1400</v>
      </c>
      <c r="D7" s="26">
        <v>1500</v>
      </c>
      <c r="E7" s="26">
        <v>1600</v>
      </c>
      <c r="F7" s="26">
        <v>1700</v>
      </c>
      <c r="G7" s="26">
        <v>1800</v>
      </c>
      <c r="H7" s="26">
        <v>1900</v>
      </c>
      <c r="I7" s="26">
        <v>2000</v>
      </c>
      <c r="J7" s="26">
        <v>2100</v>
      </c>
      <c r="K7" s="26">
        <v>2200</v>
      </c>
      <c r="L7" s="26">
        <v>2200</v>
      </c>
      <c r="M7" s="26">
        <v>2200</v>
      </c>
      <c r="N7" s="26">
        <v>2200</v>
      </c>
      <c r="O7" s="26">
        <v>2200</v>
      </c>
      <c r="P7" s="26">
        <v>2200</v>
      </c>
      <c r="Q7" s="29">
        <v>2200</v>
      </c>
      <c r="S7">
        <f ca="1">INDEX(INDIRECT($R$5),$U$4,3)</f>
        <v>1500</v>
      </c>
      <c r="W7">
        <f ca="1">INDEX(INDIRECT($V$5),3,$Y$4)</f>
        <v>1300</v>
      </c>
    </row>
    <row r="8" spans="1:52" x14ac:dyDescent="0.45">
      <c r="A8">
        <v>800</v>
      </c>
      <c r="B8" s="23">
        <v>1300</v>
      </c>
      <c r="C8" s="26">
        <v>1400</v>
      </c>
      <c r="D8" s="26">
        <v>1500</v>
      </c>
      <c r="E8" s="26">
        <v>1600</v>
      </c>
      <c r="F8" s="26">
        <v>1700</v>
      </c>
      <c r="G8" s="26">
        <v>1800</v>
      </c>
      <c r="H8" s="26">
        <v>1900</v>
      </c>
      <c r="I8" s="26">
        <v>2000</v>
      </c>
      <c r="J8" s="26">
        <v>2100</v>
      </c>
      <c r="K8" s="26">
        <v>2200</v>
      </c>
      <c r="L8" s="26">
        <v>2300</v>
      </c>
      <c r="M8" s="26">
        <v>2300</v>
      </c>
      <c r="N8" s="26">
        <v>2300</v>
      </c>
      <c r="O8" s="26">
        <v>2300</v>
      </c>
      <c r="P8" s="26">
        <v>2300</v>
      </c>
      <c r="Q8" s="29">
        <v>2300</v>
      </c>
      <c r="S8">
        <f ca="1">INDEX(INDIRECT($R$5),$U$4,4)</f>
        <v>1600</v>
      </c>
      <c r="W8">
        <f ca="1">INDEX(INDIRECT($V$5),4,$Y$4)</f>
        <v>1300</v>
      </c>
    </row>
    <row r="9" spans="1:52" x14ac:dyDescent="0.45">
      <c r="A9">
        <v>900</v>
      </c>
      <c r="B9" s="23">
        <v>1300</v>
      </c>
      <c r="C9" s="26">
        <v>1400</v>
      </c>
      <c r="D9" s="26">
        <v>1500</v>
      </c>
      <c r="E9" s="26">
        <v>1600</v>
      </c>
      <c r="F9" s="26">
        <v>1700</v>
      </c>
      <c r="G9" s="26">
        <v>1800</v>
      </c>
      <c r="H9" s="26">
        <v>1900</v>
      </c>
      <c r="I9" s="26">
        <v>2000</v>
      </c>
      <c r="J9" s="26">
        <v>2100</v>
      </c>
      <c r="K9" s="26">
        <v>2200</v>
      </c>
      <c r="L9" s="26">
        <v>2300</v>
      </c>
      <c r="M9" s="26">
        <v>2400</v>
      </c>
      <c r="N9" s="26">
        <v>2400</v>
      </c>
      <c r="O9" s="26">
        <v>2400</v>
      </c>
      <c r="P9" s="26">
        <v>2400</v>
      </c>
      <c r="Q9" s="29">
        <v>2400</v>
      </c>
      <c r="S9">
        <f ca="1">INDEX(INDIRECT($R$5),$U$4,5)</f>
        <v>1700</v>
      </c>
      <c r="W9">
        <f ca="1">INDEX(INDIRECT($V$5),5,$Y$4)</f>
        <v>1300</v>
      </c>
    </row>
    <row r="10" spans="1:52" x14ac:dyDescent="0.45">
      <c r="A10">
        <v>1000</v>
      </c>
      <c r="B10" s="23">
        <v>1300</v>
      </c>
      <c r="C10" s="26">
        <v>1400</v>
      </c>
      <c r="D10" s="26">
        <v>1500</v>
      </c>
      <c r="E10" s="26">
        <v>1600</v>
      </c>
      <c r="F10" s="26">
        <v>1700</v>
      </c>
      <c r="G10" s="26">
        <v>1800</v>
      </c>
      <c r="H10" s="26">
        <v>1900</v>
      </c>
      <c r="I10" s="26">
        <v>2000</v>
      </c>
      <c r="J10" s="26">
        <v>2100</v>
      </c>
      <c r="K10" s="26">
        <v>2200</v>
      </c>
      <c r="L10" s="26">
        <v>2300</v>
      </c>
      <c r="M10" s="26">
        <v>2400</v>
      </c>
      <c r="N10" s="26">
        <v>2500</v>
      </c>
      <c r="O10" s="26">
        <v>2500</v>
      </c>
      <c r="P10" s="26">
        <v>2500</v>
      </c>
      <c r="Q10" s="29">
        <v>2500</v>
      </c>
      <c r="S10">
        <f ca="1">INDEX(INDIRECT($R$5),$U$4,6)</f>
        <v>1800</v>
      </c>
      <c r="W10">
        <f ca="1">INDEX(INDIRECT($V$5),6,$Y$4)</f>
        <v>1300</v>
      </c>
    </row>
    <row r="11" spans="1:52" x14ac:dyDescent="0.45">
      <c r="A11">
        <v>1100</v>
      </c>
      <c r="B11" s="23">
        <v>1300</v>
      </c>
      <c r="C11" s="26">
        <v>1400</v>
      </c>
      <c r="D11" s="26">
        <v>1500</v>
      </c>
      <c r="E11" s="26">
        <v>1600</v>
      </c>
      <c r="F11" s="26">
        <v>1700</v>
      </c>
      <c r="G11" s="26">
        <v>1800</v>
      </c>
      <c r="H11" s="26">
        <v>1900</v>
      </c>
      <c r="I11" s="26">
        <v>2000</v>
      </c>
      <c r="J11" s="26">
        <v>2100</v>
      </c>
      <c r="K11" s="26">
        <v>2200</v>
      </c>
      <c r="L11" s="26">
        <v>2300</v>
      </c>
      <c r="M11" s="26">
        <v>2400</v>
      </c>
      <c r="N11" s="26">
        <v>2500</v>
      </c>
      <c r="O11" s="26">
        <v>2600</v>
      </c>
      <c r="P11" s="26">
        <v>2600</v>
      </c>
      <c r="Q11" s="29">
        <v>2600</v>
      </c>
      <c r="S11">
        <f ca="1">INDEX(INDIRECT($R$5),$U$4,7)</f>
        <v>1900</v>
      </c>
      <c r="W11">
        <f ca="1">INDEX(INDIRECT($V$5),7,$Y$4)</f>
        <v>1300</v>
      </c>
    </row>
    <row r="12" spans="1:52" x14ac:dyDescent="0.45">
      <c r="A12">
        <v>1200</v>
      </c>
      <c r="B12" s="24">
        <v>1300</v>
      </c>
      <c r="C12" s="27">
        <v>1400</v>
      </c>
      <c r="D12" s="27">
        <v>1500</v>
      </c>
      <c r="E12" s="27">
        <v>1600</v>
      </c>
      <c r="F12" s="27">
        <v>1700</v>
      </c>
      <c r="G12" s="27">
        <v>1800</v>
      </c>
      <c r="H12" s="27">
        <v>1900</v>
      </c>
      <c r="I12" s="27">
        <v>2000</v>
      </c>
      <c r="J12" s="27">
        <v>2100</v>
      </c>
      <c r="K12" s="27">
        <v>2200</v>
      </c>
      <c r="L12" s="27">
        <v>2300</v>
      </c>
      <c r="M12" s="27">
        <v>2400</v>
      </c>
      <c r="N12" s="27">
        <v>2500</v>
      </c>
      <c r="O12" s="27">
        <v>2600</v>
      </c>
      <c r="P12" s="27">
        <v>2600</v>
      </c>
      <c r="Q12" s="30">
        <v>2600</v>
      </c>
      <c r="S12">
        <f ca="1">INDEX(INDIRECT($R$5),$U$4,8)</f>
        <v>2000</v>
      </c>
      <c r="W12">
        <f ca="1">INDEX(INDIRECT($V$5),8,$Y$4)</f>
        <v>1300</v>
      </c>
    </row>
    <row r="13" spans="1:52" x14ac:dyDescent="0.45">
      <c r="S13">
        <f ca="1">INDEX(INDIRECT($R$5),$U$4,9)</f>
        <v>2000</v>
      </c>
    </row>
    <row r="14" spans="1:52" x14ac:dyDescent="0.45">
      <c r="S14">
        <f ca="1">INDEX(INDIRECT($R$5),$U$4,10)</f>
        <v>2000</v>
      </c>
    </row>
    <row r="15" spans="1:52" x14ac:dyDescent="0.45">
      <c r="S15">
        <f ca="1">INDEX(INDIRECT($R$5),$U$4,11)</f>
        <v>2000</v>
      </c>
    </row>
    <row r="16" spans="1:52" x14ac:dyDescent="0.45">
      <c r="S16">
        <f ca="1">INDEX(INDIRECT($R$5),$U$4,12)</f>
        <v>2000</v>
      </c>
    </row>
    <row r="17" spans="19:19" x14ac:dyDescent="0.45">
      <c r="S17">
        <f ca="1">INDEX(INDIRECT($R$5),$U$4,13)</f>
        <v>2000</v>
      </c>
    </row>
    <row r="18" spans="19:19" x14ac:dyDescent="0.45">
      <c r="S18">
        <f ca="1">INDEX(INDIRECT($R$5),$U$4,14)</f>
        <v>2000</v>
      </c>
    </row>
    <row r="19" spans="19:19" x14ac:dyDescent="0.45">
      <c r="S19">
        <f ca="1">INDEX(INDIRECT($R$5),$U$4,15)</f>
        <v>2000</v>
      </c>
    </row>
    <row r="20" spans="19:19" x14ac:dyDescent="0.45">
      <c r="S20">
        <f ca="1">INDEX(INDIRECT($R$5),$U$4,16)</f>
        <v>2000</v>
      </c>
    </row>
  </sheetData>
  <dataValidations count="3">
    <dataValidation type="list" allowBlank="1" showInputMessage="1" showErrorMessage="1" sqref="S4 W4" xr:uid="{93824E94-82E3-4181-B760-83499DC37AA4}">
      <formula1>OutputAddresses</formula1>
    </dataValidation>
    <dataValidation type="list" allowBlank="1" showInputMessage="1" showErrorMessage="1" sqref="T4" xr:uid="{20EA1E72-96DA-45B7-B251-717770EE3800}">
      <formula1>InputValues1</formula1>
    </dataValidation>
    <dataValidation type="list" allowBlank="1" showInputMessage="1" showErrorMessage="1" sqref="X4" xr:uid="{F9733CDF-4EB0-4EAC-8B2C-C2218B90D8A9}">
      <formula1>InputValues2</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0A18C-4FFA-4BDF-AE91-8F20AC20D20D}">
  <dimension ref="A1:K15"/>
  <sheetViews>
    <sheetView topLeftCell="A4" workbookViewId="0">
      <selection activeCell="B36" sqref="B36:B38"/>
    </sheetView>
  </sheetViews>
  <sheetFormatPr defaultRowHeight="14.25" x14ac:dyDescent="0.45"/>
  <sheetData>
    <row r="1" spans="1:11" x14ac:dyDescent="0.45">
      <c r="A1" s="2" t="s">
        <v>121</v>
      </c>
      <c r="K1" s="16" t="str">
        <f>CONCATENATE("Sensitivity of ",$K$4," to ","%_required_of_B")</f>
        <v>Sensitivity of Total_cost_of_production to %_required_of_B</v>
      </c>
    </row>
    <row r="3" spans="1:11" x14ac:dyDescent="0.45">
      <c r="A3" t="s">
        <v>122</v>
      </c>
      <c r="K3" t="s">
        <v>123</v>
      </c>
    </row>
    <row r="4" spans="1:11" ht="118.9" x14ac:dyDescent="0.45">
      <c r="B4" s="14" t="s">
        <v>68</v>
      </c>
      <c r="J4" s="16">
        <f>MATCH($K$4,OutputAddresses,0)</f>
        <v>1</v>
      </c>
      <c r="K4" s="15" t="s">
        <v>68</v>
      </c>
    </row>
    <row r="5" spans="1:11" x14ac:dyDescent="0.45">
      <c r="A5" s="13">
        <v>2.9999999329447746E-2</v>
      </c>
      <c r="B5" s="17">
        <v>47266.666666666664</v>
      </c>
      <c r="K5">
        <f>INDEX(OutputValues,1,$J$4)</f>
        <v>47266.666666666664</v>
      </c>
    </row>
    <row r="6" spans="1:11" x14ac:dyDescent="0.45">
      <c r="A6" s="13">
        <v>3.5000000149011612E-2</v>
      </c>
      <c r="B6" s="18">
        <v>47266.666666666657</v>
      </c>
      <c r="K6">
        <f>INDEX(OutputValues,2,$J$4)</f>
        <v>47266.666666666657</v>
      </c>
    </row>
    <row r="7" spans="1:11" x14ac:dyDescent="0.45">
      <c r="A7" s="13">
        <v>3.9999999105930328E-2</v>
      </c>
      <c r="B7" s="18">
        <v>47266.666666666657</v>
      </c>
      <c r="K7">
        <f>INDEX(OutputValues,3,$J$4)</f>
        <v>47266.666666666657</v>
      </c>
    </row>
    <row r="8" spans="1:11" x14ac:dyDescent="0.45">
      <c r="A8" s="13">
        <v>4.4999998062849045E-2</v>
      </c>
      <c r="B8" s="18">
        <v>47638.888727459642</v>
      </c>
      <c r="K8">
        <f>INDEX(OutputValues,4,$J$4)</f>
        <v>47638.888727459642</v>
      </c>
    </row>
    <row r="9" spans="1:11" x14ac:dyDescent="0.45">
      <c r="A9" s="13">
        <v>4.9999997019767761E-2</v>
      </c>
      <c r="B9" s="18">
        <v>48055.555307202856</v>
      </c>
      <c r="K9">
        <f>INDEX(OutputValues,5,$J$4)</f>
        <v>48055.555307202856</v>
      </c>
    </row>
    <row r="10" spans="1:11" x14ac:dyDescent="0.45">
      <c r="A10" s="13">
        <v>5.4999999701976776E-2</v>
      </c>
      <c r="B10" s="18">
        <v>48472.222197386945</v>
      </c>
      <c r="K10">
        <f>INDEX(OutputValues,6,$J$4)</f>
        <v>48472.222197386945</v>
      </c>
    </row>
    <row r="11" spans="1:11" x14ac:dyDescent="0.45">
      <c r="A11" s="13">
        <v>5.9999998658895493E-2</v>
      </c>
      <c r="B11" s="18">
        <v>48888.888777130182</v>
      </c>
      <c r="K11">
        <f>INDEX(OutputValues,7,$J$4)</f>
        <v>48888.888777130182</v>
      </c>
    </row>
    <row r="12" spans="1:11" x14ac:dyDescent="0.45">
      <c r="A12" s="13">
        <v>6.4999997615814209E-2</v>
      </c>
      <c r="B12" s="18">
        <v>49305.555356873403</v>
      </c>
      <c r="K12">
        <f>INDEX(OutputValues,8,$J$4)</f>
        <v>49305.555356873403</v>
      </c>
    </row>
    <row r="13" spans="1:11" x14ac:dyDescent="0.45">
      <c r="A13" s="13">
        <v>7.0000000298023224E-2</v>
      </c>
      <c r="B13" s="18">
        <v>49722.222247057492</v>
      </c>
      <c r="K13">
        <f>INDEX(OutputValues,9,$J$4)</f>
        <v>49722.222247057492</v>
      </c>
    </row>
    <row r="14" spans="1:11" x14ac:dyDescent="0.45">
      <c r="A14" s="13">
        <v>7.4999995529651642E-2</v>
      </c>
      <c r="B14" s="18">
        <v>50499.9986588955</v>
      </c>
      <c r="K14">
        <f>INDEX(OutputValues,10,$J$4)</f>
        <v>50499.9986588955</v>
      </c>
    </row>
    <row r="15" spans="1:11" x14ac:dyDescent="0.45">
      <c r="A15" s="13">
        <v>7.9999998211860657E-2</v>
      </c>
      <c r="B15" s="19">
        <v>51999.999463558204</v>
      </c>
      <c r="K15">
        <f>INDEX(OutputValues,11,$J$4)</f>
        <v>51999.999463558204</v>
      </c>
    </row>
  </sheetData>
  <dataValidations count="1">
    <dataValidation type="list" allowBlank="1" showInputMessage="1" showErrorMessage="1" sqref="K4" xr:uid="{B8987355-ADC2-41DD-B9C8-A8E4DCD1D196}">
      <formula1>OutputAddresses</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5316F-12F3-497C-8941-D656E133653B}">
  <dimension ref="A1:K19"/>
  <sheetViews>
    <sheetView topLeftCell="A10" workbookViewId="0">
      <selection activeCell="B36" sqref="B36:B38"/>
    </sheetView>
  </sheetViews>
  <sheetFormatPr defaultRowHeight="14.25" x14ac:dyDescent="0.45"/>
  <sheetData>
    <row r="1" spans="1:11" x14ac:dyDescent="0.45">
      <c r="A1" s="2" t="s">
        <v>126</v>
      </c>
      <c r="K1" s="16" t="str">
        <f>CONCATENATE("Sensitivity of ",$K$4," to ","%_required_of_A")</f>
        <v>Sensitivity of Total_cost_of_production to %_required_of_A</v>
      </c>
    </row>
    <row r="3" spans="1:11" x14ac:dyDescent="0.45">
      <c r="A3" t="s">
        <v>127</v>
      </c>
      <c r="K3" t="s">
        <v>123</v>
      </c>
    </row>
    <row r="4" spans="1:11" ht="118.9" x14ac:dyDescent="0.45">
      <c r="B4" s="14" t="s">
        <v>68</v>
      </c>
      <c r="J4" s="16">
        <f>MATCH($K$4,OutputAddresses,0)</f>
        <v>1</v>
      </c>
      <c r="K4" s="15" t="s">
        <v>68</v>
      </c>
    </row>
    <row r="5" spans="1:11" x14ac:dyDescent="0.45">
      <c r="A5" s="13">
        <v>2.9999999329447746E-2</v>
      </c>
      <c r="B5" s="17">
        <v>48055.555617643724</v>
      </c>
      <c r="K5">
        <f>INDEX(OutputValues,1,$J$4)</f>
        <v>48055.555617643724</v>
      </c>
    </row>
    <row r="6" spans="1:11" x14ac:dyDescent="0.45">
      <c r="A6" s="13">
        <v>3.5000000149011612E-2</v>
      </c>
      <c r="B6" s="18">
        <v>48055.555617643731</v>
      </c>
      <c r="K6">
        <f>INDEX(OutputValues,2,$J$4)</f>
        <v>48055.555617643731</v>
      </c>
    </row>
    <row r="7" spans="1:11" x14ac:dyDescent="0.45">
      <c r="A7" s="13">
        <v>3.9999999105930328E-2</v>
      </c>
      <c r="B7" s="18">
        <v>48055.555617643731</v>
      </c>
      <c r="K7">
        <f>INDEX(OutputValues,3,$J$4)</f>
        <v>48055.555617643731</v>
      </c>
    </row>
    <row r="8" spans="1:11" x14ac:dyDescent="0.45">
      <c r="A8" s="13">
        <v>4.4999998062849045E-2</v>
      </c>
      <c r="B8" s="18">
        <v>48055.555617643724</v>
      </c>
      <c r="K8">
        <f>INDEX(OutputValues,4,$J$4)</f>
        <v>48055.555617643724</v>
      </c>
    </row>
    <row r="9" spans="1:11" x14ac:dyDescent="0.45">
      <c r="A9" s="13">
        <v>4.9999997019767761E-2</v>
      </c>
      <c r="B9" s="18">
        <v>48055.555617643724</v>
      </c>
      <c r="K9">
        <f>INDEX(OutputValues,5,$J$4)</f>
        <v>48055.555617643724</v>
      </c>
    </row>
    <row r="10" spans="1:11" x14ac:dyDescent="0.45">
      <c r="A10" s="13">
        <v>5.4999999701976776E-2</v>
      </c>
      <c r="B10" s="18">
        <v>48055.555617643724</v>
      </c>
      <c r="K10">
        <f>INDEX(OutputValues,6,$J$4)</f>
        <v>48055.555617643724</v>
      </c>
    </row>
    <row r="11" spans="1:11" x14ac:dyDescent="0.45">
      <c r="A11" s="13">
        <v>5.9999998658895493E-2</v>
      </c>
      <c r="B11" s="18">
        <v>48055.555617643724</v>
      </c>
      <c r="K11">
        <f>INDEX(OutputValues,7,$J$4)</f>
        <v>48055.555617643724</v>
      </c>
    </row>
    <row r="12" spans="1:11" x14ac:dyDescent="0.45">
      <c r="A12" s="13">
        <v>6.4999997615814209E-2</v>
      </c>
      <c r="B12" s="18">
        <v>48055.555617643724</v>
      </c>
      <c r="K12">
        <f>INDEX(OutputValues,8,$J$4)</f>
        <v>48055.555617643724</v>
      </c>
    </row>
    <row r="13" spans="1:11" x14ac:dyDescent="0.45">
      <c r="A13" s="13">
        <v>7.0000000298023224E-2</v>
      </c>
      <c r="B13" s="18">
        <v>48055.555617643724</v>
      </c>
      <c r="K13">
        <f>INDEX(OutputValues,9,$J$4)</f>
        <v>48055.555617643724</v>
      </c>
    </row>
    <row r="14" spans="1:11" x14ac:dyDescent="0.45">
      <c r="A14" s="13">
        <v>7.4999995529651642E-2</v>
      </c>
      <c r="B14" s="18">
        <v>48055.555617643724</v>
      </c>
      <c r="K14">
        <f>INDEX(OutputValues,10,$J$4)</f>
        <v>48055.555617643724</v>
      </c>
    </row>
    <row r="15" spans="1:11" x14ac:dyDescent="0.45">
      <c r="A15" s="13">
        <v>7.9999998211860657E-2</v>
      </c>
      <c r="B15" s="18">
        <v>48055.555617643724</v>
      </c>
      <c r="K15">
        <f>INDEX(OutputValues,11,$J$4)</f>
        <v>48055.555617643724</v>
      </c>
    </row>
    <row r="16" spans="1:11" x14ac:dyDescent="0.45">
      <c r="A16" s="13">
        <v>8.5000000894069672E-2</v>
      </c>
      <c r="B16" s="18">
        <v>48055.555617643724</v>
      </c>
      <c r="K16">
        <f>INDEX(OutputValues,12,$J$4)</f>
        <v>48055.555617643724</v>
      </c>
    </row>
    <row r="17" spans="1:11" x14ac:dyDescent="0.45">
      <c r="A17" s="13">
        <v>8.999999612569809E-2</v>
      </c>
      <c r="B17" s="18">
        <v>48055.555617643724</v>
      </c>
      <c r="K17">
        <f>INDEX(OutputValues,13,$J$4)</f>
        <v>48055.555617643724</v>
      </c>
    </row>
    <row r="18" spans="1:11" x14ac:dyDescent="0.45">
      <c r="A18" s="13">
        <v>9.4999998807907104E-2</v>
      </c>
      <c r="B18" s="18">
        <v>48749.999701976776</v>
      </c>
      <c r="K18">
        <f>INDEX(OutputValues,14,$J$4)</f>
        <v>48749.999701976776</v>
      </c>
    </row>
    <row r="19" spans="1:11" x14ac:dyDescent="0.45">
      <c r="A19" s="13">
        <v>9.9999994039535522E-2</v>
      </c>
      <c r="B19" s="19">
        <v>49999.998509883888</v>
      </c>
      <c r="K19">
        <f>INDEX(OutputValues,15,$J$4)</f>
        <v>49999.998509883888</v>
      </c>
    </row>
  </sheetData>
  <dataValidations count="1">
    <dataValidation type="list" allowBlank="1" showInputMessage="1" showErrorMessage="1" sqref="K4" xr:uid="{245FB12E-78BB-4267-BB86-5E9D6EA55656}">
      <formula1>OutputAddresses</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7A45B-271D-46B9-A405-EB8D4BBF0A4B}">
  <dimension ref="A1:M50"/>
  <sheetViews>
    <sheetView topLeftCell="A25" workbookViewId="0">
      <selection activeCell="D8" sqref="D8"/>
    </sheetView>
  </sheetViews>
  <sheetFormatPr defaultRowHeight="14.25" x14ac:dyDescent="0.45"/>
  <cols>
    <col min="1" max="1" width="25.33203125" bestFit="1" customWidth="1"/>
    <col min="2" max="2" width="10.73046875" bestFit="1" customWidth="1"/>
    <col min="3" max="3" width="12.19921875" customWidth="1"/>
    <col min="4" max="4" width="13.06640625" bestFit="1" customWidth="1"/>
    <col min="12" max="12" width="31.46484375" bestFit="1" customWidth="1"/>
    <col min="13" max="13" width="19.19921875" bestFit="1" customWidth="1"/>
  </cols>
  <sheetData>
    <row r="1" spans="1:13" x14ac:dyDescent="0.45">
      <c r="A1" t="s">
        <v>72</v>
      </c>
      <c r="B1" t="s">
        <v>149</v>
      </c>
    </row>
    <row r="2" spans="1:13" x14ac:dyDescent="0.45">
      <c r="A2" t="s">
        <v>150</v>
      </c>
      <c r="B2" t="s">
        <v>151</v>
      </c>
      <c r="L2" t="s">
        <v>152</v>
      </c>
      <c r="M2" t="s">
        <v>153</v>
      </c>
    </row>
    <row r="3" spans="1:13" x14ac:dyDescent="0.45">
      <c r="B3" t="s">
        <v>154</v>
      </c>
      <c r="L3" t="s">
        <v>155</v>
      </c>
      <c r="M3" t="s">
        <v>156</v>
      </c>
    </row>
    <row r="4" spans="1:13" x14ac:dyDescent="0.45">
      <c r="A4" t="s">
        <v>73</v>
      </c>
      <c r="B4" t="s">
        <v>157</v>
      </c>
      <c r="L4" t="s">
        <v>158</v>
      </c>
      <c r="M4" t="s">
        <v>159</v>
      </c>
    </row>
    <row r="5" spans="1:13" x14ac:dyDescent="0.45">
      <c r="L5" t="s">
        <v>160</v>
      </c>
      <c r="M5" t="s">
        <v>161</v>
      </c>
    </row>
    <row r="6" spans="1:13" x14ac:dyDescent="0.45">
      <c r="L6" t="s">
        <v>162</v>
      </c>
      <c r="M6" t="s">
        <v>163</v>
      </c>
    </row>
    <row r="7" spans="1:13" x14ac:dyDescent="0.45">
      <c r="B7" s="33" t="s">
        <v>7</v>
      </c>
      <c r="C7" s="33" t="s">
        <v>8</v>
      </c>
      <c r="D7" s="33" t="s">
        <v>164</v>
      </c>
      <c r="L7" t="s">
        <v>165</v>
      </c>
      <c r="M7" t="s">
        <v>166</v>
      </c>
    </row>
    <row r="8" spans="1:13" x14ac:dyDescent="0.45">
      <c r="A8" t="s">
        <v>167</v>
      </c>
      <c r="B8" s="34">
        <v>2</v>
      </c>
      <c r="C8" s="34">
        <v>4</v>
      </c>
      <c r="D8" s="34">
        <v>0</v>
      </c>
      <c r="L8" t="s">
        <v>168</v>
      </c>
      <c r="M8" t="s">
        <v>169</v>
      </c>
    </row>
    <row r="9" spans="1:13" x14ac:dyDescent="0.45">
      <c r="A9" t="s">
        <v>170</v>
      </c>
      <c r="B9" s="34">
        <v>1</v>
      </c>
      <c r="C9" s="34">
        <v>3</v>
      </c>
      <c r="D9" s="34">
        <v>0</v>
      </c>
      <c r="L9" t="s">
        <v>171</v>
      </c>
      <c r="M9" t="s">
        <v>172</v>
      </c>
    </row>
    <row r="10" spans="1:13" x14ac:dyDescent="0.45">
      <c r="A10" t="s">
        <v>173</v>
      </c>
      <c r="B10" s="34">
        <v>2</v>
      </c>
      <c r="C10" s="34">
        <v>3</v>
      </c>
      <c r="D10" s="34">
        <v>1</v>
      </c>
      <c r="L10" t="s">
        <v>174</v>
      </c>
      <c r="M10" t="s">
        <v>175</v>
      </c>
    </row>
    <row r="11" spans="1:13" x14ac:dyDescent="0.45">
      <c r="A11" t="s">
        <v>176</v>
      </c>
      <c r="B11" s="34">
        <v>7</v>
      </c>
      <c r="C11" s="34">
        <v>9</v>
      </c>
      <c r="D11" s="34">
        <v>6</v>
      </c>
      <c r="L11" t="s">
        <v>177</v>
      </c>
      <c r="M11" t="s">
        <v>178</v>
      </c>
    </row>
    <row r="12" spans="1:13" x14ac:dyDescent="0.45">
      <c r="A12" t="s">
        <v>171</v>
      </c>
      <c r="B12" s="35">
        <v>10</v>
      </c>
      <c r="C12" s="35">
        <v>9</v>
      </c>
      <c r="D12" s="35">
        <v>32</v>
      </c>
      <c r="L12" t="s">
        <v>179</v>
      </c>
      <c r="M12" t="s">
        <v>180</v>
      </c>
    </row>
    <row r="13" spans="1:13" x14ac:dyDescent="0.45">
      <c r="B13" s="36"/>
      <c r="C13" s="36"/>
      <c r="D13" s="36"/>
      <c r="L13" t="s">
        <v>181</v>
      </c>
      <c r="M13" t="s">
        <v>182</v>
      </c>
    </row>
    <row r="14" spans="1:13" x14ac:dyDescent="0.45">
      <c r="A14" t="s">
        <v>183</v>
      </c>
      <c r="B14" s="34">
        <v>8</v>
      </c>
      <c r="L14" t="s">
        <v>184</v>
      </c>
      <c r="M14" t="s">
        <v>185</v>
      </c>
    </row>
    <row r="15" spans="1:13" x14ac:dyDescent="0.45">
      <c r="B15" s="36"/>
      <c r="L15" t="s">
        <v>186</v>
      </c>
      <c r="M15" t="s">
        <v>187</v>
      </c>
    </row>
    <row r="16" spans="1:13" x14ac:dyDescent="0.45">
      <c r="A16" t="s">
        <v>188</v>
      </c>
      <c r="B16" s="37">
        <v>9</v>
      </c>
      <c r="L16" t="s">
        <v>189</v>
      </c>
      <c r="M16" t="s">
        <v>190</v>
      </c>
    </row>
    <row r="17" spans="1:13" x14ac:dyDescent="0.45">
      <c r="A17" t="s">
        <v>191</v>
      </c>
      <c r="B17" s="37">
        <v>5</v>
      </c>
      <c r="L17" t="s">
        <v>192</v>
      </c>
      <c r="M17" t="s">
        <v>193</v>
      </c>
    </row>
    <row r="18" spans="1:13" x14ac:dyDescent="0.45">
      <c r="A18" t="s">
        <v>194</v>
      </c>
      <c r="B18" s="37">
        <v>7</v>
      </c>
      <c r="L18" t="s">
        <v>195</v>
      </c>
      <c r="M18" t="s">
        <v>196</v>
      </c>
    </row>
    <row r="19" spans="1:13" x14ac:dyDescent="0.45">
      <c r="B19" s="36"/>
      <c r="L19" t="s">
        <v>197</v>
      </c>
      <c r="M19" t="s">
        <v>198</v>
      </c>
    </row>
    <row r="20" spans="1:13" x14ac:dyDescent="0.45">
      <c r="L20" t="s">
        <v>199</v>
      </c>
      <c r="M20" t="s">
        <v>200</v>
      </c>
    </row>
    <row r="21" spans="1:13" x14ac:dyDescent="0.45">
      <c r="A21" t="s">
        <v>201</v>
      </c>
      <c r="B21" s="38">
        <v>750</v>
      </c>
      <c r="L21" t="s">
        <v>202</v>
      </c>
      <c r="M21" t="s">
        <v>203</v>
      </c>
    </row>
    <row r="22" spans="1:13" x14ac:dyDescent="0.45">
      <c r="A22" t="s">
        <v>204</v>
      </c>
      <c r="B22" s="38">
        <v>1500</v>
      </c>
      <c r="D22" t="s">
        <v>205</v>
      </c>
      <c r="L22" t="s">
        <v>206</v>
      </c>
      <c r="M22" t="s">
        <v>207</v>
      </c>
    </row>
    <row r="23" spans="1:13" x14ac:dyDescent="0.45">
      <c r="A23" t="s">
        <v>208</v>
      </c>
      <c r="B23" s="38">
        <v>1500</v>
      </c>
      <c r="C23" s="8" t="s">
        <v>128</v>
      </c>
      <c r="D23" s="39">
        <v>5000</v>
      </c>
      <c r="L23" t="s">
        <v>209</v>
      </c>
      <c r="M23" t="s">
        <v>210</v>
      </c>
    </row>
    <row r="24" spans="1:13" x14ac:dyDescent="0.45">
      <c r="L24" t="s">
        <v>211</v>
      </c>
      <c r="M24" t="s">
        <v>212</v>
      </c>
    </row>
    <row r="25" spans="1:13" x14ac:dyDescent="0.45">
      <c r="B25" s="33" t="s">
        <v>7</v>
      </c>
      <c r="C25" s="33" t="s">
        <v>8</v>
      </c>
      <c r="L25" t="s">
        <v>213</v>
      </c>
      <c r="M25" t="s">
        <v>214</v>
      </c>
    </row>
    <row r="26" spans="1:13" x14ac:dyDescent="0.45">
      <c r="A26" t="s">
        <v>215</v>
      </c>
      <c r="B26" s="39">
        <f>SUMPRODUCT(B21:B22,B8:B9)</f>
        <v>3000</v>
      </c>
      <c r="C26" s="39">
        <f>SUMPRODUCT(B21:B22,C8:C9)</f>
        <v>7500</v>
      </c>
      <c r="L26" t="s">
        <v>216</v>
      </c>
      <c r="M26" t="s">
        <v>217</v>
      </c>
    </row>
    <row r="27" spans="1:13" x14ac:dyDescent="0.45">
      <c r="A27" t="s">
        <v>218</v>
      </c>
      <c r="B27" s="39">
        <f>B23*B10</f>
        <v>3000</v>
      </c>
      <c r="C27" s="39">
        <f>B23*C10</f>
        <v>4500</v>
      </c>
      <c r="L27" t="s">
        <v>219</v>
      </c>
      <c r="M27" t="s">
        <v>220</v>
      </c>
    </row>
    <row r="28" spans="1:13" x14ac:dyDescent="0.45">
      <c r="L28" t="s">
        <v>221</v>
      </c>
      <c r="M28" t="s">
        <v>222</v>
      </c>
    </row>
    <row r="29" spans="1:13" x14ac:dyDescent="0.45">
      <c r="A29" t="s">
        <v>223</v>
      </c>
      <c r="B29" s="9">
        <v>0</v>
      </c>
      <c r="C29" s="9">
        <v>0</v>
      </c>
      <c r="L29" t="s">
        <v>224</v>
      </c>
      <c r="M29" t="s">
        <v>225</v>
      </c>
    </row>
    <row r="30" spans="1:13" x14ac:dyDescent="0.45">
      <c r="B30" s="8" t="s">
        <v>91</v>
      </c>
      <c r="C30" s="8" t="s">
        <v>91</v>
      </c>
    </row>
    <row r="31" spans="1:13" x14ac:dyDescent="0.45">
      <c r="A31" t="s">
        <v>226</v>
      </c>
      <c r="B31" s="39">
        <f>B26-B27</f>
        <v>0</v>
      </c>
      <c r="C31" s="39">
        <f>C26-C27</f>
        <v>3000</v>
      </c>
    </row>
    <row r="32" spans="1:13" x14ac:dyDescent="0.45">
      <c r="B32" s="8" t="s">
        <v>128</v>
      </c>
      <c r="C32" s="8" t="s">
        <v>128</v>
      </c>
    </row>
    <row r="33" spans="1:3" x14ac:dyDescent="0.45">
      <c r="A33" t="s">
        <v>227</v>
      </c>
      <c r="B33" s="39">
        <v>2000</v>
      </c>
      <c r="C33" s="39">
        <v>3000</v>
      </c>
    </row>
    <row r="35" spans="1:3" x14ac:dyDescent="0.45">
      <c r="A35" s="2" t="s">
        <v>228</v>
      </c>
    </row>
    <row r="37" spans="1:3" ht="28.5" x14ac:dyDescent="0.45">
      <c r="A37" s="40" t="s">
        <v>229</v>
      </c>
      <c r="C37" s="40" t="s">
        <v>230</v>
      </c>
    </row>
    <row r="38" spans="1:3" x14ac:dyDescent="0.45">
      <c r="A38" s="39">
        <f>SUMPRODUCT(Units_available_for_sale, B11:C11)+(D11*Decision_to_produce_C)</f>
        <v>36000</v>
      </c>
      <c r="B38" s="8" t="s">
        <v>91</v>
      </c>
      <c r="C38" s="39">
        <f>Average_Quality_Required*(SUM(Units_available_for_sale)+Decision_to_produce_C)</f>
        <v>36000</v>
      </c>
    </row>
    <row r="40" spans="1:3" x14ac:dyDescent="0.45">
      <c r="A40" s="2" t="s">
        <v>231</v>
      </c>
      <c r="B40" s="39">
        <f>SUM(B41:B43)</f>
        <v>24750</v>
      </c>
    </row>
    <row r="41" spans="1:3" x14ac:dyDescent="0.45">
      <c r="A41" t="s">
        <v>232</v>
      </c>
      <c r="B41" s="39">
        <f>Raw_Material_1_price*Raw_material_1_used</f>
        <v>6750</v>
      </c>
    </row>
    <row r="42" spans="1:3" x14ac:dyDescent="0.45">
      <c r="A42" t="s">
        <v>233</v>
      </c>
      <c r="B42" s="39">
        <f>Raw_material_2_used*Raw_Material_2_price</f>
        <v>7500</v>
      </c>
    </row>
    <row r="43" spans="1:3" x14ac:dyDescent="0.45">
      <c r="A43" t="s">
        <v>234</v>
      </c>
      <c r="B43" s="39">
        <f>Cost_of_processing_C*Decision_to_produce_C</f>
        <v>10500</v>
      </c>
    </row>
    <row r="45" spans="1:3" x14ac:dyDescent="0.45">
      <c r="A45" s="2" t="s">
        <v>235</v>
      </c>
      <c r="B45" s="39">
        <f>SUM(B46:B48)</f>
        <v>75000</v>
      </c>
    </row>
    <row r="46" spans="1:3" x14ac:dyDescent="0.45">
      <c r="A46" t="s">
        <v>236</v>
      </c>
      <c r="B46" s="39">
        <f>B12*B31</f>
        <v>0</v>
      </c>
    </row>
    <row r="47" spans="1:3" x14ac:dyDescent="0.45">
      <c r="A47" t="s">
        <v>237</v>
      </c>
      <c r="B47" s="39">
        <f>C31*C12</f>
        <v>27000</v>
      </c>
    </row>
    <row r="48" spans="1:3" x14ac:dyDescent="0.45">
      <c r="A48" t="s">
        <v>238</v>
      </c>
      <c r="B48" s="39">
        <f>Decision_to_produce_C*D12</f>
        <v>48000</v>
      </c>
    </row>
    <row r="50" spans="1:2" x14ac:dyDescent="0.45">
      <c r="A50" t="s">
        <v>239</v>
      </c>
      <c r="B50" s="41" t="e">
        <f>Total_revenue-Total_Cost</f>
        <v>#REF!</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48028-FD00-41C4-95B6-FE30F6FBBD55}">
  <dimension ref="A1:AZ18"/>
  <sheetViews>
    <sheetView topLeftCell="K5" workbookViewId="0">
      <selection activeCell="D8" sqref="D8"/>
    </sheetView>
  </sheetViews>
  <sheetFormatPr defaultRowHeight="14.25" x14ac:dyDescent="0.45"/>
  <cols>
    <col min="1" max="1" width="7.59765625" bestFit="1" customWidth="1"/>
  </cols>
  <sheetData>
    <row r="1" spans="1:52" x14ac:dyDescent="0.45">
      <c r="A1" s="2" t="s">
        <v>240</v>
      </c>
      <c r="Q1" s="16" t="str">
        <f>CONCATENATE("Sensitivity of ",$Q$4," to ","Price B")</f>
        <v>Sensitivity of $B$50 to Price B</v>
      </c>
      <c r="U1" s="16" t="str">
        <f>CONCATENATE("Sensitivity of ",$U$4," to ","Price A")</f>
        <v>Sensitivity of $B$50 to Price A</v>
      </c>
    </row>
    <row r="2" spans="1:52" x14ac:dyDescent="0.45">
      <c r="Q2" t="s">
        <v>241</v>
      </c>
      <c r="U2" t="s">
        <v>242</v>
      </c>
      <c r="AZ2" t="s">
        <v>243</v>
      </c>
    </row>
    <row r="3" spans="1:52" x14ac:dyDescent="0.45">
      <c r="A3" t="s">
        <v>244</v>
      </c>
      <c r="Q3" t="s">
        <v>135</v>
      </c>
      <c r="R3" t="s">
        <v>245</v>
      </c>
      <c r="U3" t="s">
        <v>135</v>
      </c>
      <c r="V3" t="s">
        <v>246</v>
      </c>
    </row>
    <row r="4" spans="1:52" ht="32.65" x14ac:dyDescent="0.45">
      <c r="A4" s="20" t="s">
        <v>243</v>
      </c>
      <c r="B4" s="42">
        <v>4</v>
      </c>
      <c r="C4" s="42">
        <v>6</v>
      </c>
      <c r="D4" s="42">
        <v>8</v>
      </c>
      <c r="E4" s="42">
        <v>10</v>
      </c>
      <c r="F4" s="42">
        <v>12</v>
      </c>
      <c r="G4" s="42">
        <v>14</v>
      </c>
      <c r="H4" s="42">
        <v>16</v>
      </c>
      <c r="I4" s="42">
        <v>18</v>
      </c>
      <c r="J4" s="42">
        <v>20</v>
      </c>
      <c r="K4" s="42">
        <v>22</v>
      </c>
      <c r="L4" s="42">
        <v>24</v>
      </c>
      <c r="M4" s="42">
        <v>26</v>
      </c>
      <c r="N4" s="42">
        <v>28</v>
      </c>
      <c r="O4" s="42">
        <v>30</v>
      </c>
      <c r="P4" s="16">
        <f>MATCH($Q$4,OutputAddresses,0)</f>
        <v>1</v>
      </c>
      <c r="Q4" s="15" t="s">
        <v>243</v>
      </c>
      <c r="R4" s="21">
        <v>4</v>
      </c>
      <c r="S4" s="16">
        <f>MATCH($R$4,InputValues1,0)</f>
        <v>1</v>
      </c>
      <c r="T4" s="16">
        <f>MATCH($U$4,OutputAddresses,0)</f>
        <v>1</v>
      </c>
      <c r="U4" s="15" t="s">
        <v>243</v>
      </c>
      <c r="V4" s="21">
        <v>4</v>
      </c>
      <c r="W4" s="16">
        <f>MATCH($V$4,InputValues2,0)</f>
        <v>1</v>
      </c>
    </row>
    <row r="5" spans="1:52" x14ac:dyDescent="0.45">
      <c r="A5" s="42">
        <v>4</v>
      </c>
      <c r="B5" s="43">
        <v>35250</v>
      </c>
      <c r="C5" s="44">
        <v>41250</v>
      </c>
      <c r="D5" s="44">
        <v>47250</v>
      </c>
      <c r="E5" s="44">
        <v>53250</v>
      </c>
      <c r="F5" s="44">
        <v>59250</v>
      </c>
      <c r="G5" s="44">
        <v>65250</v>
      </c>
      <c r="H5" s="44">
        <v>71250</v>
      </c>
      <c r="I5" s="44">
        <v>77250</v>
      </c>
      <c r="J5" s="44">
        <v>83250</v>
      </c>
      <c r="K5" s="44">
        <v>89250</v>
      </c>
      <c r="L5" s="44">
        <v>95250</v>
      </c>
      <c r="M5" s="44">
        <v>101250</v>
      </c>
      <c r="N5" s="44">
        <v>107250</v>
      </c>
      <c r="O5" s="45">
        <v>113250</v>
      </c>
      <c r="P5" s="16" t="str">
        <f>"OutputValues_"&amp;$P$4</f>
        <v>OutputValues_1</v>
      </c>
      <c r="Q5">
        <f ca="1">INDEX(INDIRECT($P$5),$S$4,1)</f>
        <v>35250</v>
      </c>
      <c r="T5" s="16" t="str">
        <f>"OutputValues_"&amp;$T$4</f>
        <v>OutputValues_1</v>
      </c>
      <c r="U5">
        <f ca="1">INDEX(INDIRECT($T$5),1,$W$4)</f>
        <v>35250</v>
      </c>
    </row>
    <row r="6" spans="1:52" x14ac:dyDescent="0.45">
      <c r="A6" s="42">
        <v>6</v>
      </c>
      <c r="B6" s="46">
        <v>35250</v>
      </c>
      <c r="C6" s="47">
        <v>41250</v>
      </c>
      <c r="D6" s="47">
        <v>47250</v>
      </c>
      <c r="E6" s="47">
        <v>53250</v>
      </c>
      <c r="F6" s="47">
        <v>59250</v>
      </c>
      <c r="G6" s="47">
        <v>65250</v>
      </c>
      <c r="H6" s="47">
        <v>71250</v>
      </c>
      <c r="I6" s="47">
        <v>77250</v>
      </c>
      <c r="J6" s="47">
        <v>83250</v>
      </c>
      <c r="K6" s="47">
        <v>89250</v>
      </c>
      <c r="L6" s="47">
        <v>95250</v>
      </c>
      <c r="M6" s="47">
        <v>101250</v>
      </c>
      <c r="N6" s="47">
        <v>107250</v>
      </c>
      <c r="O6" s="48">
        <v>113250</v>
      </c>
      <c r="Q6">
        <f ca="1">INDEX(INDIRECT($P$5),$S$4,2)</f>
        <v>41250</v>
      </c>
      <c r="U6">
        <f ca="1">INDEX(INDIRECT($T$5),2,$W$4)</f>
        <v>35250</v>
      </c>
    </row>
    <row r="7" spans="1:52" x14ac:dyDescent="0.45">
      <c r="A7" s="42">
        <v>8</v>
      </c>
      <c r="B7" s="46">
        <v>35250</v>
      </c>
      <c r="C7" s="47">
        <v>41250</v>
      </c>
      <c r="D7" s="47">
        <v>47250</v>
      </c>
      <c r="E7" s="47">
        <v>53250</v>
      </c>
      <c r="F7" s="47">
        <v>59250</v>
      </c>
      <c r="G7" s="47">
        <v>65250</v>
      </c>
      <c r="H7" s="47">
        <v>71250</v>
      </c>
      <c r="I7" s="47">
        <v>77250</v>
      </c>
      <c r="J7" s="47">
        <v>83250</v>
      </c>
      <c r="K7" s="47">
        <v>89250</v>
      </c>
      <c r="L7" s="47">
        <v>95250</v>
      </c>
      <c r="M7" s="47">
        <v>101250</v>
      </c>
      <c r="N7" s="47">
        <v>107250</v>
      </c>
      <c r="O7" s="48">
        <v>113250</v>
      </c>
      <c r="Q7">
        <f ca="1">INDEX(INDIRECT($P$5),$S$4,3)</f>
        <v>47250</v>
      </c>
      <c r="U7">
        <f ca="1">INDEX(INDIRECT($T$5),3,$W$4)</f>
        <v>35250</v>
      </c>
    </row>
    <row r="8" spans="1:52" x14ac:dyDescent="0.45">
      <c r="A8" s="42">
        <v>10</v>
      </c>
      <c r="B8" s="46">
        <v>35250</v>
      </c>
      <c r="C8" s="47">
        <v>41250</v>
      </c>
      <c r="D8" s="47">
        <v>47250</v>
      </c>
      <c r="E8" s="47">
        <v>53250</v>
      </c>
      <c r="F8" s="47">
        <v>59250</v>
      </c>
      <c r="G8" s="47">
        <v>65250</v>
      </c>
      <c r="H8" s="47">
        <v>71250</v>
      </c>
      <c r="I8" s="47">
        <v>77250</v>
      </c>
      <c r="J8" s="47">
        <v>83250</v>
      </c>
      <c r="K8" s="47">
        <v>89250</v>
      </c>
      <c r="L8" s="47">
        <v>95250</v>
      </c>
      <c r="M8" s="47">
        <v>101250</v>
      </c>
      <c r="N8" s="47">
        <v>107250</v>
      </c>
      <c r="O8" s="48">
        <v>113250</v>
      </c>
      <c r="Q8">
        <f ca="1">INDEX(INDIRECT($P$5),$S$4,4)</f>
        <v>53250</v>
      </c>
      <c r="U8">
        <f ca="1">INDEX(INDIRECT($T$5),4,$W$4)</f>
        <v>35250</v>
      </c>
    </row>
    <row r="9" spans="1:52" x14ac:dyDescent="0.45">
      <c r="A9" s="42">
        <v>12</v>
      </c>
      <c r="B9" s="46">
        <v>35500</v>
      </c>
      <c r="C9" s="47">
        <v>41500</v>
      </c>
      <c r="D9" s="47">
        <v>47500</v>
      </c>
      <c r="E9" s="47">
        <v>53500</v>
      </c>
      <c r="F9" s="47">
        <v>59500</v>
      </c>
      <c r="G9" s="47">
        <v>65500</v>
      </c>
      <c r="H9" s="47">
        <v>71500</v>
      </c>
      <c r="I9" s="47">
        <v>77500</v>
      </c>
      <c r="J9" s="47">
        <v>83500</v>
      </c>
      <c r="K9" s="47">
        <v>89500</v>
      </c>
      <c r="L9" s="47">
        <v>95500</v>
      </c>
      <c r="M9" s="47">
        <v>101500</v>
      </c>
      <c r="N9" s="47">
        <v>107500</v>
      </c>
      <c r="O9" s="48">
        <v>113500</v>
      </c>
      <c r="Q9">
        <f ca="1">INDEX(INDIRECT($P$5),$S$4,5)</f>
        <v>59250</v>
      </c>
      <c r="U9">
        <f ca="1">INDEX(INDIRECT($T$5),5,$W$4)</f>
        <v>35500</v>
      </c>
    </row>
    <row r="10" spans="1:52" x14ac:dyDescent="0.45">
      <c r="A10" s="42">
        <v>14</v>
      </c>
      <c r="B10" s="46">
        <v>37500</v>
      </c>
      <c r="C10" s="47">
        <v>43500</v>
      </c>
      <c r="D10" s="47">
        <v>49500</v>
      </c>
      <c r="E10" s="47">
        <v>55500</v>
      </c>
      <c r="F10" s="47">
        <v>61500</v>
      </c>
      <c r="G10" s="47">
        <v>67500</v>
      </c>
      <c r="H10" s="47">
        <v>73500</v>
      </c>
      <c r="I10" s="47">
        <v>79500</v>
      </c>
      <c r="J10" s="47">
        <v>85500</v>
      </c>
      <c r="K10" s="47">
        <v>91500</v>
      </c>
      <c r="L10" s="47">
        <v>97500</v>
      </c>
      <c r="M10" s="47">
        <v>103500</v>
      </c>
      <c r="N10" s="47">
        <v>109500</v>
      </c>
      <c r="O10" s="48">
        <v>115500</v>
      </c>
      <c r="Q10">
        <f ca="1">INDEX(INDIRECT($P$5),$S$4,6)</f>
        <v>65250</v>
      </c>
      <c r="U10">
        <f ca="1">INDEX(INDIRECT($T$5),6,$W$4)</f>
        <v>37500</v>
      </c>
    </row>
    <row r="11" spans="1:52" x14ac:dyDescent="0.45">
      <c r="A11" s="42">
        <v>16</v>
      </c>
      <c r="B11" s="46">
        <v>39500</v>
      </c>
      <c r="C11" s="47">
        <v>45500</v>
      </c>
      <c r="D11" s="47">
        <v>51500</v>
      </c>
      <c r="E11" s="47">
        <v>57500</v>
      </c>
      <c r="F11" s="47">
        <v>63500</v>
      </c>
      <c r="G11" s="47">
        <v>69500</v>
      </c>
      <c r="H11" s="47">
        <v>75500</v>
      </c>
      <c r="I11" s="47">
        <v>81500</v>
      </c>
      <c r="J11" s="47">
        <v>87500</v>
      </c>
      <c r="K11" s="47">
        <v>93500</v>
      </c>
      <c r="L11" s="47">
        <v>99500</v>
      </c>
      <c r="M11" s="47">
        <v>105500</v>
      </c>
      <c r="N11" s="47">
        <v>111500</v>
      </c>
      <c r="O11" s="48">
        <v>117500</v>
      </c>
      <c r="Q11">
        <f ca="1">INDEX(INDIRECT($P$5),$S$4,7)</f>
        <v>71250</v>
      </c>
      <c r="U11">
        <f ca="1">INDEX(INDIRECT($T$5),7,$W$4)</f>
        <v>39500</v>
      </c>
    </row>
    <row r="12" spans="1:52" x14ac:dyDescent="0.45">
      <c r="A12" s="42">
        <v>18</v>
      </c>
      <c r="B12" s="46">
        <v>41500</v>
      </c>
      <c r="C12" s="47">
        <v>47500</v>
      </c>
      <c r="D12" s="47">
        <v>53500</v>
      </c>
      <c r="E12" s="47">
        <v>59500</v>
      </c>
      <c r="F12" s="47">
        <v>65500</v>
      </c>
      <c r="G12" s="47">
        <v>71500</v>
      </c>
      <c r="H12" s="47">
        <v>77500</v>
      </c>
      <c r="I12" s="47">
        <v>83500</v>
      </c>
      <c r="J12" s="47">
        <v>89500</v>
      </c>
      <c r="K12" s="47">
        <v>95500</v>
      </c>
      <c r="L12" s="47">
        <v>101500</v>
      </c>
      <c r="M12" s="47">
        <v>107500</v>
      </c>
      <c r="N12" s="47">
        <v>113500</v>
      </c>
      <c r="O12" s="48">
        <v>119500</v>
      </c>
      <c r="Q12">
        <f ca="1">INDEX(INDIRECT($P$5),$S$4,8)</f>
        <v>77250</v>
      </c>
      <c r="U12">
        <f ca="1">INDEX(INDIRECT($T$5),8,$W$4)</f>
        <v>41500</v>
      </c>
    </row>
    <row r="13" spans="1:52" x14ac:dyDescent="0.45">
      <c r="A13" s="42">
        <v>20</v>
      </c>
      <c r="B13" s="46">
        <v>43500</v>
      </c>
      <c r="C13" s="47">
        <v>49500</v>
      </c>
      <c r="D13" s="47">
        <v>55500</v>
      </c>
      <c r="E13" s="47">
        <v>61500</v>
      </c>
      <c r="F13" s="47">
        <v>67500</v>
      </c>
      <c r="G13" s="47">
        <v>73500</v>
      </c>
      <c r="H13" s="47">
        <v>79500</v>
      </c>
      <c r="I13" s="47">
        <v>85500</v>
      </c>
      <c r="J13" s="47">
        <v>91500</v>
      </c>
      <c r="K13" s="47">
        <v>97500</v>
      </c>
      <c r="L13" s="47">
        <v>103500</v>
      </c>
      <c r="M13" s="47">
        <v>109500</v>
      </c>
      <c r="N13" s="47">
        <v>115500</v>
      </c>
      <c r="O13" s="48">
        <v>121500</v>
      </c>
      <c r="Q13">
        <f ca="1">INDEX(INDIRECT($P$5),$S$4,9)</f>
        <v>83250</v>
      </c>
      <c r="U13">
        <f ca="1">INDEX(INDIRECT($T$5),9,$W$4)</f>
        <v>43500</v>
      </c>
    </row>
    <row r="14" spans="1:52" x14ac:dyDescent="0.45">
      <c r="A14" s="42">
        <v>22</v>
      </c>
      <c r="B14" s="46">
        <v>45500</v>
      </c>
      <c r="C14" s="47">
        <v>51500</v>
      </c>
      <c r="D14" s="47">
        <v>57500</v>
      </c>
      <c r="E14" s="47">
        <v>63500</v>
      </c>
      <c r="F14" s="47">
        <v>69500</v>
      </c>
      <c r="G14" s="47">
        <v>75500</v>
      </c>
      <c r="H14" s="47">
        <v>81500</v>
      </c>
      <c r="I14" s="47">
        <v>87500</v>
      </c>
      <c r="J14" s="47">
        <v>93500</v>
      </c>
      <c r="K14" s="47">
        <v>99500</v>
      </c>
      <c r="L14" s="47">
        <v>105500</v>
      </c>
      <c r="M14" s="47">
        <v>111500</v>
      </c>
      <c r="N14" s="47">
        <v>117500</v>
      </c>
      <c r="O14" s="48">
        <v>123500</v>
      </c>
      <c r="Q14">
        <f ca="1">INDEX(INDIRECT($P$5),$S$4,10)</f>
        <v>89250</v>
      </c>
      <c r="U14">
        <f ca="1">INDEX(INDIRECT($T$5),10,$W$4)</f>
        <v>45500</v>
      </c>
    </row>
    <row r="15" spans="1:52" x14ac:dyDescent="0.45">
      <c r="A15" s="42">
        <v>24</v>
      </c>
      <c r="B15" s="46">
        <v>47500</v>
      </c>
      <c r="C15" s="47">
        <v>53500</v>
      </c>
      <c r="D15" s="47">
        <v>59500</v>
      </c>
      <c r="E15" s="47">
        <v>65500</v>
      </c>
      <c r="F15" s="47">
        <v>71500</v>
      </c>
      <c r="G15" s="47">
        <v>77500</v>
      </c>
      <c r="H15" s="47">
        <v>83500</v>
      </c>
      <c r="I15" s="47">
        <v>89500</v>
      </c>
      <c r="J15" s="47">
        <v>95500</v>
      </c>
      <c r="K15" s="47">
        <v>101500</v>
      </c>
      <c r="L15" s="47">
        <v>107500</v>
      </c>
      <c r="M15" s="47">
        <v>113500</v>
      </c>
      <c r="N15" s="47">
        <v>119500</v>
      </c>
      <c r="O15" s="48">
        <v>125500</v>
      </c>
      <c r="Q15">
        <f ca="1">INDEX(INDIRECT($P$5),$S$4,11)</f>
        <v>95250</v>
      </c>
      <c r="U15">
        <f ca="1">INDEX(INDIRECT($T$5),11,$W$4)</f>
        <v>47500</v>
      </c>
    </row>
    <row r="16" spans="1:52" x14ac:dyDescent="0.45">
      <c r="A16" s="42">
        <v>26</v>
      </c>
      <c r="B16" s="46">
        <v>49500</v>
      </c>
      <c r="C16" s="47">
        <v>55500</v>
      </c>
      <c r="D16" s="47">
        <v>61500</v>
      </c>
      <c r="E16" s="47">
        <v>67500</v>
      </c>
      <c r="F16" s="47">
        <v>73500</v>
      </c>
      <c r="G16" s="47">
        <v>79500</v>
      </c>
      <c r="H16" s="47">
        <v>85500</v>
      </c>
      <c r="I16" s="47">
        <v>91500</v>
      </c>
      <c r="J16" s="47">
        <v>97500</v>
      </c>
      <c r="K16" s="47">
        <v>103500</v>
      </c>
      <c r="L16" s="47">
        <v>109500</v>
      </c>
      <c r="M16" s="47">
        <v>115500</v>
      </c>
      <c r="N16" s="47">
        <v>121500</v>
      </c>
      <c r="O16" s="48">
        <v>127500</v>
      </c>
      <c r="Q16">
        <f ca="1">INDEX(INDIRECT($P$5),$S$4,12)</f>
        <v>101250</v>
      </c>
      <c r="U16">
        <f ca="1">INDEX(INDIRECT($T$5),12,$W$4)</f>
        <v>49500</v>
      </c>
    </row>
    <row r="17" spans="1:21" x14ac:dyDescent="0.45">
      <c r="A17" s="42">
        <v>28</v>
      </c>
      <c r="B17" s="46">
        <v>51500</v>
      </c>
      <c r="C17" s="47">
        <v>57500</v>
      </c>
      <c r="D17" s="47">
        <v>63500</v>
      </c>
      <c r="E17" s="47">
        <v>69500</v>
      </c>
      <c r="F17" s="47">
        <v>75500</v>
      </c>
      <c r="G17" s="47">
        <v>81500</v>
      </c>
      <c r="H17" s="47">
        <v>87500</v>
      </c>
      <c r="I17" s="47">
        <v>93500</v>
      </c>
      <c r="J17" s="47">
        <v>99500</v>
      </c>
      <c r="K17" s="47">
        <v>105500</v>
      </c>
      <c r="L17" s="47">
        <v>111500</v>
      </c>
      <c r="M17" s="47">
        <v>117500</v>
      </c>
      <c r="N17" s="47">
        <v>123500</v>
      </c>
      <c r="O17" s="48">
        <v>129500</v>
      </c>
      <c r="Q17">
        <f ca="1">INDEX(INDIRECT($P$5),$S$4,13)</f>
        <v>107250</v>
      </c>
      <c r="U17">
        <f ca="1">INDEX(INDIRECT($T$5),13,$W$4)</f>
        <v>51500</v>
      </c>
    </row>
    <row r="18" spans="1:21" x14ac:dyDescent="0.45">
      <c r="A18" s="42">
        <v>30</v>
      </c>
      <c r="B18" s="49">
        <v>53500</v>
      </c>
      <c r="C18" s="50">
        <v>59500</v>
      </c>
      <c r="D18" s="50">
        <v>65500</v>
      </c>
      <c r="E18" s="50">
        <v>71500</v>
      </c>
      <c r="F18" s="50">
        <v>77500</v>
      </c>
      <c r="G18" s="50">
        <v>83500</v>
      </c>
      <c r="H18" s="50">
        <v>89500</v>
      </c>
      <c r="I18" s="50">
        <v>95500</v>
      </c>
      <c r="J18" s="50">
        <v>101500</v>
      </c>
      <c r="K18" s="50">
        <v>107500</v>
      </c>
      <c r="L18" s="50">
        <v>113500</v>
      </c>
      <c r="M18" s="50">
        <v>119500</v>
      </c>
      <c r="N18" s="50">
        <v>125500</v>
      </c>
      <c r="O18" s="51">
        <v>131500</v>
      </c>
      <c r="Q18">
        <f ca="1">INDEX(INDIRECT($P$5),$S$4,14)</f>
        <v>113250</v>
      </c>
      <c r="U18">
        <f ca="1">INDEX(INDIRECT($T$5),14,$W$4)</f>
        <v>53500</v>
      </c>
    </row>
  </sheetData>
  <dataValidations count="3">
    <dataValidation type="list" allowBlank="1" showInputMessage="1" showErrorMessage="1" sqref="V4" xr:uid="{BA51A867-76D2-4EF8-9161-D8A7A4BF666F}">
      <formula1>InputValues2</formula1>
    </dataValidation>
    <dataValidation type="list" allowBlank="1" showInputMessage="1" showErrorMessage="1" sqref="R4" xr:uid="{D18ED2BE-AFFA-40BC-8142-50F272C91E68}">
      <formula1>InputValues1</formula1>
    </dataValidation>
    <dataValidation type="list" allowBlank="1" showInputMessage="1" showErrorMessage="1" sqref="Q4 U4" xr:uid="{47F7B22D-2E1C-481F-8340-6B4CD2F3DAAF}">
      <formula1>OutputAddresses</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6DF4B-971D-4F19-8377-26A573B9605C}">
  <dimension ref="A1:U38"/>
  <sheetViews>
    <sheetView topLeftCell="A7" workbookViewId="0">
      <selection activeCell="J29" sqref="J29"/>
    </sheetView>
  </sheetViews>
  <sheetFormatPr defaultColWidth="9.19921875" defaultRowHeight="14.25" x14ac:dyDescent="0.45"/>
  <cols>
    <col min="1" max="1" width="20.9296875" style="54" customWidth="1"/>
    <col min="2" max="11" width="9.19921875" style="53"/>
    <col min="12" max="12" width="18.46484375" style="53" bestFit="1" customWidth="1"/>
    <col min="13" max="19" width="9.19921875" style="53"/>
    <col min="20" max="20" width="36.46484375" style="53" bestFit="1" customWidth="1"/>
    <col min="21" max="16384" width="9.19921875" style="53"/>
  </cols>
  <sheetData>
    <row r="1" spans="1:21" x14ac:dyDescent="0.45">
      <c r="A1" s="52" t="s">
        <v>247</v>
      </c>
    </row>
    <row r="2" spans="1:21" x14ac:dyDescent="0.45">
      <c r="T2" s="53" t="s">
        <v>248</v>
      </c>
      <c r="U2" s="53" t="s">
        <v>249</v>
      </c>
    </row>
    <row r="3" spans="1:21" x14ac:dyDescent="0.45">
      <c r="A3" s="52" t="s">
        <v>72</v>
      </c>
      <c r="B3" s="53" t="s">
        <v>250</v>
      </c>
      <c r="T3" s="53" t="s">
        <v>251</v>
      </c>
      <c r="U3" s="53" t="s">
        <v>252</v>
      </c>
    </row>
    <row r="4" spans="1:21" x14ac:dyDescent="0.45">
      <c r="A4" s="52" t="s">
        <v>150</v>
      </c>
      <c r="B4" s="53" t="s">
        <v>253</v>
      </c>
      <c r="T4" s="53" t="s">
        <v>254</v>
      </c>
      <c r="U4" s="53" t="s">
        <v>255</v>
      </c>
    </row>
    <row r="5" spans="1:21" x14ac:dyDescent="0.45">
      <c r="B5" s="53" t="s">
        <v>256</v>
      </c>
      <c r="T5" s="53" t="s">
        <v>257</v>
      </c>
      <c r="U5" s="53" t="s">
        <v>258</v>
      </c>
    </row>
    <row r="6" spans="1:21" x14ac:dyDescent="0.45">
      <c r="B6" s="53" t="s">
        <v>259</v>
      </c>
      <c r="T6" s="53" t="s">
        <v>260</v>
      </c>
      <c r="U6" s="53" t="s">
        <v>261</v>
      </c>
    </row>
    <row r="7" spans="1:21" x14ac:dyDescent="0.45">
      <c r="B7" s="53" t="s">
        <v>262</v>
      </c>
      <c r="T7" s="53" t="s">
        <v>263</v>
      </c>
      <c r="U7" s="53" t="s">
        <v>264</v>
      </c>
    </row>
    <row r="8" spans="1:21" x14ac:dyDescent="0.45">
      <c r="B8" s="53" t="s">
        <v>265</v>
      </c>
      <c r="T8" s="53" t="s">
        <v>266</v>
      </c>
      <c r="U8" s="53" t="s">
        <v>267</v>
      </c>
    </row>
    <row r="9" spans="1:21" x14ac:dyDescent="0.45">
      <c r="B9" s="53" t="s">
        <v>268</v>
      </c>
      <c r="T9" s="53" t="s">
        <v>269</v>
      </c>
      <c r="U9" s="53" t="s">
        <v>270</v>
      </c>
    </row>
    <row r="10" spans="1:21" x14ac:dyDescent="0.45">
      <c r="B10" s="53" t="s">
        <v>271</v>
      </c>
      <c r="T10" s="53" t="s">
        <v>272</v>
      </c>
      <c r="U10" s="53" t="s">
        <v>273</v>
      </c>
    </row>
    <row r="11" spans="1:21" x14ac:dyDescent="0.45">
      <c r="B11" s="53" t="s">
        <v>274</v>
      </c>
      <c r="T11" s="53" t="s">
        <v>275</v>
      </c>
      <c r="U11" s="53" t="s">
        <v>276</v>
      </c>
    </row>
    <row r="12" spans="1:21" x14ac:dyDescent="0.45">
      <c r="A12" s="52" t="s">
        <v>73</v>
      </c>
      <c r="B12" s="53" t="s">
        <v>277</v>
      </c>
      <c r="T12" s="53" t="s">
        <v>278</v>
      </c>
      <c r="U12" s="53" t="s">
        <v>279</v>
      </c>
    </row>
    <row r="13" spans="1:21" x14ac:dyDescent="0.45">
      <c r="T13" s="53" t="s">
        <v>280</v>
      </c>
      <c r="U13" s="53" t="s">
        <v>281</v>
      </c>
    </row>
    <row r="14" spans="1:21" x14ac:dyDescent="0.45">
      <c r="A14" s="54" t="s">
        <v>282</v>
      </c>
      <c r="B14" s="55" t="s">
        <v>283</v>
      </c>
      <c r="C14" s="55" t="s">
        <v>284</v>
      </c>
      <c r="D14" s="55" t="s">
        <v>285</v>
      </c>
      <c r="E14" s="55" t="s">
        <v>286</v>
      </c>
      <c r="F14" s="55" t="s">
        <v>287</v>
      </c>
      <c r="G14" s="55" t="s">
        <v>288</v>
      </c>
      <c r="H14" s="55" t="s">
        <v>289</v>
      </c>
      <c r="I14" s="55" t="s">
        <v>290</v>
      </c>
      <c r="J14" s="55" t="s">
        <v>291</v>
      </c>
      <c r="K14" s="55" t="s">
        <v>292</v>
      </c>
      <c r="L14" s="56" t="s">
        <v>293</v>
      </c>
      <c r="T14" s="53" t="s">
        <v>294</v>
      </c>
      <c r="U14" s="53" t="s">
        <v>295</v>
      </c>
    </row>
    <row r="15" spans="1:21" x14ac:dyDescent="0.45">
      <c r="A15" s="54" t="s">
        <v>296</v>
      </c>
      <c r="B15" s="57">
        <v>2500</v>
      </c>
      <c r="C15" s="57">
        <v>4100</v>
      </c>
      <c r="D15" s="57">
        <v>2600</v>
      </c>
      <c r="E15" s="57">
        <v>3300</v>
      </c>
      <c r="F15" s="57">
        <v>4700</v>
      </c>
      <c r="G15" s="57">
        <v>4300</v>
      </c>
      <c r="H15" s="57">
        <v>2500</v>
      </c>
      <c r="I15" s="57">
        <v>3000</v>
      </c>
      <c r="J15" s="57">
        <v>3800</v>
      </c>
      <c r="K15" s="57">
        <v>3900</v>
      </c>
      <c r="L15" s="58">
        <f>SUM(B15:K15)</f>
        <v>34700</v>
      </c>
      <c r="T15" s="53" t="s">
        <v>297</v>
      </c>
      <c r="U15" s="53" t="s">
        <v>298</v>
      </c>
    </row>
    <row r="16" spans="1:21" x14ac:dyDescent="0.45">
      <c r="B16" s="59"/>
      <c r="C16" s="59"/>
      <c r="D16" s="59"/>
      <c r="E16" s="59"/>
      <c r="F16" s="59"/>
      <c r="G16" s="59"/>
      <c r="H16" s="59"/>
      <c r="I16" s="59"/>
      <c r="J16" s="59"/>
      <c r="K16" s="59"/>
      <c r="L16" s="60" t="s">
        <v>128</v>
      </c>
      <c r="T16" s="53" t="s">
        <v>299</v>
      </c>
      <c r="U16" s="53" t="s">
        <v>300</v>
      </c>
    </row>
    <row r="17" spans="1:12" x14ac:dyDescent="0.45">
      <c r="B17" s="59"/>
      <c r="C17" s="59"/>
      <c r="D17" s="59"/>
      <c r="E17" s="59"/>
      <c r="F17" s="59"/>
      <c r="G17" s="59"/>
      <c r="H17" s="59"/>
      <c r="I17" s="59"/>
      <c r="J17" s="59"/>
      <c r="K17" s="59"/>
      <c r="L17" s="60" t="s">
        <v>301</v>
      </c>
    </row>
    <row r="18" spans="1:12" x14ac:dyDescent="0.45">
      <c r="A18" s="54" t="s">
        <v>302</v>
      </c>
      <c r="B18" s="61">
        <f>Number_of_FT_workers_in_10_to_6_shift*Machine_processing_capacity_per_hour</f>
        <v>1200</v>
      </c>
      <c r="C18" s="61">
        <f>(Number_of_FT_workers_in_10_to_6_shift+Number_of_FT_workers_in_11_to_7_shift)*Machine_processing_capacity_per_hour</f>
        <v>1200</v>
      </c>
      <c r="D18" s="61">
        <f>(Number_of_FT_workers_in_10_to_6_shift+Number_of_FT_workers_in_11_to_7_shift+Number_of_FT_workers_in_12_to_8_shift)*Machine_processing_capacity_per_hour</f>
        <v>2400</v>
      </c>
      <c r="E18" s="61">
        <f>(Number_of_FT_workers_in_10_to_6_shift+Number_of_FT_workers_in_11_to_7_shift+Number_of_FT_workers_in_12_to_8_shift)*Machine_processing_capacity_per_hour</f>
        <v>2400</v>
      </c>
      <c r="F18" s="61">
        <f>(Number_of_FT_workers_in_10_to_6_shift+Number_of_FT_workers_in_11_to_7_shift+Number_of_FT_workers_in_12_to_8_shift+Number_of_PT_workers_in_2_to_7_shift)*Machine_processing_capacity_per_hour</f>
        <v>2400</v>
      </c>
      <c r="G18" s="61">
        <f>(Number_of_FT_workers_in_10_to_6_shift+Number_of_FT_workers_in_11_to_7_shift+Number_of_FT_workers_in_12_to_8_shift+Number_of_PT_workers_in_2_to_7_shift+Number_of_PT_workers_in_3_to_8_shift)*Machine_processing_capacity_per_hour</f>
        <v>6000</v>
      </c>
      <c r="H18" s="61">
        <f>(Number_of_FT_workers_in_10_to_6_shift+Number_of_FT_workers_in_11_to_7_shift+Number_of_FT_workers_in_12_to_8_shift+Number_of_PT_workers_in_2_to_7_shift+Number_of_PT_workers_in_3_to_8_shift)*Machine_processing_capacity_per_hour</f>
        <v>6000</v>
      </c>
      <c r="I18" s="61">
        <f>(Number_of_FT_workers_in_10_to_6_shift+Number_of_FT_workers_in_11_to_7_shift+Number_of_FT_workers_in_12_to_8_shift+Number_of_PT_workers_in_2_to_7_shift+Number_of_PT_workers_in_3_to_8_shift)*Machine_processing_capacity_per_hour</f>
        <v>6000</v>
      </c>
      <c r="J18" s="61">
        <f>(Number_of_FT_workers_in_11_to_7_shift+Number_of_FT_workers_in_12_to_8_shift+Number_of_PT_workers_in_2_to_7_shift+Number_of_PT_workers_in_3_to_8_shift)*Machine_processing_capacity_per_hour</f>
        <v>4800</v>
      </c>
      <c r="K18" s="61">
        <f>(Number_of_FT_workers_in_12_to_8_shift+Number_of_PT_workers_in_3_to_8_shift)*Machine_processing_capacity_per_hour</f>
        <v>4800</v>
      </c>
      <c r="L18" s="61">
        <f>SUM(B18:K18)</f>
        <v>37200</v>
      </c>
    </row>
    <row r="20" spans="1:12" x14ac:dyDescent="0.45">
      <c r="A20" s="54" t="s">
        <v>303</v>
      </c>
      <c r="B20" s="62">
        <v>160</v>
      </c>
    </row>
    <row r="21" spans="1:12" x14ac:dyDescent="0.45">
      <c r="A21" s="54" t="s">
        <v>304</v>
      </c>
      <c r="B21" s="62">
        <v>75</v>
      </c>
    </row>
    <row r="22" spans="1:12" ht="28.5" x14ac:dyDescent="0.45">
      <c r="A22" s="54" t="s">
        <v>305</v>
      </c>
      <c r="B22" s="63">
        <v>1200</v>
      </c>
    </row>
    <row r="23" spans="1:12" x14ac:dyDescent="0.45">
      <c r="A23" s="54" t="s">
        <v>306</v>
      </c>
      <c r="B23" s="63">
        <v>5</v>
      </c>
    </row>
    <row r="24" spans="1:12" x14ac:dyDescent="0.45">
      <c r="B24" s="64"/>
      <c r="D24" s="54"/>
    </row>
    <row r="25" spans="1:12" ht="28.5" x14ac:dyDescent="0.45">
      <c r="A25" s="54" t="s">
        <v>307</v>
      </c>
      <c r="B25" s="86">
        <v>1</v>
      </c>
      <c r="C25" s="65" t="s">
        <v>91</v>
      </c>
      <c r="D25" s="65">
        <v>1</v>
      </c>
    </row>
    <row r="26" spans="1:12" ht="28.5" x14ac:dyDescent="0.45">
      <c r="A26" s="54" t="s">
        <v>308</v>
      </c>
      <c r="B26" s="86">
        <v>0</v>
      </c>
      <c r="C26" s="65"/>
      <c r="D26" s="65"/>
    </row>
    <row r="27" spans="1:12" ht="28.5" x14ac:dyDescent="0.45">
      <c r="A27" s="54" t="s">
        <v>309</v>
      </c>
      <c r="B27" s="86">
        <v>1</v>
      </c>
      <c r="C27" s="65" t="s">
        <v>91</v>
      </c>
      <c r="D27" s="65">
        <v>1</v>
      </c>
    </row>
    <row r="28" spans="1:12" x14ac:dyDescent="0.45">
      <c r="A28" s="54" t="s">
        <v>310</v>
      </c>
      <c r="B28" s="66">
        <f>SUM(B25:B27)</f>
        <v>2</v>
      </c>
    </row>
    <row r="29" spans="1:12" x14ac:dyDescent="0.45">
      <c r="B29" s="66"/>
    </row>
    <row r="30" spans="1:12" ht="28.5" x14ac:dyDescent="0.45">
      <c r="A30" s="54" t="s">
        <v>311</v>
      </c>
      <c r="B30" s="86">
        <v>0</v>
      </c>
    </row>
    <row r="31" spans="1:12" ht="28.5" x14ac:dyDescent="0.45">
      <c r="A31" s="54" t="s">
        <v>312</v>
      </c>
      <c r="B31" s="86">
        <v>3</v>
      </c>
    </row>
    <row r="32" spans="1:12" x14ac:dyDescent="0.45">
      <c r="A32" s="54" t="s">
        <v>313</v>
      </c>
      <c r="B32" s="53">
        <f>SUM(B30:B31)</f>
        <v>3</v>
      </c>
    </row>
    <row r="34" spans="1:4" x14ac:dyDescent="0.45">
      <c r="A34" s="54" t="s">
        <v>314</v>
      </c>
      <c r="B34" s="53">
        <f>Sum_of_PT_employees+Sum_of_FT_employees</f>
        <v>5</v>
      </c>
      <c r="C34" s="65" t="s">
        <v>128</v>
      </c>
      <c r="D34" s="67">
        <f>Number_of_machines</f>
        <v>5</v>
      </c>
    </row>
    <row r="36" spans="1:4" x14ac:dyDescent="0.45">
      <c r="A36" s="54" t="s">
        <v>315</v>
      </c>
      <c r="B36" s="68">
        <f>Sum_of_FT_employees*FT_pay_per_day</f>
        <v>320</v>
      </c>
    </row>
    <row r="37" spans="1:4" x14ac:dyDescent="0.45">
      <c r="A37" s="54" t="s">
        <v>316</v>
      </c>
      <c r="B37" s="68">
        <f>Sum_of_PT_employees*PT_pay_per_day</f>
        <v>225</v>
      </c>
    </row>
    <row r="38" spans="1:4" x14ac:dyDescent="0.45">
      <c r="A38" s="54" t="s">
        <v>231</v>
      </c>
      <c r="B38" s="69">
        <f>Cost_of_PT_employee+Cost_of_FT_employee</f>
        <v>545</v>
      </c>
    </row>
  </sheetData>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B9C8B-AAB9-4F37-AF7F-416DCC80B10A}">
  <dimension ref="A1:AZ10"/>
  <sheetViews>
    <sheetView workbookViewId="0">
      <selection activeCell="B30" sqref="B30:B31"/>
    </sheetView>
  </sheetViews>
  <sheetFormatPr defaultColWidth="8.73046875" defaultRowHeight="12.75" x14ac:dyDescent="0.35"/>
  <cols>
    <col min="1" max="1" width="6" style="71" bestFit="1" customWidth="1"/>
    <col min="2" max="16384" width="8.73046875" style="71"/>
  </cols>
  <sheetData>
    <row r="1" spans="1:52" ht="13.15" x14ac:dyDescent="0.4">
      <c r="A1" s="70" t="s">
        <v>317</v>
      </c>
      <c r="K1" s="72" t="str">
        <f>CONCATENATE("Sensitivity of ",$K$4," to ","Input2")</f>
        <v>Sensitivity of $B$38 to Input2</v>
      </c>
      <c r="O1" s="72" t="str">
        <f>CONCATENATE("Sensitivity of ",$O$4," to ","Input1")</f>
        <v>Sensitivity of $B$38 to Input1</v>
      </c>
    </row>
    <row r="2" spans="1:52" x14ac:dyDescent="0.35">
      <c r="K2" s="71" t="s">
        <v>318</v>
      </c>
      <c r="O2" s="71" t="s">
        <v>319</v>
      </c>
      <c r="AZ2" s="71" t="s">
        <v>320</v>
      </c>
    </row>
    <row r="3" spans="1:52" x14ac:dyDescent="0.35">
      <c r="A3" s="71" t="s">
        <v>321</v>
      </c>
      <c r="K3" s="71" t="s">
        <v>135</v>
      </c>
      <c r="L3" s="71" t="s">
        <v>322</v>
      </c>
      <c r="O3" s="71" t="s">
        <v>135</v>
      </c>
      <c r="P3" s="71" t="s">
        <v>323</v>
      </c>
    </row>
    <row r="4" spans="1:52" ht="33.4" x14ac:dyDescent="0.35">
      <c r="A4" s="73" t="s">
        <v>320</v>
      </c>
      <c r="B4" s="71">
        <v>0</v>
      </c>
      <c r="C4" s="71">
        <v>1</v>
      </c>
      <c r="D4" s="71">
        <v>2</v>
      </c>
      <c r="E4" s="71">
        <v>3</v>
      </c>
      <c r="F4" s="71">
        <v>4</v>
      </c>
      <c r="G4" s="71">
        <v>5</v>
      </c>
      <c r="J4" s="72">
        <f>MATCH($K$4,OutputAddresses,0)</f>
        <v>1</v>
      </c>
      <c r="K4" s="74" t="s">
        <v>320</v>
      </c>
      <c r="L4" s="75">
        <v>0</v>
      </c>
      <c r="M4" s="72">
        <f>MATCH($L$4,InputValues1,0)</f>
        <v>1</v>
      </c>
      <c r="N4" s="72">
        <f>MATCH($O$4,OutputAddresses,0)</f>
        <v>1</v>
      </c>
      <c r="O4" s="74" t="s">
        <v>320</v>
      </c>
      <c r="P4" s="75">
        <v>0</v>
      </c>
      <c r="Q4" s="72">
        <f>MATCH($P$4,InputValues2,0)</f>
        <v>1</v>
      </c>
    </row>
    <row r="5" spans="1:52" x14ac:dyDescent="0.35">
      <c r="A5" s="71">
        <v>0</v>
      </c>
      <c r="B5" s="76">
        <v>545</v>
      </c>
      <c r="C5" s="77">
        <v>545</v>
      </c>
      <c r="D5" s="77">
        <v>545</v>
      </c>
      <c r="E5" s="77">
        <v>555</v>
      </c>
      <c r="F5" s="77">
        <v>640</v>
      </c>
      <c r="G5" s="78">
        <v>800</v>
      </c>
      <c r="J5" s="72" t="str">
        <f>"OutputValues_"&amp;$J$4</f>
        <v>OutputValues_1</v>
      </c>
      <c r="K5" s="71">
        <f ca="1">INDEX(INDIRECT($J$5),$M$4,1)</f>
        <v>545</v>
      </c>
      <c r="N5" s="72" t="str">
        <f>"OutputValues_"&amp;$N$4</f>
        <v>OutputValues_1</v>
      </c>
      <c r="O5" s="71">
        <f ca="1">INDEX(INDIRECT($N$5),1,$Q$4)</f>
        <v>545</v>
      </c>
    </row>
    <row r="6" spans="1:52" x14ac:dyDescent="0.35">
      <c r="A6" s="71">
        <v>1</v>
      </c>
      <c r="B6" s="79">
        <v>545</v>
      </c>
      <c r="C6" s="80">
        <v>545</v>
      </c>
      <c r="D6" s="80">
        <v>555</v>
      </c>
      <c r="E6" s="80">
        <v>640</v>
      </c>
      <c r="F6" s="80">
        <v>800</v>
      </c>
      <c r="G6" s="81" t="s">
        <v>324</v>
      </c>
      <c r="K6" s="71">
        <f ca="1">INDEX(INDIRECT($J$5),$M$4,2)</f>
        <v>545</v>
      </c>
      <c r="O6" s="71">
        <f ca="1">INDEX(INDIRECT($N$5),2,$Q$4)</f>
        <v>545</v>
      </c>
    </row>
    <row r="7" spans="1:52" x14ac:dyDescent="0.35">
      <c r="A7" s="71">
        <v>2</v>
      </c>
      <c r="B7" s="79">
        <v>545</v>
      </c>
      <c r="C7" s="80">
        <v>555</v>
      </c>
      <c r="D7" s="80">
        <v>640</v>
      </c>
      <c r="E7" s="80">
        <v>800</v>
      </c>
      <c r="F7" s="82" t="s">
        <v>324</v>
      </c>
      <c r="G7" s="81" t="s">
        <v>324</v>
      </c>
      <c r="K7" s="71">
        <f ca="1">INDEX(INDIRECT($J$5),$M$4,3)</f>
        <v>545</v>
      </c>
      <c r="O7" s="71">
        <f ca="1">INDEX(INDIRECT($N$5),3,$Q$4)</f>
        <v>545</v>
      </c>
    </row>
    <row r="8" spans="1:52" x14ac:dyDescent="0.35">
      <c r="A8" s="71">
        <v>3</v>
      </c>
      <c r="B8" s="79">
        <v>555</v>
      </c>
      <c r="C8" s="80">
        <v>640</v>
      </c>
      <c r="D8" s="80">
        <v>800</v>
      </c>
      <c r="E8" s="82" t="s">
        <v>324</v>
      </c>
      <c r="F8" s="82" t="s">
        <v>324</v>
      </c>
      <c r="G8" s="81" t="s">
        <v>324</v>
      </c>
      <c r="K8" s="71">
        <f ca="1">INDEX(INDIRECT($J$5),$M$4,4)</f>
        <v>555</v>
      </c>
      <c r="O8" s="71">
        <f ca="1">INDEX(INDIRECT($N$5),4,$Q$4)</f>
        <v>555</v>
      </c>
    </row>
    <row r="9" spans="1:52" x14ac:dyDescent="0.35">
      <c r="A9" s="71">
        <v>4</v>
      </c>
      <c r="B9" s="79">
        <v>640</v>
      </c>
      <c r="C9" s="80">
        <v>800</v>
      </c>
      <c r="D9" s="82" t="s">
        <v>324</v>
      </c>
      <c r="E9" s="82" t="s">
        <v>324</v>
      </c>
      <c r="F9" s="82" t="s">
        <v>324</v>
      </c>
      <c r="G9" s="81" t="s">
        <v>324</v>
      </c>
      <c r="K9" s="71">
        <f ca="1">INDEX(INDIRECT($J$5),$M$4,5)</f>
        <v>640</v>
      </c>
      <c r="O9" s="71">
        <f ca="1">INDEX(INDIRECT($N$5),5,$Q$4)</f>
        <v>640</v>
      </c>
    </row>
    <row r="10" spans="1:52" x14ac:dyDescent="0.35">
      <c r="A10" s="71">
        <v>5</v>
      </c>
      <c r="B10" s="83">
        <v>800</v>
      </c>
      <c r="C10" s="84" t="s">
        <v>324</v>
      </c>
      <c r="D10" s="84" t="s">
        <v>324</v>
      </c>
      <c r="E10" s="84" t="s">
        <v>324</v>
      </c>
      <c r="F10" s="84" t="s">
        <v>324</v>
      </c>
      <c r="G10" s="85" t="s">
        <v>324</v>
      </c>
      <c r="K10" s="71">
        <f ca="1">INDEX(INDIRECT($J$5),$M$4,6)</f>
        <v>800</v>
      </c>
      <c r="O10" s="71">
        <f ca="1">INDEX(INDIRECT($N$5),6,$Q$4)</f>
        <v>800</v>
      </c>
    </row>
  </sheetData>
  <dataValidations count="3">
    <dataValidation type="list" allowBlank="1" showInputMessage="1" showErrorMessage="1" sqref="P4" xr:uid="{F547CE94-AC43-4699-9F18-787599855F4D}">
      <formula1>InputValues2</formula1>
    </dataValidation>
    <dataValidation type="list" allowBlank="1" showInputMessage="1" showErrorMessage="1" sqref="L4" xr:uid="{824F0AB7-3ADD-421C-9EF7-6A81514549BC}">
      <formula1>InputValues1</formula1>
    </dataValidation>
    <dataValidation type="list" allowBlank="1" showInputMessage="1" showErrorMessage="1" sqref="K4 O4" xr:uid="{C784DF18-02A6-4BB7-B12F-298FFFB584D4}">
      <formula1>OutputAddresses</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4309-22DB-492B-82F8-1B453EBCE3C9}">
  <dimension ref="A1:Q43"/>
  <sheetViews>
    <sheetView tabSelected="1" topLeftCell="A19" zoomScaleNormal="100" workbookViewId="0">
      <selection activeCell="J46" sqref="J46"/>
    </sheetView>
  </sheetViews>
  <sheetFormatPr defaultRowHeight="14.25" x14ac:dyDescent="0.45"/>
  <cols>
    <col min="1" max="1" width="24.73046875" bestFit="1" customWidth="1"/>
    <col min="2" max="2" width="9.9296875" bestFit="1" customWidth="1"/>
    <col min="3" max="3" width="10.9296875" bestFit="1" customWidth="1"/>
    <col min="6" max="6" width="10.796875" bestFit="1" customWidth="1"/>
    <col min="16" max="16" width="35.53125" bestFit="1" customWidth="1"/>
    <col min="17" max="17" width="18.19921875" bestFit="1" customWidth="1"/>
  </cols>
  <sheetData>
    <row r="1" spans="1:17" x14ac:dyDescent="0.45">
      <c r="A1" s="6" t="s">
        <v>93</v>
      </c>
      <c r="P1" s="6" t="s">
        <v>33</v>
      </c>
    </row>
    <row r="2" spans="1:17" x14ac:dyDescent="0.45">
      <c r="P2" t="s">
        <v>86</v>
      </c>
      <c r="Q2" t="s">
        <v>87</v>
      </c>
    </row>
    <row r="3" spans="1:17" x14ac:dyDescent="0.45">
      <c r="B3" t="s">
        <v>75</v>
      </c>
      <c r="C3" t="s">
        <v>76</v>
      </c>
      <c r="D3" t="s">
        <v>77</v>
      </c>
      <c r="E3" t="s">
        <v>78</v>
      </c>
      <c r="F3" t="s">
        <v>80</v>
      </c>
      <c r="G3" t="s">
        <v>79</v>
      </c>
      <c r="H3" t="s">
        <v>81</v>
      </c>
      <c r="P3" t="s">
        <v>100</v>
      </c>
      <c r="Q3" t="s">
        <v>101</v>
      </c>
    </row>
    <row r="4" spans="1:17" x14ac:dyDescent="0.45">
      <c r="A4" t="s">
        <v>74</v>
      </c>
      <c r="B4" s="1">
        <v>800</v>
      </c>
      <c r="C4" s="1">
        <v>400</v>
      </c>
      <c r="D4" s="1">
        <v>950</v>
      </c>
      <c r="E4" s="1"/>
      <c r="F4" s="1"/>
      <c r="G4" s="1"/>
      <c r="H4" s="1"/>
      <c r="P4" t="s">
        <v>102</v>
      </c>
      <c r="Q4" t="s">
        <v>103</v>
      </c>
    </row>
    <row r="5" spans="1:17" x14ac:dyDescent="0.45">
      <c r="A5" t="s">
        <v>75</v>
      </c>
      <c r="B5" s="1"/>
      <c r="C5" s="1"/>
      <c r="D5" s="1"/>
      <c r="E5" s="1"/>
      <c r="F5" s="1">
        <v>600</v>
      </c>
      <c r="G5" s="1">
        <v>1200</v>
      </c>
      <c r="H5" s="1"/>
      <c r="P5" t="s">
        <v>104</v>
      </c>
      <c r="Q5" t="s">
        <v>105</v>
      </c>
    </row>
    <row r="6" spans="1:17" x14ac:dyDescent="0.45">
      <c r="A6" t="s">
        <v>76</v>
      </c>
      <c r="B6" s="1"/>
      <c r="C6" s="1"/>
      <c r="D6" s="1"/>
      <c r="E6" s="1">
        <v>1800</v>
      </c>
      <c r="F6" s="1">
        <v>900</v>
      </c>
      <c r="G6" s="1"/>
      <c r="H6" s="1"/>
      <c r="P6" t="s">
        <v>85</v>
      </c>
      <c r="Q6" t="s">
        <v>106</v>
      </c>
    </row>
    <row r="7" spans="1:17" x14ac:dyDescent="0.45">
      <c r="A7" t="s">
        <v>77</v>
      </c>
      <c r="B7" s="1"/>
      <c r="C7" s="1"/>
      <c r="D7" s="1"/>
      <c r="E7" s="1">
        <v>1100</v>
      </c>
      <c r="F7" s="1">
        <v>600</v>
      </c>
      <c r="G7" s="1"/>
      <c r="H7" s="1"/>
      <c r="P7" t="s">
        <v>89</v>
      </c>
      <c r="Q7" t="s">
        <v>107</v>
      </c>
    </row>
    <row r="8" spans="1:17" x14ac:dyDescent="0.45">
      <c r="A8" t="s">
        <v>78</v>
      </c>
      <c r="B8" s="1"/>
      <c r="C8" s="1"/>
      <c r="D8" s="1"/>
      <c r="E8" s="1"/>
      <c r="F8" s="1"/>
      <c r="G8" s="1"/>
      <c r="H8" s="1">
        <v>400</v>
      </c>
      <c r="P8" t="s">
        <v>90</v>
      </c>
      <c r="Q8" t="s">
        <v>108</v>
      </c>
    </row>
    <row r="9" spans="1:17" x14ac:dyDescent="0.45">
      <c r="A9" t="s">
        <v>79</v>
      </c>
      <c r="B9" s="1"/>
      <c r="C9" s="1"/>
      <c r="D9" s="1"/>
      <c r="E9" s="1"/>
      <c r="F9" s="1"/>
      <c r="G9" s="1"/>
      <c r="H9" s="1">
        <v>600</v>
      </c>
      <c r="P9" t="s">
        <v>83</v>
      </c>
      <c r="Q9" t="s">
        <v>109</v>
      </c>
    </row>
    <row r="10" spans="1:17" x14ac:dyDescent="0.45">
      <c r="A10" t="s">
        <v>80</v>
      </c>
      <c r="B10" s="1"/>
      <c r="C10" s="1"/>
      <c r="D10" s="1"/>
      <c r="E10" s="1">
        <v>900</v>
      </c>
      <c r="F10" s="1"/>
      <c r="G10" s="1">
        <v>1000</v>
      </c>
      <c r="H10" s="1">
        <v>1300</v>
      </c>
      <c r="P10" t="s">
        <v>110</v>
      </c>
      <c r="Q10" t="s">
        <v>111</v>
      </c>
    </row>
    <row r="11" spans="1:17" x14ac:dyDescent="0.45">
      <c r="P11" t="s">
        <v>92</v>
      </c>
      <c r="Q11" t="s">
        <v>112</v>
      </c>
    </row>
    <row r="14" spans="1:17" x14ac:dyDescent="0.45">
      <c r="A14" s="6" t="s">
        <v>82</v>
      </c>
      <c r="B14" s="6" t="s">
        <v>83</v>
      </c>
      <c r="C14" s="6" t="s">
        <v>84</v>
      </c>
      <c r="D14" s="6" t="s">
        <v>85</v>
      </c>
    </row>
    <row r="15" spans="1:17" x14ac:dyDescent="0.45">
      <c r="A15" t="s">
        <v>74</v>
      </c>
      <c r="B15" t="s">
        <v>75</v>
      </c>
      <c r="C15" s="3">
        <v>0</v>
      </c>
      <c r="D15">
        <f t="shared" ref="D15:D28" si="0">INDEX(gallons_from_to_matrix,MATCH(A15,from_org,0),MATCH(B15,to_org,0))</f>
        <v>800</v>
      </c>
    </row>
    <row r="16" spans="1:17" x14ac:dyDescent="0.45">
      <c r="A16" t="s">
        <v>74</v>
      </c>
      <c r="B16" t="s">
        <v>76</v>
      </c>
      <c r="C16" s="3">
        <v>0</v>
      </c>
      <c r="D16">
        <f t="shared" si="0"/>
        <v>400</v>
      </c>
    </row>
    <row r="17" spans="1:7" x14ac:dyDescent="0.45">
      <c r="A17" t="s">
        <v>74</v>
      </c>
      <c r="B17" t="s">
        <v>77</v>
      </c>
      <c r="C17" s="3">
        <v>1</v>
      </c>
      <c r="D17">
        <f t="shared" si="0"/>
        <v>950</v>
      </c>
    </row>
    <row r="18" spans="1:7" x14ac:dyDescent="0.45">
      <c r="A18" t="s">
        <v>76</v>
      </c>
      <c r="B18" t="s">
        <v>78</v>
      </c>
      <c r="C18" s="3">
        <v>0</v>
      </c>
      <c r="D18">
        <f t="shared" si="0"/>
        <v>1800</v>
      </c>
    </row>
    <row r="19" spans="1:7" x14ac:dyDescent="0.45">
      <c r="A19" t="s">
        <v>76</v>
      </c>
      <c r="B19" t="s">
        <v>80</v>
      </c>
      <c r="C19" s="3">
        <v>0</v>
      </c>
      <c r="D19">
        <f t="shared" si="0"/>
        <v>900</v>
      </c>
    </row>
    <row r="20" spans="1:7" x14ac:dyDescent="0.45">
      <c r="A20" t="s">
        <v>77</v>
      </c>
      <c r="B20" t="s">
        <v>78</v>
      </c>
      <c r="C20" s="3">
        <v>1</v>
      </c>
      <c r="D20">
        <f t="shared" si="0"/>
        <v>1100</v>
      </c>
      <c r="F20" s="6" t="s">
        <v>72</v>
      </c>
      <c r="G20" t="s">
        <v>95</v>
      </c>
    </row>
    <row r="21" spans="1:7" x14ac:dyDescent="0.45">
      <c r="A21" t="s">
        <v>77</v>
      </c>
      <c r="B21" t="s">
        <v>80</v>
      </c>
      <c r="C21" s="3">
        <v>0</v>
      </c>
      <c r="D21">
        <f t="shared" si="0"/>
        <v>600</v>
      </c>
      <c r="F21" s="6"/>
    </row>
    <row r="22" spans="1:7" x14ac:dyDescent="0.45">
      <c r="A22" t="s">
        <v>75</v>
      </c>
      <c r="B22" t="s">
        <v>79</v>
      </c>
      <c r="C22" s="3">
        <v>0</v>
      </c>
      <c r="D22">
        <f t="shared" si="0"/>
        <v>1200</v>
      </c>
      <c r="F22" s="6" t="s">
        <v>10</v>
      </c>
      <c r="G22" t="s">
        <v>96</v>
      </c>
    </row>
    <row r="23" spans="1:7" x14ac:dyDescent="0.45">
      <c r="A23" t="s">
        <v>75</v>
      </c>
      <c r="B23" t="s">
        <v>80</v>
      </c>
      <c r="C23" s="3">
        <v>0</v>
      </c>
      <c r="D23">
        <f t="shared" si="0"/>
        <v>600</v>
      </c>
      <c r="F23" s="6"/>
      <c r="G23" t="s">
        <v>97</v>
      </c>
    </row>
    <row r="24" spans="1:7" x14ac:dyDescent="0.45">
      <c r="A24" t="s">
        <v>80</v>
      </c>
      <c r="B24" t="s">
        <v>79</v>
      </c>
      <c r="C24" s="3">
        <v>0</v>
      </c>
      <c r="D24">
        <f t="shared" si="0"/>
        <v>1000</v>
      </c>
      <c r="F24" s="6"/>
    </row>
    <row r="25" spans="1:7" x14ac:dyDescent="0.45">
      <c r="A25" t="s">
        <v>80</v>
      </c>
      <c r="B25" t="s">
        <v>78</v>
      </c>
      <c r="C25" s="3">
        <v>0</v>
      </c>
      <c r="D25">
        <f t="shared" si="0"/>
        <v>900</v>
      </c>
      <c r="F25" s="6" t="s">
        <v>15</v>
      </c>
      <c r="G25" t="s">
        <v>98</v>
      </c>
    </row>
    <row r="26" spans="1:7" x14ac:dyDescent="0.45">
      <c r="A26" t="s">
        <v>80</v>
      </c>
      <c r="B26" t="s">
        <v>81</v>
      </c>
      <c r="C26" s="3">
        <v>0</v>
      </c>
      <c r="D26">
        <f t="shared" si="0"/>
        <v>1300</v>
      </c>
    </row>
    <row r="27" spans="1:7" x14ac:dyDescent="0.45">
      <c r="A27" t="s">
        <v>78</v>
      </c>
      <c r="B27" t="s">
        <v>81</v>
      </c>
      <c r="C27" s="3">
        <v>1</v>
      </c>
      <c r="D27">
        <f t="shared" si="0"/>
        <v>400</v>
      </c>
    </row>
    <row r="28" spans="1:7" x14ac:dyDescent="0.45">
      <c r="A28" t="s">
        <v>79</v>
      </c>
      <c r="B28" t="s">
        <v>81</v>
      </c>
      <c r="C28" s="3">
        <v>0</v>
      </c>
      <c r="D28">
        <f t="shared" si="0"/>
        <v>600</v>
      </c>
    </row>
    <row r="30" spans="1:7" x14ac:dyDescent="0.45">
      <c r="A30" t="s">
        <v>92</v>
      </c>
      <c r="B30" s="32">
        <f>SUMPRODUCT(C15:C28,GAS)</f>
        <v>2450</v>
      </c>
    </row>
    <row r="32" spans="1:7" x14ac:dyDescent="0.45">
      <c r="B32" t="s">
        <v>88</v>
      </c>
    </row>
    <row r="33" spans="1:4" x14ac:dyDescent="0.45">
      <c r="B33" t="s">
        <v>89</v>
      </c>
      <c r="D33" t="s">
        <v>90</v>
      </c>
    </row>
    <row r="34" spans="1:4" x14ac:dyDescent="0.45">
      <c r="A34" t="s">
        <v>75</v>
      </c>
      <c r="B34">
        <f>SUM(C15)</f>
        <v>0</v>
      </c>
      <c r="C34" s="8" t="s">
        <v>91</v>
      </c>
      <c r="D34">
        <f>SUM(C22:C23)</f>
        <v>0</v>
      </c>
    </row>
    <row r="35" spans="1:4" x14ac:dyDescent="0.45">
      <c r="A35" t="s">
        <v>77</v>
      </c>
      <c r="B35">
        <f>SUM(C17)</f>
        <v>1</v>
      </c>
      <c r="C35" s="8" t="s">
        <v>91</v>
      </c>
      <c r="D35">
        <f>SUM(C20:C21)</f>
        <v>1</v>
      </c>
    </row>
    <row r="36" spans="1:4" x14ac:dyDescent="0.45">
      <c r="A36" t="s">
        <v>76</v>
      </c>
      <c r="B36">
        <f>SUM(C16)</f>
        <v>0</v>
      </c>
      <c r="C36" s="8" t="s">
        <v>91</v>
      </c>
      <c r="D36">
        <f>SUM(C18:C19)</f>
        <v>0</v>
      </c>
    </row>
    <row r="37" spans="1:4" x14ac:dyDescent="0.45">
      <c r="A37" t="s">
        <v>78</v>
      </c>
      <c r="B37">
        <f>SUM(C25,C20,C18)</f>
        <v>1</v>
      </c>
      <c r="C37" s="8" t="s">
        <v>91</v>
      </c>
      <c r="D37">
        <f>SUM(C27)</f>
        <v>1</v>
      </c>
    </row>
    <row r="38" spans="1:4" x14ac:dyDescent="0.45">
      <c r="A38" t="s">
        <v>80</v>
      </c>
      <c r="B38">
        <f>SUM(C21,C19,C23)</f>
        <v>0</v>
      </c>
      <c r="C38" s="8" t="s">
        <v>91</v>
      </c>
      <c r="D38">
        <f>SUM(C25,C26,C24)</f>
        <v>0</v>
      </c>
    </row>
    <row r="39" spans="1:4" x14ac:dyDescent="0.45">
      <c r="A39" t="s">
        <v>79</v>
      </c>
      <c r="B39">
        <f>SUM(C22,C24)</f>
        <v>0</v>
      </c>
      <c r="C39" s="8" t="s">
        <v>91</v>
      </c>
      <c r="D39">
        <f>SUM(C28)</f>
        <v>0</v>
      </c>
    </row>
    <row r="42" spans="1:4" x14ac:dyDescent="0.45">
      <c r="B42" t="s">
        <v>113</v>
      </c>
      <c r="C42" s="8"/>
      <c r="D42" t="s">
        <v>114</v>
      </c>
    </row>
    <row r="43" spans="1:4" x14ac:dyDescent="0.45">
      <c r="A43" t="s">
        <v>99</v>
      </c>
      <c r="B43">
        <f>SUM(C28,C27,C26)</f>
        <v>1</v>
      </c>
      <c r="C43" s="9" t="s">
        <v>94</v>
      </c>
      <c r="D43">
        <v>1</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A2B88-BFA4-447B-92AF-68829BBC29C7}">
  <dimension ref="A1:B18"/>
  <sheetViews>
    <sheetView workbookViewId="0"/>
  </sheetViews>
  <sheetFormatPr defaultRowHeight="14.25" x14ac:dyDescent="0.45"/>
  <sheetData>
    <row r="1" spans="1:2" x14ac:dyDescent="0.45">
      <c r="B1">
        <v>1</v>
      </c>
    </row>
    <row r="2" spans="1:2" x14ac:dyDescent="0.45">
      <c r="B2" t="s">
        <v>138</v>
      </c>
    </row>
    <row r="3" spans="1:2" x14ac:dyDescent="0.45">
      <c r="B3">
        <v>1</v>
      </c>
    </row>
    <row r="4" spans="1:2" x14ac:dyDescent="0.45">
      <c r="B4">
        <v>500</v>
      </c>
    </row>
    <row r="5" spans="1:2" x14ac:dyDescent="0.45">
      <c r="B5">
        <v>1200</v>
      </c>
    </row>
    <row r="6" spans="1:2" x14ac:dyDescent="0.45">
      <c r="B6">
        <v>100</v>
      </c>
    </row>
    <row r="8" spans="1:2" x14ac:dyDescent="0.45">
      <c r="A8" s="12"/>
      <c r="B8" s="12" t="s">
        <v>131</v>
      </c>
    </row>
    <row r="9" spans="1:2" x14ac:dyDescent="0.45">
      <c r="B9" t="s">
        <v>139</v>
      </c>
    </row>
    <row r="10" spans="1:2" x14ac:dyDescent="0.45">
      <c r="B10">
        <v>1</v>
      </c>
    </row>
    <row r="11" spans="1:2" x14ac:dyDescent="0.45">
      <c r="B11">
        <v>500</v>
      </c>
    </row>
    <row r="12" spans="1:2" x14ac:dyDescent="0.45">
      <c r="B12">
        <v>2000</v>
      </c>
    </row>
    <row r="13" spans="1:2" x14ac:dyDescent="0.45">
      <c r="B13">
        <v>100</v>
      </c>
    </row>
    <row r="15" spans="1:2" x14ac:dyDescent="0.45">
      <c r="B15" s="12" t="s">
        <v>131</v>
      </c>
    </row>
    <row r="16" spans="1:2" x14ac:dyDescent="0.45">
      <c r="B16" t="s">
        <v>140</v>
      </c>
    </row>
    <row r="17" spans="2:2" x14ac:dyDescent="0.45">
      <c r="B17" t="s">
        <v>141</v>
      </c>
    </row>
    <row r="18" spans="2:2" x14ac:dyDescent="0.45">
      <c r="B18" t="s">
        <v>142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101</vt:i4>
      </vt:variant>
    </vt:vector>
  </HeadingPairs>
  <TitlesOfParts>
    <vt:vector size="110" baseType="lpstr">
      <vt:lpstr>ProductionCostOptimization</vt:lpstr>
      <vt:lpstr>4.48(b)</vt:lpstr>
      <vt:lpstr>4.48(Additional)</vt:lpstr>
      <vt:lpstr>ProfitMaximization</vt:lpstr>
      <vt:lpstr>4.94 (Additional)</vt:lpstr>
      <vt:lpstr>WorkforceCostOptimization</vt:lpstr>
      <vt:lpstr>4.114 (Additional)</vt:lpstr>
      <vt:lpstr>RouteOptimization</vt:lpstr>
      <vt:lpstr>5.43(Additional)</vt:lpstr>
      <vt:lpstr>active_A_lb</vt:lpstr>
      <vt:lpstr>active_B_lb</vt:lpstr>
      <vt:lpstr>active_C_lb</vt:lpstr>
      <vt:lpstr>Average_Quality_Req</vt:lpstr>
      <vt:lpstr>Average_Quality_Required</vt:lpstr>
      <vt:lpstr>'4.48(Additional)'!ChartData</vt:lpstr>
      <vt:lpstr>'4.48(b)'!ChartData</vt:lpstr>
      <vt:lpstr>'4.114 (Additional)'!ChartData1</vt:lpstr>
      <vt:lpstr>'4.94 (Additional)'!ChartData1</vt:lpstr>
      <vt:lpstr>'5.43(Additional)'!ChartData1</vt:lpstr>
      <vt:lpstr>'4.114 (Additional)'!ChartData2</vt:lpstr>
      <vt:lpstr>'4.94 (Additional)'!ChartData2</vt:lpstr>
      <vt:lpstr>'5.43(Additional)'!ChartData2</vt:lpstr>
      <vt:lpstr>Combination_of_A_and_B_for_C</vt:lpstr>
      <vt:lpstr>Cost_lb_of_chemicals</vt:lpstr>
      <vt:lpstr>Cost_of_FT_employee</vt:lpstr>
      <vt:lpstr>Cost_of_processing_C</vt:lpstr>
      <vt:lpstr>Cost_of_PT_employee</vt:lpstr>
      <vt:lpstr>Decision_to_produce_C</vt:lpstr>
      <vt:lpstr>FROM</vt:lpstr>
      <vt:lpstr>from_org</vt:lpstr>
      <vt:lpstr>FT_pay_per_day</vt:lpstr>
      <vt:lpstr>gallons_from_to_matrix</vt:lpstr>
      <vt:lpstr>GAS</vt:lpstr>
      <vt:lpstr>Incoming</vt:lpstr>
      <vt:lpstr>Incoming_to_LA</vt:lpstr>
      <vt:lpstr>'4.48(Additional)'!InputValues</vt:lpstr>
      <vt:lpstr>'4.48(b)'!InputValues</vt:lpstr>
      <vt:lpstr>'4.114 (Additional)'!InputValues1</vt:lpstr>
      <vt:lpstr>'4.94 (Additional)'!InputValues1</vt:lpstr>
      <vt:lpstr>'5.43(Additional)'!InputValues1</vt:lpstr>
      <vt:lpstr>'4.114 (Additional)'!InputValues2</vt:lpstr>
      <vt:lpstr>'4.94 (Additional)'!InputValues2</vt:lpstr>
      <vt:lpstr>'5.43(Additional)'!InputValues2</vt:lpstr>
      <vt:lpstr>Machine_processing_capacity_per_hour</vt:lpstr>
      <vt:lpstr>Max_Sale_Constraint</vt:lpstr>
      <vt:lpstr>Min_Chemical3</vt:lpstr>
      <vt:lpstr>Min_Production</vt:lpstr>
      <vt:lpstr>Min_Sale_Constraint</vt:lpstr>
      <vt:lpstr>Min_weight_of_Chemicals</vt:lpstr>
      <vt:lpstr>Min_weight_of_Ingredients</vt:lpstr>
      <vt:lpstr>minPerc_A</vt:lpstr>
      <vt:lpstr>minPerc_B</vt:lpstr>
      <vt:lpstr>minPerc_C</vt:lpstr>
      <vt:lpstr>Number_of_FT_workers_in_10_to_6_shift</vt:lpstr>
      <vt:lpstr>Number_of_FT_workers_in_11_to_7_shift</vt:lpstr>
      <vt:lpstr>Number_of_FT_workers_in_12_to_8_shift</vt:lpstr>
      <vt:lpstr>Number_of_machines</vt:lpstr>
      <vt:lpstr>Number_of_PT_workers_in_2_to_7_shift</vt:lpstr>
      <vt:lpstr>Number_of_PT_workers_in_3_to_8_shift</vt:lpstr>
      <vt:lpstr>Outgoing</vt:lpstr>
      <vt:lpstr>Outgoing_from_LA</vt:lpstr>
      <vt:lpstr>'4.114 (Additional)'!OutputAddresses</vt:lpstr>
      <vt:lpstr>'4.48(Additional)'!OutputAddresses</vt:lpstr>
      <vt:lpstr>'4.48(b)'!OutputAddresses</vt:lpstr>
      <vt:lpstr>'4.94 (Additional)'!OutputAddresses</vt:lpstr>
      <vt:lpstr>'5.43(Additional)'!OutputAddresses</vt:lpstr>
      <vt:lpstr>'4.48(Additional)'!OutputValues</vt:lpstr>
      <vt:lpstr>'4.48(b)'!OutputValues</vt:lpstr>
      <vt:lpstr>'4.114 (Additional)'!OutputValues_1</vt:lpstr>
      <vt:lpstr>'4.94 (Additional)'!OutputValues_1</vt:lpstr>
      <vt:lpstr>'5.43(Additional)'!OutputValues_1</vt:lpstr>
      <vt:lpstr>Price</vt:lpstr>
      <vt:lpstr>PT_pay_per_day</vt:lpstr>
      <vt:lpstr>pur_weight_Chemical_1</vt:lpstr>
      <vt:lpstr>pur_weight_Chemical_2</vt:lpstr>
      <vt:lpstr>pur_weight_Chemical_3</vt:lpstr>
      <vt:lpstr>pur_weight_Chemical_4</vt:lpstr>
      <vt:lpstr>Purchased_weight</vt:lpstr>
      <vt:lpstr>Quality_Levels</vt:lpstr>
      <vt:lpstr>Raw_material_1_output</vt:lpstr>
      <vt:lpstr>Raw_Material_1_price</vt:lpstr>
      <vt:lpstr>Raw_material_1_used</vt:lpstr>
      <vt:lpstr>Raw_material_2_output</vt:lpstr>
      <vt:lpstr>Raw_Material_2_price</vt:lpstr>
      <vt:lpstr>Raw_material_2_used</vt:lpstr>
      <vt:lpstr>Sale_constraint</vt:lpstr>
      <vt:lpstr>Sum_of_FT_employees</vt:lpstr>
      <vt:lpstr>Sum_of_PT_employees</vt:lpstr>
      <vt:lpstr>Sum_of_Quality_of_Units_Produced</vt:lpstr>
      <vt:lpstr>TO</vt:lpstr>
      <vt:lpstr>to_org</vt:lpstr>
      <vt:lpstr>Total_active_ingredient_A</vt:lpstr>
      <vt:lpstr>Total_active_ingredient_B</vt:lpstr>
      <vt:lpstr>Total_active_ingredient_C</vt:lpstr>
      <vt:lpstr>total_active_ingredient_matrix</vt:lpstr>
      <vt:lpstr>Total_Capacity</vt:lpstr>
      <vt:lpstr>Total_Checks_in_a_Day</vt:lpstr>
      <vt:lpstr>Total_Cost</vt:lpstr>
      <vt:lpstr>Total_Cost_A</vt:lpstr>
      <vt:lpstr>Total_Cost_B</vt:lpstr>
      <vt:lpstr>Total_Cost_C</vt:lpstr>
      <vt:lpstr>Total_cost_of_production</vt:lpstr>
      <vt:lpstr>Total_gallons_used</vt:lpstr>
      <vt:lpstr>Total_Rev_A</vt:lpstr>
      <vt:lpstr>Total_Rev_B</vt:lpstr>
      <vt:lpstr>Total_Rev_C</vt:lpstr>
      <vt:lpstr>Total_Units_available</vt:lpstr>
      <vt:lpstr>Total_weight_of_drugs_produced__in_lb</vt:lpstr>
      <vt:lpstr>Units_available_for_sale</vt:lpstr>
      <vt:lpstr>Units_used_up_in_C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Mishra</dc:creator>
  <cp:lastModifiedBy>Asutosh Mishra</cp:lastModifiedBy>
  <dcterms:created xsi:type="dcterms:W3CDTF">2022-04-01T23:09:45Z</dcterms:created>
  <dcterms:modified xsi:type="dcterms:W3CDTF">2024-05-27T01:55:03Z</dcterms:modified>
</cp:coreProperties>
</file>