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drawings/drawing6.xml" ContentType="application/vnd.openxmlformats-officedocument.drawing+xml"/>
  <Override PartName="/xl/tables/table2.xml" ContentType="application/vnd.openxmlformats-officedocument.spreadsheetml.table+xml"/>
  <Override PartName="/xl/drawings/drawing7.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drawings/drawing8.xml" ContentType="application/vnd.openxmlformats-officedocument.drawing+xml"/>
  <Override PartName="/xl/tables/table3.xml" ContentType="application/vnd.openxmlformats-officedocument.spreadsheetml.table+xml"/>
  <Override PartName="/xl/drawings/drawing9.xml" ContentType="application/vnd.openxmlformats-officedocument.drawing+xml"/>
  <Override PartName="/xl/comments4.xml" ContentType="application/vnd.openxmlformats-officedocument.spreadsheetml.comments+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14807\Downloads\"/>
    </mc:Choice>
  </mc:AlternateContent>
  <xr:revisionPtr revIDLastSave="0" documentId="13_ncr:1_{B36099DB-6B44-43C0-9452-B7893A45CB4A}" xr6:coauthVersionLast="47" xr6:coauthVersionMax="47" xr10:uidLastSave="{00000000-0000-0000-0000-000000000000}"/>
  <bookViews>
    <workbookView xWindow="-98" yWindow="-98" windowWidth="23236" windowHeight="13875" firstSheet="3" activeTab="7" xr2:uid="{F397AA96-6E30-41A0-96A9-7272B6CECE54}"/>
  </bookViews>
  <sheets>
    <sheet name="5.58 (a)" sheetId="9" r:id="rId1"/>
    <sheet name="5.58 (b)" sheetId="13" r:id="rId2"/>
    <sheet name="5.58 (Sensitivty Analysis)" sheetId="10" r:id="rId3"/>
    <sheet name="FireEngDispCostOptimization" sheetId="11" r:id="rId4"/>
    <sheet name="5.66(Additional)" sheetId="12" r:id="rId5"/>
    <sheet name="AllJobsCompleteTimeMinimize" sheetId="3" r:id="rId6"/>
    <sheet name="5.70(b.Sensitivity)" sheetId="6" r:id="rId7"/>
    <sheet name="SupplyCostOptimization" sheetId="4" r:id="rId8"/>
    <sheet name="5.79_STS" sheetId="7" state="veryHidden" r:id="rId9"/>
    <sheet name="5.70_STS" sheetId="5" state="veryHidden" r:id="rId10"/>
    <sheet name="5.79 (Sensitivity Analysis)" sheetId="8" r:id="rId11"/>
  </sheets>
  <externalReferences>
    <externalReference r:id="rId12"/>
  </externalReferences>
  <definedNames>
    <definedName name="a" localSheetId="4">'[1]5.66(a)'!$C$44:$I$44</definedName>
    <definedName name="a">FireEngDispCostOptimization!$C$44:$I$44</definedName>
    <definedName name="Assigned">#REF!</definedName>
    <definedName name="Assigned_as">#REF!</definedName>
    <definedName name="assignment_matrix" localSheetId="4">'[1]5.66(a)'!$C$44:$I$50</definedName>
    <definedName name="assignment_matrix">FireEngDispCostOptimization!$C$44:$I$50</definedName>
    <definedName name="Available">#REF!</definedName>
    <definedName name="b" localSheetId="4">'[1]5.66(a)'!$C$45:$I$45</definedName>
    <definedName name="b">FireEngDispCostOptimization!$C$45:$I$45</definedName>
    <definedName name="c_" localSheetId="4">'[1]5.66(a)'!$C$46:$I$46</definedName>
    <definedName name="c_">FireEngDispCostOptimization!$C$46:$I$46</definedName>
    <definedName name="ChartData" localSheetId="6">'5.70(b.Sensitivity)'!$K$5:$K$8</definedName>
    <definedName name="ChartData" localSheetId="10">'5.79 (Sensitivity Analysis)'!$K$5:$K$12</definedName>
    <definedName name="ChartData1" localSheetId="2">'5.58 (Sensitivty Analysis)'!$U$5:$U$22</definedName>
    <definedName name="ChartData1" localSheetId="4">'5.66(Additional)'!$K$5:$K$11</definedName>
    <definedName name="ChartData2" localSheetId="2">'5.58 (Sensitivty Analysis)'!$Y$5:$Y$22</definedName>
    <definedName name="ChartData2" localSheetId="4">'5.66(Additional)'!$O$5:$O$11</definedName>
    <definedName name="Co_e1f1" localSheetId="4">'[1]5.66(a)'!$O$30</definedName>
    <definedName name="Co_e1f1">FireEngDispCostOptimization!$O$30</definedName>
    <definedName name="Co_e1f2" localSheetId="4">'[1]5.66(a)'!$O$32</definedName>
    <definedName name="Co_e1f2">FireEngDispCostOptimization!$O$32</definedName>
    <definedName name="Co_e1f3" localSheetId="4">'[1]5.66(a)'!$O$34</definedName>
    <definedName name="Co_e1f3">FireEngDispCostOptimization!$O$34</definedName>
    <definedName name="Co_e2f1" localSheetId="4">'[1]5.66(a)'!$O$31</definedName>
    <definedName name="Co_e2f1">FireEngDispCostOptimization!$O$31</definedName>
    <definedName name="Co_e2f2" localSheetId="4">'[1]5.66(a)'!$O$33</definedName>
    <definedName name="Co_e2f2">FireEngDispCostOptimization!$O$33</definedName>
    <definedName name="Co_e2f3" localSheetId="4">'[1]5.66(a)'!$O$35</definedName>
    <definedName name="Co_e2f3">FireEngDispCostOptimization!$O$35</definedName>
    <definedName name="Co_e3f3" localSheetId="4">'[1]5.66(a)'!$O$36</definedName>
    <definedName name="Co_e3f3">FireEngDispCostOptimization!$O$36</definedName>
    <definedName name="com1fir1">FireEngDispCostOptimization!$C$5</definedName>
    <definedName name="com1fir2">FireEngDispCostOptimization!$D$5</definedName>
    <definedName name="com1fir3">FireEngDispCostOptimization!$E$5</definedName>
    <definedName name="com2fir1">FireEngDispCostOptimization!$C$6</definedName>
    <definedName name="com2fir2">FireEngDispCostOptimization!$D$6</definedName>
    <definedName name="com2fir3">FireEngDispCostOptimization!$E$6</definedName>
    <definedName name="com3fir1">FireEngDispCostOptimization!$C$7</definedName>
    <definedName name="com3fir2">FireEngDispCostOptimization!$D$7</definedName>
    <definedName name="com3fir3">FireEngDispCostOptimization!$E$7</definedName>
    <definedName name="company1" localSheetId="4">'[1]5.66(a)'!$B$5:$B$7</definedName>
    <definedName name="company1">FireEngDispCostOptimization!$B$5:$B$7</definedName>
    <definedName name="Constraint">#REF!</definedName>
    <definedName name="Cost___napkin" localSheetId="4">'[1]5.79'!$B$27:$D$27</definedName>
    <definedName name="Cost___napkin" localSheetId="3">'[1]5.79'!$B$27:$D$27</definedName>
    <definedName name="Cost___napkin">SupplyCostOptimization!$B$27:$D$27</definedName>
    <definedName name="cost_coeff_matrix" localSheetId="4">'[1]5.66(a)'!#REF!</definedName>
    <definedName name="cost_coeff_matrix">FireEngDispCostOptimization!#REF!</definedName>
    <definedName name="Cost_Coefficient">FireEngDispCostOptimization!$O$30:$O$36</definedName>
    <definedName name="cost_coefficient_matrix">#REF!</definedName>
    <definedName name="Cost_coefficients">FireEngDispCostOptimization!$P$34:$P$40</definedName>
    <definedName name="cost_matrix" localSheetId="4">'[1]5.66(a)'!$C$30:$I$36</definedName>
    <definedName name="cost_matrix">FireEngDispCostOptimization!$C$30:$I$36</definedName>
    <definedName name="Cost_of_Fast_service__napkin" localSheetId="4">'[1]5.79'!$B$7</definedName>
    <definedName name="Cost_of_Fast_service__napkin" localSheetId="3">'[1]5.79'!$B$7</definedName>
    <definedName name="Cost_of_Fast_service__napkin">SupplyCostOptimization!$B$7</definedName>
    <definedName name="Cost_of_purchasing_one_new_napkin" localSheetId="4">'[1]5.79'!$B$6</definedName>
    <definedName name="Cost_of_purchasing_one_new_napkin" localSheetId="3">'[1]5.79'!$B$6</definedName>
    <definedName name="Cost_of_purchasing_one_new_napkin">SupplyCostOptimization!$B$6</definedName>
    <definedName name="Cost_of_slow_service___napkin" localSheetId="4">'[1]5.79'!$B$8</definedName>
    <definedName name="Cost_of_slow_service___napkin" localSheetId="3">'[1]5.79'!$B$8</definedName>
    <definedName name="Cost_of_slow_service___napkin">SupplyCostOptimization!$B$8</definedName>
    <definedName name="d" localSheetId="4">'[1]5.66(a)'!$C$47:$I$47</definedName>
    <definedName name="d">FireEngDispCostOptimization!$C$47:$I$47</definedName>
    <definedName name="Demand" localSheetId="4">'[1]5.79'!$H$22:$H$25</definedName>
    <definedName name="Demand" localSheetId="3">FireEngDispCostOptimization!$C$53:$I$53</definedName>
    <definedName name="Demand">SupplyCostOptimization!$H$22:$H$25</definedName>
    <definedName name="Demand_LA" localSheetId="1">'5.58 (b)'!$B$10</definedName>
    <definedName name="Demand_LA">'5.58 (a)'!$B$10</definedName>
    <definedName name="Demand_NY" localSheetId="1">'5.58 (b)'!$B$11</definedName>
    <definedName name="Demand_NY">'5.58 (a)'!$B$11</definedName>
    <definedName name="Demand_Seattle" localSheetId="1">'5.58 (b)'!$B$12</definedName>
    <definedName name="Demand_Seattle">'5.58 (a)'!$B$12</definedName>
    <definedName name="e" localSheetId="4">'[1]5.66(a)'!$C$48:$I$48</definedName>
    <definedName name="e">FireEngDispCostOptimization!$C$48:$I$48</definedName>
    <definedName name="e2j_1" localSheetId="4">'[1]5.70(a)'!$B$29:$B$38</definedName>
    <definedName name="e2j_1" localSheetId="3">'[1]5.70(a)'!$B$29:$B$38</definedName>
    <definedName name="e2j_1">AllJobsCompleteTimeMinimize!$B$29:$B$38</definedName>
    <definedName name="e2j_10" localSheetId="4">'[1]5.70(a)'!$K$29:$K$38</definedName>
    <definedName name="e2j_10" localSheetId="3">'[1]5.70(a)'!$K$29:$K$38</definedName>
    <definedName name="e2j_10">AllJobsCompleteTimeMinimize!$K$29:$K$38</definedName>
    <definedName name="e2j_11" localSheetId="4">'[1]5.70(a)'!$L$29:$L$38</definedName>
    <definedName name="e2j_11" localSheetId="3">'[1]5.70(a)'!$L$29:$L$38</definedName>
    <definedName name="e2j_11">AllJobsCompleteTimeMinimize!$L$29:$L$38</definedName>
    <definedName name="e2j_12" localSheetId="4">'[1]5.70(a)'!$M$29:$M$38</definedName>
    <definedName name="e2j_12" localSheetId="3">'[1]5.70(a)'!$M$29:$M$38</definedName>
    <definedName name="e2j_12">AllJobsCompleteTimeMinimize!$M$29:$M$38</definedName>
    <definedName name="e2j_13" localSheetId="4">'[1]5.70(a)'!$N$29:$N$38</definedName>
    <definedName name="e2j_13" localSheetId="3">'[1]5.70(a)'!$N$29:$N$38</definedName>
    <definedName name="e2j_13">AllJobsCompleteTimeMinimize!$N$29:$N$38</definedName>
    <definedName name="e2j_14" localSheetId="4">'[1]5.70(a)'!$O$29:$O$38</definedName>
    <definedName name="e2j_14" localSheetId="3">'[1]5.70(a)'!$O$29:$O$38</definedName>
    <definedName name="e2j_14">AllJobsCompleteTimeMinimize!$O$29:$O$38</definedName>
    <definedName name="e2j_15" localSheetId="4">'[1]5.70(a)'!$P$29:$P$38</definedName>
    <definedName name="e2j_15" localSheetId="3">'[1]5.70(a)'!$P$29:$P$38</definedName>
    <definedName name="e2j_15">AllJobsCompleteTimeMinimize!$P$29:$P$38</definedName>
    <definedName name="e2j_2" localSheetId="4">'[1]5.70(a)'!$C$29:$C$38</definedName>
    <definedName name="e2j_2" localSheetId="3">'[1]5.70(a)'!$C$29:$C$38</definedName>
    <definedName name="e2j_2">AllJobsCompleteTimeMinimize!$C$29:$C$38</definedName>
    <definedName name="e2j_3" localSheetId="4">'[1]5.70(a)'!$D$29:$D$38</definedName>
    <definedName name="e2j_3" localSheetId="3">'[1]5.70(a)'!$D$29:$D$38</definedName>
    <definedName name="e2j_3">AllJobsCompleteTimeMinimize!$D$29:$D$38</definedName>
    <definedName name="e2j_4" localSheetId="4">'[1]5.70(a)'!$E$29:$E$38</definedName>
    <definedName name="e2j_4" localSheetId="3">'[1]5.70(a)'!$E$29:$E$38</definedName>
    <definedName name="e2j_4">AllJobsCompleteTimeMinimize!$E$29:$E$38</definedName>
    <definedName name="e2j_5" localSheetId="4">'[1]5.70(a)'!$F$29:$F$38</definedName>
    <definedName name="e2j_5" localSheetId="3">'[1]5.70(a)'!$F$29:$F$38</definedName>
    <definedName name="e2j_5">AllJobsCompleteTimeMinimize!$F$29:$F$38</definedName>
    <definedName name="e2j_6" localSheetId="4">'[1]5.70(a)'!$G$29:$G$38</definedName>
    <definedName name="e2j_6" localSheetId="3">'[1]5.70(a)'!$G$29:$G$38</definedName>
    <definedName name="e2j_6">AllJobsCompleteTimeMinimize!$G$29:$G$38</definedName>
    <definedName name="e2j_7" localSheetId="4">'[1]5.70(a)'!$H$29:$H$38</definedName>
    <definedName name="e2j_7" localSheetId="3">'[1]5.70(a)'!$H$29:$H$38</definedName>
    <definedName name="e2j_7">AllJobsCompleteTimeMinimize!$H$29:$H$38</definedName>
    <definedName name="e2j_8" localSheetId="4">'[1]5.70(a)'!$I$29:$I$38</definedName>
    <definedName name="e2j_8" localSheetId="3">'[1]5.70(a)'!$I$29:$I$38</definedName>
    <definedName name="e2j_8">AllJobsCompleteTimeMinimize!$I$29:$I$38</definedName>
    <definedName name="e2j_9" localSheetId="4">'[1]5.70(a)'!$J$29:$J$38</definedName>
    <definedName name="e2j_9" localSheetId="3">'[1]5.70(a)'!$J$29:$J$38</definedName>
    <definedName name="e2j_9">AllJobsCompleteTimeMinimize!$J$29:$J$38</definedName>
    <definedName name="Engine" localSheetId="4">'[1]5.66(a)'!#REF!</definedName>
    <definedName name="Engine">FireEngDispCostOptimization!#REF!</definedName>
    <definedName name="Engine_assignment_matrix">#REF!</definedName>
    <definedName name="Engine_Demand_for_Location">#REF!</definedName>
    <definedName name="Engine_Location_capacity">#REF!</definedName>
    <definedName name="Engine_sub">FireEngDispCostOptimization!$M$30:$M$36</definedName>
    <definedName name="EngineA_C1">#REF!</definedName>
    <definedName name="EngineB_C1">#REF!</definedName>
    <definedName name="EngineC_C1">#REF!</definedName>
    <definedName name="EngineD_C2">#REF!</definedName>
    <definedName name="EngineE_C2">#REF!</definedName>
    <definedName name="EngineF_C3">#REF!</definedName>
    <definedName name="EngineG_C3">#REF!</definedName>
    <definedName name="f" localSheetId="4">'[1]5.66(a)'!$C$49:$I$49</definedName>
    <definedName name="f">FireEngDispCostOptimization!$C$49:$I$49</definedName>
    <definedName name="fir1e1" localSheetId="4">'[1]5.66(a)'!$C$44:$C$50</definedName>
    <definedName name="fir1e1">FireEngDispCostOptimization!$C$44:$C$50</definedName>
    <definedName name="fir1e2" localSheetId="4">'[1]5.66(a)'!$D$44:$D$50</definedName>
    <definedName name="fir1e2">FireEngDispCostOptimization!$D$44:$D$50</definedName>
    <definedName name="fir1e3" localSheetId="4">'[1]5.66(a)'!$G$44:$G$50</definedName>
    <definedName name="fir1e3">FireEngDispCostOptimization!$G$44:$G$50</definedName>
    <definedName name="fir2e1" localSheetId="4">'[1]5.66(a)'!$E$44:$E$50</definedName>
    <definedName name="fir2e1">FireEngDispCostOptimization!$E$44:$E$50</definedName>
    <definedName name="fir2e2" localSheetId="4">'[1]5.66(a)'!$F$44:$F$50</definedName>
    <definedName name="fir2e2">FireEngDispCostOptimization!$F$44:$F$50</definedName>
    <definedName name="fir2e3" localSheetId="4">'[1]5.66(a)'!$H$44:$H$50</definedName>
    <definedName name="fir2e3">FireEngDispCostOptimization!$H$44:$H$50</definedName>
    <definedName name="fir3e3" localSheetId="4">'[1]5.66(a)'!$I$44:$I$50</definedName>
    <definedName name="fir3e3">FireEngDispCostOptimization!$I$44:$I$50</definedName>
    <definedName name="Fire" localSheetId="4">'[1]5.66(a)'!#REF!</definedName>
    <definedName name="Fire">FireEngDispCostOptimization!#REF!</definedName>
    <definedName name="Fire__sub">FireEngDispCostOptimization!$N$30:$N$36</definedName>
    <definedName name="Fire1">#REF!</definedName>
    <definedName name="Fire2">#REF!</definedName>
    <definedName name="Fire3">#REF!</definedName>
    <definedName name="firelocation" localSheetId="4">'[1]5.66(a)'!$C$4:$E$4</definedName>
    <definedName name="firelocation">FireEngDispCostOptimization!$C$4:$E$4</definedName>
    <definedName name="firematrix" localSheetId="4">'[1]5.66(a)'!#REF!</definedName>
    <definedName name="firematrix">FireEngDispCostOptimization!#REF!</definedName>
    <definedName name="g" localSheetId="4">'[1]5.66(a)'!$C$50:$I$50</definedName>
    <definedName name="g">FireEngDispCostOptimization!$C$50:$I$50</definedName>
    <definedName name="InputValues" localSheetId="6">'5.70(b.Sensitivity)'!$A$5:$A$8</definedName>
    <definedName name="InputValues" localSheetId="10">'5.79 (Sensitivity Analysis)'!$A$5:$A$12</definedName>
    <definedName name="InputValues1" localSheetId="2">'5.58 (Sensitivty Analysis)'!$A$5:$A$22</definedName>
    <definedName name="InputValues1" localSheetId="4">'5.66(Additional)'!$A$5:$A$11</definedName>
    <definedName name="InputValues2" localSheetId="2">'5.58 (Sensitivty Analysis)'!$B$4:$S$4</definedName>
    <definedName name="InputValues2" localSheetId="4">'5.66(Additional)'!$B$4:$H$4</definedName>
    <definedName name="job_assignment_matrix" localSheetId="4">'[1]5.70(a)'!$B$29:$P$38</definedName>
    <definedName name="job_assignment_matrix" localSheetId="3">'[1]5.70(a)'!$B$29:$P$38</definedName>
    <definedName name="job_assignment_matrix">AllJobsCompleteTimeMinimize!$B$29:$P$38</definedName>
    <definedName name="jobs_1" localSheetId="4">'[1]5.70(a)'!$B$29:$P$29</definedName>
    <definedName name="jobs_1" localSheetId="3">'[1]5.70(a)'!$B$29:$P$29</definedName>
    <definedName name="jobs_1">AllJobsCompleteTimeMinimize!$B$29:$P$29</definedName>
    <definedName name="jobs_10" localSheetId="4">'[1]5.70(a)'!$B$38:$P$38</definedName>
    <definedName name="jobs_10" localSheetId="3">'[1]5.70(a)'!$B$38:$P$38</definedName>
    <definedName name="jobs_10">AllJobsCompleteTimeMinimize!$B$38:$P$38</definedName>
    <definedName name="jobs_2" localSheetId="4">'[1]5.70(a)'!$B$30:$P$30</definedName>
    <definedName name="jobs_2" localSheetId="3">'[1]5.70(a)'!$B$30:$P$30</definedName>
    <definedName name="jobs_2">AllJobsCompleteTimeMinimize!$B$30:$P$30</definedName>
    <definedName name="jobs_3" localSheetId="4">'[1]5.70(a)'!$B$31:$P$31</definedName>
    <definedName name="jobs_3" localSheetId="3">'[1]5.70(a)'!$B$31:$P$31</definedName>
    <definedName name="jobs_3">AllJobsCompleteTimeMinimize!$B$31:$P$31</definedName>
    <definedName name="jobs_4" localSheetId="4">'[1]5.70(a)'!$B$32:$P$32</definedName>
    <definedName name="jobs_4" localSheetId="3">'[1]5.70(a)'!$B$32:$P$32</definedName>
    <definedName name="jobs_4">AllJobsCompleteTimeMinimize!$B$32:$P$32</definedName>
    <definedName name="jobs_5" localSheetId="4">'[1]5.70(a)'!$B$33:$P$33</definedName>
    <definedName name="jobs_5" localSheetId="3">'[1]5.70(a)'!$B$33:$P$33</definedName>
    <definedName name="jobs_5">AllJobsCompleteTimeMinimize!$B$33:$P$33</definedName>
    <definedName name="jobs_6" localSheetId="4">'[1]5.70(a)'!$B$34:$P$34</definedName>
    <definedName name="jobs_6" localSheetId="3">'[1]5.70(a)'!$B$34:$P$34</definedName>
    <definedName name="jobs_6">AllJobsCompleteTimeMinimize!$B$34:$P$34</definedName>
    <definedName name="jobs_7" localSheetId="4">'[1]5.70(a)'!$B$35:$P$35</definedName>
    <definedName name="jobs_7" localSheetId="3">'[1]5.70(a)'!$B$35:$P$35</definedName>
    <definedName name="jobs_7">AllJobsCompleteTimeMinimize!$B$35:$P$35</definedName>
    <definedName name="jobs_8" localSheetId="4">'[1]5.70(a)'!$B$36:$P$36</definedName>
    <definedName name="jobs_8" localSheetId="3">'[1]5.70(a)'!$B$36:$P$36</definedName>
    <definedName name="jobs_8">AllJobsCompleteTimeMinimize!$B$36:$P$36</definedName>
    <definedName name="jobs_9" localSheetId="4">'[1]5.70(a)'!$B$37:$P$37</definedName>
    <definedName name="jobs_9" localSheetId="3">'[1]5.70(a)'!$B$37:$P$37</definedName>
    <definedName name="jobs_9">AllJobsCompleteTimeMinimize!$B$37:$P$37</definedName>
    <definedName name="Max_Cap">#REF!</definedName>
    <definedName name="Maximum_employee_that_can_be_assigned_to_one_job" localSheetId="4">'[1]5.70(a)'!$K$45</definedName>
    <definedName name="Maximum_employee_that_can_be_assigned_to_one_job" localSheetId="3">'[1]5.70(a)'!$K$45</definedName>
    <definedName name="Maximum_employee_that_can_be_assigned_to_one_job">AllJobsCompleteTimeMinimize!$K$45</definedName>
    <definedName name="Maximum_jobs_assigned_per_person" localSheetId="4">'[1]5.70(a)'!$F$45</definedName>
    <definedName name="Maximum_jobs_assigned_per_person" localSheetId="3">'[1]5.70(a)'!$F$45</definedName>
    <definedName name="Maximum_jobs_assigned_per_person">AllJobsCompleteTimeMinimize!$F$45</definedName>
    <definedName name="Maximum_mapping_capacity">#REF!</definedName>
    <definedName name="Min_jobs__assigned_to__one_person" localSheetId="4">'[1]5.70(a)'!$B$45</definedName>
    <definedName name="Min_jobs__assigned_to__one_person" localSheetId="3">'[1]5.70(a)'!$B$45</definedName>
    <definedName name="Min_jobs__assigned_to__one_person">AllJobsCompleteTimeMinimize!$B$45</definedName>
    <definedName name="Min_value" localSheetId="4">'[1]5.79'!$C$34</definedName>
    <definedName name="Min_value" localSheetId="3">'[1]5.79'!$C$34</definedName>
    <definedName name="Min_value">SupplyCostOptimization!$C$34</definedName>
    <definedName name="napkin_order_matrix">SupplyCostOptimization!$B$22:$D$25</definedName>
    <definedName name="New_Napkins__bought" localSheetId="4">'[1]5.79'!$B$22:$B$25</definedName>
    <definedName name="New_Napkins__bought" localSheetId="3">'[1]5.79'!$B$22:$B$25</definedName>
    <definedName name="New_Napkins__bought">SupplyCostOptimization!$B$22:$B$25</definedName>
    <definedName name="No_of__napkins_slow_serviced" localSheetId="4">'[1]5.79'!$D$22:$D$25</definedName>
    <definedName name="No_of__napkins_slow_serviced" localSheetId="3">'[1]5.79'!$D$22:$D$25</definedName>
    <definedName name="No_of__napkins_slow_serviced">SupplyCostOptimization!$D$22:$D$25</definedName>
    <definedName name="No_of_employee_working_on_Job">AllJobsCompleteTimeMinimize!$I$45:$I$59</definedName>
    <definedName name="no_of_fast_services_napkins_day1">SupplyCostOptimization!$C$22</definedName>
    <definedName name="No_of_jobs_assigned_to_employee" localSheetId="4">'[1]5.70(a)'!$D$45:$D$54</definedName>
    <definedName name="No_of_jobs_assigned_to_employee" localSheetId="3">'[1]5.70(a)'!$D$45:$D$54</definedName>
    <definedName name="No_of_jobs_assigned_to_employee">AllJobsCompleteTimeMinimize!$D$45:$D$54</definedName>
    <definedName name="No_of_Napkins__fast__serviced" localSheetId="4">'[1]5.79'!$C$22:$C$25</definedName>
    <definedName name="No_of_Napkins__fast__serviced" localSheetId="3">'[1]5.79'!$C$22:$C$25</definedName>
    <definedName name="No_of_Napkins__fast__serviced">SupplyCostOptimization!$C$22:$C$25</definedName>
    <definedName name="no_of_slow_serviced_napkins_day1">SupplyCostOptimization!$D$22</definedName>
    <definedName name="no_of_slow_serviced_napkins_day2">SupplyCostOptimization!$D$23</definedName>
    <definedName name="OutputAddresses" localSheetId="2">'5.58 (Sensitivty Analysis)'!$AZ$2</definedName>
    <definedName name="OutputAddresses" localSheetId="4">'5.66(Additional)'!$AZ$2</definedName>
    <definedName name="OutputAddresses" localSheetId="6">'5.70(b.Sensitivity)'!$B$4</definedName>
    <definedName name="OutputAddresses" localSheetId="10">'5.79 (Sensitivity Analysis)'!$B$4</definedName>
    <definedName name="OutputValues" localSheetId="6">'5.70(b.Sensitivity)'!$B$5:$B$8</definedName>
    <definedName name="OutputValues" localSheetId="10">'5.79 (Sensitivity Analysis)'!$B$5:$B$12</definedName>
    <definedName name="OutputValues_1" localSheetId="2">'5.58 (Sensitivty Analysis)'!$B$5:$S$22</definedName>
    <definedName name="OutputValues_1" localSheetId="4">'5.66(Additional)'!$B$5:$H$11</definedName>
    <definedName name="Production_capacity_boston" localSheetId="1">'5.58 (b)'!$B$8</definedName>
    <definedName name="Production_capacity_boston">'5.58 (a)'!$B$8</definedName>
    <definedName name="Production_capacity_charlotte" localSheetId="1">'5.58 (b)'!$B$9</definedName>
    <definedName name="Production_capacity_charlotte">'5.58 (a)'!$B$9</definedName>
    <definedName name="Production_cost_boston" localSheetId="1">'5.58 (b)'!$B$15</definedName>
    <definedName name="Production_cost_boston">'5.58 (a)'!$B$15</definedName>
    <definedName name="Production_cost_Charlotte" localSheetId="1">'5.58 (b)'!$B$16</definedName>
    <definedName name="Production_cost_Charlotte">'5.58 (a)'!$B$16</definedName>
    <definedName name="Production_in_Boston" localSheetId="1">'5.58 (b)'!$B$25</definedName>
    <definedName name="Production_in_Boston">'5.58 (a)'!$B$25</definedName>
    <definedName name="Production_in_Charlotte" localSheetId="1">'5.58 (b)'!$B$26</definedName>
    <definedName name="Production_in_Charlotte">'5.58 (a)'!$B$26</definedName>
    <definedName name="Qty_Shipped" localSheetId="1">'5.58 (b)'!$C$30:$C$40</definedName>
    <definedName name="Qty_Shipped">'5.58 (a)'!$C$30:$C$40</definedName>
    <definedName name="solver_adj" localSheetId="0" hidden="1">'5.58 (a)'!$B$25:$B$26,'5.58 (a)'!$C$30:$C$40</definedName>
    <definedName name="solver_adj" localSheetId="1" hidden="1">'5.58 (b)'!$B$25:$B$26,'5.58 (b)'!$C$30:$C$40</definedName>
    <definedName name="solver_adj" localSheetId="5" hidden="1">AllJobsCompleteTimeMinimize!$B$29:$P$38</definedName>
    <definedName name="solver_adj" localSheetId="3" hidden="1">FireEngDispCostOptimization!$C$44:$I$50</definedName>
    <definedName name="solver_adj" localSheetId="7" hidden="1">SupplyCostOptimization!$B$22:$D$25</definedName>
    <definedName name="solver_cvg" localSheetId="0" hidden="1">0.0001</definedName>
    <definedName name="solver_cvg" localSheetId="1" hidden="1">0.0001</definedName>
    <definedName name="solver_cvg" localSheetId="5" hidden="1">0.0001</definedName>
    <definedName name="solver_cvg" localSheetId="3" hidden="1">0.0001</definedName>
    <definedName name="solver_cvg" localSheetId="7" hidden="1">0.0001</definedName>
    <definedName name="solver_drv" localSheetId="0" hidden="1">1</definedName>
    <definedName name="solver_drv" localSheetId="1" hidden="1">1</definedName>
    <definedName name="solver_drv" localSheetId="5" hidden="1">1</definedName>
    <definedName name="solver_drv" localSheetId="3" hidden="1">1</definedName>
    <definedName name="solver_drv" localSheetId="7" hidden="1">2</definedName>
    <definedName name="solver_eng" localSheetId="0" hidden="1">2</definedName>
    <definedName name="solver_eng" localSheetId="1" hidden="1">2</definedName>
    <definedName name="solver_eng" localSheetId="5" hidden="1">2</definedName>
    <definedName name="solver_eng" localSheetId="3" hidden="1">2</definedName>
    <definedName name="solver_eng" localSheetId="7" hidden="1">2</definedName>
    <definedName name="solver_est" localSheetId="0" hidden="1">1</definedName>
    <definedName name="solver_est" localSheetId="1" hidden="1">1</definedName>
    <definedName name="solver_est" localSheetId="5" hidden="1">1</definedName>
    <definedName name="solver_est" localSheetId="3" hidden="1">1</definedName>
    <definedName name="solver_est" localSheetId="7" hidden="1">1</definedName>
    <definedName name="solver_itr" localSheetId="0" hidden="1">2147483647</definedName>
    <definedName name="solver_itr" localSheetId="1" hidden="1">2147483647</definedName>
    <definedName name="solver_itr" localSheetId="5" hidden="1">2147483647</definedName>
    <definedName name="solver_itr" localSheetId="3" hidden="1">2147483647</definedName>
    <definedName name="solver_itr" localSheetId="7" hidden="1">2147483647</definedName>
    <definedName name="solver_lhs1" localSheetId="0" hidden="1">'5.58 (a)'!$B$25:$B$26</definedName>
    <definedName name="solver_lhs1" localSheetId="1" hidden="1">'5.58 (b)'!$B$25:$B$26</definedName>
    <definedName name="solver_lhs1" localSheetId="5" hidden="1">AllJobsCompleteTimeMinimize!$I$45:$I$59</definedName>
    <definedName name="solver_lhs1" localSheetId="3" hidden="1">FireEngDispCostOptimization!$C$51:$I$51</definedName>
    <definedName name="solver_lhs1" localSheetId="7" hidden="1">SupplyCostOptimization!$F$22:$F$25</definedName>
    <definedName name="solver_lhs2" localSheetId="0" hidden="1">'5.58 (a)'!$B$45:$B$46</definedName>
    <definedName name="solver_lhs2" localSheetId="1" hidden="1">'5.58 (b)'!$B$45:$B$46</definedName>
    <definedName name="solver_lhs2" localSheetId="5" hidden="1">AllJobsCompleteTimeMinimize!$D$45:$D$54</definedName>
    <definedName name="solver_lhs2" localSheetId="3" hidden="1">FireEngDispCostOptimization!$J$44:$J$50</definedName>
    <definedName name="solver_lhs2" localSheetId="7" hidden="1">SupplyCostOptimization!$A$34:$A$36</definedName>
    <definedName name="solver_lhs3" localSheetId="0" hidden="1">'5.58 (a)'!$B$49:$B$51</definedName>
    <definedName name="solver_lhs3" localSheetId="1" hidden="1">'5.58 (b)'!$B$49:$B$51</definedName>
    <definedName name="solver_lhs3" localSheetId="5" hidden="1">AllJobsCompleteTimeMinimize!$D$45:$D$54</definedName>
    <definedName name="solver_lhs3" localSheetId="3" hidden="1">FireEngDispCostOptimization!$C$44:$I$50</definedName>
    <definedName name="solver_lhs3" localSheetId="7" hidden="1">SupplyCostOptimization!$C$22</definedName>
    <definedName name="solver_lhs4" localSheetId="0" hidden="1">'5.58 (a)'!$B$54</definedName>
    <definedName name="solver_lhs4" localSheetId="1" hidden="1">'5.58 (b)'!$B$54</definedName>
    <definedName name="solver_lhs4" localSheetId="5" hidden="1">AllJobsCompleteTimeMinimize!$J$91:$J$105</definedName>
    <definedName name="solver_lhs4" localSheetId="3" hidden="1">FireEngDispCostOptimization!$C$44:$I$50</definedName>
    <definedName name="solver_lhs4" localSheetId="7" hidden="1">SupplyCostOptimization!$D$22</definedName>
    <definedName name="solver_lhs5" localSheetId="1" hidden="1">'5.58 (b)'!$C$30:$C$40</definedName>
    <definedName name="solver_lhs5" localSheetId="7" hidden="1">SupplyCostOptimization!$D$23</definedName>
    <definedName name="solver_mip" localSheetId="0" hidden="1">2147483647</definedName>
    <definedName name="solver_mip" localSheetId="1" hidden="1">2147483647</definedName>
    <definedName name="solver_mip" localSheetId="5" hidden="1">2147483647</definedName>
    <definedName name="solver_mip" localSheetId="3" hidden="1">2147483647</definedName>
    <definedName name="solver_mip" localSheetId="7" hidden="1">2147483647</definedName>
    <definedName name="solver_mni" localSheetId="0" hidden="1">30</definedName>
    <definedName name="solver_mni" localSheetId="1" hidden="1">30</definedName>
    <definedName name="solver_mni" localSheetId="5" hidden="1">30</definedName>
    <definedName name="solver_mni" localSheetId="3" hidden="1">30</definedName>
    <definedName name="solver_mni" localSheetId="7" hidden="1">30</definedName>
    <definedName name="solver_mrt" localSheetId="0" hidden="1">0.075</definedName>
    <definedName name="solver_mrt" localSheetId="1" hidden="1">0.075</definedName>
    <definedName name="solver_mrt" localSheetId="5" hidden="1">0.075</definedName>
    <definedName name="solver_mrt" localSheetId="3" hidden="1">0.075</definedName>
    <definedName name="solver_mrt" localSheetId="7" hidden="1">0.075</definedName>
    <definedName name="solver_msl" localSheetId="0" hidden="1">2</definedName>
    <definedName name="solver_msl" localSheetId="1" hidden="1">2</definedName>
    <definedName name="solver_msl" localSheetId="5" hidden="1">2</definedName>
    <definedName name="solver_msl" localSheetId="3" hidden="1">2</definedName>
    <definedName name="solver_msl" localSheetId="7" hidden="1">2</definedName>
    <definedName name="solver_neg" localSheetId="0" hidden="1">1</definedName>
    <definedName name="solver_neg" localSheetId="1" hidden="1">1</definedName>
    <definedName name="solver_neg" localSheetId="5" hidden="1">1</definedName>
    <definedName name="solver_neg" localSheetId="3" hidden="1">1</definedName>
    <definedName name="solver_neg" localSheetId="7" hidden="1">1</definedName>
    <definedName name="solver_nod" localSheetId="0" hidden="1">2147483647</definedName>
    <definedName name="solver_nod" localSheetId="1" hidden="1">2147483647</definedName>
    <definedName name="solver_nod" localSheetId="5" hidden="1">2147483647</definedName>
    <definedName name="solver_nod" localSheetId="3" hidden="1">2147483647</definedName>
    <definedName name="solver_nod" localSheetId="7" hidden="1">2147483647</definedName>
    <definedName name="solver_num" localSheetId="0" hidden="1">4</definedName>
    <definedName name="solver_num" localSheetId="1" hidden="1">5</definedName>
    <definedName name="solver_num" localSheetId="5" hidden="1">3</definedName>
    <definedName name="solver_num" localSheetId="3" hidden="1">4</definedName>
    <definedName name="solver_num" localSheetId="7" hidden="1">5</definedName>
    <definedName name="solver_nwt" localSheetId="0" hidden="1">1</definedName>
    <definedName name="solver_nwt" localSheetId="1" hidden="1">1</definedName>
    <definedName name="solver_nwt" localSheetId="5" hidden="1">1</definedName>
    <definedName name="solver_nwt" localSheetId="3" hidden="1">1</definedName>
    <definedName name="solver_nwt" localSheetId="7" hidden="1">1</definedName>
    <definedName name="solver_opt" localSheetId="0" hidden="1">'5.58 (a)'!$B$42</definedName>
    <definedName name="solver_opt" localSheetId="1" hidden="1">'5.58 (b)'!$B$42</definedName>
    <definedName name="solver_opt" localSheetId="5" hidden="1">AllJobsCompleteTimeMinimize!$B$41</definedName>
    <definedName name="solver_opt" localSheetId="3" hidden="1">FireEngDispCostOptimization!$L$38</definedName>
    <definedName name="solver_opt" localSheetId="7" hidden="1">SupplyCostOptimization!$B$29</definedName>
    <definedName name="solver_pre" localSheetId="0" hidden="1">0.000001</definedName>
    <definedName name="solver_pre" localSheetId="1" hidden="1">0.000001</definedName>
    <definedName name="solver_pre" localSheetId="5" hidden="1">0.000001</definedName>
    <definedName name="solver_pre" localSheetId="3" hidden="1">0.000001</definedName>
    <definedName name="solver_pre" localSheetId="7" hidden="1">0.000001</definedName>
    <definedName name="solver_rbv" localSheetId="0" hidden="1">1</definedName>
    <definedName name="solver_rbv" localSheetId="1" hidden="1">1</definedName>
    <definedName name="solver_rbv" localSheetId="5" hidden="1">1</definedName>
    <definedName name="solver_rbv" localSheetId="3" hidden="1">1</definedName>
    <definedName name="solver_rbv" localSheetId="7" hidden="1">2</definedName>
    <definedName name="solver_rel1" localSheetId="0" hidden="1">1</definedName>
    <definedName name="solver_rel1" localSheetId="1" hidden="1">1</definedName>
    <definedName name="solver_rel1" localSheetId="5" hidden="1">2</definedName>
    <definedName name="solver_rel1" localSheetId="3" hidden="1">2</definedName>
    <definedName name="solver_rel1" localSheetId="7" hidden="1">3</definedName>
    <definedName name="solver_rel2" localSheetId="0" hidden="1">3</definedName>
    <definedName name="solver_rel2" localSheetId="1" hidden="1">3</definedName>
    <definedName name="solver_rel2" localSheetId="5" hidden="1">1</definedName>
    <definedName name="solver_rel2" localSheetId="3" hidden="1">2</definedName>
    <definedName name="solver_rel2" localSheetId="7" hidden="1">3</definedName>
    <definedName name="solver_rel3" localSheetId="0" hidden="1">3</definedName>
    <definedName name="solver_rel3" localSheetId="1" hidden="1">3</definedName>
    <definedName name="solver_rel3" localSheetId="5" hidden="1">3</definedName>
    <definedName name="solver_rel3" localSheetId="3" hidden="1">1</definedName>
    <definedName name="solver_rel3" localSheetId="7" hidden="1">2</definedName>
    <definedName name="solver_rel4" localSheetId="0" hidden="1">3</definedName>
    <definedName name="solver_rel4" localSheetId="1" hidden="1">3</definedName>
    <definedName name="solver_rel4" localSheetId="5" hidden="1">2</definedName>
    <definedName name="solver_rel4" localSheetId="3" hidden="1">3</definedName>
    <definedName name="solver_rel4" localSheetId="7" hidden="1">2</definedName>
    <definedName name="solver_rel5" localSheetId="1" hidden="1">1</definedName>
    <definedName name="solver_rel5" localSheetId="7" hidden="1">2</definedName>
    <definedName name="solver_rhs1" localSheetId="0" hidden="1">'5.58 (a)'!$D$25:$D$26</definedName>
    <definedName name="solver_rhs1" localSheetId="1" hidden="1">'5.58 (b)'!$D$25:$D$26</definedName>
    <definedName name="solver_rhs1" localSheetId="5" hidden="1">Maximum_employee_that_can_be_assigned_to_one_job</definedName>
    <definedName name="solver_rhs1" localSheetId="3" hidden="1">FireEngDispCostOptimization!$C$53:$I$53</definedName>
    <definedName name="solver_rhs1" localSheetId="7" hidden="1">Demand</definedName>
    <definedName name="solver_rhs2" localSheetId="0" hidden="1">'5.58 (a)'!$D$45:$D$46</definedName>
    <definedName name="solver_rhs2" localSheetId="1" hidden="1">'5.58 (b)'!$D$45:$D$46</definedName>
    <definedName name="solver_rhs2" localSheetId="5" hidden="1">Maximum_jobs_assigned_per_person</definedName>
    <definedName name="solver_rhs2" localSheetId="3" hidden="1">FireEngDispCostOptimization!$L$44:$L$50</definedName>
    <definedName name="solver_rhs2" localSheetId="7" hidden="1">Min_value</definedName>
    <definedName name="solver_rhs3" localSheetId="0" hidden="1">'5.58 (a)'!$D$49:$D$51</definedName>
    <definedName name="solver_rhs3" localSheetId="1" hidden="1">'5.58 (b)'!$D$49:$D$51</definedName>
    <definedName name="solver_rhs3" localSheetId="5" hidden="1">Min_jobs__assigned_to__one_person</definedName>
    <definedName name="solver_rhs3" localSheetId="3" hidden="1">1</definedName>
    <definedName name="solver_rhs3" localSheetId="7" hidden="1">0</definedName>
    <definedName name="solver_rhs4" localSheetId="0" hidden="1">'5.58 (a)'!$D$54</definedName>
    <definedName name="solver_rhs4" localSheetId="1" hidden="1">'5.58 (b)'!$D$54</definedName>
    <definedName name="solver_rhs4" localSheetId="5" hidden="1">MaxPeopleNotWorkingOnAJob</definedName>
    <definedName name="solver_rhs4" localSheetId="3" hidden="1">0</definedName>
    <definedName name="solver_rhs4" localSheetId="7" hidden="1">0</definedName>
    <definedName name="solver_rhs5" localSheetId="1" hidden="1">'5.58 (b)'!$E$30:$E$40</definedName>
    <definedName name="solver_rhs5" localSheetId="7" hidden="1">0</definedName>
    <definedName name="solver_rlx" localSheetId="0" hidden="1">2</definedName>
    <definedName name="solver_rlx" localSheetId="1" hidden="1">2</definedName>
    <definedName name="solver_rlx" localSheetId="5" hidden="1">2</definedName>
    <definedName name="solver_rlx" localSheetId="3" hidden="1">2</definedName>
    <definedName name="solver_rlx" localSheetId="7" hidden="1">2</definedName>
    <definedName name="solver_rsd" localSheetId="0" hidden="1">0</definedName>
    <definedName name="solver_rsd" localSheetId="1" hidden="1">0</definedName>
    <definedName name="solver_rsd" localSheetId="5" hidden="1">0</definedName>
    <definedName name="solver_rsd" localSheetId="3" hidden="1">0</definedName>
    <definedName name="solver_rsd" localSheetId="7" hidden="1">0</definedName>
    <definedName name="solver_scl" localSheetId="0" hidden="1">1</definedName>
    <definedName name="solver_scl" localSheetId="1" hidden="1">1</definedName>
    <definedName name="solver_scl" localSheetId="5" hidden="1">1</definedName>
    <definedName name="solver_scl" localSheetId="3" hidden="1">1</definedName>
    <definedName name="solver_scl" localSheetId="7" hidden="1">2</definedName>
    <definedName name="solver_sho" localSheetId="0" hidden="1">2</definedName>
    <definedName name="solver_sho" localSheetId="1" hidden="1">2</definedName>
    <definedName name="solver_sho" localSheetId="5" hidden="1">2</definedName>
    <definedName name="solver_sho" localSheetId="3" hidden="1">2</definedName>
    <definedName name="solver_sho" localSheetId="7" hidden="1">2</definedName>
    <definedName name="solver_ssz" localSheetId="0" hidden="1">100</definedName>
    <definedName name="solver_ssz" localSheetId="1" hidden="1">100</definedName>
    <definedName name="solver_ssz" localSheetId="5" hidden="1">100</definedName>
    <definedName name="solver_ssz" localSheetId="3" hidden="1">100</definedName>
    <definedName name="solver_ssz" localSheetId="7" hidden="1">100</definedName>
    <definedName name="solver_tim" localSheetId="0" hidden="1">2147483647</definedName>
    <definedName name="solver_tim" localSheetId="1" hidden="1">2147483647</definedName>
    <definedName name="solver_tim" localSheetId="5" hidden="1">2147483647</definedName>
    <definedName name="solver_tim" localSheetId="3" hidden="1">2147483647</definedName>
    <definedName name="solver_tim" localSheetId="7" hidden="1">2147483647</definedName>
    <definedName name="solver_tol" localSheetId="0" hidden="1">0.01</definedName>
    <definedName name="solver_tol" localSheetId="1" hidden="1">0.01</definedName>
    <definedName name="solver_tol" localSheetId="5" hidden="1">0.01</definedName>
    <definedName name="solver_tol" localSheetId="3" hidden="1">0.01</definedName>
    <definedName name="solver_tol" localSheetId="7" hidden="1">0.01</definedName>
    <definedName name="solver_typ" localSheetId="0" hidden="1">2</definedName>
    <definedName name="solver_typ" localSheetId="1" hidden="1">2</definedName>
    <definedName name="solver_typ" localSheetId="5" hidden="1">2</definedName>
    <definedName name="solver_typ" localSheetId="3" hidden="1">2</definedName>
    <definedName name="solver_typ" localSheetId="7" hidden="1">2</definedName>
    <definedName name="solver_val" localSheetId="0" hidden="1">0</definedName>
    <definedName name="solver_val" localSheetId="1" hidden="1">0</definedName>
    <definedName name="solver_val" localSheetId="5" hidden="1">0</definedName>
    <definedName name="solver_val" localSheetId="3" hidden="1">0</definedName>
    <definedName name="solver_val" localSheetId="7" hidden="1">0</definedName>
    <definedName name="solver_ver" localSheetId="0" hidden="1">3</definedName>
    <definedName name="solver_ver" localSheetId="1" hidden="1">3</definedName>
    <definedName name="solver_ver" localSheetId="5" hidden="1">3</definedName>
    <definedName name="solver_ver" localSheetId="3" hidden="1">3</definedName>
    <definedName name="solver_ver" localSheetId="7" hidden="1">3</definedName>
    <definedName name="Supply" localSheetId="3">FireEngDispCostOptimization!$L$44:$L$50</definedName>
    <definedName name="Supply">#REF!</definedName>
    <definedName name="time_matrix" localSheetId="4">'[1]5.70(a)'!$B$6:$P$15</definedName>
    <definedName name="time_matrix" localSheetId="3">'[1]5.70(a)'!$B$6:$P$15</definedName>
    <definedName name="time_matrix">AllJobsCompleteTimeMinimize!$B$6:$P$15</definedName>
    <definedName name="timematrix" localSheetId="4">'[1]5.66(a)'!$C$5:$E$7</definedName>
    <definedName name="timematrix">FireEngDispCostOptimization!$C$5:$E$7</definedName>
    <definedName name="To">#REF!</definedName>
    <definedName name="Total">SupplyCostOptimization!$F$22:$F$25</definedName>
    <definedName name="Total___of_napkins" localSheetId="4">'[1]5.79'!$B$26:$D$26</definedName>
    <definedName name="Total___of_napkins" localSheetId="3">'[1]5.79'!$B$26:$D$26</definedName>
    <definedName name="Total___of_napkins">SupplyCostOptimization!$B$26:$D$26</definedName>
    <definedName name="Total__Dispatch__Cost">FireEngDispCostOptimization!$L$38</definedName>
    <definedName name="Total_capacity">#REF!</definedName>
    <definedName name="Total_cost_of_meeting_demand">SupplyCostOptimization!$B$29</definedName>
    <definedName name="Total_engines_assigned__to_location">#REF!</definedName>
    <definedName name="Total_final_cost">#REF!</definedName>
    <definedName name="Total_Time">AllJobsCompleteTimeMinimize!$B$41</definedName>
    <definedName name="Total1">FireEngDispCostOptimization!$C$51:$I$51</definedName>
    <definedName name="Total2">FireEngDispCostOptimization!$J$44:$J$50</definedName>
    <definedName name="Transhipment_Constraints_on_napkins">SupplyCostOptimization!$A$34:$A$36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0" i="11" l="1"/>
  <c r="G30" i="13"/>
  <c r="D54" i="13"/>
  <c r="B54" i="13"/>
  <c r="D51" i="13"/>
  <c r="B51" i="13"/>
  <c r="D50" i="13"/>
  <c r="B50" i="13"/>
  <c r="D49" i="13"/>
  <c r="B49" i="13"/>
  <c r="D46" i="13"/>
  <c r="B46" i="13"/>
  <c r="D45" i="13"/>
  <c r="B45" i="13"/>
  <c r="F40" i="13"/>
  <c r="G40" i="13" s="1"/>
  <c r="F39" i="13"/>
  <c r="G39" i="13" s="1"/>
  <c r="F38" i="13"/>
  <c r="G38" i="13" s="1"/>
  <c r="F37" i="13"/>
  <c r="G37" i="13" s="1"/>
  <c r="F36" i="13"/>
  <c r="G36" i="13" s="1"/>
  <c r="F35" i="13"/>
  <c r="G35" i="13" s="1"/>
  <c r="F34" i="13"/>
  <c r="G34" i="13" s="1"/>
  <c r="F33" i="13"/>
  <c r="G33" i="13" s="1"/>
  <c r="F32" i="13"/>
  <c r="G32" i="13" s="1"/>
  <c r="F31" i="13"/>
  <c r="G31" i="13" s="1"/>
  <c r="F30" i="13"/>
  <c r="D26" i="13"/>
  <c r="D25" i="13"/>
  <c r="Q4" i="12"/>
  <c r="N4" i="12"/>
  <c r="N5" i="12" s="1"/>
  <c r="M4" i="12"/>
  <c r="J4" i="12"/>
  <c r="J5" i="12" s="1"/>
  <c r="O1" i="12"/>
  <c r="K1" i="12"/>
  <c r="I51" i="11"/>
  <c r="H51" i="11"/>
  <c r="G51" i="11"/>
  <c r="F51" i="11"/>
  <c r="E51" i="11"/>
  <c r="D51" i="11"/>
  <c r="C51" i="11"/>
  <c r="J50" i="11"/>
  <c r="J49" i="11"/>
  <c r="J48" i="11"/>
  <c r="J47" i="11"/>
  <c r="J46" i="11"/>
  <c r="J45" i="11"/>
  <c r="J44" i="11"/>
  <c r="I36" i="11"/>
  <c r="H36" i="11"/>
  <c r="G36" i="11"/>
  <c r="F36" i="11"/>
  <c r="E36" i="11"/>
  <c r="D36" i="11"/>
  <c r="C36" i="11"/>
  <c r="I35" i="11"/>
  <c r="H35" i="11"/>
  <c r="G35" i="11"/>
  <c r="F35" i="11"/>
  <c r="E35" i="11"/>
  <c r="D35" i="11"/>
  <c r="C35" i="11"/>
  <c r="I34" i="11"/>
  <c r="H34" i="11"/>
  <c r="G34" i="11"/>
  <c r="F34" i="11"/>
  <c r="E34" i="11"/>
  <c r="D34" i="11"/>
  <c r="C34" i="11"/>
  <c r="I33" i="11"/>
  <c r="H33" i="11"/>
  <c r="G33" i="11"/>
  <c r="F33" i="11"/>
  <c r="E33" i="11"/>
  <c r="D33" i="11"/>
  <c r="C33" i="11"/>
  <c r="I32" i="11"/>
  <c r="H32" i="11"/>
  <c r="G32" i="11"/>
  <c r="F32" i="11"/>
  <c r="E32" i="11"/>
  <c r="D32" i="11"/>
  <c r="C32" i="11"/>
  <c r="I31" i="11"/>
  <c r="H31" i="11"/>
  <c r="G31" i="11"/>
  <c r="F31" i="11"/>
  <c r="E31" i="11"/>
  <c r="D31" i="11"/>
  <c r="C31" i="11"/>
  <c r="I30" i="11"/>
  <c r="H30" i="11"/>
  <c r="G30" i="11"/>
  <c r="F30" i="11"/>
  <c r="D30" i="11"/>
  <c r="C30" i="11"/>
  <c r="O10" i="12"/>
  <c r="B42" i="13" l="1"/>
  <c r="L38" i="11"/>
  <c r="AA4" i="10"/>
  <c r="X4" i="10"/>
  <c r="X5" i="10" s="1"/>
  <c r="W4" i="10"/>
  <c r="T4" i="10"/>
  <c r="T5" i="10" s="1"/>
  <c r="Y1" i="10"/>
  <c r="U1" i="10"/>
  <c r="D54" i="9"/>
  <c r="B54" i="9"/>
  <c r="D51" i="9"/>
  <c r="B51" i="9"/>
  <c r="D50" i="9"/>
  <c r="B50" i="9"/>
  <c r="D49" i="9"/>
  <c r="B49" i="9"/>
  <c r="D46" i="9"/>
  <c r="B46" i="9"/>
  <c r="D45" i="9"/>
  <c r="B45" i="9"/>
  <c r="E40" i="9"/>
  <c r="D40" i="9"/>
  <c r="E39" i="9"/>
  <c r="D39" i="9"/>
  <c r="E38" i="9"/>
  <c r="D38" i="9"/>
  <c r="D37" i="9"/>
  <c r="E37" i="9" s="1"/>
  <c r="D36" i="9"/>
  <c r="E36" i="9" s="1"/>
  <c r="D35" i="9"/>
  <c r="E35" i="9" s="1"/>
  <c r="E34" i="9"/>
  <c r="D34" i="9"/>
  <c r="E33" i="9"/>
  <c r="D33" i="9"/>
  <c r="E32" i="9"/>
  <c r="D32" i="9"/>
  <c r="D31" i="9"/>
  <c r="E31" i="9" s="1"/>
  <c r="D30" i="9"/>
  <c r="E30" i="9" s="1"/>
  <c r="B42" i="9" s="1"/>
  <c r="D26" i="9"/>
  <c r="D25" i="9"/>
  <c r="K1" i="8"/>
  <c r="J4" i="8"/>
  <c r="K10" i="8" s="1"/>
  <c r="D27" i="4"/>
  <c r="C27" i="4"/>
  <c r="B27" i="4"/>
  <c r="A36" i="4"/>
  <c r="A35" i="4"/>
  <c r="A34" i="4"/>
  <c r="E23" i="4"/>
  <c r="E22" i="4"/>
  <c r="F22" i="4"/>
  <c r="E24" i="4"/>
  <c r="E25" i="4"/>
  <c r="D26" i="4"/>
  <c r="C26" i="4"/>
  <c r="B26" i="4"/>
  <c r="F23" i="4"/>
  <c r="F24" i="4"/>
  <c r="F25" i="4"/>
  <c r="K1" i="6"/>
  <c r="J4" i="6"/>
  <c r="K8" i="6" s="1"/>
  <c r="B41" i="3"/>
  <c r="I59" i="3"/>
  <c r="I58" i="3"/>
  <c r="I57" i="3"/>
  <c r="I56" i="3"/>
  <c r="I55" i="3"/>
  <c r="I54" i="3"/>
  <c r="I53" i="3"/>
  <c r="I52" i="3"/>
  <c r="I51" i="3"/>
  <c r="I50" i="3"/>
  <c r="I49" i="3"/>
  <c r="I48" i="3"/>
  <c r="I47" i="3"/>
  <c r="I46" i="3"/>
  <c r="I45" i="3"/>
  <c r="D54" i="3"/>
  <c r="D53" i="3"/>
  <c r="D52" i="3"/>
  <c r="D51" i="3"/>
  <c r="D50" i="3"/>
  <c r="D49" i="3"/>
  <c r="D48" i="3"/>
  <c r="D47" i="3"/>
  <c r="D46" i="3"/>
  <c r="D45" i="3"/>
  <c r="O11" i="12"/>
  <c r="O6" i="12"/>
  <c r="O8" i="12"/>
  <c r="K7" i="12"/>
  <c r="K6" i="12"/>
  <c r="O7" i="12"/>
  <c r="Y22" i="10"/>
  <c r="K11" i="12"/>
  <c r="K5" i="12"/>
  <c r="O9" i="12"/>
  <c r="K8" i="12"/>
  <c r="K10" i="12"/>
  <c r="K9" i="12"/>
  <c r="O5" i="12"/>
  <c r="K11" i="8" l="1"/>
  <c r="K5" i="6"/>
  <c r="K12" i="8"/>
  <c r="K5" i="8"/>
  <c r="K6" i="8"/>
  <c r="K6" i="6"/>
  <c r="K7" i="8"/>
  <c r="K7" i="6"/>
  <c r="K8" i="8"/>
  <c r="K9" i="8"/>
  <c r="B29" i="4"/>
  <c r="C57" i="3"/>
  <c r="U6" i="10"/>
  <c r="Y19" i="10"/>
  <c r="U14" i="10"/>
  <c r="U12" i="10"/>
  <c r="Y20" i="10"/>
  <c r="U19" i="10"/>
  <c r="U22" i="10"/>
  <c r="U8" i="10"/>
  <c r="Y10" i="10"/>
  <c r="Y18" i="10"/>
  <c r="Y12" i="10"/>
  <c r="U21" i="10"/>
  <c r="U13" i="10"/>
  <c r="U17" i="10"/>
  <c r="U9" i="10"/>
  <c r="Y14" i="10"/>
  <c r="U10" i="10"/>
  <c r="Y7" i="10"/>
  <c r="U15" i="10"/>
  <c r="U5" i="10"/>
  <c r="Y9" i="10"/>
  <c r="Y8" i="10"/>
  <c r="U7" i="10"/>
  <c r="U18" i="10"/>
  <c r="Y5" i="10"/>
  <c r="Y16" i="10"/>
  <c r="Y11" i="10"/>
  <c r="Y13" i="10"/>
  <c r="U20" i="10"/>
  <c r="Y21" i="10"/>
  <c r="Y17" i="10"/>
  <c r="Y6" i="10"/>
  <c r="Y15" i="10"/>
  <c r="U11" i="10"/>
  <c r="U1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Zubair Porbunderwala</author>
  </authors>
  <commentList>
    <comment ref="B5" authorId="0" shapeId="0" xr:uid="{0D797D03-375B-432F-BCAB-C0E10E8A47F2}">
      <text>
        <r>
          <rPr>
            <sz val="9"/>
            <color indexed="81"/>
            <rFont val="Tahoma"/>
            <family val="2"/>
          </rPr>
          <t>Solver found a solution. All constraints and optimality conditions are satisfied.</t>
        </r>
      </text>
    </comment>
    <comment ref="C5" authorId="0" shapeId="0" xr:uid="{932778AE-A654-42F1-A632-4EF6A624FAE9}">
      <text>
        <r>
          <rPr>
            <sz val="9"/>
            <color indexed="81"/>
            <rFont val="Tahoma"/>
            <family val="2"/>
          </rPr>
          <t>Solver found a solution. All constraints and optimality conditions are satisfied.</t>
        </r>
      </text>
    </comment>
    <comment ref="D5" authorId="0" shapeId="0" xr:uid="{96BA9267-8BC5-4C34-AAD5-FBE66BCE13D6}">
      <text>
        <r>
          <rPr>
            <sz val="9"/>
            <color indexed="81"/>
            <rFont val="Tahoma"/>
            <family val="2"/>
          </rPr>
          <t>Solver found a solution. All constraints and optimality conditions are satisfied.</t>
        </r>
      </text>
    </comment>
    <comment ref="E5" authorId="0" shapeId="0" xr:uid="{E251EF3B-812A-49E2-912F-5669BD222463}">
      <text>
        <r>
          <rPr>
            <sz val="9"/>
            <color indexed="81"/>
            <rFont val="Tahoma"/>
            <family val="2"/>
          </rPr>
          <t>Solver found a solution. All constraints and optimality conditions are satisfied.</t>
        </r>
      </text>
    </comment>
    <comment ref="F5" authorId="0" shapeId="0" xr:uid="{5527E1E6-8442-4DCD-9577-015F3CA02E52}">
      <text>
        <r>
          <rPr>
            <sz val="9"/>
            <color indexed="81"/>
            <rFont val="Tahoma"/>
            <family val="2"/>
          </rPr>
          <t>Solver found a solution. All constraints and optimality conditions are satisfied.</t>
        </r>
      </text>
    </comment>
    <comment ref="G5" authorId="0" shapeId="0" xr:uid="{CC7F6F79-4117-4441-9B9E-4C4BE5FB367C}">
      <text>
        <r>
          <rPr>
            <sz val="9"/>
            <color indexed="81"/>
            <rFont val="Tahoma"/>
            <family val="2"/>
          </rPr>
          <t>Solver found a solution. All constraints and optimality conditions are satisfied.</t>
        </r>
      </text>
    </comment>
    <comment ref="H5" authorId="0" shapeId="0" xr:uid="{503D51D5-CDD0-41A5-B491-3F9E62305E5D}">
      <text>
        <r>
          <rPr>
            <sz val="9"/>
            <color indexed="81"/>
            <rFont val="Tahoma"/>
            <family val="2"/>
          </rPr>
          <t>Solver found a solution. All constraints and optimality conditions are satisfied.</t>
        </r>
      </text>
    </comment>
    <comment ref="I5" authorId="0" shapeId="0" xr:uid="{FD8510FE-30A1-4B30-B1BA-25547DA4ADCE}">
      <text>
        <r>
          <rPr>
            <sz val="9"/>
            <color indexed="81"/>
            <rFont val="Tahoma"/>
            <family val="2"/>
          </rPr>
          <t>Solver found a solution. All constraints and optimality conditions are satisfied.</t>
        </r>
      </text>
    </comment>
    <comment ref="J5" authorId="0" shapeId="0" xr:uid="{3A2693B6-AF4C-40CF-9A45-017C661788EE}">
      <text>
        <r>
          <rPr>
            <sz val="9"/>
            <color indexed="81"/>
            <rFont val="Tahoma"/>
            <family val="2"/>
          </rPr>
          <t>Solver found a solution. All constraints and optimality conditions are satisfied.</t>
        </r>
      </text>
    </comment>
    <comment ref="K5" authorId="0" shapeId="0" xr:uid="{BF8355AA-D0CA-4B17-A32E-95DBC2EC212E}">
      <text>
        <r>
          <rPr>
            <sz val="9"/>
            <color indexed="81"/>
            <rFont val="Tahoma"/>
            <family val="2"/>
          </rPr>
          <t>Solver found a solution. All constraints and optimality conditions are satisfied.</t>
        </r>
      </text>
    </comment>
    <comment ref="L5" authorId="0" shapeId="0" xr:uid="{DFB2F35E-0122-440F-B14D-001EF2515E68}">
      <text>
        <r>
          <rPr>
            <sz val="9"/>
            <color indexed="81"/>
            <rFont val="Tahoma"/>
            <family val="2"/>
          </rPr>
          <t>Solver found a solution. All constraints and optimality conditions are satisfied.</t>
        </r>
      </text>
    </comment>
    <comment ref="M5" authorId="0" shapeId="0" xr:uid="{7A35DF24-8677-477C-B006-E2C8BDEAF73D}">
      <text>
        <r>
          <rPr>
            <sz val="9"/>
            <color indexed="81"/>
            <rFont val="Tahoma"/>
            <family val="2"/>
          </rPr>
          <t>Solver found a solution. All constraints and optimality conditions are satisfied.</t>
        </r>
      </text>
    </comment>
    <comment ref="N5" authorId="0" shapeId="0" xr:uid="{97BF928C-77A9-44AA-8123-BC21B3184262}">
      <text>
        <r>
          <rPr>
            <sz val="9"/>
            <color indexed="81"/>
            <rFont val="Tahoma"/>
            <family val="2"/>
          </rPr>
          <t>Solver found a solution. All constraints and optimality conditions are satisfied.</t>
        </r>
      </text>
    </comment>
    <comment ref="O5" authorId="0" shapeId="0" xr:uid="{FB67632D-8D4F-49F3-BADB-A13723F3AD13}">
      <text>
        <r>
          <rPr>
            <sz val="9"/>
            <color indexed="81"/>
            <rFont val="Tahoma"/>
            <family val="2"/>
          </rPr>
          <t>Solver found a solution. All constraints and optimality conditions are satisfied.</t>
        </r>
      </text>
    </comment>
    <comment ref="P5" authorId="0" shapeId="0" xr:uid="{D7F7E0EB-33CF-4A01-BA91-F5A3A593A041}">
      <text>
        <r>
          <rPr>
            <sz val="9"/>
            <color indexed="81"/>
            <rFont val="Tahoma"/>
            <family val="2"/>
          </rPr>
          <t>Solver found a solution. All constraints and optimality conditions are satisfied.</t>
        </r>
      </text>
    </comment>
    <comment ref="Q5" authorId="0" shapeId="0" xr:uid="{065344BD-EEE6-49FF-B49C-B7CD39139A49}">
      <text>
        <r>
          <rPr>
            <sz val="9"/>
            <color indexed="81"/>
            <rFont val="Tahoma"/>
            <family val="2"/>
          </rPr>
          <t>Solver found a solution. All constraints and optimality conditions are satisfied.</t>
        </r>
      </text>
    </comment>
    <comment ref="R5" authorId="0" shapeId="0" xr:uid="{611593F0-2B3F-4E10-ABCB-BC337B94CDE0}">
      <text>
        <r>
          <rPr>
            <sz val="9"/>
            <color indexed="81"/>
            <rFont val="Tahoma"/>
            <family val="2"/>
          </rPr>
          <t>Solver found a solution. All constraints and optimality conditions are satisfied.</t>
        </r>
      </text>
    </comment>
    <comment ref="S5" authorId="0" shapeId="0" xr:uid="{AA5C1E9C-D95D-428A-ADFA-21F5F350B505}">
      <text>
        <r>
          <rPr>
            <sz val="9"/>
            <color indexed="81"/>
            <rFont val="Tahoma"/>
            <family val="2"/>
          </rPr>
          <t>Solver found a solution. All constraints and optimality conditions are satisfied.</t>
        </r>
      </text>
    </comment>
    <comment ref="B6" authorId="0" shapeId="0" xr:uid="{C758F34D-CA1C-43ED-A098-0B23C0CBD527}">
      <text>
        <r>
          <rPr>
            <sz val="9"/>
            <color indexed="81"/>
            <rFont val="Tahoma"/>
            <family val="2"/>
          </rPr>
          <t>Solver found a solution. All constraints and optimality conditions are satisfied.</t>
        </r>
      </text>
    </comment>
    <comment ref="C6" authorId="0" shapeId="0" xr:uid="{EA560113-0C3F-44D3-8D12-48023138F4BD}">
      <text>
        <r>
          <rPr>
            <sz val="9"/>
            <color indexed="81"/>
            <rFont val="Tahoma"/>
            <family val="2"/>
          </rPr>
          <t>Solver found a solution. All constraints and optimality conditions are satisfied.</t>
        </r>
      </text>
    </comment>
    <comment ref="D6" authorId="0" shapeId="0" xr:uid="{F14AC5D2-FC3B-4BCF-AAB9-AADF9CF4E712}">
      <text>
        <r>
          <rPr>
            <sz val="9"/>
            <color indexed="81"/>
            <rFont val="Tahoma"/>
            <family val="2"/>
          </rPr>
          <t>Solver found a solution. All constraints and optimality conditions are satisfied.</t>
        </r>
      </text>
    </comment>
    <comment ref="E6" authorId="0" shapeId="0" xr:uid="{F5A54CF9-906A-4AAE-B0E2-F2A140FED7B8}">
      <text>
        <r>
          <rPr>
            <sz val="9"/>
            <color indexed="81"/>
            <rFont val="Tahoma"/>
            <family val="2"/>
          </rPr>
          <t>Solver found a solution. All constraints and optimality conditions are satisfied.</t>
        </r>
      </text>
    </comment>
    <comment ref="F6" authorId="0" shapeId="0" xr:uid="{B4BFFA93-BFF8-47B7-B560-75AE8D62D346}">
      <text>
        <r>
          <rPr>
            <sz val="9"/>
            <color indexed="81"/>
            <rFont val="Tahoma"/>
            <family val="2"/>
          </rPr>
          <t>Solver found a solution. All constraints and optimality conditions are satisfied.</t>
        </r>
      </text>
    </comment>
    <comment ref="G6" authorId="0" shapeId="0" xr:uid="{9E492639-BE4C-42C9-BB16-7E58AF91F930}">
      <text>
        <r>
          <rPr>
            <sz val="9"/>
            <color indexed="81"/>
            <rFont val="Tahoma"/>
            <family val="2"/>
          </rPr>
          <t>Solver found a solution. All constraints and optimality conditions are satisfied.</t>
        </r>
      </text>
    </comment>
    <comment ref="H6" authorId="0" shapeId="0" xr:uid="{B84D51A2-0878-4A24-838F-6986CC195345}">
      <text>
        <r>
          <rPr>
            <sz val="9"/>
            <color indexed="81"/>
            <rFont val="Tahoma"/>
            <family val="2"/>
          </rPr>
          <t>Solver found a solution. All constraints and optimality conditions are satisfied.</t>
        </r>
      </text>
    </comment>
    <comment ref="I6" authorId="0" shapeId="0" xr:uid="{117F43AF-D961-4760-8B6D-BF2D6D237EE1}">
      <text>
        <r>
          <rPr>
            <sz val="9"/>
            <color indexed="81"/>
            <rFont val="Tahoma"/>
            <family val="2"/>
          </rPr>
          <t>Solver found a solution. All constraints and optimality conditions are satisfied.</t>
        </r>
      </text>
    </comment>
    <comment ref="J6" authorId="0" shapeId="0" xr:uid="{78B4EF7D-02B2-4290-9324-A9FF033AA34B}">
      <text>
        <r>
          <rPr>
            <sz val="9"/>
            <color indexed="81"/>
            <rFont val="Tahoma"/>
            <family val="2"/>
          </rPr>
          <t>Solver found a solution. All constraints and optimality conditions are satisfied.</t>
        </r>
      </text>
    </comment>
    <comment ref="K6" authorId="0" shapeId="0" xr:uid="{B1461FD7-1AE4-4834-BBBA-828B37F5D203}">
      <text>
        <r>
          <rPr>
            <sz val="9"/>
            <color indexed="81"/>
            <rFont val="Tahoma"/>
            <family val="2"/>
          </rPr>
          <t>Solver found a solution. All constraints and optimality conditions are satisfied.</t>
        </r>
      </text>
    </comment>
    <comment ref="L6" authorId="0" shapeId="0" xr:uid="{E0E1F0E1-3D02-4342-BEB8-7C7E408E49FF}">
      <text>
        <r>
          <rPr>
            <sz val="9"/>
            <color indexed="81"/>
            <rFont val="Tahoma"/>
            <family val="2"/>
          </rPr>
          <t>Solver found a solution. All constraints and optimality conditions are satisfied.</t>
        </r>
      </text>
    </comment>
    <comment ref="M6" authorId="0" shapeId="0" xr:uid="{CFB31776-E86E-4F58-B007-9B0CF58F9042}">
      <text>
        <r>
          <rPr>
            <sz val="9"/>
            <color indexed="81"/>
            <rFont val="Tahoma"/>
            <family val="2"/>
          </rPr>
          <t>Solver found a solution. All constraints and optimality conditions are satisfied.</t>
        </r>
      </text>
    </comment>
    <comment ref="N6" authorId="0" shapeId="0" xr:uid="{E1AA4344-A966-46DC-8F98-4437B091CED0}">
      <text>
        <r>
          <rPr>
            <sz val="9"/>
            <color indexed="81"/>
            <rFont val="Tahoma"/>
            <family val="2"/>
          </rPr>
          <t>Solver found a solution. All constraints and optimality conditions are satisfied.</t>
        </r>
      </text>
    </comment>
    <comment ref="O6" authorId="0" shapeId="0" xr:uid="{022189F6-1CC5-4D7B-9965-11573E7CE4C3}">
      <text>
        <r>
          <rPr>
            <sz val="9"/>
            <color indexed="81"/>
            <rFont val="Tahoma"/>
            <family val="2"/>
          </rPr>
          <t>Solver found a solution. All constraints and optimality conditions are satisfied.</t>
        </r>
      </text>
    </comment>
    <comment ref="P6" authorId="0" shapeId="0" xr:uid="{42AD5DF6-40C9-4C36-A98B-7FF2990A2F3B}">
      <text>
        <r>
          <rPr>
            <sz val="9"/>
            <color indexed="81"/>
            <rFont val="Tahoma"/>
            <family val="2"/>
          </rPr>
          <t>Solver found a solution. All constraints and optimality conditions are satisfied.</t>
        </r>
      </text>
    </comment>
    <comment ref="Q6" authorId="0" shapeId="0" xr:uid="{F7DA168E-F4B6-4E13-87E8-C80ED3518753}">
      <text>
        <r>
          <rPr>
            <sz val="9"/>
            <color indexed="81"/>
            <rFont val="Tahoma"/>
            <family val="2"/>
          </rPr>
          <t>Solver found a solution. All constraints and optimality conditions are satisfied.</t>
        </r>
      </text>
    </comment>
    <comment ref="R6" authorId="0" shapeId="0" xr:uid="{620F96B7-E74B-4459-8CF1-4584ACB066D5}">
      <text>
        <r>
          <rPr>
            <sz val="9"/>
            <color indexed="81"/>
            <rFont val="Tahoma"/>
            <family val="2"/>
          </rPr>
          <t>Solver found a solution. All constraints and optimality conditions are satisfied.</t>
        </r>
      </text>
    </comment>
    <comment ref="S6" authorId="0" shapeId="0" xr:uid="{D6302B4D-AB21-4F02-B2A2-7B9C7DD013F8}">
      <text>
        <r>
          <rPr>
            <sz val="9"/>
            <color indexed="81"/>
            <rFont val="Tahoma"/>
            <family val="2"/>
          </rPr>
          <t>Solver found a solution. All constraints and optimality conditions are satisfied.</t>
        </r>
      </text>
    </comment>
    <comment ref="B7" authorId="0" shapeId="0" xr:uid="{4BA4EC7C-5660-4172-A517-10B3CB73EDE5}">
      <text>
        <r>
          <rPr>
            <sz val="9"/>
            <color indexed="81"/>
            <rFont val="Tahoma"/>
            <family val="2"/>
          </rPr>
          <t>Solver found a solution. All constraints and optimality conditions are satisfied.</t>
        </r>
      </text>
    </comment>
    <comment ref="C7" authorId="0" shapeId="0" xr:uid="{2E068949-CFB9-42E6-9151-2DE8867C53AA}">
      <text>
        <r>
          <rPr>
            <sz val="9"/>
            <color indexed="81"/>
            <rFont val="Tahoma"/>
            <family val="2"/>
          </rPr>
          <t>Solver found a solution. All constraints and optimality conditions are satisfied.</t>
        </r>
      </text>
    </comment>
    <comment ref="D7" authorId="0" shapeId="0" xr:uid="{5BA787BB-2E41-4004-86F6-A0E9D1D35C30}">
      <text>
        <r>
          <rPr>
            <sz val="9"/>
            <color indexed="81"/>
            <rFont val="Tahoma"/>
            <family val="2"/>
          </rPr>
          <t>Solver found a solution. All constraints and optimality conditions are satisfied.</t>
        </r>
      </text>
    </comment>
    <comment ref="E7" authorId="0" shapeId="0" xr:uid="{7DDB5007-167E-4EC3-A7EB-C75F84B82692}">
      <text>
        <r>
          <rPr>
            <sz val="9"/>
            <color indexed="81"/>
            <rFont val="Tahoma"/>
            <family val="2"/>
          </rPr>
          <t>Solver found a solution. All constraints and optimality conditions are satisfied.</t>
        </r>
      </text>
    </comment>
    <comment ref="F7" authorId="0" shapeId="0" xr:uid="{1A7AC74F-9DC7-4BF3-A8F9-6FB882444E6A}">
      <text>
        <r>
          <rPr>
            <sz val="9"/>
            <color indexed="81"/>
            <rFont val="Tahoma"/>
            <family val="2"/>
          </rPr>
          <t>Solver found a solution. All constraints and optimality conditions are satisfied.</t>
        </r>
      </text>
    </comment>
    <comment ref="G7" authorId="0" shapeId="0" xr:uid="{4FD4B571-0295-4D21-903B-DB0DD4250C48}">
      <text>
        <r>
          <rPr>
            <sz val="9"/>
            <color indexed="81"/>
            <rFont val="Tahoma"/>
            <family val="2"/>
          </rPr>
          <t>Solver found a solution. All constraints and optimality conditions are satisfied.</t>
        </r>
      </text>
    </comment>
    <comment ref="H7" authorId="0" shapeId="0" xr:uid="{B3BDE369-AFB8-417E-BBCD-C56A4C9BE180}">
      <text>
        <r>
          <rPr>
            <sz val="9"/>
            <color indexed="81"/>
            <rFont val="Tahoma"/>
            <family val="2"/>
          </rPr>
          <t>Solver found a solution. All constraints and optimality conditions are satisfied.</t>
        </r>
      </text>
    </comment>
    <comment ref="I7" authorId="0" shapeId="0" xr:uid="{FD97D2F0-D67F-4C39-BDAC-A80852EFFD98}">
      <text>
        <r>
          <rPr>
            <sz val="9"/>
            <color indexed="81"/>
            <rFont val="Tahoma"/>
            <family val="2"/>
          </rPr>
          <t>Solver found a solution. All constraints and optimality conditions are satisfied.</t>
        </r>
      </text>
    </comment>
    <comment ref="J7" authorId="0" shapeId="0" xr:uid="{BAE60A56-6D24-4DDE-8EA2-A102ADED93E4}">
      <text>
        <r>
          <rPr>
            <sz val="9"/>
            <color indexed="81"/>
            <rFont val="Tahoma"/>
            <family val="2"/>
          </rPr>
          <t>Solver found a solution. All constraints and optimality conditions are satisfied.</t>
        </r>
      </text>
    </comment>
    <comment ref="K7" authorId="0" shapeId="0" xr:uid="{0CA43C64-7049-4098-BEDF-2840661E1741}">
      <text>
        <r>
          <rPr>
            <sz val="9"/>
            <color indexed="81"/>
            <rFont val="Tahoma"/>
            <family val="2"/>
          </rPr>
          <t>Solver found a solution. All constraints and optimality conditions are satisfied.</t>
        </r>
      </text>
    </comment>
    <comment ref="L7" authorId="0" shapeId="0" xr:uid="{BCDAA0A5-93F8-4E01-B87B-B6846451006E}">
      <text>
        <r>
          <rPr>
            <sz val="9"/>
            <color indexed="81"/>
            <rFont val="Tahoma"/>
            <family val="2"/>
          </rPr>
          <t>Solver found a solution. All constraints and optimality conditions are satisfied.</t>
        </r>
      </text>
    </comment>
    <comment ref="M7" authorId="0" shapeId="0" xr:uid="{E130381C-875A-41BA-B1C2-10B05FF69444}">
      <text>
        <r>
          <rPr>
            <sz val="9"/>
            <color indexed="81"/>
            <rFont val="Tahoma"/>
            <family val="2"/>
          </rPr>
          <t>Solver found a solution. All constraints and optimality conditions are satisfied.</t>
        </r>
      </text>
    </comment>
    <comment ref="N7" authorId="0" shapeId="0" xr:uid="{CFE9EA3A-2754-461C-B054-C87CB3FDDFC8}">
      <text>
        <r>
          <rPr>
            <sz val="9"/>
            <color indexed="81"/>
            <rFont val="Tahoma"/>
            <family val="2"/>
          </rPr>
          <t>Solver found a solution. All constraints and optimality conditions are satisfied.</t>
        </r>
      </text>
    </comment>
    <comment ref="O7" authorId="0" shapeId="0" xr:uid="{06F6FF28-6AEB-441B-8DAD-8D07DD75CA15}">
      <text>
        <r>
          <rPr>
            <sz val="9"/>
            <color indexed="81"/>
            <rFont val="Tahoma"/>
            <family val="2"/>
          </rPr>
          <t>Solver found a solution. All constraints and optimality conditions are satisfied.</t>
        </r>
      </text>
    </comment>
    <comment ref="P7" authorId="0" shapeId="0" xr:uid="{36E4CABA-9027-4E6C-A2F7-2DE7DE06105C}">
      <text>
        <r>
          <rPr>
            <sz val="9"/>
            <color indexed="81"/>
            <rFont val="Tahoma"/>
            <family val="2"/>
          </rPr>
          <t>Solver found a solution. All constraints and optimality conditions are satisfied.</t>
        </r>
      </text>
    </comment>
    <comment ref="Q7" authorId="0" shapeId="0" xr:uid="{C2A21882-08B7-496C-9AC0-06E72134B625}">
      <text>
        <r>
          <rPr>
            <sz val="9"/>
            <color indexed="81"/>
            <rFont val="Tahoma"/>
            <family val="2"/>
          </rPr>
          <t>Solver found a solution. All constraints and optimality conditions are satisfied.</t>
        </r>
      </text>
    </comment>
    <comment ref="R7" authorId="0" shapeId="0" xr:uid="{4B745DE1-D562-45EA-8E97-31D8994E070D}">
      <text>
        <r>
          <rPr>
            <sz val="9"/>
            <color indexed="81"/>
            <rFont val="Tahoma"/>
            <family val="2"/>
          </rPr>
          <t>Solver found a solution. All constraints and optimality conditions are satisfied.</t>
        </r>
      </text>
    </comment>
    <comment ref="S7" authorId="0" shapeId="0" xr:uid="{F35F753E-B558-4313-B009-2CE2DD3B1FF3}">
      <text>
        <r>
          <rPr>
            <sz val="9"/>
            <color indexed="81"/>
            <rFont val="Tahoma"/>
            <family val="2"/>
          </rPr>
          <t>Solver found a solution. All constraints and optimality conditions are satisfied.</t>
        </r>
      </text>
    </comment>
    <comment ref="B8" authorId="0" shapeId="0" xr:uid="{5A1153F3-0913-4EE4-BCBB-9B19225FE742}">
      <text>
        <r>
          <rPr>
            <sz val="9"/>
            <color indexed="81"/>
            <rFont val="Tahoma"/>
            <family val="2"/>
          </rPr>
          <t>Solver found a solution. All constraints and optimality conditions are satisfied.</t>
        </r>
      </text>
    </comment>
    <comment ref="C8" authorId="0" shapeId="0" xr:uid="{8FB4A713-484A-4CBC-BC83-BAA21F6BC3AC}">
      <text>
        <r>
          <rPr>
            <sz val="9"/>
            <color indexed="81"/>
            <rFont val="Tahoma"/>
            <family val="2"/>
          </rPr>
          <t>Solver found a solution. All constraints and optimality conditions are satisfied.</t>
        </r>
      </text>
    </comment>
    <comment ref="D8" authorId="0" shapeId="0" xr:uid="{70D71A27-39C0-4679-944D-F58438A8A1C7}">
      <text>
        <r>
          <rPr>
            <sz val="9"/>
            <color indexed="81"/>
            <rFont val="Tahoma"/>
            <family val="2"/>
          </rPr>
          <t>Solver found a solution. All constraints and optimality conditions are satisfied.</t>
        </r>
      </text>
    </comment>
    <comment ref="E8" authorId="0" shapeId="0" xr:uid="{9AE2CB8B-90CD-4C0C-9B67-6A82F44CE8E5}">
      <text>
        <r>
          <rPr>
            <sz val="9"/>
            <color indexed="81"/>
            <rFont val="Tahoma"/>
            <family val="2"/>
          </rPr>
          <t>Solver found a solution. All constraints and optimality conditions are satisfied.</t>
        </r>
      </text>
    </comment>
    <comment ref="F8" authorId="0" shapeId="0" xr:uid="{F3FD4A8F-A862-47EE-9789-364D54542376}">
      <text>
        <r>
          <rPr>
            <sz val="9"/>
            <color indexed="81"/>
            <rFont val="Tahoma"/>
            <family val="2"/>
          </rPr>
          <t>Solver found a solution. All constraints and optimality conditions are satisfied.</t>
        </r>
      </text>
    </comment>
    <comment ref="G8" authorId="0" shapeId="0" xr:uid="{7C7D4E2D-DFF8-42BF-87CE-F0244FBB7D5D}">
      <text>
        <r>
          <rPr>
            <sz val="9"/>
            <color indexed="81"/>
            <rFont val="Tahoma"/>
            <family val="2"/>
          </rPr>
          <t>Solver found a solution. All constraints and optimality conditions are satisfied.</t>
        </r>
      </text>
    </comment>
    <comment ref="H8" authorId="0" shapeId="0" xr:uid="{33A78F8F-431B-4966-97FF-AC94DE6497E0}">
      <text>
        <r>
          <rPr>
            <sz val="9"/>
            <color indexed="81"/>
            <rFont val="Tahoma"/>
            <family val="2"/>
          </rPr>
          <t>Solver found a solution. All constraints and optimality conditions are satisfied.</t>
        </r>
      </text>
    </comment>
    <comment ref="I8" authorId="0" shapeId="0" xr:uid="{AAFF49C7-506A-4388-B875-4A9F66CC087E}">
      <text>
        <r>
          <rPr>
            <sz val="9"/>
            <color indexed="81"/>
            <rFont val="Tahoma"/>
            <family val="2"/>
          </rPr>
          <t>Solver found a solution. All constraints and optimality conditions are satisfied.</t>
        </r>
      </text>
    </comment>
    <comment ref="J8" authorId="0" shapeId="0" xr:uid="{DB08DE7E-F326-4304-B1BF-90682FCE2969}">
      <text>
        <r>
          <rPr>
            <sz val="9"/>
            <color indexed="81"/>
            <rFont val="Tahoma"/>
            <family val="2"/>
          </rPr>
          <t>Solver found a solution. All constraints and optimality conditions are satisfied.</t>
        </r>
      </text>
    </comment>
    <comment ref="K8" authorId="0" shapeId="0" xr:uid="{D87B648E-C971-4CE6-BC7B-81A2C58A1E56}">
      <text>
        <r>
          <rPr>
            <sz val="9"/>
            <color indexed="81"/>
            <rFont val="Tahoma"/>
            <family val="2"/>
          </rPr>
          <t>Solver found a solution. All constraints and optimality conditions are satisfied.</t>
        </r>
      </text>
    </comment>
    <comment ref="L8" authorId="0" shapeId="0" xr:uid="{24E0A1F3-742C-4690-96C4-977441A66659}">
      <text>
        <r>
          <rPr>
            <sz val="9"/>
            <color indexed="81"/>
            <rFont val="Tahoma"/>
            <family val="2"/>
          </rPr>
          <t>Solver found a solution. All constraints and optimality conditions are satisfied.</t>
        </r>
      </text>
    </comment>
    <comment ref="M8" authorId="0" shapeId="0" xr:uid="{42A19D3E-205B-455F-9441-3B091AC8E726}">
      <text>
        <r>
          <rPr>
            <sz val="9"/>
            <color indexed="81"/>
            <rFont val="Tahoma"/>
            <family val="2"/>
          </rPr>
          <t>Solver found a solution. All constraints and optimality conditions are satisfied.</t>
        </r>
      </text>
    </comment>
    <comment ref="N8" authorId="0" shapeId="0" xr:uid="{BF8EE8B9-594D-4942-A29C-58FDACED8DEB}">
      <text>
        <r>
          <rPr>
            <sz val="9"/>
            <color indexed="81"/>
            <rFont val="Tahoma"/>
            <family val="2"/>
          </rPr>
          <t>Solver found a solution. All constraints and optimality conditions are satisfied.</t>
        </r>
      </text>
    </comment>
    <comment ref="O8" authorId="0" shapeId="0" xr:uid="{9123542D-668B-45D4-8402-214884BDBA0D}">
      <text>
        <r>
          <rPr>
            <sz val="9"/>
            <color indexed="81"/>
            <rFont val="Tahoma"/>
            <family val="2"/>
          </rPr>
          <t>Solver found a solution. All constraints and optimality conditions are satisfied.</t>
        </r>
      </text>
    </comment>
    <comment ref="P8" authorId="0" shapeId="0" xr:uid="{79FFA31F-FC7D-4FD6-A315-3375EA73FF59}">
      <text>
        <r>
          <rPr>
            <sz val="9"/>
            <color indexed="81"/>
            <rFont val="Tahoma"/>
            <family val="2"/>
          </rPr>
          <t>Solver found a solution. All constraints and optimality conditions are satisfied.</t>
        </r>
      </text>
    </comment>
    <comment ref="Q8" authorId="0" shapeId="0" xr:uid="{0FBAD9A0-D06E-446B-A288-7A40327A1C9A}">
      <text>
        <r>
          <rPr>
            <sz val="9"/>
            <color indexed="81"/>
            <rFont val="Tahoma"/>
            <family val="2"/>
          </rPr>
          <t>Solver found a solution. All constraints and optimality conditions are satisfied.</t>
        </r>
      </text>
    </comment>
    <comment ref="R8" authorId="0" shapeId="0" xr:uid="{C0511A1C-926A-401D-8B05-206515BABC82}">
      <text>
        <r>
          <rPr>
            <sz val="9"/>
            <color indexed="81"/>
            <rFont val="Tahoma"/>
            <family val="2"/>
          </rPr>
          <t>Solver found a solution. All constraints and optimality conditions are satisfied.</t>
        </r>
      </text>
    </comment>
    <comment ref="S8" authorId="0" shapeId="0" xr:uid="{D8050D7A-15E0-4225-BDA0-BD08EED22760}">
      <text>
        <r>
          <rPr>
            <sz val="9"/>
            <color indexed="81"/>
            <rFont val="Tahoma"/>
            <family val="2"/>
          </rPr>
          <t>Solver found a solution. All constraints and optimality conditions are satisfied.</t>
        </r>
      </text>
    </comment>
    <comment ref="B9" authorId="0" shapeId="0" xr:uid="{AABCFEC6-3088-4B0F-8C7F-49FD2CA2B1BE}">
      <text>
        <r>
          <rPr>
            <sz val="9"/>
            <color indexed="81"/>
            <rFont val="Tahoma"/>
            <family val="2"/>
          </rPr>
          <t>Solver found a solution. All constraints and optimality conditions are satisfied.</t>
        </r>
      </text>
    </comment>
    <comment ref="C9" authorId="0" shapeId="0" xr:uid="{F905015E-E8A7-4E33-B4B8-F9328462E0CC}">
      <text>
        <r>
          <rPr>
            <sz val="9"/>
            <color indexed="81"/>
            <rFont val="Tahoma"/>
            <family val="2"/>
          </rPr>
          <t>Solver found a solution. All constraints and optimality conditions are satisfied.</t>
        </r>
      </text>
    </comment>
    <comment ref="D9" authorId="0" shapeId="0" xr:uid="{A288A801-2258-4F01-B915-069A2DB580DE}">
      <text>
        <r>
          <rPr>
            <sz val="9"/>
            <color indexed="81"/>
            <rFont val="Tahoma"/>
            <family val="2"/>
          </rPr>
          <t>Solver found a solution. All constraints and optimality conditions are satisfied.</t>
        </r>
      </text>
    </comment>
    <comment ref="E9" authorId="0" shapeId="0" xr:uid="{171C0665-4EF1-4BCD-8912-CBBE0095D93D}">
      <text>
        <r>
          <rPr>
            <sz val="9"/>
            <color indexed="81"/>
            <rFont val="Tahoma"/>
            <family val="2"/>
          </rPr>
          <t>Solver found a solution. All constraints and optimality conditions are satisfied.</t>
        </r>
      </text>
    </comment>
    <comment ref="F9" authorId="0" shapeId="0" xr:uid="{FE3F468E-A3B4-4CEA-9E10-0591CA45C5FC}">
      <text>
        <r>
          <rPr>
            <sz val="9"/>
            <color indexed="81"/>
            <rFont val="Tahoma"/>
            <family val="2"/>
          </rPr>
          <t>Solver found a solution. All constraints and optimality conditions are satisfied.</t>
        </r>
      </text>
    </comment>
    <comment ref="G9" authorId="0" shapeId="0" xr:uid="{AAC2717C-A1C7-4B68-BB06-0EE66B15FDE9}">
      <text>
        <r>
          <rPr>
            <sz val="9"/>
            <color indexed="81"/>
            <rFont val="Tahoma"/>
            <family val="2"/>
          </rPr>
          <t>Solver found a solution. All constraints and optimality conditions are satisfied.</t>
        </r>
      </text>
    </comment>
    <comment ref="H9" authorId="0" shapeId="0" xr:uid="{1C566813-C125-47FC-A955-37E2E61DCE56}">
      <text>
        <r>
          <rPr>
            <sz val="9"/>
            <color indexed="81"/>
            <rFont val="Tahoma"/>
            <family val="2"/>
          </rPr>
          <t>Solver found a solution. All constraints and optimality conditions are satisfied.</t>
        </r>
      </text>
    </comment>
    <comment ref="I9" authorId="0" shapeId="0" xr:uid="{A8F49993-E77F-4AB7-94CF-1A0EFF560487}">
      <text>
        <r>
          <rPr>
            <sz val="9"/>
            <color indexed="81"/>
            <rFont val="Tahoma"/>
            <family val="2"/>
          </rPr>
          <t>Solver found a solution. All constraints and optimality conditions are satisfied.</t>
        </r>
      </text>
    </comment>
    <comment ref="J9" authorId="0" shapeId="0" xr:uid="{35188913-A82C-4E0D-B4D4-12A00D000E36}">
      <text>
        <r>
          <rPr>
            <sz val="9"/>
            <color indexed="81"/>
            <rFont val="Tahoma"/>
            <family val="2"/>
          </rPr>
          <t>Solver found a solution. All constraints and optimality conditions are satisfied.</t>
        </r>
      </text>
    </comment>
    <comment ref="K9" authorId="0" shapeId="0" xr:uid="{E9324D01-3EF3-4D17-84FE-59283EA9A096}">
      <text>
        <r>
          <rPr>
            <sz val="9"/>
            <color indexed="81"/>
            <rFont val="Tahoma"/>
            <family val="2"/>
          </rPr>
          <t>Solver found a solution. All constraints and optimality conditions are satisfied.</t>
        </r>
      </text>
    </comment>
    <comment ref="L9" authorId="0" shapeId="0" xr:uid="{73264894-BF2D-4E0A-ADD2-7E34E4543607}">
      <text>
        <r>
          <rPr>
            <sz val="9"/>
            <color indexed="81"/>
            <rFont val="Tahoma"/>
            <family val="2"/>
          </rPr>
          <t>Solver found a solution. All constraints and optimality conditions are satisfied.</t>
        </r>
      </text>
    </comment>
    <comment ref="M9" authorId="0" shapeId="0" xr:uid="{0A43F9FF-C196-4A50-870B-BD31D7C414B6}">
      <text>
        <r>
          <rPr>
            <sz val="9"/>
            <color indexed="81"/>
            <rFont val="Tahoma"/>
            <family val="2"/>
          </rPr>
          <t>Solver found a solution. All constraints and optimality conditions are satisfied.</t>
        </r>
      </text>
    </comment>
    <comment ref="N9" authorId="0" shapeId="0" xr:uid="{3CA12CC9-3E99-4D9C-85D0-8F210166C7C6}">
      <text>
        <r>
          <rPr>
            <sz val="9"/>
            <color indexed="81"/>
            <rFont val="Tahoma"/>
            <family val="2"/>
          </rPr>
          <t>Solver found a solution. All constraints and optimality conditions are satisfied.</t>
        </r>
      </text>
    </comment>
    <comment ref="O9" authorId="0" shapeId="0" xr:uid="{5E2BB2CA-320B-440F-935B-CC15E6F27056}">
      <text>
        <r>
          <rPr>
            <sz val="9"/>
            <color indexed="81"/>
            <rFont val="Tahoma"/>
            <family val="2"/>
          </rPr>
          <t>Solver found a solution. All constraints and optimality conditions are satisfied.</t>
        </r>
      </text>
    </comment>
    <comment ref="P9" authorId="0" shapeId="0" xr:uid="{66601B12-0AED-4E9F-8F77-CD8013982BE5}">
      <text>
        <r>
          <rPr>
            <sz val="9"/>
            <color indexed="81"/>
            <rFont val="Tahoma"/>
            <family val="2"/>
          </rPr>
          <t>Solver found a solution. All constraints and optimality conditions are satisfied.</t>
        </r>
      </text>
    </comment>
    <comment ref="Q9" authorId="0" shapeId="0" xr:uid="{2C6DF296-3E82-4FCA-902E-64457DAA839C}">
      <text>
        <r>
          <rPr>
            <sz val="9"/>
            <color indexed="81"/>
            <rFont val="Tahoma"/>
            <family val="2"/>
          </rPr>
          <t>Solver found a solution. All constraints and optimality conditions are satisfied.</t>
        </r>
      </text>
    </comment>
    <comment ref="R9" authorId="0" shapeId="0" xr:uid="{1A38EAC6-CBC1-4B33-930C-E3B87E71302D}">
      <text>
        <r>
          <rPr>
            <sz val="9"/>
            <color indexed="81"/>
            <rFont val="Tahoma"/>
            <family val="2"/>
          </rPr>
          <t>Solver found a solution. All constraints and optimality conditions are satisfied.</t>
        </r>
      </text>
    </comment>
    <comment ref="S9" authorId="0" shapeId="0" xr:uid="{30861907-EB55-499A-B163-57E0F7FBA5C6}">
      <text>
        <r>
          <rPr>
            <sz val="9"/>
            <color indexed="81"/>
            <rFont val="Tahoma"/>
            <family val="2"/>
          </rPr>
          <t>Solver found a solution. All constraints and optimality conditions are satisfied.</t>
        </r>
      </text>
    </comment>
    <comment ref="B10" authorId="0" shapeId="0" xr:uid="{9B028CA4-B164-41D5-ACA9-64FEB76825B2}">
      <text>
        <r>
          <rPr>
            <sz val="9"/>
            <color indexed="81"/>
            <rFont val="Tahoma"/>
            <family val="2"/>
          </rPr>
          <t>Solver found a solution. All constraints and optimality conditions are satisfied.</t>
        </r>
      </text>
    </comment>
    <comment ref="C10" authorId="0" shapeId="0" xr:uid="{CAF70733-C9C9-45C7-8061-19FE118B856A}">
      <text>
        <r>
          <rPr>
            <sz val="9"/>
            <color indexed="81"/>
            <rFont val="Tahoma"/>
            <family val="2"/>
          </rPr>
          <t>Solver found a solution. All constraints and optimality conditions are satisfied.</t>
        </r>
      </text>
    </comment>
    <comment ref="D10" authorId="0" shapeId="0" xr:uid="{17988ECD-0506-44DE-B2B0-7C2A26C957C4}">
      <text>
        <r>
          <rPr>
            <sz val="9"/>
            <color indexed="81"/>
            <rFont val="Tahoma"/>
            <family val="2"/>
          </rPr>
          <t>Solver found a solution. All constraints and optimality conditions are satisfied.</t>
        </r>
      </text>
    </comment>
    <comment ref="E10" authorId="0" shapeId="0" xr:uid="{9CADFD71-75DA-4700-A529-AC5A5F5DFFA7}">
      <text>
        <r>
          <rPr>
            <sz val="9"/>
            <color indexed="81"/>
            <rFont val="Tahoma"/>
            <family val="2"/>
          </rPr>
          <t>Solver found a solution. All constraints and optimality conditions are satisfied.</t>
        </r>
      </text>
    </comment>
    <comment ref="F10" authorId="0" shapeId="0" xr:uid="{A002F837-25AE-444E-81FC-7D6135824E01}">
      <text>
        <r>
          <rPr>
            <sz val="9"/>
            <color indexed="81"/>
            <rFont val="Tahoma"/>
            <family val="2"/>
          </rPr>
          <t>Solver found a solution. All constraints and optimality conditions are satisfied.</t>
        </r>
      </text>
    </comment>
    <comment ref="G10" authorId="0" shapeId="0" xr:uid="{E99B049E-CF42-47E6-9552-8853542C089E}">
      <text>
        <r>
          <rPr>
            <sz val="9"/>
            <color indexed="81"/>
            <rFont val="Tahoma"/>
            <family val="2"/>
          </rPr>
          <t>Solver found a solution. All constraints and optimality conditions are satisfied.</t>
        </r>
      </text>
    </comment>
    <comment ref="H10" authorId="0" shapeId="0" xr:uid="{DF403E85-539D-4D47-A64A-D3698CA27842}">
      <text>
        <r>
          <rPr>
            <sz val="9"/>
            <color indexed="81"/>
            <rFont val="Tahoma"/>
            <family val="2"/>
          </rPr>
          <t>Solver found a solution. All constraints and optimality conditions are satisfied.</t>
        </r>
      </text>
    </comment>
    <comment ref="I10" authorId="0" shapeId="0" xr:uid="{5FC80829-1A3B-41F5-AF9E-FBA57112B918}">
      <text>
        <r>
          <rPr>
            <sz val="9"/>
            <color indexed="81"/>
            <rFont val="Tahoma"/>
            <family val="2"/>
          </rPr>
          <t>Solver found a solution. All constraints and optimality conditions are satisfied.</t>
        </r>
      </text>
    </comment>
    <comment ref="J10" authorId="0" shapeId="0" xr:uid="{E4F6E70A-25F1-4283-BA6B-7F756AF10C26}">
      <text>
        <r>
          <rPr>
            <sz val="9"/>
            <color indexed="81"/>
            <rFont val="Tahoma"/>
            <family val="2"/>
          </rPr>
          <t>Solver found a solution. All constraints and optimality conditions are satisfied.</t>
        </r>
      </text>
    </comment>
    <comment ref="K10" authorId="0" shapeId="0" xr:uid="{27554193-A67E-4093-8CD6-B92EFBF5A397}">
      <text>
        <r>
          <rPr>
            <sz val="9"/>
            <color indexed="81"/>
            <rFont val="Tahoma"/>
            <family val="2"/>
          </rPr>
          <t>Solver found a solution. All constraints and optimality conditions are satisfied.</t>
        </r>
      </text>
    </comment>
    <comment ref="L10" authorId="0" shapeId="0" xr:uid="{8BD3EB30-97BA-47BA-A862-F61CD9DF48EF}">
      <text>
        <r>
          <rPr>
            <sz val="9"/>
            <color indexed="81"/>
            <rFont val="Tahoma"/>
            <family val="2"/>
          </rPr>
          <t>Solver found a solution. All constraints and optimality conditions are satisfied.</t>
        </r>
      </text>
    </comment>
    <comment ref="M10" authorId="0" shapeId="0" xr:uid="{16E3081B-FC9A-443C-96EA-960AEC69A382}">
      <text>
        <r>
          <rPr>
            <sz val="9"/>
            <color indexed="81"/>
            <rFont val="Tahoma"/>
            <family val="2"/>
          </rPr>
          <t>Solver found a solution. All constraints and optimality conditions are satisfied.</t>
        </r>
      </text>
    </comment>
    <comment ref="N10" authorId="0" shapeId="0" xr:uid="{B742B1F1-CD41-4386-944C-186FF9828ED6}">
      <text>
        <r>
          <rPr>
            <sz val="9"/>
            <color indexed="81"/>
            <rFont val="Tahoma"/>
            <family val="2"/>
          </rPr>
          <t>Solver found a solution. All constraints and optimality conditions are satisfied.</t>
        </r>
      </text>
    </comment>
    <comment ref="O10" authorId="0" shapeId="0" xr:uid="{E5DD8962-BFC0-43EA-8E94-1FDD7E2040A5}">
      <text>
        <r>
          <rPr>
            <sz val="9"/>
            <color indexed="81"/>
            <rFont val="Tahoma"/>
            <family val="2"/>
          </rPr>
          <t>Solver found a solution. All constraints and optimality conditions are satisfied.</t>
        </r>
      </text>
    </comment>
    <comment ref="P10" authorId="0" shapeId="0" xr:uid="{2F140755-F839-448D-B606-99AFBC9DD75B}">
      <text>
        <r>
          <rPr>
            <sz val="9"/>
            <color indexed="81"/>
            <rFont val="Tahoma"/>
            <family val="2"/>
          </rPr>
          <t>Solver found a solution. All constraints and optimality conditions are satisfied.</t>
        </r>
      </text>
    </comment>
    <comment ref="Q10" authorId="0" shapeId="0" xr:uid="{DCCAB556-176A-4818-8286-1FA30783B507}">
      <text>
        <r>
          <rPr>
            <sz val="9"/>
            <color indexed="81"/>
            <rFont val="Tahoma"/>
            <family val="2"/>
          </rPr>
          <t>Solver found a solution. All constraints and optimality conditions are satisfied.</t>
        </r>
      </text>
    </comment>
    <comment ref="R10" authorId="0" shapeId="0" xr:uid="{8D965342-BA3B-43D7-9E07-A5507F7B04CF}">
      <text>
        <r>
          <rPr>
            <sz val="9"/>
            <color indexed="81"/>
            <rFont val="Tahoma"/>
            <family val="2"/>
          </rPr>
          <t>Solver found a solution. All constraints and optimality conditions are satisfied.</t>
        </r>
      </text>
    </comment>
    <comment ref="S10" authorId="0" shapeId="0" xr:uid="{A50608ED-F7B5-4E03-8964-DF0CA51649AA}">
      <text>
        <r>
          <rPr>
            <sz val="9"/>
            <color indexed="81"/>
            <rFont val="Tahoma"/>
            <family val="2"/>
          </rPr>
          <t>Solver found a solution. All constraints and optimality conditions are satisfied.</t>
        </r>
      </text>
    </comment>
    <comment ref="B11" authorId="0" shapeId="0" xr:uid="{DC811862-B139-4E0D-BD32-D682ACBC190A}">
      <text>
        <r>
          <rPr>
            <sz val="9"/>
            <color indexed="81"/>
            <rFont val="Tahoma"/>
            <family val="2"/>
          </rPr>
          <t>Solver found a solution. All constraints and optimality conditions are satisfied.</t>
        </r>
      </text>
    </comment>
    <comment ref="C11" authorId="0" shapeId="0" xr:uid="{716E2C43-1960-4C49-9EF3-9E51A2B593FB}">
      <text>
        <r>
          <rPr>
            <sz val="9"/>
            <color indexed="81"/>
            <rFont val="Tahoma"/>
            <family val="2"/>
          </rPr>
          <t>Solver found a solution. All constraints and optimality conditions are satisfied.</t>
        </r>
      </text>
    </comment>
    <comment ref="D11" authorId="0" shapeId="0" xr:uid="{75C645BE-2B67-48D6-9547-48A94DFEF497}">
      <text>
        <r>
          <rPr>
            <sz val="9"/>
            <color indexed="81"/>
            <rFont val="Tahoma"/>
            <family val="2"/>
          </rPr>
          <t>Solver found a solution. All constraints and optimality conditions are satisfied.</t>
        </r>
      </text>
    </comment>
    <comment ref="E11" authorId="0" shapeId="0" xr:uid="{77F5B531-EB70-442F-8FD6-96D79930DA61}">
      <text>
        <r>
          <rPr>
            <sz val="9"/>
            <color indexed="81"/>
            <rFont val="Tahoma"/>
            <family val="2"/>
          </rPr>
          <t>Solver found a solution. All constraints and optimality conditions are satisfied.</t>
        </r>
      </text>
    </comment>
    <comment ref="F11" authorId="0" shapeId="0" xr:uid="{C413C3E5-91B8-4D0D-8453-9DD16DB69483}">
      <text>
        <r>
          <rPr>
            <sz val="9"/>
            <color indexed="81"/>
            <rFont val="Tahoma"/>
            <family val="2"/>
          </rPr>
          <t>Solver found a solution. All constraints and optimality conditions are satisfied.</t>
        </r>
      </text>
    </comment>
    <comment ref="G11" authorId="0" shapeId="0" xr:uid="{F382519D-7A16-4AB7-B6DD-A5851FD85A24}">
      <text>
        <r>
          <rPr>
            <sz val="9"/>
            <color indexed="81"/>
            <rFont val="Tahoma"/>
            <family val="2"/>
          </rPr>
          <t>Solver found a solution. All constraints and optimality conditions are satisfied.</t>
        </r>
      </text>
    </comment>
    <comment ref="H11" authorId="0" shapeId="0" xr:uid="{383A06B5-A618-4582-BFF3-309376A1486D}">
      <text>
        <r>
          <rPr>
            <sz val="9"/>
            <color indexed="81"/>
            <rFont val="Tahoma"/>
            <family val="2"/>
          </rPr>
          <t>Solver found a solution. All constraints and optimality conditions are satisfied.</t>
        </r>
      </text>
    </comment>
    <comment ref="I11" authorId="0" shapeId="0" xr:uid="{0D284A5A-42D4-4091-AE35-492E8FA53F25}">
      <text>
        <r>
          <rPr>
            <sz val="9"/>
            <color indexed="81"/>
            <rFont val="Tahoma"/>
            <family val="2"/>
          </rPr>
          <t>Solver found a solution. All constraints and optimality conditions are satisfied.</t>
        </r>
      </text>
    </comment>
    <comment ref="J11" authorId="0" shapeId="0" xr:uid="{9BAE7255-7F51-4346-B9E2-E9A5C06B76D3}">
      <text>
        <r>
          <rPr>
            <sz val="9"/>
            <color indexed="81"/>
            <rFont val="Tahoma"/>
            <family val="2"/>
          </rPr>
          <t>Solver found a solution. All constraints and optimality conditions are satisfied.</t>
        </r>
      </text>
    </comment>
    <comment ref="K11" authorId="0" shapeId="0" xr:uid="{F9E9C840-3ADE-46F7-8EB9-617F44DCC08A}">
      <text>
        <r>
          <rPr>
            <sz val="9"/>
            <color indexed="81"/>
            <rFont val="Tahoma"/>
            <family val="2"/>
          </rPr>
          <t>Solver found a solution. All constraints and optimality conditions are satisfied.</t>
        </r>
      </text>
    </comment>
    <comment ref="L11" authorId="0" shapeId="0" xr:uid="{7BFD90B6-B960-4B6E-BBDB-89526946F05E}">
      <text>
        <r>
          <rPr>
            <sz val="9"/>
            <color indexed="81"/>
            <rFont val="Tahoma"/>
            <family val="2"/>
          </rPr>
          <t>Solver found a solution. All constraints and optimality conditions are satisfied.</t>
        </r>
      </text>
    </comment>
    <comment ref="M11" authorId="0" shapeId="0" xr:uid="{E0F803AA-B515-4C35-A3C0-8BC9C814D09B}">
      <text>
        <r>
          <rPr>
            <sz val="9"/>
            <color indexed="81"/>
            <rFont val="Tahoma"/>
            <family val="2"/>
          </rPr>
          <t>Solver found a solution. All constraints and optimality conditions are satisfied.</t>
        </r>
      </text>
    </comment>
    <comment ref="N11" authorId="0" shapeId="0" xr:uid="{79CB4A6C-35C1-48C3-A72C-19C67A9A9DC3}">
      <text>
        <r>
          <rPr>
            <sz val="9"/>
            <color indexed="81"/>
            <rFont val="Tahoma"/>
            <family val="2"/>
          </rPr>
          <t>Solver found a solution. All constraints and optimality conditions are satisfied.</t>
        </r>
      </text>
    </comment>
    <comment ref="O11" authorId="0" shapeId="0" xr:uid="{8D9CF6DA-15E8-479B-8ACC-88E5E807C74F}">
      <text>
        <r>
          <rPr>
            <sz val="9"/>
            <color indexed="81"/>
            <rFont val="Tahoma"/>
            <family val="2"/>
          </rPr>
          <t>Solver found a solution. All constraints and optimality conditions are satisfied.</t>
        </r>
      </text>
    </comment>
    <comment ref="P11" authorId="0" shapeId="0" xr:uid="{9BFE02FE-97C9-4152-8D41-2B6CA692EBE7}">
      <text>
        <r>
          <rPr>
            <sz val="9"/>
            <color indexed="81"/>
            <rFont val="Tahoma"/>
            <family val="2"/>
          </rPr>
          <t>Solver found a solution. All constraints and optimality conditions are satisfied.</t>
        </r>
      </text>
    </comment>
    <comment ref="Q11" authorId="0" shapeId="0" xr:uid="{6A4080EB-A80C-4E61-BC8A-A40013873267}">
      <text>
        <r>
          <rPr>
            <sz val="9"/>
            <color indexed="81"/>
            <rFont val="Tahoma"/>
            <family val="2"/>
          </rPr>
          <t>Solver found a solution. All constraints and optimality conditions are satisfied.</t>
        </r>
      </text>
    </comment>
    <comment ref="R11" authorId="0" shapeId="0" xr:uid="{C310CAC4-4A66-46F8-9F20-8D6465AF6210}">
      <text>
        <r>
          <rPr>
            <sz val="9"/>
            <color indexed="81"/>
            <rFont val="Tahoma"/>
            <family val="2"/>
          </rPr>
          <t>Solver found a solution. All constraints and optimality conditions are satisfied.</t>
        </r>
      </text>
    </comment>
    <comment ref="S11" authorId="0" shapeId="0" xr:uid="{B3DE817B-E898-4959-91FF-CCA6D0D23795}">
      <text>
        <r>
          <rPr>
            <sz val="9"/>
            <color indexed="81"/>
            <rFont val="Tahoma"/>
            <family val="2"/>
          </rPr>
          <t>Solver found a solution. All constraints and optimality conditions are satisfied.</t>
        </r>
      </text>
    </comment>
    <comment ref="B12" authorId="0" shapeId="0" xr:uid="{3820D83F-0E10-4EA1-8AFC-F4E9FE0D607D}">
      <text>
        <r>
          <rPr>
            <sz val="9"/>
            <color indexed="81"/>
            <rFont val="Tahoma"/>
            <family val="2"/>
          </rPr>
          <t>Solver found a solution. All constraints and optimality conditions are satisfied.</t>
        </r>
      </text>
    </comment>
    <comment ref="C12" authorId="0" shapeId="0" xr:uid="{2AD2D8DA-570E-4573-8EAE-94F715929E83}">
      <text>
        <r>
          <rPr>
            <sz val="9"/>
            <color indexed="81"/>
            <rFont val="Tahoma"/>
            <family val="2"/>
          </rPr>
          <t>Solver found a solution. All constraints and optimality conditions are satisfied.</t>
        </r>
      </text>
    </comment>
    <comment ref="D12" authorId="0" shapeId="0" xr:uid="{B8FE0FA8-37C2-4A8D-8F1C-585DEB1C24B9}">
      <text>
        <r>
          <rPr>
            <sz val="9"/>
            <color indexed="81"/>
            <rFont val="Tahoma"/>
            <family val="2"/>
          </rPr>
          <t>Solver found a solution. All constraints and optimality conditions are satisfied.</t>
        </r>
      </text>
    </comment>
    <comment ref="E12" authorId="0" shapeId="0" xr:uid="{6471A5C6-FAA5-4E2F-B740-3C9D34DF9B6A}">
      <text>
        <r>
          <rPr>
            <sz val="9"/>
            <color indexed="81"/>
            <rFont val="Tahoma"/>
            <family val="2"/>
          </rPr>
          <t>Solver found a solution. All constraints and optimality conditions are satisfied.</t>
        </r>
      </text>
    </comment>
    <comment ref="F12" authorId="0" shapeId="0" xr:uid="{C1B37AB9-0928-4BA9-A7A6-0E63EF11E3ED}">
      <text>
        <r>
          <rPr>
            <sz val="9"/>
            <color indexed="81"/>
            <rFont val="Tahoma"/>
            <family val="2"/>
          </rPr>
          <t>Solver found a solution. All constraints and optimality conditions are satisfied.</t>
        </r>
      </text>
    </comment>
    <comment ref="G12" authorId="0" shapeId="0" xr:uid="{90BD96B5-3AAE-48DF-B2DD-DDAA2BEB8675}">
      <text>
        <r>
          <rPr>
            <sz val="9"/>
            <color indexed="81"/>
            <rFont val="Tahoma"/>
            <family val="2"/>
          </rPr>
          <t>Solver found a solution. All constraints and optimality conditions are satisfied.</t>
        </r>
      </text>
    </comment>
    <comment ref="H12" authorId="0" shapeId="0" xr:uid="{B7E5BCE2-E027-4073-AE4F-363CA1CD087E}">
      <text>
        <r>
          <rPr>
            <sz val="9"/>
            <color indexed="81"/>
            <rFont val="Tahoma"/>
            <family val="2"/>
          </rPr>
          <t>Solver found a solution. All constraints and optimality conditions are satisfied.</t>
        </r>
      </text>
    </comment>
    <comment ref="I12" authorId="0" shapeId="0" xr:uid="{DF0AD8BA-8BA2-4EDB-96AF-1B8C1B39BCA1}">
      <text>
        <r>
          <rPr>
            <sz val="9"/>
            <color indexed="81"/>
            <rFont val="Tahoma"/>
            <family val="2"/>
          </rPr>
          <t>Solver found a solution. All constraints and optimality conditions are satisfied.</t>
        </r>
      </text>
    </comment>
    <comment ref="J12" authorId="0" shapeId="0" xr:uid="{5A4001F0-6839-492F-924B-319C485EB3EF}">
      <text>
        <r>
          <rPr>
            <sz val="9"/>
            <color indexed="81"/>
            <rFont val="Tahoma"/>
            <family val="2"/>
          </rPr>
          <t>Solver found a solution. All constraints and optimality conditions are satisfied.</t>
        </r>
      </text>
    </comment>
    <comment ref="K12" authorId="0" shapeId="0" xr:uid="{6E9AF009-7796-4323-9965-2D9DC12BC06C}">
      <text>
        <r>
          <rPr>
            <sz val="9"/>
            <color indexed="81"/>
            <rFont val="Tahoma"/>
            <family val="2"/>
          </rPr>
          <t>Solver found a solution. All constraints and optimality conditions are satisfied.</t>
        </r>
      </text>
    </comment>
    <comment ref="L12" authorId="0" shapeId="0" xr:uid="{85081133-6B30-47CD-81C5-6D78AACB34D0}">
      <text>
        <r>
          <rPr>
            <sz val="9"/>
            <color indexed="81"/>
            <rFont val="Tahoma"/>
            <family val="2"/>
          </rPr>
          <t>Solver found a solution. All constraints and optimality conditions are satisfied.</t>
        </r>
      </text>
    </comment>
    <comment ref="M12" authorId="0" shapeId="0" xr:uid="{CC3058A0-940F-4915-9462-374B1F64F778}">
      <text>
        <r>
          <rPr>
            <sz val="9"/>
            <color indexed="81"/>
            <rFont val="Tahoma"/>
            <family val="2"/>
          </rPr>
          <t>Solver found a solution. All constraints and optimality conditions are satisfied.</t>
        </r>
      </text>
    </comment>
    <comment ref="N12" authorId="0" shapeId="0" xr:uid="{C113CF02-F31D-49E6-A8DF-C03D0629C71A}">
      <text>
        <r>
          <rPr>
            <sz val="9"/>
            <color indexed="81"/>
            <rFont val="Tahoma"/>
            <family val="2"/>
          </rPr>
          <t>Solver found a solution. All constraints and optimality conditions are satisfied.</t>
        </r>
      </text>
    </comment>
    <comment ref="O12" authorId="0" shapeId="0" xr:uid="{B6F8B9F2-B3E0-4B13-AB71-026A2334079C}">
      <text>
        <r>
          <rPr>
            <sz val="9"/>
            <color indexed="81"/>
            <rFont val="Tahoma"/>
            <family val="2"/>
          </rPr>
          <t>Solver found a solution. All constraints and optimality conditions are satisfied.</t>
        </r>
      </text>
    </comment>
    <comment ref="P12" authorId="0" shapeId="0" xr:uid="{D7306451-EC23-436E-8214-EBE90AE321CE}">
      <text>
        <r>
          <rPr>
            <sz val="9"/>
            <color indexed="81"/>
            <rFont val="Tahoma"/>
            <family val="2"/>
          </rPr>
          <t>Solver found a solution. All constraints and optimality conditions are satisfied.</t>
        </r>
      </text>
    </comment>
    <comment ref="Q12" authorId="0" shapeId="0" xr:uid="{CD35BCC1-1940-456E-9D70-02BCEEED568C}">
      <text>
        <r>
          <rPr>
            <sz val="9"/>
            <color indexed="81"/>
            <rFont val="Tahoma"/>
            <family val="2"/>
          </rPr>
          <t>Solver found a solution. All constraints and optimality conditions are satisfied.</t>
        </r>
      </text>
    </comment>
    <comment ref="R12" authorId="0" shapeId="0" xr:uid="{6A2316C2-E5E9-46F2-9C40-C3E147228B41}">
      <text>
        <r>
          <rPr>
            <sz val="9"/>
            <color indexed="81"/>
            <rFont val="Tahoma"/>
            <family val="2"/>
          </rPr>
          <t>Solver found a solution. All constraints and optimality conditions are satisfied.</t>
        </r>
      </text>
    </comment>
    <comment ref="S12" authorId="0" shapeId="0" xr:uid="{84103E95-77AA-46E3-8CF1-C696E0E68682}">
      <text>
        <r>
          <rPr>
            <sz val="9"/>
            <color indexed="81"/>
            <rFont val="Tahoma"/>
            <family val="2"/>
          </rPr>
          <t>Solver found a solution. All constraints and optimality conditions are satisfied.</t>
        </r>
      </text>
    </comment>
    <comment ref="B13" authorId="0" shapeId="0" xr:uid="{50C09553-321A-4232-AD95-0CF3833CEC80}">
      <text>
        <r>
          <rPr>
            <sz val="9"/>
            <color indexed="81"/>
            <rFont val="Tahoma"/>
            <family val="2"/>
          </rPr>
          <t>Solver found a solution. All constraints and optimality conditions are satisfied.</t>
        </r>
      </text>
    </comment>
    <comment ref="C13" authorId="0" shapeId="0" xr:uid="{7C667A90-9A32-4C62-84D5-2420F07BFF26}">
      <text>
        <r>
          <rPr>
            <sz val="9"/>
            <color indexed="81"/>
            <rFont val="Tahoma"/>
            <family val="2"/>
          </rPr>
          <t>Solver found a solution. All constraints and optimality conditions are satisfied.</t>
        </r>
      </text>
    </comment>
    <comment ref="D13" authorId="0" shapeId="0" xr:uid="{C9042594-7D3E-4128-A424-7F938CA66A8B}">
      <text>
        <r>
          <rPr>
            <sz val="9"/>
            <color indexed="81"/>
            <rFont val="Tahoma"/>
            <family val="2"/>
          </rPr>
          <t>Solver found a solution. All constraints and optimality conditions are satisfied.</t>
        </r>
      </text>
    </comment>
    <comment ref="E13" authorId="0" shapeId="0" xr:uid="{22DFF443-1498-4E3D-893F-8B7EF35D6517}">
      <text>
        <r>
          <rPr>
            <sz val="9"/>
            <color indexed="81"/>
            <rFont val="Tahoma"/>
            <family val="2"/>
          </rPr>
          <t>Solver found a solution. All constraints and optimality conditions are satisfied.</t>
        </r>
      </text>
    </comment>
    <comment ref="F13" authorId="0" shapeId="0" xr:uid="{29752992-564F-40D1-BBA3-07928433A200}">
      <text>
        <r>
          <rPr>
            <sz val="9"/>
            <color indexed="81"/>
            <rFont val="Tahoma"/>
            <family val="2"/>
          </rPr>
          <t>Solver found a solution. All constraints and optimality conditions are satisfied.</t>
        </r>
      </text>
    </comment>
    <comment ref="G13" authorId="0" shapeId="0" xr:uid="{29880592-06E4-4895-B374-D21B61F8E5C0}">
      <text>
        <r>
          <rPr>
            <sz val="9"/>
            <color indexed="81"/>
            <rFont val="Tahoma"/>
            <family val="2"/>
          </rPr>
          <t>Solver found a solution. All constraints and optimality conditions are satisfied.</t>
        </r>
      </text>
    </comment>
    <comment ref="H13" authorId="0" shapeId="0" xr:uid="{6500398F-D4F9-46A7-9220-F4F501CB973D}">
      <text>
        <r>
          <rPr>
            <sz val="9"/>
            <color indexed="81"/>
            <rFont val="Tahoma"/>
            <family val="2"/>
          </rPr>
          <t>Solver found a solution. All constraints and optimality conditions are satisfied.</t>
        </r>
      </text>
    </comment>
    <comment ref="I13" authorId="0" shapeId="0" xr:uid="{30DF775B-9E3F-4E80-88E1-6E157376FE39}">
      <text>
        <r>
          <rPr>
            <sz val="9"/>
            <color indexed="81"/>
            <rFont val="Tahoma"/>
            <family val="2"/>
          </rPr>
          <t>Solver found a solution. All constraints and optimality conditions are satisfied.</t>
        </r>
      </text>
    </comment>
    <comment ref="J13" authorId="0" shapeId="0" xr:uid="{C4564595-481B-47AF-B212-70F498A69DE8}">
      <text>
        <r>
          <rPr>
            <sz val="9"/>
            <color indexed="81"/>
            <rFont val="Tahoma"/>
            <family val="2"/>
          </rPr>
          <t>Solver found a solution. All constraints and optimality conditions are satisfied.</t>
        </r>
      </text>
    </comment>
    <comment ref="K13" authorId="0" shapeId="0" xr:uid="{DADAF7BA-5DBA-4479-8B79-4ECCE03679F8}">
      <text>
        <r>
          <rPr>
            <sz val="9"/>
            <color indexed="81"/>
            <rFont val="Tahoma"/>
            <family val="2"/>
          </rPr>
          <t>Solver found a solution. All constraints and optimality conditions are satisfied.</t>
        </r>
      </text>
    </comment>
    <comment ref="L13" authorId="0" shapeId="0" xr:uid="{6D8F732C-8138-4F21-B937-5ACD34689A7D}">
      <text>
        <r>
          <rPr>
            <sz val="9"/>
            <color indexed="81"/>
            <rFont val="Tahoma"/>
            <family val="2"/>
          </rPr>
          <t>Solver found a solution. All constraints and optimality conditions are satisfied.</t>
        </r>
      </text>
    </comment>
    <comment ref="M13" authorId="0" shapeId="0" xr:uid="{EC3189F2-56EA-4F0C-BB21-BE85DDED8455}">
      <text>
        <r>
          <rPr>
            <sz val="9"/>
            <color indexed="81"/>
            <rFont val="Tahoma"/>
            <family val="2"/>
          </rPr>
          <t>Solver found a solution. All constraints and optimality conditions are satisfied.</t>
        </r>
      </text>
    </comment>
    <comment ref="N13" authorId="0" shapeId="0" xr:uid="{DBAF1349-042B-4E67-905F-7A6FAB5C6AF6}">
      <text>
        <r>
          <rPr>
            <sz val="9"/>
            <color indexed="81"/>
            <rFont val="Tahoma"/>
            <family val="2"/>
          </rPr>
          <t>Solver found a solution. All constraints and optimality conditions are satisfied.</t>
        </r>
      </text>
    </comment>
    <comment ref="O13" authorId="0" shapeId="0" xr:uid="{E0774585-BDD5-430D-B36A-D5B527C925E9}">
      <text>
        <r>
          <rPr>
            <sz val="9"/>
            <color indexed="81"/>
            <rFont val="Tahoma"/>
            <family val="2"/>
          </rPr>
          <t>Solver found a solution. All constraints and optimality conditions are satisfied.</t>
        </r>
      </text>
    </comment>
    <comment ref="P13" authorId="0" shapeId="0" xr:uid="{3A231F31-6EF6-4B17-8232-3383AD020021}">
      <text>
        <r>
          <rPr>
            <sz val="9"/>
            <color indexed="81"/>
            <rFont val="Tahoma"/>
            <family val="2"/>
          </rPr>
          <t>Solver found a solution. All constraints and optimality conditions are satisfied.</t>
        </r>
      </text>
    </comment>
    <comment ref="Q13" authorId="0" shapeId="0" xr:uid="{7ADB252E-457A-4B90-B5F0-DD9AD80F0832}">
      <text>
        <r>
          <rPr>
            <sz val="9"/>
            <color indexed="81"/>
            <rFont val="Tahoma"/>
            <family val="2"/>
          </rPr>
          <t>Solver found a solution. All constraints and optimality conditions are satisfied.</t>
        </r>
      </text>
    </comment>
    <comment ref="R13" authorId="0" shapeId="0" xr:uid="{00BCFDEC-1957-442C-A816-D04342B3EF00}">
      <text>
        <r>
          <rPr>
            <sz val="9"/>
            <color indexed="81"/>
            <rFont val="Tahoma"/>
            <family val="2"/>
          </rPr>
          <t>Solver found a solution. All constraints and optimality conditions are satisfied.</t>
        </r>
      </text>
    </comment>
    <comment ref="S13" authorId="0" shapeId="0" xr:uid="{6DA3BE62-3BFB-47E0-895C-2B183C06D6F7}">
      <text>
        <r>
          <rPr>
            <sz val="9"/>
            <color indexed="81"/>
            <rFont val="Tahoma"/>
            <family val="2"/>
          </rPr>
          <t>Solver found a solution. All constraints and optimality conditions are satisfied.</t>
        </r>
      </text>
    </comment>
    <comment ref="B14" authorId="0" shapeId="0" xr:uid="{8DF99BF5-2295-4F75-BF65-517B0D1ED940}">
      <text>
        <r>
          <rPr>
            <sz val="9"/>
            <color indexed="81"/>
            <rFont val="Tahoma"/>
            <family val="2"/>
          </rPr>
          <t>Solver found a solution. All constraints and optimality conditions are satisfied.</t>
        </r>
      </text>
    </comment>
    <comment ref="C14" authorId="0" shapeId="0" xr:uid="{100E0571-C01E-47FA-8723-6F3097E4DF7E}">
      <text>
        <r>
          <rPr>
            <sz val="9"/>
            <color indexed="81"/>
            <rFont val="Tahoma"/>
            <family val="2"/>
          </rPr>
          <t>Solver found a solution. All constraints and optimality conditions are satisfied.</t>
        </r>
      </text>
    </comment>
    <comment ref="D14" authorId="0" shapeId="0" xr:uid="{D0D30681-35EE-40D2-B241-0B0D1A5BE896}">
      <text>
        <r>
          <rPr>
            <sz val="9"/>
            <color indexed="81"/>
            <rFont val="Tahoma"/>
            <family val="2"/>
          </rPr>
          <t>Solver found a solution. All constraints and optimality conditions are satisfied.</t>
        </r>
      </text>
    </comment>
    <comment ref="E14" authorId="0" shapeId="0" xr:uid="{6B03C3D8-C468-4965-9D51-F0765A118503}">
      <text>
        <r>
          <rPr>
            <sz val="9"/>
            <color indexed="81"/>
            <rFont val="Tahoma"/>
            <family val="2"/>
          </rPr>
          <t>Solver found a solution. All constraints and optimality conditions are satisfied.</t>
        </r>
      </text>
    </comment>
    <comment ref="F14" authorId="0" shapeId="0" xr:uid="{40863DC3-D31E-497A-BBA8-8FD4D65207D8}">
      <text>
        <r>
          <rPr>
            <sz val="9"/>
            <color indexed="81"/>
            <rFont val="Tahoma"/>
            <family val="2"/>
          </rPr>
          <t>Solver found a solution. All constraints and optimality conditions are satisfied.</t>
        </r>
      </text>
    </comment>
    <comment ref="G14" authorId="0" shapeId="0" xr:uid="{59E36D37-C67F-4238-9D8F-00844B6E3098}">
      <text>
        <r>
          <rPr>
            <sz val="9"/>
            <color indexed="81"/>
            <rFont val="Tahoma"/>
            <family val="2"/>
          </rPr>
          <t>Solver found a solution. All constraints and optimality conditions are satisfied.</t>
        </r>
      </text>
    </comment>
    <comment ref="H14" authorId="0" shapeId="0" xr:uid="{77F2FDB1-0B6A-4D6A-BFD5-AD8D95201888}">
      <text>
        <r>
          <rPr>
            <sz val="9"/>
            <color indexed="81"/>
            <rFont val="Tahoma"/>
            <family val="2"/>
          </rPr>
          <t>Solver found a solution. All constraints and optimality conditions are satisfied.</t>
        </r>
      </text>
    </comment>
    <comment ref="I14" authorId="0" shapeId="0" xr:uid="{9A107C09-8B23-42AB-B74E-FD86B5F901E8}">
      <text>
        <r>
          <rPr>
            <sz val="9"/>
            <color indexed="81"/>
            <rFont val="Tahoma"/>
            <family val="2"/>
          </rPr>
          <t>Solver found a solution. All constraints and optimality conditions are satisfied.</t>
        </r>
      </text>
    </comment>
    <comment ref="J14" authorId="0" shapeId="0" xr:uid="{16B65B39-6E5D-49F9-B316-2E97F88471B9}">
      <text>
        <r>
          <rPr>
            <sz val="9"/>
            <color indexed="81"/>
            <rFont val="Tahoma"/>
            <family val="2"/>
          </rPr>
          <t>Solver found a solution. All constraints and optimality conditions are satisfied.</t>
        </r>
      </text>
    </comment>
    <comment ref="K14" authorId="0" shapeId="0" xr:uid="{5B0932EA-2EF0-41C8-A571-F0261DB2334A}">
      <text>
        <r>
          <rPr>
            <sz val="9"/>
            <color indexed="81"/>
            <rFont val="Tahoma"/>
            <family val="2"/>
          </rPr>
          <t>Solver found a solution. All constraints and optimality conditions are satisfied.</t>
        </r>
      </text>
    </comment>
    <comment ref="L14" authorId="0" shapeId="0" xr:uid="{858954F7-76BD-48EE-994E-81CF29969DA8}">
      <text>
        <r>
          <rPr>
            <sz val="9"/>
            <color indexed="81"/>
            <rFont val="Tahoma"/>
            <family val="2"/>
          </rPr>
          <t>Solver found a solution. All constraints and optimality conditions are satisfied.</t>
        </r>
      </text>
    </comment>
    <comment ref="M14" authorId="0" shapeId="0" xr:uid="{F7EBF85F-65AC-490C-8F7A-EA3BB77FE0A9}">
      <text>
        <r>
          <rPr>
            <sz val="9"/>
            <color indexed="81"/>
            <rFont val="Tahoma"/>
            <family val="2"/>
          </rPr>
          <t>Solver found a solution. All constraints and optimality conditions are satisfied.</t>
        </r>
      </text>
    </comment>
    <comment ref="N14" authorId="0" shapeId="0" xr:uid="{0911ACCC-9C2D-4E8B-BA69-9493F0AA6FDB}">
      <text>
        <r>
          <rPr>
            <sz val="9"/>
            <color indexed="81"/>
            <rFont val="Tahoma"/>
            <family val="2"/>
          </rPr>
          <t>Solver found a solution. All constraints and optimality conditions are satisfied.</t>
        </r>
      </text>
    </comment>
    <comment ref="O14" authorId="0" shapeId="0" xr:uid="{BCDC886B-B136-4753-844F-BEA12F043EFC}">
      <text>
        <r>
          <rPr>
            <sz val="9"/>
            <color indexed="81"/>
            <rFont val="Tahoma"/>
            <family val="2"/>
          </rPr>
          <t>Solver found a solution. All constraints and optimality conditions are satisfied.</t>
        </r>
      </text>
    </comment>
    <comment ref="P14" authorId="0" shapeId="0" xr:uid="{D4C108F8-3AAC-455B-807D-9165B9B1BED4}">
      <text>
        <r>
          <rPr>
            <sz val="9"/>
            <color indexed="81"/>
            <rFont val="Tahoma"/>
            <family val="2"/>
          </rPr>
          <t>Solver found a solution. All constraints and optimality conditions are satisfied.</t>
        </r>
      </text>
    </comment>
    <comment ref="Q14" authorId="0" shapeId="0" xr:uid="{386E57F1-AE6C-4138-AC35-950F8D5442F9}">
      <text>
        <r>
          <rPr>
            <sz val="9"/>
            <color indexed="81"/>
            <rFont val="Tahoma"/>
            <family val="2"/>
          </rPr>
          <t>Solver found a solution. All constraints and optimality conditions are satisfied.</t>
        </r>
      </text>
    </comment>
    <comment ref="R14" authorId="0" shapeId="0" xr:uid="{95ACE27F-5290-4D8A-A3BF-62A92FEC48A9}">
      <text>
        <r>
          <rPr>
            <sz val="9"/>
            <color indexed="81"/>
            <rFont val="Tahoma"/>
            <family val="2"/>
          </rPr>
          <t>Solver found a solution. All constraints and optimality conditions are satisfied.</t>
        </r>
      </text>
    </comment>
    <comment ref="S14" authorId="0" shapeId="0" xr:uid="{50A9B4ED-5676-4B57-AFEB-1284381311B2}">
      <text>
        <r>
          <rPr>
            <sz val="9"/>
            <color indexed="81"/>
            <rFont val="Tahoma"/>
            <family val="2"/>
          </rPr>
          <t>Solver found a solution. All constraints and optimality conditions are satisfied.</t>
        </r>
      </text>
    </comment>
    <comment ref="B15" authorId="0" shapeId="0" xr:uid="{DE4601DC-7EC1-44AA-8613-4FF23EEDC554}">
      <text>
        <r>
          <rPr>
            <sz val="9"/>
            <color indexed="81"/>
            <rFont val="Tahoma"/>
            <family val="2"/>
          </rPr>
          <t>Solver found a solution. All constraints and optimality conditions are satisfied.</t>
        </r>
      </text>
    </comment>
    <comment ref="C15" authorId="0" shapeId="0" xr:uid="{1ECB7589-0D20-4731-A92A-D30FE1FEB610}">
      <text>
        <r>
          <rPr>
            <sz val="9"/>
            <color indexed="81"/>
            <rFont val="Tahoma"/>
            <family val="2"/>
          </rPr>
          <t>Solver found a solution. All constraints and optimality conditions are satisfied.</t>
        </r>
      </text>
    </comment>
    <comment ref="D15" authorId="0" shapeId="0" xr:uid="{B6CEC3A9-B8FA-4A7D-9ADC-90573C115549}">
      <text>
        <r>
          <rPr>
            <sz val="9"/>
            <color indexed="81"/>
            <rFont val="Tahoma"/>
            <family val="2"/>
          </rPr>
          <t>Solver found a solution. All constraints and optimality conditions are satisfied.</t>
        </r>
      </text>
    </comment>
    <comment ref="E15" authorId="0" shapeId="0" xr:uid="{209E4F73-8E6D-4A85-B507-BF4E37018EA0}">
      <text>
        <r>
          <rPr>
            <sz val="9"/>
            <color indexed="81"/>
            <rFont val="Tahoma"/>
            <family val="2"/>
          </rPr>
          <t>Solver found a solution. All constraints and optimality conditions are satisfied.</t>
        </r>
      </text>
    </comment>
    <comment ref="F15" authorId="0" shapeId="0" xr:uid="{166A9E8F-F109-47BC-836F-A376630535B1}">
      <text>
        <r>
          <rPr>
            <sz val="9"/>
            <color indexed="81"/>
            <rFont val="Tahoma"/>
            <family val="2"/>
          </rPr>
          <t>Solver found a solution. All constraints and optimality conditions are satisfied.</t>
        </r>
      </text>
    </comment>
    <comment ref="G15" authorId="0" shapeId="0" xr:uid="{89A7F3EE-2C4F-4451-BD98-6EC8884919BB}">
      <text>
        <r>
          <rPr>
            <sz val="9"/>
            <color indexed="81"/>
            <rFont val="Tahoma"/>
            <family val="2"/>
          </rPr>
          <t>Solver found a solution. All constraints and optimality conditions are satisfied.</t>
        </r>
      </text>
    </comment>
    <comment ref="H15" authorId="0" shapeId="0" xr:uid="{DEA017D0-F109-4F6D-80C6-EA23C6F0120B}">
      <text>
        <r>
          <rPr>
            <sz val="9"/>
            <color indexed="81"/>
            <rFont val="Tahoma"/>
            <family val="2"/>
          </rPr>
          <t>Solver found a solution. All constraints and optimality conditions are satisfied.</t>
        </r>
      </text>
    </comment>
    <comment ref="I15" authorId="0" shapeId="0" xr:uid="{49FA4B98-2454-40EE-877B-3CF918B3E791}">
      <text>
        <r>
          <rPr>
            <sz val="9"/>
            <color indexed="81"/>
            <rFont val="Tahoma"/>
            <family val="2"/>
          </rPr>
          <t>Solver found a solution. All constraints and optimality conditions are satisfied.</t>
        </r>
      </text>
    </comment>
    <comment ref="J15" authorId="0" shapeId="0" xr:uid="{89AAA754-4B2A-48DB-A96E-AEEFD41106E1}">
      <text>
        <r>
          <rPr>
            <sz val="9"/>
            <color indexed="81"/>
            <rFont val="Tahoma"/>
            <family val="2"/>
          </rPr>
          <t>Solver found a solution. All constraints and optimality conditions are satisfied.</t>
        </r>
      </text>
    </comment>
    <comment ref="K15" authorId="0" shapeId="0" xr:uid="{7E8258DA-9959-45D8-B92B-F991EE95FB7C}">
      <text>
        <r>
          <rPr>
            <sz val="9"/>
            <color indexed="81"/>
            <rFont val="Tahoma"/>
            <family val="2"/>
          </rPr>
          <t>Solver found a solution. All constraints and optimality conditions are satisfied.</t>
        </r>
      </text>
    </comment>
    <comment ref="L15" authorId="0" shapeId="0" xr:uid="{2AB9CD8B-CBB5-4D0D-99D8-52BE69D52A2C}">
      <text>
        <r>
          <rPr>
            <sz val="9"/>
            <color indexed="81"/>
            <rFont val="Tahoma"/>
            <family val="2"/>
          </rPr>
          <t>Solver found a solution. All constraints and optimality conditions are satisfied.</t>
        </r>
      </text>
    </comment>
    <comment ref="M15" authorId="0" shapeId="0" xr:uid="{B2F82DB4-E63A-4F99-84B2-8665F69D3B6D}">
      <text>
        <r>
          <rPr>
            <sz val="9"/>
            <color indexed="81"/>
            <rFont val="Tahoma"/>
            <family val="2"/>
          </rPr>
          <t>Solver found a solution. All constraints and optimality conditions are satisfied.</t>
        </r>
      </text>
    </comment>
    <comment ref="N15" authorId="0" shapeId="0" xr:uid="{BB161B42-F3EE-467E-9F87-624E7CB5510D}">
      <text>
        <r>
          <rPr>
            <sz val="9"/>
            <color indexed="81"/>
            <rFont val="Tahoma"/>
            <family val="2"/>
          </rPr>
          <t>Solver found a solution. All constraints and optimality conditions are satisfied.</t>
        </r>
      </text>
    </comment>
    <comment ref="O15" authorId="0" shapeId="0" xr:uid="{F7A11807-719F-4359-9E3E-8B584501A324}">
      <text>
        <r>
          <rPr>
            <sz val="9"/>
            <color indexed="81"/>
            <rFont val="Tahoma"/>
            <family val="2"/>
          </rPr>
          <t>Solver found a solution. All constraints and optimality conditions are satisfied.</t>
        </r>
      </text>
    </comment>
    <comment ref="P15" authorId="0" shapeId="0" xr:uid="{11A4C699-A6B7-4CB3-AAC8-E20EFF7DD21A}">
      <text>
        <r>
          <rPr>
            <sz val="9"/>
            <color indexed="81"/>
            <rFont val="Tahoma"/>
            <family val="2"/>
          </rPr>
          <t>Solver found a solution. All constraints and optimality conditions are satisfied.</t>
        </r>
      </text>
    </comment>
    <comment ref="Q15" authorId="0" shapeId="0" xr:uid="{C2336BA5-FEDA-4DAB-AECC-89E7FE8FE4D1}">
      <text>
        <r>
          <rPr>
            <sz val="9"/>
            <color indexed="81"/>
            <rFont val="Tahoma"/>
            <family val="2"/>
          </rPr>
          <t>Solver found a solution. All constraints and optimality conditions are satisfied.</t>
        </r>
      </text>
    </comment>
    <comment ref="R15" authorId="0" shapeId="0" xr:uid="{D2AC1B88-9EA8-402F-9B5F-F4DB15B5E706}">
      <text>
        <r>
          <rPr>
            <sz val="9"/>
            <color indexed="81"/>
            <rFont val="Tahoma"/>
            <family val="2"/>
          </rPr>
          <t>Solver found a solution. All constraints and optimality conditions are satisfied.</t>
        </r>
      </text>
    </comment>
    <comment ref="S15" authorId="0" shapeId="0" xr:uid="{BAD116F2-3CB0-4D76-ADCC-E5ECB93E1A6B}">
      <text>
        <r>
          <rPr>
            <sz val="9"/>
            <color indexed="81"/>
            <rFont val="Tahoma"/>
            <family val="2"/>
          </rPr>
          <t>Solver found a solution. All constraints and optimality conditions are satisfied.</t>
        </r>
      </text>
    </comment>
    <comment ref="B16" authorId="0" shapeId="0" xr:uid="{6507FCCB-CC9C-4673-872B-F85BCF937B8A}">
      <text>
        <r>
          <rPr>
            <sz val="9"/>
            <color indexed="81"/>
            <rFont val="Tahoma"/>
            <family val="2"/>
          </rPr>
          <t>Solver found a solution. All constraints and optimality conditions are satisfied.</t>
        </r>
      </text>
    </comment>
    <comment ref="C16" authorId="0" shapeId="0" xr:uid="{F2E70645-0C49-4EAB-B208-046DA76B0030}">
      <text>
        <r>
          <rPr>
            <sz val="9"/>
            <color indexed="81"/>
            <rFont val="Tahoma"/>
            <family val="2"/>
          </rPr>
          <t>Solver found a solution. All constraints and optimality conditions are satisfied.</t>
        </r>
      </text>
    </comment>
    <comment ref="D16" authorId="0" shapeId="0" xr:uid="{1C0089EB-DA4E-43F2-A2F3-C98C9D67E30D}">
      <text>
        <r>
          <rPr>
            <sz val="9"/>
            <color indexed="81"/>
            <rFont val="Tahoma"/>
            <family val="2"/>
          </rPr>
          <t>Solver found a solution. All constraints and optimality conditions are satisfied.</t>
        </r>
      </text>
    </comment>
    <comment ref="E16" authorId="0" shapeId="0" xr:uid="{9BA1036C-B392-4CCD-9719-03839096BEFB}">
      <text>
        <r>
          <rPr>
            <sz val="9"/>
            <color indexed="81"/>
            <rFont val="Tahoma"/>
            <family val="2"/>
          </rPr>
          <t>Solver found a solution. All constraints and optimality conditions are satisfied.</t>
        </r>
      </text>
    </comment>
    <comment ref="F16" authorId="0" shapeId="0" xr:uid="{E445F6F0-273D-47ED-9EC8-0D6D095B6917}">
      <text>
        <r>
          <rPr>
            <sz val="9"/>
            <color indexed="81"/>
            <rFont val="Tahoma"/>
            <family val="2"/>
          </rPr>
          <t>Solver found a solution. All constraints and optimality conditions are satisfied.</t>
        </r>
      </text>
    </comment>
    <comment ref="G16" authorId="0" shapeId="0" xr:uid="{51849599-C298-429B-AA22-84C65ED5FF25}">
      <text>
        <r>
          <rPr>
            <sz val="9"/>
            <color indexed="81"/>
            <rFont val="Tahoma"/>
            <family val="2"/>
          </rPr>
          <t>Solver found a solution. All constraints and optimality conditions are satisfied.</t>
        </r>
      </text>
    </comment>
    <comment ref="H16" authorId="0" shapeId="0" xr:uid="{778FB8AF-CC27-43DF-B87B-EF5C50A4B803}">
      <text>
        <r>
          <rPr>
            <sz val="9"/>
            <color indexed="81"/>
            <rFont val="Tahoma"/>
            <family val="2"/>
          </rPr>
          <t>Solver found a solution. All constraints and optimality conditions are satisfied.</t>
        </r>
      </text>
    </comment>
    <comment ref="I16" authorId="0" shapeId="0" xr:uid="{DF92857E-FFFF-43ED-846D-8B6D99B24D64}">
      <text>
        <r>
          <rPr>
            <sz val="9"/>
            <color indexed="81"/>
            <rFont val="Tahoma"/>
            <family val="2"/>
          </rPr>
          <t>Solver found a solution. All constraints and optimality conditions are satisfied.</t>
        </r>
      </text>
    </comment>
    <comment ref="J16" authorId="0" shapeId="0" xr:uid="{2CCB0A65-74E4-4871-983A-205E31395DB4}">
      <text>
        <r>
          <rPr>
            <sz val="9"/>
            <color indexed="81"/>
            <rFont val="Tahoma"/>
            <family val="2"/>
          </rPr>
          <t>Solver found a solution. All constraints and optimality conditions are satisfied.</t>
        </r>
      </text>
    </comment>
    <comment ref="K16" authorId="0" shapeId="0" xr:uid="{19888343-0AC9-4DBE-AFC4-3A880022217D}">
      <text>
        <r>
          <rPr>
            <sz val="9"/>
            <color indexed="81"/>
            <rFont val="Tahoma"/>
            <family val="2"/>
          </rPr>
          <t>Solver found a solution. All constraints and optimality conditions are satisfied.</t>
        </r>
      </text>
    </comment>
    <comment ref="L16" authorId="0" shapeId="0" xr:uid="{7189D8F4-A3C9-476D-A574-5636E6AC00D0}">
      <text>
        <r>
          <rPr>
            <sz val="9"/>
            <color indexed="81"/>
            <rFont val="Tahoma"/>
            <family val="2"/>
          </rPr>
          <t>Solver found a solution. All constraints and optimality conditions are satisfied.</t>
        </r>
      </text>
    </comment>
    <comment ref="M16" authorId="0" shapeId="0" xr:uid="{38AD183D-257C-463E-B924-04EC258803A1}">
      <text>
        <r>
          <rPr>
            <sz val="9"/>
            <color indexed="81"/>
            <rFont val="Tahoma"/>
            <family val="2"/>
          </rPr>
          <t>Solver found a solution. All constraints and optimality conditions are satisfied.</t>
        </r>
      </text>
    </comment>
    <comment ref="N16" authorId="0" shapeId="0" xr:uid="{0C691AB7-6735-46EA-AE20-0A7EF09B0A98}">
      <text>
        <r>
          <rPr>
            <sz val="9"/>
            <color indexed="81"/>
            <rFont val="Tahoma"/>
            <family val="2"/>
          </rPr>
          <t>Solver found a solution. All constraints and optimality conditions are satisfied.</t>
        </r>
      </text>
    </comment>
    <comment ref="O16" authorId="0" shapeId="0" xr:uid="{38DF6AE3-727C-4D7D-9EC7-4E4696B1F04D}">
      <text>
        <r>
          <rPr>
            <sz val="9"/>
            <color indexed="81"/>
            <rFont val="Tahoma"/>
            <family val="2"/>
          </rPr>
          <t>Solver found a solution. All constraints and optimality conditions are satisfied.</t>
        </r>
      </text>
    </comment>
    <comment ref="P16" authorId="0" shapeId="0" xr:uid="{5F2944D2-6FE6-4B03-A79E-4B02C60C7E87}">
      <text>
        <r>
          <rPr>
            <sz val="9"/>
            <color indexed="81"/>
            <rFont val="Tahoma"/>
            <family val="2"/>
          </rPr>
          <t>Solver found a solution. All constraints and optimality conditions are satisfied.</t>
        </r>
      </text>
    </comment>
    <comment ref="Q16" authorId="0" shapeId="0" xr:uid="{2F57E1B2-07AD-46EB-883D-3797D60C0BD7}">
      <text>
        <r>
          <rPr>
            <sz val="9"/>
            <color indexed="81"/>
            <rFont val="Tahoma"/>
            <family val="2"/>
          </rPr>
          <t>Solver found a solution. All constraints and optimality conditions are satisfied.</t>
        </r>
      </text>
    </comment>
    <comment ref="R16" authorId="0" shapeId="0" xr:uid="{C33678C9-DC78-40D8-8923-6A42DA3CEF40}">
      <text>
        <r>
          <rPr>
            <sz val="9"/>
            <color indexed="81"/>
            <rFont val="Tahoma"/>
            <family val="2"/>
          </rPr>
          <t>Solver found a solution. All constraints and optimality conditions are satisfied.</t>
        </r>
      </text>
    </comment>
    <comment ref="S16" authorId="0" shapeId="0" xr:uid="{287A5059-70D2-4236-B564-D799F0870C0A}">
      <text>
        <r>
          <rPr>
            <sz val="9"/>
            <color indexed="81"/>
            <rFont val="Tahoma"/>
            <family val="2"/>
          </rPr>
          <t>Solver found a solution. All constraints and optimality conditions are satisfied.</t>
        </r>
      </text>
    </comment>
    <comment ref="B17" authorId="0" shapeId="0" xr:uid="{F82A20B2-369E-4A48-81AC-B81439BCB769}">
      <text>
        <r>
          <rPr>
            <sz val="9"/>
            <color indexed="81"/>
            <rFont val="Tahoma"/>
            <family val="2"/>
          </rPr>
          <t>Solver found a solution. All constraints and optimality conditions are satisfied.</t>
        </r>
      </text>
    </comment>
    <comment ref="C17" authorId="0" shapeId="0" xr:uid="{F45BA120-210F-40FA-87A0-D54EEF040011}">
      <text>
        <r>
          <rPr>
            <sz val="9"/>
            <color indexed="81"/>
            <rFont val="Tahoma"/>
            <family val="2"/>
          </rPr>
          <t>Solver found a solution. All constraints and optimality conditions are satisfied.</t>
        </r>
      </text>
    </comment>
    <comment ref="D17" authorId="0" shapeId="0" xr:uid="{DC50678C-86C4-4C7C-BD33-CC8EE759DEBB}">
      <text>
        <r>
          <rPr>
            <sz val="9"/>
            <color indexed="81"/>
            <rFont val="Tahoma"/>
            <family val="2"/>
          </rPr>
          <t>Solver found a solution. All constraints and optimality conditions are satisfied.</t>
        </r>
      </text>
    </comment>
    <comment ref="E17" authorId="0" shapeId="0" xr:uid="{BEA19476-19B3-41CF-BC78-3560B570CF9E}">
      <text>
        <r>
          <rPr>
            <sz val="9"/>
            <color indexed="81"/>
            <rFont val="Tahoma"/>
            <family val="2"/>
          </rPr>
          <t>Solver found a solution. All constraints and optimality conditions are satisfied.</t>
        </r>
      </text>
    </comment>
    <comment ref="F17" authorId="0" shapeId="0" xr:uid="{EB1C223E-F980-4983-829F-302D82E8027D}">
      <text>
        <r>
          <rPr>
            <sz val="9"/>
            <color indexed="81"/>
            <rFont val="Tahoma"/>
            <family val="2"/>
          </rPr>
          <t>Solver found a solution. All constraints and optimality conditions are satisfied.</t>
        </r>
      </text>
    </comment>
    <comment ref="G17" authorId="0" shapeId="0" xr:uid="{DF2637F3-DBF3-4115-84D5-F2BB0FF46D7B}">
      <text>
        <r>
          <rPr>
            <sz val="9"/>
            <color indexed="81"/>
            <rFont val="Tahoma"/>
            <family val="2"/>
          </rPr>
          <t>Solver found a solution. All constraints and optimality conditions are satisfied.</t>
        </r>
      </text>
    </comment>
    <comment ref="H17" authorId="0" shapeId="0" xr:uid="{A66CDE90-D10E-450B-B2F4-F81822624300}">
      <text>
        <r>
          <rPr>
            <sz val="9"/>
            <color indexed="81"/>
            <rFont val="Tahoma"/>
            <family val="2"/>
          </rPr>
          <t>Solver found a solution. All constraints and optimality conditions are satisfied.</t>
        </r>
      </text>
    </comment>
    <comment ref="I17" authorId="0" shapeId="0" xr:uid="{CCD38843-5E00-4B2E-8243-F2D5F2219822}">
      <text>
        <r>
          <rPr>
            <sz val="9"/>
            <color indexed="81"/>
            <rFont val="Tahoma"/>
            <family val="2"/>
          </rPr>
          <t>Solver found a solution. All constraints and optimality conditions are satisfied.</t>
        </r>
      </text>
    </comment>
    <comment ref="J17" authorId="0" shapeId="0" xr:uid="{71C3CBA6-68D3-47AC-AD68-C3772F28AEC0}">
      <text>
        <r>
          <rPr>
            <sz val="9"/>
            <color indexed="81"/>
            <rFont val="Tahoma"/>
            <family val="2"/>
          </rPr>
          <t>Solver found a solution. All constraints and optimality conditions are satisfied.</t>
        </r>
      </text>
    </comment>
    <comment ref="K17" authorId="0" shapeId="0" xr:uid="{EAC7340F-C31B-4F7F-B5BE-D29380A038C4}">
      <text>
        <r>
          <rPr>
            <sz val="9"/>
            <color indexed="81"/>
            <rFont val="Tahoma"/>
            <family val="2"/>
          </rPr>
          <t>Solver found a solution. All constraints and optimality conditions are satisfied.</t>
        </r>
      </text>
    </comment>
    <comment ref="L17" authorId="0" shapeId="0" xr:uid="{83FA13B8-71CC-4D7F-95D8-F0D2BFE84DCA}">
      <text>
        <r>
          <rPr>
            <sz val="9"/>
            <color indexed="81"/>
            <rFont val="Tahoma"/>
            <family val="2"/>
          </rPr>
          <t>Solver found a solution. All constraints and optimality conditions are satisfied.</t>
        </r>
      </text>
    </comment>
    <comment ref="M17" authorId="0" shapeId="0" xr:uid="{82729558-EEBF-41B6-862A-3D676F4CA661}">
      <text>
        <r>
          <rPr>
            <sz val="9"/>
            <color indexed="81"/>
            <rFont val="Tahoma"/>
            <family val="2"/>
          </rPr>
          <t>Solver found a solution. All constraints and optimality conditions are satisfied.</t>
        </r>
      </text>
    </comment>
    <comment ref="N17" authorId="0" shapeId="0" xr:uid="{F0F4BB26-1BE8-49F7-BCEB-7F18BC0A7705}">
      <text>
        <r>
          <rPr>
            <sz val="9"/>
            <color indexed="81"/>
            <rFont val="Tahoma"/>
            <family val="2"/>
          </rPr>
          <t>Solver found a solution. All constraints and optimality conditions are satisfied.</t>
        </r>
      </text>
    </comment>
    <comment ref="O17" authorId="0" shapeId="0" xr:uid="{C2E45994-41F4-4F65-A48C-C52BF289A649}">
      <text>
        <r>
          <rPr>
            <sz val="9"/>
            <color indexed="81"/>
            <rFont val="Tahoma"/>
            <family val="2"/>
          </rPr>
          <t>Solver found a solution. All constraints and optimality conditions are satisfied.</t>
        </r>
      </text>
    </comment>
    <comment ref="P17" authorId="0" shapeId="0" xr:uid="{C2A9BABA-8312-4440-8BA6-F069EEB1DEFA}">
      <text>
        <r>
          <rPr>
            <sz val="9"/>
            <color indexed="81"/>
            <rFont val="Tahoma"/>
            <family val="2"/>
          </rPr>
          <t>Solver found a solution. All constraints and optimality conditions are satisfied.</t>
        </r>
      </text>
    </comment>
    <comment ref="Q17" authorId="0" shapeId="0" xr:uid="{4D52FBC2-B177-4716-9F2F-E974219099BE}">
      <text>
        <r>
          <rPr>
            <sz val="9"/>
            <color indexed="81"/>
            <rFont val="Tahoma"/>
            <family val="2"/>
          </rPr>
          <t>Solver found a solution. All constraints and optimality conditions are satisfied.</t>
        </r>
      </text>
    </comment>
    <comment ref="R17" authorId="0" shapeId="0" xr:uid="{18A3552C-C8CF-4077-BA4E-ED1674C3B554}">
      <text>
        <r>
          <rPr>
            <sz val="9"/>
            <color indexed="81"/>
            <rFont val="Tahoma"/>
            <family val="2"/>
          </rPr>
          <t>Solver found a solution. All constraints and optimality conditions are satisfied.</t>
        </r>
      </text>
    </comment>
    <comment ref="S17" authorId="0" shapeId="0" xr:uid="{3AA9F1AA-4AF1-4BCC-8C31-6CE80D5AADCE}">
      <text>
        <r>
          <rPr>
            <sz val="9"/>
            <color indexed="81"/>
            <rFont val="Tahoma"/>
            <family val="2"/>
          </rPr>
          <t>Solver found a solution. All constraints and optimality conditions are satisfied.</t>
        </r>
      </text>
    </comment>
    <comment ref="B18" authorId="0" shapeId="0" xr:uid="{3D2E08FB-2CC5-4458-BDE2-DECE05124D64}">
      <text>
        <r>
          <rPr>
            <sz val="9"/>
            <color indexed="81"/>
            <rFont val="Tahoma"/>
            <family val="2"/>
          </rPr>
          <t>Solver found a solution. All constraints and optimality conditions are satisfied.</t>
        </r>
      </text>
    </comment>
    <comment ref="C18" authorId="0" shapeId="0" xr:uid="{AE153725-0869-4C8F-A40E-2338A3562992}">
      <text>
        <r>
          <rPr>
            <sz val="9"/>
            <color indexed="81"/>
            <rFont val="Tahoma"/>
            <family val="2"/>
          </rPr>
          <t>Solver found a solution. All constraints and optimality conditions are satisfied.</t>
        </r>
      </text>
    </comment>
    <comment ref="D18" authorId="0" shapeId="0" xr:uid="{69B0624A-05C4-4A28-970D-2BE757573E87}">
      <text>
        <r>
          <rPr>
            <sz val="9"/>
            <color indexed="81"/>
            <rFont val="Tahoma"/>
            <family val="2"/>
          </rPr>
          <t>Solver found a solution. All constraints and optimality conditions are satisfied.</t>
        </r>
      </text>
    </comment>
    <comment ref="E18" authorId="0" shapeId="0" xr:uid="{B2FFD12D-A5CF-49EC-AFAC-AF7399237D99}">
      <text>
        <r>
          <rPr>
            <sz val="9"/>
            <color indexed="81"/>
            <rFont val="Tahoma"/>
            <family val="2"/>
          </rPr>
          <t>Solver found a solution. All constraints and optimality conditions are satisfied.</t>
        </r>
      </text>
    </comment>
    <comment ref="F18" authorId="0" shapeId="0" xr:uid="{13D3B63D-01B9-4BA3-BC70-890375B83313}">
      <text>
        <r>
          <rPr>
            <sz val="9"/>
            <color indexed="81"/>
            <rFont val="Tahoma"/>
            <family val="2"/>
          </rPr>
          <t>Solver found a solution. All constraints and optimality conditions are satisfied.</t>
        </r>
      </text>
    </comment>
    <comment ref="G18" authorId="0" shapeId="0" xr:uid="{A38BFF35-0742-44EF-A568-7A4561869E62}">
      <text>
        <r>
          <rPr>
            <sz val="9"/>
            <color indexed="81"/>
            <rFont val="Tahoma"/>
            <family val="2"/>
          </rPr>
          <t>Solver found a solution. All constraints and optimality conditions are satisfied.</t>
        </r>
      </text>
    </comment>
    <comment ref="H18" authorId="0" shapeId="0" xr:uid="{C150A8FC-407F-4985-9CFC-35DEB0AA0B4F}">
      <text>
        <r>
          <rPr>
            <sz val="9"/>
            <color indexed="81"/>
            <rFont val="Tahoma"/>
            <family val="2"/>
          </rPr>
          <t>Solver found a solution. All constraints and optimality conditions are satisfied.</t>
        </r>
      </text>
    </comment>
    <comment ref="I18" authorId="0" shapeId="0" xr:uid="{4DD6F1F2-676C-4597-8ADC-F62876B186B7}">
      <text>
        <r>
          <rPr>
            <sz val="9"/>
            <color indexed="81"/>
            <rFont val="Tahoma"/>
            <family val="2"/>
          </rPr>
          <t>Solver found a solution. All constraints and optimality conditions are satisfied.</t>
        </r>
      </text>
    </comment>
    <comment ref="J18" authorId="0" shapeId="0" xr:uid="{370BBF31-6944-414B-B822-8C8FAE3FD528}">
      <text>
        <r>
          <rPr>
            <sz val="9"/>
            <color indexed="81"/>
            <rFont val="Tahoma"/>
            <family val="2"/>
          </rPr>
          <t>Solver found a solution. All constraints and optimality conditions are satisfied.</t>
        </r>
      </text>
    </comment>
    <comment ref="K18" authorId="0" shapeId="0" xr:uid="{0E32EAA6-0DEE-48E9-ACF4-40BE13FBB54A}">
      <text>
        <r>
          <rPr>
            <sz val="9"/>
            <color indexed="81"/>
            <rFont val="Tahoma"/>
            <family val="2"/>
          </rPr>
          <t>Solver found a solution. All constraints and optimality conditions are satisfied.</t>
        </r>
      </text>
    </comment>
    <comment ref="L18" authorId="0" shapeId="0" xr:uid="{B9E64AB3-0139-495D-A3BE-DB2D15905250}">
      <text>
        <r>
          <rPr>
            <sz val="9"/>
            <color indexed="81"/>
            <rFont val="Tahoma"/>
            <family val="2"/>
          </rPr>
          <t>Solver found a solution. All constraints and optimality conditions are satisfied.</t>
        </r>
      </text>
    </comment>
    <comment ref="M18" authorId="0" shapeId="0" xr:uid="{19750FB7-645A-4A1D-B64D-12E904448F32}">
      <text>
        <r>
          <rPr>
            <sz val="9"/>
            <color indexed="81"/>
            <rFont val="Tahoma"/>
            <family val="2"/>
          </rPr>
          <t>Solver found a solution. All constraints and optimality conditions are satisfied.</t>
        </r>
      </text>
    </comment>
    <comment ref="N18" authorId="0" shapeId="0" xr:uid="{D8B74AB5-53A6-4C1A-919D-D8EFD5210B51}">
      <text>
        <r>
          <rPr>
            <sz val="9"/>
            <color indexed="81"/>
            <rFont val="Tahoma"/>
            <family val="2"/>
          </rPr>
          <t>Solver found a solution. All constraints and optimality conditions are satisfied.</t>
        </r>
      </text>
    </comment>
    <comment ref="O18" authorId="0" shapeId="0" xr:uid="{93F471C0-3703-475F-A276-1B8974A48C38}">
      <text>
        <r>
          <rPr>
            <sz val="9"/>
            <color indexed="81"/>
            <rFont val="Tahoma"/>
            <family val="2"/>
          </rPr>
          <t>Solver found a solution. All constraints and optimality conditions are satisfied.</t>
        </r>
      </text>
    </comment>
    <comment ref="P18" authorId="0" shapeId="0" xr:uid="{E9B354C9-3939-4F66-9244-EDF9A8FA2D62}">
      <text>
        <r>
          <rPr>
            <sz val="9"/>
            <color indexed="81"/>
            <rFont val="Tahoma"/>
            <family val="2"/>
          </rPr>
          <t>Solver found a solution. All constraints and optimality conditions are satisfied.</t>
        </r>
      </text>
    </comment>
    <comment ref="Q18" authorId="0" shapeId="0" xr:uid="{36C0E92B-AECD-4B51-96AD-D95B7A8BCBCF}">
      <text>
        <r>
          <rPr>
            <sz val="9"/>
            <color indexed="81"/>
            <rFont val="Tahoma"/>
            <family val="2"/>
          </rPr>
          <t>Solver found a solution. All constraints and optimality conditions are satisfied.</t>
        </r>
      </text>
    </comment>
    <comment ref="R18" authorId="0" shapeId="0" xr:uid="{F32C2677-C28E-4A7A-9BEE-7D206086A988}">
      <text>
        <r>
          <rPr>
            <sz val="9"/>
            <color indexed="81"/>
            <rFont val="Tahoma"/>
            <family val="2"/>
          </rPr>
          <t>Solver found a solution. All constraints and optimality conditions are satisfied.</t>
        </r>
      </text>
    </comment>
    <comment ref="S18" authorId="0" shapeId="0" xr:uid="{93EB219E-EA1A-42EC-B144-96969A56E682}">
      <text>
        <r>
          <rPr>
            <sz val="9"/>
            <color indexed="81"/>
            <rFont val="Tahoma"/>
            <family val="2"/>
          </rPr>
          <t>Solver found a solution. All constraints and optimality conditions are satisfied.</t>
        </r>
      </text>
    </comment>
    <comment ref="B19" authorId="0" shapeId="0" xr:uid="{D8A27E1B-6C61-416A-B389-BAABD1FA24D2}">
      <text>
        <r>
          <rPr>
            <sz val="9"/>
            <color indexed="81"/>
            <rFont val="Tahoma"/>
            <family val="2"/>
          </rPr>
          <t>Solver found a solution. All constraints and optimality conditions are satisfied.</t>
        </r>
      </text>
    </comment>
    <comment ref="C19" authorId="0" shapeId="0" xr:uid="{EB230BE4-EC9C-4488-B31F-FAF94782389E}">
      <text>
        <r>
          <rPr>
            <sz val="9"/>
            <color indexed="81"/>
            <rFont val="Tahoma"/>
            <family val="2"/>
          </rPr>
          <t>Solver found a solution. All constraints and optimality conditions are satisfied.</t>
        </r>
      </text>
    </comment>
    <comment ref="D19" authorId="0" shapeId="0" xr:uid="{9D9A0AC5-8C7F-4B0F-9252-E2EAC70FB928}">
      <text>
        <r>
          <rPr>
            <sz val="9"/>
            <color indexed="81"/>
            <rFont val="Tahoma"/>
            <family val="2"/>
          </rPr>
          <t>Solver found a solution. All constraints and optimality conditions are satisfied.</t>
        </r>
      </text>
    </comment>
    <comment ref="E19" authorId="0" shapeId="0" xr:uid="{DF952884-5A79-4DF0-A252-65DC8221B666}">
      <text>
        <r>
          <rPr>
            <sz val="9"/>
            <color indexed="81"/>
            <rFont val="Tahoma"/>
            <family val="2"/>
          </rPr>
          <t>Solver found a solution. All constraints and optimality conditions are satisfied.</t>
        </r>
      </text>
    </comment>
    <comment ref="F19" authorId="0" shapeId="0" xr:uid="{104A2EAB-340C-4481-B9F9-272B70F1B907}">
      <text>
        <r>
          <rPr>
            <sz val="9"/>
            <color indexed="81"/>
            <rFont val="Tahoma"/>
            <family val="2"/>
          </rPr>
          <t>Solver found a solution. All constraints and optimality conditions are satisfied.</t>
        </r>
      </text>
    </comment>
    <comment ref="G19" authorId="0" shapeId="0" xr:uid="{EBB53863-5239-4503-805C-BE4ADF1153CA}">
      <text>
        <r>
          <rPr>
            <sz val="9"/>
            <color indexed="81"/>
            <rFont val="Tahoma"/>
            <family val="2"/>
          </rPr>
          <t>Solver found a solution. All constraints and optimality conditions are satisfied.</t>
        </r>
      </text>
    </comment>
    <comment ref="H19" authorId="0" shapeId="0" xr:uid="{CE54D52D-6E65-467B-A299-48786053FAEB}">
      <text>
        <r>
          <rPr>
            <sz val="9"/>
            <color indexed="81"/>
            <rFont val="Tahoma"/>
            <family val="2"/>
          </rPr>
          <t>Solver found a solution. All constraints and optimality conditions are satisfied.</t>
        </r>
      </text>
    </comment>
    <comment ref="I19" authorId="0" shapeId="0" xr:uid="{1821CE94-8FBF-4529-A15B-E9976648EFAB}">
      <text>
        <r>
          <rPr>
            <sz val="9"/>
            <color indexed="81"/>
            <rFont val="Tahoma"/>
            <family val="2"/>
          </rPr>
          <t>Solver found a solution. All constraints and optimality conditions are satisfied.</t>
        </r>
      </text>
    </comment>
    <comment ref="J19" authorId="0" shapeId="0" xr:uid="{518A1374-3F8C-4029-80C2-D8712F53A28F}">
      <text>
        <r>
          <rPr>
            <sz val="9"/>
            <color indexed="81"/>
            <rFont val="Tahoma"/>
            <family val="2"/>
          </rPr>
          <t>Solver found a solution. All constraints and optimality conditions are satisfied.</t>
        </r>
      </text>
    </comment>
    <comment ref="K19" authorId="0" shapeId="0" xr:uid="{1D53A822-4D52-4ECA-9BBC-45B5F76EC944}">
      <text>
        <r>
          <rPr>
            <sz val="9"/>
            <color indexed="81"/>
            <rFont val="Tahoma"/>
            <family val="2"/>
          </rPr>
          <t>Solver found a solution. All constraints and optimality conditions are satisfied.</t>
        </r>
      </text>
    </comment>
    <comment ref="L19" authorId="0" shapeId="0" xr:uid="{E12BEBB5-1663-4B8E-94BF-544ABD93E2F2}">
      <text>
        <r>
          <rPr>
            <sz val="9"/>
            <color indexed="81"/>
            <rFont val="Tahoma"/>
            <family val="2"/>
          </rPr>
          <t>Solver found a solution. All constraints and optimality conditions are satisfied.</t>
        </r>
      </text>
    </comment>
    <comment ref="M19" authorId="0" shapeId="0" xr:uid="{8F4AEB65-9F5A-46F9-8BDF-3DADE780B591}">
      <text>
        <r>
          <rPr>
            <sz val="9"/>
            <color indexed="81"/>
            <rFont val="Tahoma"/>
            <family val="2"/>
          </rPr>
          <t>Solver found a solution. All constraints and optimality conditions are satisfied.</t>
        </r>
      </text>
    </comment>
    <comment ref="N19" authorId="0" shapeId="0" xr:uid="{5D7B9FBC-4FFF-4D8A-9020-EDC1D62BFA48}">
      <text>
        <r>
          <rPr>
            <sz val="9"/>
            <color indexed="81"/>
            <rFont val="Tahoma"/>
            <family val="2"/>
          </rPr>
          <t>Solver found a solution. All constraints and optimality conditions are satisfied.</t>
        </r>
      </text>
    </comment>
    <comment ref="O19" authorId="0" shapeId="0" xr:uid="{343945C9-B555-4EBA-B2A1-64D9AB2CAEE5}">
      <text>
        <r>
          <rPr>
            <sz val="9"/>
            <color indexed="81"/>
            <rFont val="Tahoma"/>
            <family val="2"/>
          </rPr>
          <t>Solver found a solution. All constraints and optimality conditions are satisfied.</t>
        </r>
      </text>
    </comment>
    <comment ref="P19" authorId="0" shapeId="0" xr:uid="{5962A981-147E-4A6A-A462-59F8DDE5E66B}">
      <text>
        <r>
          <rPr>
            <sz val="9"/>
            <color indexed="81"/>
            <rFont val="Tahoma"/>
            <family val="2"/>
          </rPr>
          <t>Solver found a solution. All constraints and optimality conditions are satisfied.</t>
        </r>
      </text>
    </comment>
    <comment ref="Q19" authorId="0" shapeId="0" xr:uid="{D61B83FA-F88B-4F0D-91FF-96986F3CBAF6}">
      <text>
        <r>
          <rPr>
            <sz val="9"/>
            <color indexed="81"/>
            <rFont val="Tahoma"/>
            <family val="2"/>
          </rPr>
          <t>Solver found a solution. All constraints and optimality conditions are satisfied.</t>
        </r>
      </text>
    </comment>
    <comment ref="R19" authorId="0" shapeId="0" xr:uid="{51B8EDE6-F7C6-4507-BCD8-51071925574B}">
      <text>
        <r>
          <rPr>
            <sz val="9"/>
            <color indexed="81"/>
            <rFont val="Tahoma"/>
            <family val="2"/>
          </rPr>
          <t>Solver found a solution. All constraints and optimality conditions are satisfied.</t>
        </r>
      </text>
    </comment>
    <comment ref="S19" authorId="0" shapeId="0" xr:uid="{E6BAA4FE-CD27-4D74-99E6-12FF056146DC}">
      <text>
        <r>
          <rPr>
            <sz val="9"/>
            <color indexed="81"/>
            <rFont val="Tahoma"/>
            <family val="2"/>
          </rPr>
          <t>Solver found a solution. All constraints and optimality conditions are satisfied.</t>
        </r>
      </text>
    </comment>
    <comment ref="B20" authorId="0" shapeId="0" xr:uid="{F0DC8A4F-F6CC-4DD1-87DA-B93FD5439579}">
      <text>
        <r>
          <rPr>
            <sz val="9"/>
            <color indexed="81"/>
            <rFont val="Tahoma"/>
            <family val="2"/>
          </rPr>
          <t>Solver found a solution. All constraints and optimality conditions are satisfied.</t>
        </r>
      </text>
    </comment>
    <comment ref="C20" authorId="0" shapeId="0" xr:uid="{94EF1030-CE4D-40EE-B898-0B3AF754537B}">
      <text>
        <r>
          <rPr>
            <sz val="9"/>
            <color indexed="81"/>
            <rFont val="Tahoma"/>
            <family val="2"/>
          </rPr>
          <t>Solver found a solution. All constraints and optimality conditions are satisfied.</t>
        </r>
      </text>
    </comment>
    <comment ref="D20" authorId="0" shapeId="0" xr:uid="{3469379E-5880-4270-A4FF-01A34A032E59}">
      <text>
        <r>
          <rPr>
            <sz val="9"/>
            <color indexed="81"/>
            <rFont val="Tahoma"/>
            <family val="2"/>
          </rPr>
          <t>Solver found a solution. All constraints and optimality conditions are satisfied.</t>
        </r>
      </text>
    </comment>
    <comment ref="E20" authorId="0" shapeId="0" xr:uid="{9D2B9826-11C4-4C5F-A5B0-6969FA5D38A6}">
      <text>
        <r>
          <rPr>
            <sz val="9"/>
            <color indexed="81"/>
            <rFont val="Tahoma"/>
            <family val="2"/>
          </rPr>
          <t>Solver found a solution. All constraints and optimality conditions are satisfied.</t>
        </r>
      </text>
    </comment>
    <comment ref="F20" authorId="0" shapeId="0" xr:uid="{1457C397-0632-46E2-87B0-C4BE1FBA8F6A}">
      <text>
        <r>
          <rPr>
            <sz val="9"/>
            <color indexed="81"/>
            <rFont val="Tahoma"/>
            <family val="2"/>
          </rPr>
          <t>Solver found a solution. All constraints and optimality conditions are satisfied.</t>
        </r>
      </text>
    </comment>
    <comment ref="G20" authorId="0" shapeId="0" xr:uid="{DA45ACBC-38DA-4F3D-AF3E-87851CE336D0}">
      <text>
        <r>
          <rPr>
            <sz val="9"/>
            <color indexed="81"/>
            <rFont val="Tahoma"/>
            <family val="2"/>
          </rPr>
          <t>Solver found a solution. All constraints and optimality conditions are satisfied.</t>
        </r>
      </text>
    </comment>
    <comment ref="H20" authorId="0" shapeId="0" xr:uid="{C5EFBB0A-99DA-434E-849E-19773562C23B}">
      <text>
        <r>
          <rPr>
            <sz val="9"/>
            <color indexed="81"/>
            <rFont val="Tahoma"/>
            <family val="2"/>
          </rPr>
          <t>Solver found a solution. All constraints and optimality conditions are satisfied.</t>
        </r>
      </text>
    </comment>
    <comment ref="I20" authorId="0" shapeId="0" xr:uid="{EB2DAC64-3BF5-45C9-9EA6-7C5FC6695896}">
      <text>
        <r>
          <rPr>
            <sz val="9"/>
            <color indexed="81"/>
            <rFont val="Tahoma"/>
            <family val="2"/>
          </rPr>
          <t>Solver found a solution. All constraints and optimality conditions are satisfied.</t>
        </r>
      </text>
    </comment>
    <comment ref="J20" authorId="0" shapeId="0" xr:uid="{9568766C-ABD6-444E-A5A9-F1BD9F6B6EA5}">
      <text>
        <r>
          <rPr>
            <sz val="9"/>
            <color indexed="81"/>
            <rFont val="Tahoma"/>
            <family val="2"/>
          </rPr>
          <t>Solver found a solution. All constraints and optimality conditions are satisfied.</t>
        </r>
      </text>
    </comment>
    <comment ref="K20" authorId="0" shapeId="0" xr:uid="{9B436569-C86F-421C-9612-8C580F84765E}">
      <text>
        <r>
          <rPr>
            <sz val="9"/>
            <color indexed="81"/>
            <rFont val="Tahoma"/>
            <family val="2"/>
          </rPr>
          <t>Solver found a solution. All constraints and optimality conditions are satisfied.</t>
        </r>
      </text>
    </comment>
    <comment ref="L20" authorId="0" shapeId="0" xr:uid="{AFDC61C9-1D17-48ED-B6AF-C2B8BE747795}">
      <text>
        <r>
          <rPr>
            <sz val="9"/>
            <color indexed="81"/>
            <rFont val="Tahoma"/>
            <family val="2"/>
          </rPr>
          <t>Solver found a solution. All constraints and optimality conditions are satisfied.</t>
        </r>
      </text>
    </comment>
    <comment ref="M20" authorId="0" shapeId="0" xr:uid="{17B6C644-A528-432E-9F5B-3C4274AB07ED}">
      <text>
        <r>
          <rPr>
            <sz val="9"/>
            <color indexed="81"/>
            <rFont val="Tahoma"/>
            <family val="2"/>
          </rPr>
          <t>Solver found a solution. All constraints and optimality conditions are satisfied.</t>
        </r>
      </text>
    </comment>
    <comment ref="N20" authorId="0" shapeId="0" xr:uid="{03AFA0F3-5C8F-4AC0-BB6E-42BCBE5900B8}">
      <text>
        <r>
          <rPr>
            <sz val="9"/>
            <color indexed="81"/>
            <rFont val="Tahoma"/>
            <family val="2"/>
          </rPr>
          <t>Solver found a solution. All constraints and optimality conditions are satisfied.</t>
        </r>
      </text>
    </comment>
    <comment ref="O20" authorId="0" shapeId="0" xr:uid="{24615378-D8EC-4630-9EFD-B3D53D16F40D}">
      <text>
        <r>
          <rPr>
            <sz val="9"/>
            <color indexed="81"/>
            <rFont val="Tahoma"/>
            <family val="2"/>
          </rPr>
          <t>Solver found a solution. All constraints and optimality conditions are satisfied.</t>
        </r>
      </text>
    </comment>
    <comment ref="P20" authorId="0" shapeId="0" xr:uid="{BC946229-A378-4E9E-AA96-6037C37E9EE0}">
      <text>
        <r>
          <rPr>
            <sz val="9"/>
            <color indexed="81"/>
            <rFont val="Tahoma"/>
            <family val="2"/>
          </rPr>
          <t>Solver found a solution. All constraints and optimality conditions are satisfied.</t>
        </r>
      </text>
    </comment>
    <comment ref="Q20" authorId="0" shapeId="0" xr:uid="{65326C4D-E7F3-4C27-AB64-4A835F045E5D}">
      <text>
        <r>
          <rPr>
            <sz val="9"/>
            <color indexed="81"/>
            <rFont val="Tahoma"/>
            <family val="2"/>
          </rPr>
          <t>Solver found a solution. All constraints and optimality conditions are satisfied.</t>
        </r>
      </text>
    </comment>
    <comment ref="R20" authorId="0" shapeId="0" xr:uid="{60EAF85D-6681-429D-B737-2FC453CB4974}">
      <text>
        <r>
          <rPr>
            <sz val="9"/>
            <color indexed="81"/>
            <rFont val="Tahoma"/>
            <family val="2"/>
          </rPr>
          <t>Solver found a solution. All constraints and optimality conditions are satisfied.</t>
        </r>
      </text>
    </comment>
    <comment ref="S20" authorId="0" shapeId="0" xr:uid="{9BEAC69A-2C6A-4857-90C1-80566A8DEDFC}">
      <text>
        <r>
          <rPr>
            <sz val="9"/>
            <color indexed="81"/>
            <rFont val="Tahoma"/>
            <family val="2"/>
          </rPr>
          <t>Solver found a solution. All constraints and optimality conditions are satisfied.</t>
        </r>
      </text>
    </comment>
    <comment ref="B21" authorId="0" shapeId="0" xr:uid="{9849A2CD-7333-42EF-8D0C-AC2F04EDF3FB}">
      <text>
        <r>
          <rPr>
            <sz val="9"/>
            <color indexed="81"/>
            <rFont val="Tahoma"/>
            <family val="2"/>
          </rPr>
          <t>Solver found a solution. All constraints and optimality conditions are satisfied.</t>
        </r>
      </text>
    </comment>
    <comment ref="C21" authorId="0" shapeId="0" xr:uid="{81D3A946-F020-49B2-AD78-3CA249ACE2ED}">
      <text>
        <r>
          <rPr>
            <sz val="9"/>
            <color indexed="81"/>
            <rFont val="Tahoma"/>
            <family val="2"/>
          </rPr>
          <t>Solver found a solution. All constraints and optimality conditions are satisfied.</t>
        </r>
      </text>
    </comment>
    <comment ref="D21" authorId="0" shapeId="0" xr:uid="{5FCE2F23-8E47-45F8-8B65-FA2DB569ECC6}">
      <text>
        <r>
          <rPr>
            <sz val="9"/>
            <color indexed="81"/>
            <rFont val="Tahoma"/>
            <family val="2"/>
          </rPr>
          <t>Solver found a solution. All constraints and optimality conditions are satisfied.</t>
        </r>
      </text>
    </comment>
    <comment ref="E21" authorId="0" shapeId="0" xr:uid="{4BBDD1FE-26DC-4A99-8A71-B24EB4559711}">
      <text>
        <r>
          <rPr>
            <sz val="9"/>
            <color indexed="81"/>
            <rFont val="Tahoma"/>
            <family val="2"/>
          </rPr>
          <t>Solver found a solution. All constraints and optimality conditions are satisfied.</t>
        </r>
      </text>
    </comment>
    <comment ref="F21" authorId="0" shapeId="0" xr:uid="{5EF84810-790E-45F4-A41F-100BC1155676}">
      <text>
        <r>
          <rPr>
            <sz val="9"/>
            <color indexed="81"/>
            <rFont val="Tahoma"/>
            <family val="2"/>
          </rPr>
          <t>Solver found a solution. All constraints and optimality conditions are satisfied.</t>
        </r>
      </text>
    </comment>
    <comment ref="G21" authorId="0" shapeId="0" xr:uid="{991C9F3D-4DA6-45BC-A5E4-09F37AB4F74C}">
      <text>
        <r>
          <rPr>
            <sz val="9"/>
            <color indexed="81"/>
            <rFont val="Tahoma"/>
            <family val="2"/>
          </rPr>
          <t>Solver found a solution. All constraints and optimality conditions are satisfied.</t>
        </r>
      </text>
    </comment>
    <comment ref="H21" authorId="0" shapeId="0" xr:uid="{85B364B0-D89F-4E6E-87C2-CAE1F5CA46A4}">
      <text>
        <r>
          <rPr>
            <sz val="9"/>
            <color indexed="81"/>
            <rFont val="Tahoma"/>
            <family val="2"/>
          </rPr>
          <t>Solver found a solution. All constraints and optimality conditions are satisfied.</t>
        </r>
      </text>
    </comment>
    <comment ref="I21" authorId="0" shapeId="0" xr:uid="{4A74FB7D-D7DC-45D5-B36F-348295017E96}">
      <text>
        <r>
          <rPr>
            <sz val="9"/>
            <color indexed="81"/>
            <rFont val="Tahoma"/>
            <family val="2"/>
          </rPr>
          <t>Solver found a solution. All constraints and optimality conditions are satisfied.</t>
        </r>
      </text>
    </comment>
    <comment ref="J21" authorId="0" shapeId="0" xr:uid="{81B4EDF4-A9F8-437F-9F13-777422EBB841}">
      <text>
        <r>
          <rPr>
            <sz val="9"/>
            <color indexed="81"/>
            <rFont val="Tahoma"/>
            <family val="2"/>
          </rPr>
          <t>Solver found a solution. All constraints and optimality conditions are satisfied.</t>
        </r>
      </text>
    </comment>
    <comment ref="K21" authorId="0" shapeId="0" xr:uid="{8E2D7BF3-EC0E-45FF-9AF4-39F645961319}">
      <text>
        <r>
          <rPr>
            <sz val="9"/>
            <color indexed="81"/>
            <rFont val="Tahoma"/>
            <family val="2"/>
          </rPr>
          <t>Solver found a solution. All constraints and optimality conditions are satisfied.</t>
        </r>
      </text>
    </comment>
    <comment ref="L21" authorId="0" shapeId="0" xr:uid="{1F9615D2-65B7-4290-A465-048A67EFF29C}">
      <text>
        <r>
          <rPr>
            <sz val="9"/>
            <color indexed="81"/>
            <rFont val="Tahoma"/>
            <family val="2"/>
          </rPr>
          <t>Solver found a solution. All constraints and optimality conditions are satisfied.</t>
        </r>
      </text>
    </comment>
    <comment ref="M21" authorId="0" shapeId="0" xr:uid="{B1331640-5992-4293-B2B2-AB60CED53CE5}">
      <text>
        <r>
          <rPr>
            <sz val="9"/>
            <color indexed="81"/>
            <rFont val="Tahoma"/>
            <family val="2"/>
          </rPr>
          <t>Solver found a solution. All constraints and optimality conditions are satisfied.</t>
        </r>
      </text>
    </comment>
    <comment ref="N21" authorId="0" shapeId="0" xr:uid="{668FA674-FDF1-4FEA-8AB8-957B948CBD8E}">
      <text>
        <r>
          <rPr>
            <sz val="9"/>
            <color indexed="81"/>
            <rFont val="Tahoma"/>
            <family val="2"/>
          </rPr>
          <t>Solver found a solution. All constraints and optimality conditions are satisfied.</t>
        </r>
      </text>
    </comment>
    <comment ref="O21" authorId="0" shapeId="0" xr:uid="{5833817E-C08C-426A-A610-32C3A481733F}">
      <text>
        <r>
          <rPr>
            <sz val="9"/>
            <color indexed="81"/>
            <rFont val="Tahoma"/>
            <family val="2"/>
          </rPr>
          <t>Solver found a solution. All constraints and optimality conditions are satisfied.</t>
        </r>
      </text>
    </comment>
    <comment ref="P21" authorId="0" shapeId="0" xr:uid="{7C4ED472-2E6F-4904-ACD5-30950717DB68}">
      <text>
        <r>
          <rPr>
            <sz val="9"/>
            <color indexed="81"/>
            <rFont val="Tahoma"/>
            <family val="2"/>
          </rPr>
          <t>Solver found a solution. All constraints and optimality conditions are satisfied.</t>
        </r>
      </text>
    </comment>
    <comment ref="Q21" authorId="0" shapeId="0" xr:uid="{9FBABE00-E0AF-4EB4-818C-C713986A05D8}">
      <text>
        <r>
          <rPr>
            <sz val="9"/>
            <color indexed="81"/>
            <rFont val="Tahoma"/>
            <family val="2"/>
          </rPr>
          <t>Solver found a solution. All constraints and optimality conditions are satisfied.</t>
        </r>
      </text>
    </comment>
    <comment ref="R21" authorId="0" shapeId="0" xr:uid="{7DAB93CE-53FE-4B46-9E61-6EFEF36BD29F}">
      <text>
        <r>
          <rPr>
            <sz val="9"/>
            <color indexed="81"/>
            <rFont val="Tahoma"/>
            <family val="2"/>
          </rPr>
          <t>Solver found a solution. All constraints and optimality conditions are satisfied.</t>
        </r>
      </text>
    </comment>
    <comment ref="S21" authorId="0" shapeId="0" xr:uid="{307451B8-91A5-4E3E-8851-095B0C946B36}">
      <text>
        <r>
          <rPr>
            <sz val="9"/>
            <color indexed="81"/>
            <rFont val="Tahoma"/>
            <family val="2"/>
          </rPr>
          <t>Solver found a solution. All constraints and optimality conditions are satisfied.</t>
        </r>
      </text>
    </comment>
    <comment ref="B22" authorId="0" shapeId="0" xr:uid="{756D15CB-A773-4656-ACBA-A696987FF76C}">
      <text>
        <r>
          <rPr>
            <sz val="9"/>
            <color indexed="81"/>
            <rFont val="Tahoma"/>
            <family val="2"/>
          </rPr>
          <t>Solver found a solution. All constraints and optimality conditions are satisfied.</t>
        </r>
      </text>
    </comment>
    <comment ref="C22" authorId="0" shapeId="0" xr:uid="{945B145A-8A90-492F-B8A9-839CF6EC8065}">
      <text>
        <r>
          <rPr>
            <sz val="9"/>
            <color indexed="81"/>
            <rFont val="Tahoma"/>
            <family val="2"/>
          </rPr>
          <t>Solver found a solution. All constraints and optimality conditions are satisfied.</t>
        </r>
      </text>
    </comment>
    <comment ref="D22" authorId="0" shapeId="0" xr:uid="{31DC4D92-321A-41F9-8675-C2F077022A39}">
      <text>
        <r>
          <rPr>
            <sz val="9"/>
            <color indexed="81"/>
            <rFont val="Tahoma"/>
            <family val="2"/>
          </rPr>
          <t>Solver found a solution. All constraints and optimality conditions are satisfied.</t>
        </r>
      </text>
    </comment>
    <comment ref="E22" authorId="0" shapeId="0" xr:uid="{FF091945-3FCC-4EC7-8A21-CD2DB5FEB8A8}">
      <text>
        <r>
          <rPr>
            <sz val="9"/>
            <color indexed="81"/>
            <rFont val="Tahoma"/>
            <family val="2"/>
          </rPr>
          <t>Solver found a solution. All constraints and optimality conditions are satisfied.</t>
        </r>
      </text>
    </comment>
    <comment ref="F22" authorId="0" shapeId="0" xr:uid="{4A9DCE34-3796-4DD3-9A45-32A24529F18D}">
      <text>
        <r>
          <rPr>
            <sz val="9"/>
            <color indexed="81"/>
            <rFont val="Tahoma"/>
            <family val="2"/>
          </rPr>
          <t>Solver found a solution. All constraints and optimality conditions are satisfied.</t>
        </r>
      </text>
    </comment>
    <comment ref="G22" authorId="0" shapeId="0" xr:uid="{E6B026AF-B4DF-49D5-804D-CA64A9956799}">
      <text>
        <r>
          <rPr>
            <sz val="9"/>
            <color indexed="81"/>
            <rFont val="Tahoma"/>
            <family val="2"/>
          </rPr>
          <t>Solver found a solution. All constraints and optimality conditions are satisfied.</t>
        </r>
      </text>
    </comment>
    <comment ref="H22" authorId="0" shapeId="0" xr:uid="{5C966202-1062-4421-9B6D-39523FDE3429}">
      <text>
        <r>
          <rPr>
            <sz val="9"/>
            <color indexed="81"/>
            <rFont val="Tahoma"/>
            <family val="2"/>
          </rPr>
          <t>Solver found a solution. All constraints and optimality conditions are satisfied.</t>
        </r>
      </text>
    </comment>
    <comment ref="I22" authorId="0" shapeId="0" xr:uid="{E0CFDEF8-C023-4D20-BB39-6EBBE4451EA8}">
      <text>
        <r>
          <rPr>
            <sz val="9"/>
            <color indexed="81"/>
            <rFont val="Tahoma"/>
            <family val="2"/>
          </rPr>
          <t>Solver found a solution. All constraints and optimality conditions are satisfied.</t>
        </r>
      </text>
    </comment>
    <comment ref="J22" authorId="0" shapeId="0" xr:uid="{483406A8-A311-43EA-A254-1922FA422780}">
      <text>
        <r>
          <rPr>
            <sz val="9"/>
            <color indexed="81"/>
            <rFont val="Tahoma"/>
            <family val="2"/>
          </rPr>
          <t>Solver found a solution. All constraints and optimality conditions are satisfied.</t>
        </r>
      </text>
    </comment>
    <comment ref="K22" authorId="0" shapeId="0" xr:uid="{8B3F9A48-2E13-4DB4-86D6-70141D5B4AED}">
      <text>
        <r>
          <rPr>
            <sz val="9"/>
            <color indexed="81"/>
            <rFont val="Tahoma"/>
            <family val="2"/>
          </rPr>
          <t>Solver found a solution. All constraints and optimality conditions are satisfied.</t>
        </r>
      </text>
    </comment>
    <comment ref="L22" authorId="0" shapeId="0" xr:uid="{5F261580-70D7-4582-B98F-0BA69F1F6673}">
      <text>
        <r>
          <rPr>
            <sz val="9"/>
            <color indexed="81"/>
            <rFont val="Tahoma"/>
            <family val="2"/>
          </rPr>
          <t>Solver found a solution. All constraints and optimality conditions are satisfied.</t>
        </r>
      </text>
    </comment>
    <comment ref="M22" authorId="0" shapeId="0" xr:uid="{AEAB6AD1-1B3D-46FC-8877-CC2354E662DF}">
      <text>
        <r>
          <rPr>
            <sz val="9"/>
            <color indexed="81"/>
            <rFont val="Tahoma"/>
            <family val="2"/>
          </rPr>
          <t>Solver found a solution. All constraints and optimality conditions are satisfied.</t>
        </r>
      </text>
    </comment>
    <comment ref="N22" authorId="0" shapeId="0" xr:uid="{27557D1C-3F92-4A82-A427-C58C837B8C85}">
      <text>
        <r>
          <rPr>
            <sz val="9"/>
            <color indexed="81"/>
            <rFont val="Tahoma"/>
            <family val="2"/>
          </rPr>
          <t>Solver found a solution. All constraints and optimality conditions are satisfied.</t>
        </r>
      </text>
    </comment>
    <comment ref="O22" authorId="0" shapeId="0" xr:uid="{B1AFA64F-15B3-4B9C-8AD3-01506A7067BE}">
      <text>
        <r>
          <rPr>
            <sz val="9"/>
            <color indexed="81"/>
            <rFont val="Tahoma"/>
            <family val="2"/>
          </rPr>
          <t>Solver found a solution. All constraints and optimality conditions are satisfied.</t>
        </r>
      </text>
    </comment>
    <comment ref="P22" authorId="0" shapeId="0" xr:uid="{B84FC620-5849-43CE-9440-892514A58A09}">
      <text>
        <r>
          <rPr>
            <sz val="9"/>
            <color indexed="81"/>
            <rFont val="Tahoma"/>
            <family val="2"/>
          </rPr>
          <t>Solver found a solution. All constraints and optimality conditions are satisfied.</t>
        </r>
      </text>
    </comment>
    <comment ref="Q22" authorId="0" shapeId="0" xr:uid="{D088287D-7EA6-40EB-A8A4-D181F2BC4BC9}">
      <text>
        <r>
          <rPr>
            <sz val="9"/>
            <color indexed="81"/>
            <rFont val="Tahoma"/>
            <family val="2"/>
          </rPr>
          <t>Solver found a solution. All constraints and optimality conditions are satisfied.</t>
        </r>
      </text>
    </comment>
    <comment ref="R22" authorId="0" shapeId="0" xr:uid="{F30A4ABA-E1D9-48A3-96CF-45871A686F69}">
      <text>
        <r>
          <rPr>
            <sz val="9"/>
            <color indexed="81"/>
            <rFont val="Tahoma"/>
            <family val="2"/>
          </rPr>
          <t>Solver found a solution. All constraints and optimality conditions are satisfied.</t>
        </r>
      </text>
    </comment>
    <comment ref="S22" authorId="0" shapeId="0" xr:uid="{5632B472-F33E-4D58-862A-2AC126A3BC42}">
      <text>
        <r>
          <rPr>
            <sz val="9"/>
            <color indexed="81"/>
            <rFont val="Tahoma"/>
            <family val="2"/>
          </rPr>
          <t>Solver found a solution. All constraints and optimality conditions are satisfied.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Ashutosh Mishra</author>
  </authors>
  <commentList>
    <comment ref="B5" authorId="0" shapeId="0" xr:uid="{BC4BAD8F-2FAA-4EC1-8B91-78F548A13117}">
      <text>
        <r>
          <rPr>
            <sz val="9"/>
            <color indexed="81"/>
            <rFont val="Tahoma"/>
            <family val="2"/>
          </rPr>
          <t>Solver found a solution. All constraints and optimality conditions are satisfied.</t>
        </r>
      </text>
    </comment>
    <comment ref="C5" authorId="0" shapeId="0" xr:uid="{951258EC-EF22-4C4E-BA7F-934FEE7E8156}">
      <text>
        <r>
          <rPr>
            <sz val="9"/>
            <color indexed="81"/>
            <rFont val="Tahoma"/>
            <family val="2"/>
          </rPr>
          <t>Solver found a solution. All constraints and optimality conditions are satisfied.</t>
        </r>
      </text>
    </comment>
    <comment ref="D5" authorId="0" shapeId="0" xr:uid="{159E2F73-FB12-45F6-B731-4D5018AC4331}">
      <text>
        <r>
          <rPr>
            <sz val="9"/>
            <color indexed="81"/>
            <rFont val="Tahoma"/>
            <family val="2"/>
          </rPr>
          <t>Solver found a solution. All constraints and optimality conditions are satisfied.</t>
        </r>
      </text>
    </comment>
    <comment ref="E5" authorId="0" shapeId="0" xr:uid="{4B30AB18-ED72-4B61-85C9-83C5A9B38021}">
      <text>
        <r>
          <rPr>
            <sz val="9"/>
            <color indexed="81"/>
            <rFont val="Tahoma"/>
            <family val="2"/>
          </rPr>
          <t>Solver found a solution. All constraints and optimality conditions are satisfied.</t>
        </r>
      </text>
    </comment>
    <comment ref="F5" authorId="0" shapeId="0" xr:uid="{AD4E523A-561F-4948-ADF2-0261B1478BDB}">
      <text>
        <r>
          <rPr>
            <sz val="9"/>
            <color indexed="81"/>
            <rFont val="Tahoma"/>
            <family val="2"/>
          </rPr>
          <t>Solver found a solution. All constraints and optimality conditions are satisfied.</t>
        </r>
      </text>
    </comment>
    <comment ref="G5" authorId="0" shapeId="0" xr:uid="{98FE068F-3937-4B8B-BE70-FC4EA7929F43}">
      <text>
        <r>
          <rPr>
            <sz val="9"/>
            <color indexed="81"/>
            <rFont val="Tahoma"/>
            <family val="2"/>
          </rPr>
          <t>Solver found a solution. All constraints and optimality conditions are satisfied.</t>
        </r>
      </text>
    </comment>
    <comment ref="H5" authorId="0" shapeId="0" xr:uid="{17C73B94-3EDE-490E-897C-20B898E1FB12}">
      <text>
        <r>
          <rPr>
            <sz val="9"/>
            <color indexed="81"/>
            <rFont val="Tahoma"/>
            <family val="2"/>
          </rPr>
          <t>Solver found a solution. All constraints and optimality conditions are satisfied.</t>
        </r>
      </text>
    </comment>
    <comment ref="B6" authorId="0" shapeId="0" xr:uid="{ACECD5F2-5FFD-4418-B636-8C139F04397F}">
      <text>
        <r>
          <rPr>
            <sz val="9"/>
            <color indexed="81"/>
            <rFont val="Tahoma"/>
            <family val="2"/>
          </rPr>
          <t>Solver found a solution. All constraints and optimality conditions are satisfied.</t>
        </r>
      </text>
    </comment>
    <comment ref="C6" authorId="0" shapeId="0" xr:uid="{61608AF5-4947-4A53-BBBF-E05C70A6DF82}">
      <text>
        <r>
          <rPr>
            <sz val="9"/>
            <color indexed="81"/>
            <rFont val="Tahoma"/>
            <family val="2"/>
          </rPr>
          <t>Solver found a solution. All constraints and optimality conditions are satisfied.</t>
        </r>
      </text>
    </comment>
    <comment ref="D6" authorId="0" shapeId="0" xr:uid="{9151A5AA-04F4-4302-BD2D-6A857F3AD7F3}">
      <text>
        <r>
          <rPr>
            <sz val="9"/>
            <color indexed="81"/>
            <rFont val="Tahoma"/>
            <family val="2"/>
          </rPr>
          <t>Solver found a solution. All constraints and optimality conditions are satisfied.</t>
        </r>
      </text>
    </comment>
    <comment ref="E6" authorId="0" shapeId="0" xr:uid="{660D8320-1D51-4866-9317-E7FC4B83DFB8}">
      <text>
        <r>
          <rPr>
            <sz val="9"/>
            <color indexed="81"/>
            <rFont val="Tahoma"/>
            <family val="2"/>
          </rPr>
          <t>Solver found a solution. All constraints and optimality conditions are satisfied.</t>
        </r>
      </text>
    </comment>
    <comment ref="F6" authorId="0" shapeId="0" xr:uid="{771206E3-E47D-44D1-AEDD-E143EDD71F07}">
      <text>
        <r>
          <rPr>
            <sz val="9"/>
            <color indexed="81"/>
            <rFont val="Tahoma"/>
            <family val="2"/>
          </rPr>
          <t>Solver found a solution. All constraints and optimality conditions are satisfied.</t>
        </r>
      </text>
    </comment>
    <comment ref="G6" authorId="0" shapeId="0" xr:uid="{233E004A-0A34-47CC-9E57-83ECC6BC62B3}">
      <text>
        <r>
          <rPr>
            <sz val="9"/>
            <color indexed="81"/>
            <rFont val="Tahoma"/>
            <family val="2"/>
          </rPr>
          <t>Solver found a solution. All constraints and optimality conditions are satisfied.</t>
        </r>
      </text>
    </comment>
    <comment ref="H6" authorId="0" shapeId="0" xr:uid="{9C3A75F0-E44A-47A8-AE0D-B81184609163}">
      <text>
        <r>
          <rPr>
            <sz val="9"/>
            <color indexed="81"/>
            <rFont val="Tahoma"/>
            <family val="2"/>
          </rPr>
          <t>Solver found a solution. All constraints and optimality conditions are satisfied.</t>
        </r>
      </text>
    </comment>
    <comment ref="B7" authorId="0" shapeId="0" xr:uid="{3DA73C1E-A741-4693-A29E-D49249DA6477}">
      <text>
        <r>
          <rPr>
            <sz val="9"/>
            <color indexed="81"/>
            <rFont val="Tahoma"/>
            <family val="2"/>
          </rPr>
          <t>Solver found a solution. All constraints and optimality conditions are satisfied.</t>
        </r>
      </text>
    </comment>
    <comment ref="C7" authorId="0" shapeId="0" xr:uid="{585511D3-A5BF-44CC-A612-EB38615F9CC3}">
      <text>
        <r>
          <rPr>
            <sz val="9"/>
            <color indexed="81"/>
            <rFont val="Tahoma"/>
            <family val="2"/>
          </rPr>
          <t>Solver found a solution. All constraints and optimality conditions are satisfied.</t>
        </r>
      </text>
    </comment>
    <comment ref="D7" authorId="0" shapeId="0" xr:uid="{4236A8D1-9FF0-406F-BAEE-41B4E6E899C0}">
      <text>
        <r>
          <rPr>
            <sz val="9"/>
            <color indexed="81"/>
            <rFont val="Tahoma"/>
            <family val="2"/>
          </rPr>
          <t>Solver found a solution. All constraints and optimality conditions are satisfied.</t>
        </r>
      </text>
    </comment>
    <comment ref="E7" authorId="0" shapeId="0" xr:uid="{5CADA8EF-9C1E-4661-B23A-B20F26B45015}">
      <text>
        <r>
          <rPr>
            <sz val="9"/>
            <color indexed="81"/>
            <rFont val="Tahoma"/>
            <family val="2"/>
          </rPr>
          <t>Solver found a solution. All constraints and optimality conditions are satisfied.</t>
        </r>
      </text>
    </comment>
    <comment ref="F7" authorId="0" shapeId="0" xr:uid="{E60B60A9-7B4A-4321-9286-C500941D24E0}">
      <text>
        <r>
          <rPr>
            <sz val="9"/>
            <color indexed="81"/>
            <rFont val="Tahoma"/>
            <family val="2"/>
          </rPr>
          <t>Solver found a solution. All constraints and optimality conditions are satisfied.</t>
        </r>
      </text>
    </comment>
    <comment ref="G7" authorId="0" shapeId="0" xr:uid="{9529E7A4-E00F-4921-A82B-510807CE0BBF}">
      <text>
        <r>
          <rPr>
            <sz val="9"/>
            <color indexed="81"/>
            <rFont val="Tahoma"/>
            <family val="2"/>
          </rPr>
          <t>Solver found a solution. All constraints and optimality conditions are satisfied.</t>
        </r>
      </text>
    </comment>
    <comment ref="H7" authorId="0" shapeId="0" xr:uid="{71417B97-853F-4524-A21B-CB500723E828}">
      <text>
        <r>
          <rPr>
            <sz val="9"/>
            <color indexed="81"/>
            <rFont val="Tahoma"/>
            <family val="2"/>
          </rPr>
          <t>Solver found a solution. All constraints and optimality conditions are satisfied.</t>
        </r>
      </text>
    </comment>
    <comment ref="B8" authorId="0" shapeId="0" xr:uid="{72E0A864-6EC3-4152-B68C-7224598358E4}">
      <text>
        <r>
          <rPr>
            <sz val="9"/>
            <color indexed="81"/>
            <rFont val="Tahoma"/>
            <family val="2"/>
          </rPr>
          <t>Solver found a solution. All constraints and optimality conditions are satisfied.</t>
        </r>
      </text>
    </comment>
    <comment ref="C8" authorId="0" shapeId="0" xr:uid="{00000AE9-91D6-491F-930E-64332543AEA9}">
      <text>
        <r>
          <rPr>
            <sz val="9"/>
            <color indexed="81"/>
            <rFont val="Tahoma"/>
            <family val="2"/>
          </rPr>
          <t>Solver found a solution. All constraints and optimality conditions are satisfied.</t>
        </r>
      </text>
    </comment>
    <comment ref="D8" authorId="0" shapeId="0" xr:uid="{244AA6B4-A469-430D-AB37-17BC42C0297E}">
      <text>
        <r>
          <rPr>
            <sz val="9"/>
            <color indexed="81"/>
            <rFont val="Tahoma"/>
            <family val="2"/>
          </rPr>
          <t>Solver found a solution. All constraints and optimality conditions are satisfied.</t>
        </r>
      </text>
    </comment>
    <comment ref="E8" authorId="0" shapeId="0" xr:uid="{40373521-19CA-4F3E-97FD-4452184B2C97}">
      <text>
        <r>
          <rPr>
            <sz val="9"/>
            <color indexed="81"/>
            <rFont val="Tahoma"/>
            <family val="2"/>
          </rPr>
          <t>Solver found a solution. All constraints and optimality conditions are satisfied.</t>
        </r>
      </text>
    </comment>
    <comment ref="F8" authorId="0" shapeId="0" xr:uid="{500BEBA5-DAA1-4358-BB68-458F88F6D03B}">
      <text>
        <r>
          <rPr>
            <sz val="9"/>
            <color indexed="81"/>
            <rFont val="Tahoma"/>
            <family val="2"/>
          </rPr>
          <t>Solver found a solution. All constraints and optimality conditions are satisfied.</t>
        </r>
      </text>
    </comment>
    <comment ref="G8" authorId="0" shapeId="0" xr:uid="{F676AB5F-6869-45F2-9966-B7654D488593}">
      <text>
        <r>
          <rPr>
            <sz val="9"/>
            <color indexed="81"/>
            <rFont val="Tahoma"/>
            <family val="2"/>
          </rPr>
          <t>Solver found a solution. All constraints and optimality conditions are satisfied.</t>
        </r>
      </text>
    </comment>
    <comment ref="H8" authorId="0" shapeId="0" xr:uid="{41D2814B-F3F3-4BC2-87CB-D90C1D4ADC40}">
      <text>
        <r>
          <rPr>
            <sz val="9"/>
            <color indexed="81"/>
            <rFont val="Tahoma"/>
            <family val="2"/>
          </rPr>
          <t>Solver found a solution. All constraints and optimality conditions are satisfied.</t>
        </r>
      </text>
    </comment>
    <comment ref="B9" authorId="0" shapeId="0" xr:uid="{7AA3EF2B-83B0-429F-A8ED-8484DD17E003}">
      <text>
        <r>
          <rPr>
            <sz val="9"/>
            <color indexed="81"/>
            <rFont val="Tahoma"/>
            <family val="2"/>
          </rPr>
          <t>Solver found a solution. All constraints and optimality conditions are satisfied.</t>
        </r>
      </text>
    </comment>
    <comment ref="C9" authorId="0" shapeId="0" xr:uid="{07220E03-CDBF-4A93-865D-3F6EB0DC04A1}">
      <text>
        <r>
          <rPr>
            <sz val="9"/>
            <color indexed="81"/>
            <rFont val="Tahoma"/>
            <family val="2"/>
          </rPr>
          <t>Solver found a solution. All constraints and optimality conditions are satisfied.</t>
        </r>
      </text>
    </comment>
    <comment ref="D9" authorId="0" shapeId="0" xr:uid="{A0C33921-7AA3-4840-85CE-FD5FBFA30819}">
      <text>
        <r>
          <rPr>
            <sz val="9"/>
            <color indexed="81"/>
            <rFont val="Tahoma"/>
            <family val="2"/>
          </rPr>
          <t>Solver found a solution. All constraints and optimality conditions are satisfied.</t>
        </r>
      </text>
    </comment>
    <comment ref="E9" authorId="0" shapeId="0" xr:uid="{BDFAAB81-F864-41D6-AF90-27F6302276EB}">
      <text>
        <r>
          <rPr>
            <sz val="9"/>
            <color indexed="81"/>
            <rFont val="Tahoma"/>
            <family val="2"/>
          </rPr>
          <t>Solver found a solution. All constraints and optimality conditions are satisfied.</t>
        </r>
      </text>
    </comment>
    <comment ref="F9" authorId="0" shapeId="0" xr:uid="{F5D67DD9-1F4C-468A-BDAD-828EC5B796A0}">
      <text>
        <r>
          <rPr>
            <sz val="9"/>
            <color indexed="81"/>
            <rFont val="Tahoma"/>
            <family val="2"/>
          </rPr>
          <t>Solver found a solution. All constraints and optimality conditions are satisfied.</t>
        </r>
      </text>
    </comment>
    <comment ref="G9" authorId="0" shapeId="0" xr:uid="{5721417F-9675-4CA7-8964-4E6E4DF9CF7B}">
      <text>
        <r>
          <rPr>
            <sz val="9"/>
            <color indexed="81"/>
            <rFont val="Tahoma"/>
            <family val="2"/>
          </rPr>
          <t>Solver found a solution. All constraints and optimality conditions are satisfied.</t>
        </r>
      </text>
    </comment>
    <comment ref="H9" authorId="0" shapeId="0" xr:uid="{BDC074B7-7D6F-4162-AAB7-6CC37E6D5E63}">
      <text>
        <r>
          <rPr>
            <sz val="9"/>
            <color indexed="81"/>
            <rFont val="Tahoma"/>
            <family val="2"/>
          </rPr>
          <t>Solver found a solution. All constraints and optimality conditions are satisfied.</t>
        </r>
      </text>
    </comment>
    <comment ref="B10" authorId="0" shapeId="0" xr:uid="{46A13276-89DC-4627-93BD-98343663616E}">
      <text>
        <r>
          <rPr>
            <sz val="9"/>
            <color indexed="81"/>
            <rFont val="Tahoma"/>
            <family val="2"/>
          </rPr>
          <t>Solver found a solution. All constraints and optimality conditions are satisfied.</t>
        </r>
      </text>
    </comment>
    <comment ref="C10" authorId="0" shapeId="0" xr:uid="{7CC8C3F1-1E50-4F0E-8469-7A011ABE9BFA}">
      <text>
        <r>
          <rPr>
            <sz val="9"/>
            <color indexed="81"/>
            <rFont val="Tahoma"/>
            <family val="2"/>
          </rPr>
          <t>Solver found a solution. All constraints and optimality conditions are satisfied.</t>
        </r>
      </text>
    </comment>
    <comment ref="D10" authorId="0" shapeId="0" xr:uid="{45A1E6A9-6617-4E47-A572-F3CDCD719DC8}">
      <text>
        <r>
          <rPr>
            <sz val="9"/>
            <color indexed="81"/>
            <rFont val="Tahoma"/>
            <family val="2"/>
          </rPr>
          <t>Solver found a solution. All constraints and optimality conditions are satisfied.</t>
        </r>
      </text>
    </comment>
    <comment ref="E10" authorId="0" shapeId="0" xr:uid="{69EFE7E4-0201-4C41-A8C3-F01DEC999189}">
      <text>
        <r>
          <rPr>
            <sz val="9"/>
            <color indexed="81"/>
            <rFont val="Tahoma"/>
            <family val="2"/>
          </rPr>
          <t>Solver found a solution. All constraints and optimality conditions are satisfied.</t>
        </r>
      </text>
    </comment>
    <comment ref="F10" authorId="0" shapeId="0" xr:uid="{F80B6826-7E5B-4D81-A0A0-1CE675E6E257}">
      <text>
        <r>
          <rPr>
            <sz val="9"/>
            <color indexed="81"/>
            <rFont val="Tahoma"/>
            <family val="2"/>
          </rPr>
          <t>Solver found a solution. All constraints and optimality conditions are satisfied.</t>
        </r>
      </text>
    </comment>
    <comment ref="G10" authorId="0" shapeId="0" xr:uid="{275041F1-CBA8-46C2-8DEA-FE1E260CBFB6}">
      <text>
        <r>
          <rPr>
            <sz val="9"/>
            <color indexed="81"/>
            <rFont val="Tahoma"/>
            <family val="2"/>
          </rPr>
          <t>Solver found a solution. All constraints and optimality conditions are satisfied.</t>
        </r>
      </text>
    </comment>
    <comment ref="H10" authorId="0" shapeId="0" xr:uid="{4FD7864D-CE4A-4E19-82B6-EB1E3924B5B4}">
      <text>
        <r>
          <rPr>
            <sz val="9"/>
            <color indexed="81"/>
            <rFont val="Tahoma"/>
            <family val="2"/>
          </rPr>
          <t>Solver found a solution. All constraints and optimality conditions are satisfied.</t>
        </r>
      </text>
    </comment>
    <comment ref="B11" authorId="0" shapeId="0" xr:uid="{13EACF10-B728-4186-932B-AEC7700F24BA}">
      <text>
        <r>
          <rPr>
            <sz val="9"/>
            <color indexed="81"/>
            <rFont val="Tahoma"/>
            <family val="2"/>
          </rPr>
          <t>Solver found a solution. All constraints and optimality conditions are satisfied.</t>
        </r>
      </text>
    </comment>
    <comment ref="C11" authorId="0" shapeId="0" xr:uid="{C85E1E11-F6D0-4BF3-BC0A-5B177453974A}">
      <text>
        <r>
          <rPr>
            <sz val="9"/>
            <color indexed="81"/>
            <rFont val="Tahoma"/>
            <family val="2"/>
          </rPr>
          <t>Solver found a solution. All constraints and optimality conditions are satisfied.</t>
        </r>
      </text>
    </comment>
    <comment ref="D11" authorId="0" shapeId="0" xr:uid="{ABF1D476-4D44-4BD7-B086-4695D394EDD8}">
      <text>
        <r>
          <rPr>
            <sz val="9"/>
            <color indexed="81"/>
            <rFont val="Tahoma"/>
            <family val="2"/>
          </rPr>
          <t>Solver found a solution. All constraints and optimality conditions are satisfied.</t>
        </r>
      </text>
    </comment>
    <comment ref="E11" authorId="0" shapeId="0" xr:uid="{5410CF55-AABF-4067-9A51-E38F4F2B6798}">
      <text>
        <r>
          <rPr>
            <sz val="9"/>
            <color indexed="81"/>
            <rFont val="Tahoma"/>
            <family val="2"/>
          </rPr>
          <t>Solver found a solution. All constraints and optimality conditions are satisfied.</t>
        </r>
      </text>
    </comment>
    <comment ref="F11" authorId="0" shapeId="0" xr:uid="{BC0EE59F-A5B3-4D6D-939A-83B722BDA2F8}">
      <text>
        <r>
          <rPr>
            <sz val="9"/>
            <color indexed="81"/>
            <rFont val="Tahoma"/>
            <family val="2"/>
          </rPr>
          <t>Solver found a solution. All constraints and optimality conditions are satisfied.</t>
        </r>
      </text>
    </comment>
    <comment ref="G11" authorId="0" shapeId="0" xr:uid="{7BD75EF9-9BCF-4831-965F-ABB4BA124AC3}">
      <text>
        <r>
          <rPr>
            <sz val="9"/>
            <color indexed="81"/>
            <rFont val="Tahoma"/>
            <family val="2"/>
          </rPr>
          <t>Solver found a solution. All constraints and optimality conditions are satisfied.</t>
        </r>
      </text>
    </comment>
    <comment ref="H11" authorId="0" shapeId="0" xr:uid="{E410113D-B290-4793-A380-54378CD20503}">
      <text>
        <r>
          <rPr>
            <sz val="9"/>
            <color indexed="81"/>
            <rFont val="Tahoma"/>
            <family val="2"/>
          </rPr>
          <t>Solver found a solution. All constraints and optimality conditions are satisfied.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Ashutosh Mishra</author>
  </authors>
  <commentList>
    <comment ref="B5" authorId="0" shapeId="0" xr:uid="{BECA1F9E-86DA-4ADB-9775-887286D6A18C}">
      <text>
        <r>
          <rPr>
            <sz val="9"/>
            <color indexed="81"/>
            <rFont val="Tahoma"/>
            <family val="2"/>
          </rPr>
          <t>Solver found a solution. All constraints and optimality conditions are satisfied.</t>
        </r>
      </text>
    </comment>
    <comment ref="B6" authorId="0" shapeId="0" xr:uid="{501C6318-1F70-4A67-A374-0530DC108735}">
      <text>
        <r>
          <rPr>
            <sz val="9"/>
            <color indexed="81"/>
            <rFont val="Tahoma"/>
            <family val="2"/>
          </rPr>
          <t>Solver found a solution. All constraints and optimality conditions are satisfied.</t>
        </r>
      </text>
    </comment>
    <comment ref="B7" authorId="0" shapeId="0" xr:uid="{4993891E-14AC-4588-B155-1E54001F798A}">
      <text>
        <r>
          <rPr>
            <sz val="9"/>
            <color indexed="81"/>
            <rFont val="Tahoma"/>
            <family val="2"/>
          </rPr>
          <t>Solver found a solution. All constraints and optimality conditions are satisfied.</t>
        </r>
      </text>
    </comment>
    <comment ref="B8" authorId="0" shapeId="0" xr:uid="{8F6A10A6-8051-4200-99A1-42CA3C78F32E}">
      <text>
        <r>
          <rPr>
            <sz val="9"/>
            <color indexed="81"/>
            <rFont val="Tahoma"/>
            <family val="2"/>
          </rPr>
          <t>Solver found a solution. All constraints and optimality conditions are satisfied.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Ashutosh Mishra</author>
  </authors>
  <commentList>
    <comment ref="B5" authorId="0" shapeId="0" xr:uid="{4CE40E2E-1D20-42C8-92A2-E4161BF69EB0}">
      <text>
        <r>
          <rPr>
            <sz val="9"/>
            <color indexed="81"/>
            <rFont val="Tahoma"/>
            <family val="2"/>
          </rPr>
          <t>Solver found a solution. All constraints and optimality conditions are satisfied.</t>
        </r>
      </text>
    </comment>
    <comment ref="B6" authorId="0" shapeId="0" xr:uid="{CF0E250C-0A12-41D8-909F-B010301CD7A8}">
      <text>
        <r>
          <rPr>
            <sz val="9"/>
            <color indexed="81"/>
            <rFont val="Tahoma"/>
            <family val="2"/>
          </rPr>
          <t>Solver found a solution. All constraints and optimality conditions are satisfied.</t>
        </r>
      </text>
    </comment>
    <comment ref="B7" authorId="0" shapeId="0" xr:uid="{C8F551FA-78F8-45B8-9883-4C2FEE51729C}">
      <text>
        <r>
          <rPr>
            <sz val="9"/>
            <color indexed="81"/>
            <rFont val="Tahoma"/>
            <family val="2"/>
          </rPr>
          <t>Solver found a solution. All constraints and optimality conditions are satisfied.</t>
        </r>
      </text>
    </comment>
    <comment ref="B8" authorId="0" shapeId="0" xr:uid="{9744FB91-F324-4D64-B034-93BC39DED0BF}">
      <text>
        <r>
          <rPr>
            <sz val="9"/>
            <color indexed="81"/>
            <rFont val="Tahoma"/>
            <family val="2"/>
          </rPr>
          <t>Solver found a solution. All constraints and optimality conditions are satisfied.</t>
        </r>
      </text>
    </comment>
    <comment ref="B9" authorId="0" shapeId="0" xr:uid="{820DEEBC-3DD2-45BF-866D-588F021A5000}">
      <text>
        <r>
          <rPr>
            <sz val="9"/>
            <color indexed="81"/>
            <rFont val="Tahoma"/>
            <family val="2"/>
          </rPr>
          <t>Solver found a solution. All constraints and optimality conditions are satisfied.</t>
        </r>
      </text>
    </comment>
    <comment ref="B10" authorId="0" shapeId="0" xr:uid="{ACCD51F7-51DD-406E-8BA6-8753F216B41A}">
      <text>
        <r>
          <rPr>
            <sz val="9"/>
            <color indexed="81"/>
            <rFont val="Tahoma"/>
            <family val="2"/>
          </rPr>
          <t>Solver found a solution. All constraints and optimality conditions are satisfied.</t>
        </r>
      </text>
    </comment>
    <comment ref="B11" authorId="0" shapeId="0" xr:uid="{0C982B6C-D796-4F15-8D88-4BCADE166D8C}">
      <text>
        <r>
          <rPr>
            <sz val="9"/>
            <color indexed="81"/>
            <rFont val="Tahoma"/>
            <family val="2"/>
          </rPr>
          <t>Solver found a solution. All constraints and optimality conditions are satisfied.</t>
        </r>
      </text>
    </comment>
    <comment ref="B12" authorId="0" shapeId="0" xr:uid="{C0FF0F78-3EE3-45AB-8BD8-0ACFFBC1B3BD}">
      <text>
        <r>
          <rPr>
            <sz val="9"/>
            <color indexed="81"/>
            <rFont val="Tahoma"/>
            <family val="2"/>
          </rPr>
          <t>Solver found a solution. All constraints and optimality conditions are satisfied.</t>
        </r>
      </text>
    </comment>
  </commentList>
</comments>
</file>

<file path=xl/sharedStrings.xml><?xml version="1.0" encoding="utf-8"?>
<sst xmlns="http://schemas.openxmlformats.org/spreadsheetml/2006/main" count="605" uniqueCount="352">
  <si>
    <t>To</t>
  </si>
  <si>
    <t>Chicago</t>
  </si>
  <si>
    <t>Los Angeles</t>
  </si>
  <si>
    <t>New York</t>
  </si>
  <si>
    <t>Seattle</t>
  </si>
  <si>
    <t>From</t>
  </si>
  <si>
    <t>Boston</t>
  </si>
  <si>
    <t>Charlotte</t>
  </si>
  <si>
    <t>Fire engine data</t>
  </si>
  <si>
    <t>Travel times to fires</t>
  </si>
  <si>
    <t>Company 1</t>
  </si>
  <si>
    <t>Company 2</t>
  </si>
  <si>
    <t>Company 3</t>
  </si>
  <si>
    <t>Job times (minutes)</t>
  </si>
  <si>
    <t>Job</t>
  </si>
  <si>
    <t>Employee</t>
  </si>
  <si>
    <t>Total Time</t>
  </si>
  <si>
    <t>Objective:</t>
  </si>
  <si>
    <t>To minimize total amount of time taken to finish all jobs</t>
  </si>
  <si>
    <t>Constraints</t>
  </si>
  <si>
    <t>: Maximum 2 jobs per person</t>
  </si>
  <si>
    <t>Employee Assigned</t>
  </si>
  <si>
    <t>Time taken on Job Assigned</t>
  </si>
  <si>
    <t>=</t>
  </si>
  <si>
    <t>Maximum 1 person assigned to one job</t>
  </si>
  <si>
    <t>DV:</t>
  </si>
  <si>
    <t>Job assignment matrix denoting 0 for job not assigned and 1 for job assigned.</t>
  </si>
  <si>
    <t>Total jobs</t>
  </si>
  <si>
    <t>Cell Names:</t>
  </si>
  <si>
    <t>e2j_1</t>
  </si>
  <si>
    <t>='5.70'!$B$29:$B$38</t>
  </si>
  <si>
    <t>e2j_10</t>
  </si>
  <si>
    <t>='5.70'!$K$29:$K$38</t>
  </si>
  <si>
    <t>e2j_11</t>
  </si>
  <si>
    <t>='5.70'!$L$29:$L$38</t>
  </si>
  <si>
    <t>e2j_12</t>
  </si>
  <si>
    <t>='5.70'!$M$29:$M$38</t>
  </si>
  <si>
    <t>e2j_13</t>
  </si>
  <si>
    <t>='5.70'!$N$29:$N$38</t>
  </si>
  <si>
    <t>e2j_14</t>
  </si>
  <si>
    <t>='5.70'!$O$29:$O$38</t>
  </si>
  <si>
    <t>e2j_15</t>
  </si>
  <si>
    <t>='5.70'!$P$29:$P$38</t>
  </si>
  <si>
    <t>e2j_2</t>
  </si>
  <si>
    <t>='5.70'!$C$29:$C$38</t>
  </si>
  <si>
    <t>e2j_3</t>
  </si>
  <si>
    <t>='5.70'!$D$29:$D$38</t>
  </si>
  <si>
    <t>e2j_4</t>
  </si>
  <si>
    <t>='5.70'!$E$29:$E$38</t>
  </si>
  <si>
    <t>e2j_5</t>
  </si>
  <si>
    <t>='5.70'!$F$29:$F$38</t>
  </si>
  <si>
    <t>e2j_6</t>
  </si>
  <si>
    <t>='5.70'!$G$29:$G$38</t>
  </si>
  <si>
    <t>e2j_7</t>
  </si>
  <si>
    <t>='5.70'!$H$29:$H$38</t>
  </si>
  <si>
    <t>e2j_8</t>
  </si>
  <si>
    <t>='5.70'!$I$29:$I$38</t>
  </si>
  <si>
    <t>e2j_9</t>
  </si>
  <si>
    <t>='5.70'!$J$29:$J$38</t>
  </si>
  <si>
    <t>job_assignment_matrix</t>
  </si>
  <si>
    <t>='5.70'!$B$29:$P$38</t>
  </si>
  <si>
    <t>jobs_1</t>
  </si>
  <si>
    <t>='5.70'!$B$29:$P$29</t>
  </si>
  <si>
    <t>jobs_10</t>
  </si>
  <si>
    <t>='5.70'!$B$38:$P$38</t>
  </si>
  <si>
    <t>jobs_2</t>
  </si>
  <si>
    <t>='5.70'!$B$30:$P$30</t>
  </si>
  <si>
    <t>jobs_3</t>
  </si>
  <si>
    <t>='5.70'!$B$31:$P$31</t>
  </si>
  <si>
    <t>jobs_4</t>
  </si>
  <si>
    <t>='5.70'!$B$32:$P$32</t>
  </si>
  <si>
    <t>jobs_5</t>
  </si>
  <si>
    <t>='5.70'!$B$33:$P$33</t>
  </si>
  <si>
    <t>jobs_6</t>
  </si>
  <si>
    <t>='5.70'!$B$34:$P$34</t>
  </si>
  <si>
    <t>jobs_7</t>
  </si>
  <si>
    <t>='5.70'!$B$35:$P$35</t>
  </si>
  <si>
    <t>jobs_8</t>
  </si>
  <si>
    <t>='5.70'!$B$36:$P$36</t>
  </si>
  <si>
    <t>jobs_9</t>
  </si>
  <si>
    <t>='5.70'!$B$37:$P$37</t>
  </si>
  <si>
    <t>Maximum_employee_that_can_be_assigned_to_one_job</t>
  </si>
  <si>
    <t>='5.70'!$K$45</t>
  </si>
  <si>
    <t>Maximum_jobs_assigned_per_person</t>
  </si>
  <si>
    <t>='5.70'!$D$45</t>
  </si>
  <si>
    <t>No_of_employee_working_on_Job</t>
  </si>
  <si>
    <t>='5.70'!$I$45:$I$59</t>
  </si>
  <si>
    <t>No_of_jobs_assigned_to_employee</t>
  </si>
  <si>
    <t>='5.70'!$B$45:$B$54</t>
  </si>
  <si>
    <t>time_matrix</t>
  </si>
  <si>
    <t>='5.70'!$B$6:$P$15</t>
  </si>
  <si>
    <t>Cell Name</t>
  </si>
  <si>
    <t>Reference</t>
  </si>
  <si>
    <t>Maximum jobs
 assigned per 
person</t>
  </si>
  <si>
    <t>No of jobs 
assigned to 
employee</t>
  </si>
  <si>
    <t>Min jobs 
assigned to 
one person</t>
  </si>
  <si>
    <t>No of employee
 working on Job</t>
  </si>
  <si>
    <t>Maximum employee 
that can be 
assigned to
 one job</t>
  </si>
  <si>
    <t>$B$41</t>
  </si>
  <si>
    <t>Oneway analysis for Solver model in 5.70 worksheet</t>
  </si>
  <si>
    <t>Max no of jobs assigned to an employee (cell $F$45) values along side, output cell(s) along top</t>
  </si>
  <si>
    <t>Total_Time</t>
  </si>
  <si>
    <t>Data for chart</t>
  </si>
  <si>
    <t>Objective</t>
  </si>
  <si>
    <t>Minimize the cost of purchasing and servicing napkins to meet demand for four days</t>
  </si>
  <si>
    <t>Sum of purchased, fast service and slow service napkins should meet daily demand</t>
  </si>
  <si>
    <t>Purchased demand on day i &gt;= no of fast processed napkins served on day i+1 + no of slow serviced napkins served on day i+2</t>
  </si>
  <si>
    <t>Carter Caterer Company</t>
  </si>
  <si>
    <t>Demand</t>
  </si>
  <si>
    <t>Day1</t>
  </si>
  <si>
    <t>Day2</t>
  </si>
  <si>
    <t>Day3</t>
  </si>
  <si>
    <t>Day4</t>
  </si>
  <si>
    <t>Cost of purchasing one new napkin</t>
  </si>
  <si>
    <t>Cost of Fast service/ napkin</t>
  </si>
  <si>
    <t>Cost of slow service / napkin</t>
  </si>
  <si>
    <t>DV</t>
  </si>
  <si>
    <t>No of napkins purchased, fast serviced and slow serviced for all 4 days</t>
  </si>
  <si>
    <t>Day</t>
  </si>
  <si>
    <t>New Napkins 
bought</t>
  </si>
  <si>
    <t>No of Napkins 
fast 
serviced</t>
  </si>
  <si>
    <t>No of 
napkins
slow
serviced</t>
  </si>
  <si>
    <t>Total</t>
  </si>
  <si>
    <t>&gt;=</t>
  </si>
  <si>
    <t>Assumption</t>
  </si>
  <si>
    <t>Total # of napkins</t>
  </si>
  <si>
    <t>Cost / napkin</t>
  </si>
  <si>
    <t>Total cost of meeting demand</t>
  </si>
  <si>
    <t>Sum of
fast and 
slow 
serviced
napkins</t>
  </si>
  <si>
    <t>There is no initial inventory i.e, no of fast and slow processed napkins on day 1, and no of slow serviced napkins for day 2 is 0.</t>
  </si>
  <si>
    <t>Min value</t>
  </si>
  <si>
    <t>Transhipment Constraints on napkins</t>
  </si>
  <si>
    <t>Cost___napkin</t>
  </si>
  <si>
    <t>='5.79'!$B$27:$D$27</t>
  </si>
  <si>
    <t>Cost_of_Fast_service__napkin</t>
  </si>
  <si>
    <t>='5.79'!$B$7</t>
  </si>
  <si>
    <t>Cost_of_purchasing_one_new_napkin</t>
  </si>
  <si>
    <t>='5.79'!$B$6</t>
  </si>
  <si>
    <t>Cost_of_slow_service___napkin</t>
  </si>
  <si>
    <t>='5.79'!$B$8</t>
  </si>
  <si>
    <t>='5.79'!$H$22:$H$25</t>
  </si>
  <si>
    <t>Min_value</t>
  </si>
  <si>
    <t>='5.79'!$C$34</t>
  </si>
  <si>
    <t>New_Napkins__bought</t>
  </si>
  <si>
    <t>='5.79'!$B$22:$B$25</t>
  </si>
  <si>
    <t>No_of__napkins_slow_serviced</t>
  </si>
  <si>
    <t>='5.79'!$D$22:$D$25</t>
  </si>
  <si>
    <t>no_of_fast_services_napkins_day1</t>
  </si>
  <si>
    <t>='5.79'!$C$22</t>
  </si>
  <si>
    <t>='5.70'!$D$45:$D$54</t>
  </si>
  <si>
    <t>No_of_Napkins__fast__serviced</t>
  </si>
  <si>
    <t>='5.79'!$C$22:$C$25</t>
  </si>
  <si>
    <t>no_of_slow_serviced_napkins_day1</t>
  </si>
  <si>
    <t>='5.79'!$D$22</t>
  </si>
  <si>
    <t>no_of_slow_serviced_napkins_day2</t>
  </si>
  <si>
    <t>='5.79'!$D$23</t>
  </si>
  <si>
    <t>='5.79'!$F$22:$F$25</t>
  </si>
  <si>
    <t>Total___of_napkins</t>
  </si>
  <si>
    <t>='5.79'!$B$26:$D$26</t>
  </si>
  <si>
    <t>Total_cost_of_meeting_demand</t>
  </si>
  <si>
    <t>='5.79'!$B$29</t>
  </si>
  <si>
    <t>='5.70'!$B$41</t>
  </si>
  <si>
    <t>Transhipment_Constraints_on_napkins</t>
  </si>
  <si>
    <t>='5.79'!$A$34:$A$36</t>
  </si>
  <si>
    <t>napkin_order_matrix</t>
  </si>
  <si>
    <t>='5.79'!$B$22:$D$25</t>
  </si>
  <si>
    <t>$B$8</t>
  </si>
  <si>
    <t>$B$29</t>
  </si>
  <si>
    <t>cost per slow serviced napkin</t>
  </si>
  <si>
    <t>Oneway analysis for Solver model in 5.79 worksheet</t>
  </si>
  <si>
    <t>cost per slow serviced napkin (cell $B$8) values along side, output cell(s) along top</t>
  </si>
  <si>
    <t>* e2j stands for no of employees assigned to job</t>
  </si>
  <si>
    <t>$K$45</t>
  </si>
  <si>
    <t>No of jobs assigned to one employee</t>
  </si>
  <si>
    <t>Job assignment Data</t>
  </si>
  <si>
    <t>≤</t>
  </si>
  <si>
    <t xml:space="preserve">Max Jobs </t>
  </si>
  <si>
    <t>Demand_LA</t>
  </si>
  <si>
    <t>=Sheet1!$B$10</t>
  </si>
  <si>
    <t>Demand_NY</t>
  </si>
  <si>
    <t>=Sheet1!$B$11</t>
  </si>
  <si>
    <t>Demand_Seattle</t>
  </si>
  <si>
    <t>=Sheet1!$B$12</t>
  </si>
  <si>
    <t>Production_capacity_boston</t>
  </si>
  <si>
    <t>=Sheet1!$B$8</t>
  </si>
  <si>
    <t>Production_capacity_charlotte</t>
  </si>
  <si>
    <t>=Sheet1!$B$9</t>
  </si>
  <si>
    <t>Production capacity boston</t>
  </si>
  <si>
    <t>Production_cost_boston</t>
  </si>
  <si>
    <t>=Sheet1!$B$15</t>
  </si>
  <si>
    <t>Production capacity charlotte</t>
  </si>
  <si>
    <t>Production_cost_Charlotte</t>
  </si>
  <si>
    <t>=Sheet1!$B$16</t>
  </si>
  <si>
    <t>Demand LA</t>
  </si>
  <si>
    <t>Production_in_Boston</t>
  </si>
  <si>
    <t>=Sheet1!$B$25</t>
  </si>
  <si>
    <t>Demand NY</t>
  </si>
  <si>
    <t>Production_in_Charlotte</t>
  </si>
  <si>
    <t>=Sheet1!$B$26</t>
  </si>
  <si>
    <t>Demand Seattle</t>
  </si>
  <si>
    <t>Qty_Shipped</t>
  </si>
  <si>
    <t>=Sheet1!$C$30:$C$40</t>
  </si>
  <si>
    <t>Production Costs</t>
  </si>
  <si>
    <t>minimize total cost (production + shipping)</t>
  </si>
  <si>
    <t>How much to produce in boston and charlotte</t>
  </si>
  <si>
    <t>How much to send directly</t>
  </si>
  <si>
    <t>How much to send through Chicago</t>
  </si>
  <si>
    <t>Receiving should be less than or equal to sending</t>
  </si>
  <si>
    <t>Qty</t>
  </si>
  <si>
    <t>Production in Boston</t>
  </si>
  <si>
    <t>Production in Charlotte</t>
  </si>
  <si>
    <t>Qty Shipped</t>
  </si>
  <si>
    <t>Objective Value</t>
  </si>
  <si>
    <t>Arc Cost</t>
  </si>
  <si>
    <t>Total Cost</t>
  </si>
  <si>
    <t>Production Constraint</t>
  </si>
  <si>
    <t>Produced</t>
  </si>
  <si>
    <t>Received</t>
  </si>
  <si>
    <t>≥</t>
  </si>
  <si>
    <t>Demand Constraint</t>
  </si>
  <si>
    <t>Transhipment constraint</t>
  </si>
  <si>
    <t>Packages Received</t>
  </si>
  <si>
    <t>Packages Sent</t>
  </si>
  <si>
    <t>Twoway analysis for Solver model in Sheet1 worksheet</t>
  </si>
  <si>
    <t>Output and Input1 value for chart</t>
  </si>
  <si>
    <t>Output and Input2 value for chart</t>
  </si>
  <si>
    <t>$B$54</t>
  </si>
  <si>
    <t>Input1 (cell $C$3) values along side, Input2 (cell $C$4) values along top, output cell in corner</t>
  </si>
  <si>
    <t>Output</t>
  </si>
  <si>
    <t>Input1 value</t>
  </si>
  <si>
    <t>Input2 value</t>
  </si>
  <si>
    <t>Cell name</t>
  </si>
  <si>
    <t>Fire</t>
  </si>
  <si>
    <t>a</t>
  </si>
  <si>
    <t>='5.66(a)'!$C$44:$I$44</t>
  </si>
  <si>
    <t>assignment_matrix</t>
  </si>
  <si>
    <t>='5.66(a)'!$C$44:$I$50</t>
  </si>
  <si>
    <t xml:space="preserve">Company </t>
  </si>
  <si>
    <t>b</t>
  </si>
  <si>
    <t>='5.66(a)'!$C$45:$I$45</t>
  </si>
  <si>
    <t>c_</t>
  </si>
  <si>
    <t>='5.66(a)'!$C$46:$I$46</t>
  </si>
  <si>
    <t>Co_e1f1</t>
  </si>
  <si>
    <t>='5.66(a)'!$O$30</t>
  </si>
  <si>
    <t>Co_e1f2</t>
  </si>
  <si>
    <t>='5.66(a)'!$O$32</t>
  </si>
  <si>
    <t>To minimize the cost of assignment of engines to different fire locations</t>
  </si>
  <si>
    <t>Co_e1f3</t>
  </si>
  <si>
    <t>='5.66(a)'!$O$34</t>
  </si>
  <si>
    <t>Co_e2f1</t>
  </si>
  <si>
    <t>='5.66(a)'!$O$31</t>
  </si>
  <si>
    <t>No of engine demand for fire3 = 3</t>
  </si>
  <si>
    <t>Co_e2f2</t>
  </si>
  <si>
    <t>='5.66(a)'!$O$33</t>
  </si>
  <si>
    <t>No of engine demand for fire2 = 2</t>
  </si>
  <si>
    <t>Co_e2f3</t>
  </si>
  <si>
    <t>='5.66(a)'!$O$35</t>
  </si>
  <si>
    <t>No of engine demand for fire1 = 2</t>
  </si>
  <si>
    <t>Co_e3f3</t>
  </si>
  <si>
    <t>='5.66(a)'!$O$36</t>
  </si>
  <si>
    <t>Supply constraint for company1 = 3</t>
  </si>
  <si>
    <t>com1fir1</t>
  </si>
  <si>
    <t>='5.66(a)'!$C$5</t>
  </si>
  <si>
    <t>Supply constraint for company2 = 2</t>
  </si>
  <si>
    <t>com1fir2</t>
  </si>
  <si>
    <t>='5.66(a)'!$D$5</t>
  </si>
  <si>
    <t>Supply Constraint for company3 = 2</t>
  </si>
  <si>
    <t>com1fir3</t>
  </si>
  <si>
    <t>='5.66(a)'!$E$5</t>
  </si>
  <si>
    <t>com2fir1</t>
  </si>
  <si>
    <t>='5.66(a)'!$C$6</t>
  </si>
  <si>
    <t>Engine assignment matrix (x12)</t>
  </si>
  <si>
    <t>com2fir2</t>
  </si>
  <si>
    <t>='5.66(a)'!$D$6</t>
  </si>
  <si>
    <t>com2fir3</t>
  </si>
  <si>
    <t>='5.66(a)'!$E$6</t>
  </si>
  <si>
    <r>
      <t>t</t>
    </r>
    <r>
      <rPr>
        <sz val="10"/>
        <color theme="1"/>
        <rFont val="Calibri"/>
        <family val="2"/>
        <scheme val="minor"/>
      </rPr>
      <t>11</t>
    </r>
  </si>
  <si>
    <t>time taken for engine1 from company to reach fire location 1</t>
  </si>
  <si>
    <t>com3fir1</t>
  </si>
  <si>
    <t>='5.66(a)'!$C$7</t>
  </si>
  <si>
    <t>post subscript- number which engine from company is assigned i.e, if its assigned as 1, 2, 3</t>
  </si>
  <si>
    <t>com3fir2</t>
  </si>
  <si>
    <t>='5.66(a)'!$D$7</t>
  </si>
  <si>
    <t>pre subscript - fire location to which numbered engine is assined to i.e fire1, fire2, or fire3</t>
  </si>
  <si>
    <t>com3fir3</t>
  </si>
  <si>
    <t>='5.66(a)'!$E$7</t>
  </si>
  <si>
    <t>company1</t>
  </si>
  <si>
    <t>='5.66(a)'!$B$5:$B$7</t>
  </si>
  <si>
    <t>cost_coeff_matrix</t>
  </si>
  <si>
    <t>='5.66(a)'!#REF!</t>
  </si>
  <si>
    <t>Cost_Coefficient</t>
  </si>
  <si>
    <t>='5.66(a)'!$O$30:$O$36</t>
  </si>
  <si>
    <t>Cost_coefficients</t>
  </si>
  <si>
    <t>='5.66(a)'!$P$34:$P$40</t>
  </si>
  <si>
    <t>Cost Matrix</t>
  </si>
  <si>
    <t>cost_matrix</t>
  </si>
  <si>
    <t>='5.66(a)'!$C$30:$I$36</t>
  </si>
  <si>
    <t>Engine</t>
  </si>
  <si>
    <t>Cost Coeffcient Table</t>
  </si>
  <si>
    <t>d</t>
  </si>
  <si>
    <t>='5.66(a)'!$C$47:$I$47</t>
  </si>
  <si>
    <t>Company</t>
  </si>
  <si>
    <t>engine
general
name</t>
  </si>
  <si>
    <t>Engine_sub</t>
  </si>
  <si>
    <t>Fire _sub</t>
  </si>
  <si>
    <t>Cost Coefficient</t>
  </si>
  <si>
    <t>='5.66(a)'!$C$53:$I$53</t>
  </si>
  <si>
    <t>e</t>
  </si>
  <si>
    <t>='5.66(a)'!$C$48:$I$48</t>
  </si>
  <si>
    <t>c</t>
  </si>
  <si>
    <t>='5.66(a)'!$M$30:$M$36</t>
  </si>
  <si>
    <t>f</t>
  </si>
  <si>
    <t>='5.66(a)'!$C$49:$I$49</t>
  </si>
  <si>
    <t>fir1e1</t>
  </si>
  <si>
    <t>='5.66(a)'!$C$44:$C$50</t>
  </si>
  <si>
    <t>fir1e2</t>
  </si>
  <si>
    <t>='5.66(a)'!$D$44:$D$50</t>
  </si>
  <si>
    <t>g</t>
  </si>
  <si>
    <t>fir1e3</t>
  </si>
  <si>
    <t>='5.66(a)'!$G$44:$G$50</t>
  </si>
  <si>
    <t>fir2e1</t>
  </si>
  <si>
    <t>='5.66(a)'!$E$44:$E$50</t>
  </si>
  <si>
    <t>Total 
Dispatch 
Cost</t>
  </si>
  <si>
    <t>fir2e2</t>
  </si>
  <si>
    <t>='5.66(a)'!$F$44:$F$50</t>
  </si>
  <si>
    <t>fir2e3</t>
  </si>
  <si>
    <t>='5.66(a)'!$H$44:$H$50</t>
  </si>
  <si>
    <t>fir3e3</t>
  </si>
  <si>
    <t>='5.66(a)'!$I$44:$I$50</t>
  </si>
  <si>
    <t>Assignment Matrix</t>
  </si>
  <si>
    <t>Fire__sub</t>
  </si>
  <si>
    <t>='5.66(a)'!$N$30:$N$36</t>
  </si>
  <si>
    <t>Total2</t>
  </si>
  <si>
    <t>Supply</t>
  </si>
  <si>
    <t>firelocation</t>
  </si>
  <si>
    <t>='5.66(a)'!$C$4:$E$4</t>
  </si>
  <si>
    <t>firematrix</t>
  </si>
  <si>
    <t>='5.66(a)'!$C$50:$I$50</t>
  </si>
  <si>
    <t>='5.66(a)'!$L$44:$L$50</t>
  </si>
  <si>
    <t>timematrix</t>
  </si>
  <si>
    <t>='5.66(a)'!$C$5:$E$7</t>
  </si>
  <si>
    <t>Total1</t>
  </si>
  <si>
    <t>='5.66(a)'!$C$51:$I$51</t>
  </si>
  <si>
    <t>='5.66(a)'!$J$44:$J$50</t>
  </si>
  <si>
    <t>Twoway analysis for Solver model in 5.66(a) worksheet</t>
  </si>
  <si>
    <t>Output and Time taken for engine 2 to reach fire 2 value for chart</t>
  </si>
  <si>
    <t>Output and Time taken for engine 3 to reach fire3 value for chart</t>
  </si>
  <si>
    <t>Total__Dispatch__Cost</t>
  </si>
  <si>
    <t>Time taken for engine 2 to reach fire 2 (cell $O$33) values along side, Time taken for engine 3 to reach fire3 (cell $O$36) values along top, output cell in corner</t>
  </si>
  <si>
    <t>Time taken for engine 2 to reach fire 2 value</t>
  </si>
  <si>
    <t>Time taken for engine 3 to reach fire3 value</t>
  </si>
  <si>
    <t>Shipment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</si>
</sst>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quot;₹&quot;\ * #,##0.00_ ;_ &quot;₹&quot;\ * \-#,##0.00_ ;_ &quot;₹&quot;\ * &quot;-&quot;??_ ;_ @_ "/>
    <numFmt numFmtId="165" formatCode="&quot;$&quot;#,##0"/>
    <numFmt numFmtId="166" formatCode="_-[$$-409]* #,##0.00_ ;_-[$$-409]* \-#,##0.00\ ;_-[$$-409]* &quot;-&quot;??_ ;_-@_ "/>
    <numFmt numFmtId="167" formatCode="_(&quot;$&quot;* #,##0_);_(&quot;$&quot;* \(#,##0\);_(&quot;$&quot;* &quot;-&quot;??_);_(@_)"/>
    <numFmt numFmtId="168" formatCode="_(* #,##0_);_(* \(#,##0\);_(* &quot;-&quot;??_);_(@_)"/>
    <numFmt numFmtId="169" formatCode="_([$$-409]* #,##0.00_);_([$$-409]* \(#,##0.00\);_([$$-409]* &quot;-&quot;??_);_(@_)"/>
  </numFmts>
  <fonts count="17" x14ac:knownFonts="1">
    <font>
      <sz val="11"/>
      <color theme="1"/>
      <name val="Calibri"/>
      <family val="2"/>
      <scheme val="minor"/>
    </font>
    <font>
      <sz val="11"/>
      <color theme="1"/>
      <name val="Calibri"/>
      <family val="2"/>
      <scheme val="minor"/>
    </font>
    <font>
      <b/>
      <sz val="11"/>
      <name val="Calibri"/>
      <family val="2"/>
    </font>
    <font>
      <sz val="11"/>
      <name val="Calibri"/>
      <family val="2"/>
    </font>
    <font>
      <sz val="11"/>
      <color rgb="FF006100"/>
      <name val="Calibri"/>
      <family val="2"/>
      <scheme val="minor"/>
    </font>
    <font>
      <b/>
      <sz val="11"/>
      <color theme="1"/>
      <name val="Calibri"/>
      <family val="2"/>
      <scheme val="minor"/>
    </font>
    <font>
      <b/>
      <i/>
      <sz val="11"/>
      <color theme="1"/>
      <name val="Calibri"/>
      <family val="2"/>
      <scheme val="minor"/>
    </font>
    <font>
      <sz val="8"/>
      <name val="Calibri"/>
      <family val="2"/>
      <scheme val="minor"/>
    </font>
    <font>
      <b/>
      <i/>
      <sz val="11"/>
      <name val="Calibri"/>
      <family val="2"/>
    </font>
    <font>
      <sz val="11"/>
      <color rgb="FFFFFFFF"/>
      <name val="Calibri"/>
      <family val="2"/>
      <scheme val="minor"/>
    </font>
    <font>
      <sz val="9"/>
      <color indexed="81"/>
      <name val="Tahoma"/>
      <family val="2"/>
    </font>
    <font>
      <sz val="11"/>
      <color theme="4" tint="-0.249977111117893"/>
      <name val="Calibri"/>
      <family val="2"/>
      <scheme val="minor"/>
    </font>
    <font>
      <b/>
      <sz val="11"/>
      <color theme="4" tint="-0.249977111117893"/>
      <name val="Calibri"/>
      <family val="2"/>
      <scheme val="minor"/>
    </font>
    <font>
      <sz val="11"/>
      <color theme="1"/>
      <name val="Calibri"/>
      <family val="2"/>
    </font>
    <font>
      <sz val="11"/>
      <color rgb="FFFF0000"/>
      <name val="Calibri"/>
      <family val="2"/>
      <scheme val="minor"/>
    </font>
    <font>
      <b/>
      <sz val="11"/>
      <color theme="1"/>
      <name val="Calibri"/>
      <family val="2"/>
    </font>
    <font>
      <sz val="10"/>
      <color theme="1"/>
      <name val="Calibri"/>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rgb="FFC6EFCE"/>
      </patternFill>
    </fill>
    <fill>
      <patternFill patternType="solid">
        <fgColor theme="5" tint="0.59999389629810485"/>
        <bgColor indexed="65"/>
      </patternFill>
    </fill>
    <fill>
      <patternFill patternType="solid">
        <fgColor theme="9" tint="0.59999389629810485"/>
        <bgColor indexed="64"/>
      </patternFill>
    </fill>
    <fill>
      <patternFill patternType="solid">
        <fgColor theme="6" tint="0.59999389629810485"/>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2" borderId="0" applyNumberFormat="0" applyBorder="0" applyAlignment="0" applyProtection="0"/>
    <xf numFmtId="164" fontId="1" fillId="0" borderId="0" applyFont="0" applyFill="0" applyBorder="0" applyAlignment="0" applyProtection="0"/>
    <xf numFmtId="0" fontId="4" fillId="3" borderId="0" applyNumberFormat="0" applyBorder="0" applyAlignment="0" applyProtection="0"/>
    <xf numFmtId="0" fontId="1" fillId="4" borderId="0" applyNumberFormat="0" applyBorder="0" applyAlignment="0" applyProtection="0"/>
    <xf numFmtId="43" fontId="1" fillId="0" borderId="0" applyFont="0" applyFill="0" applyBorder="0" applyAlignment="0" applyProtection="0"/>
    <xf numFmtId="0" fontId="3" fillId="0" borderId="0"/>
  </cellStyleXfs>
  <cellXfs count="89">
    <xf numFmtId="0" fontId="0" fillId="0" borderId="0" xfId="0"/>
    <xf numFmtId="0" fontId="2" fillId="0" borderId="0" xfId="0" applyFont="1"/>
    <xf numFmtId="0" fontId="3" fillId="0" borderId="0" xfId="0" applyFont="1"/>
    <xf numFmtId="0" fontId="3" fillId="0" borderId="0" xfId="0" applyFont="1" applyAlignment="1">
      <alignment horizontal="right"/>
    </xf>
    <xf numFmtId="0" fontId="1" fillId="2" borderId="1" xfId="1" applyBorder="1"/>
    <xf numFmtId="0" fontId="1" fillId="2" borderId="2" xfId="1" applyBorder="1"/>
    <xf numFmtId="0" fontId="1" fillId="2" borderId="3" xfId="1" applyBorder="1"/>
    <xf numFmtId="0" fontId="1" fillId="2" borderId="4" xfId="1" applyBorder="1"/>
    <xf numFmtId="0" fontId="1" fillId="2" borderId="0" xfId="1"/>
    <xf numFmtId="0" fontId="1" fillId="2" borderId="5" xfId="1" applyBorder="1"/>
    <xf numFmtId="0" fontId="1" fillId="2" borderId="6" xfId="1" applyBorder="1"/>
    <xf numFmtId="0" fontId="1" fillId="2" borderId="7" xfId="1" applyBorder="1"/>
    <xf numFmtId="0" fontId="1" fillId="2" borderId="8" xfId="1" applyBorder="1"/>
    <xf numFmtId="0" fontId="5" fillId="0" borderId="0" xfId="0" applyFont="1"/>
    <xf numFmtId="0" fontId="6" fillId="0" borderId="0" xfId="0" applyFont="1"/>
    <xf numFmtId="0" fontId="0" fillId="0" borderId="0" xfId="0" applyAlignment="1">
      <alignment horizontal="center"/>
    </xf>
    <xf numFmtId="0" fontId="1" fillId="4" borderId="0" xfId="4"/>
    <xf numFmtId="0" fontId="4" fillId="3" borderId="0" xfId="3"/>
    <xf numFmtId="0" fontId="0" fillId="0" borderId="0" xfId="0" applyAlignment="1">
      <alignment wrapText="1"/>
    </xf>
    <xf numFmtId="49" fontId="0" fillId="0" borderId="0" xfId="0" applyNumberFormat="1"/>
    <xf numFmtId="0" fontId="0" fillId="0" borderId="7" xfId="0" applyBorder="1"/>
    <xf numFmtId="0" fontId="8" fillId="0" borderId="0" xfId="0" applyFont="1"/>
    <xf numFmtId="0" fontId="0" fillId="0" borderId="0" xfId="0" applyAlignment="1">
      <alignment horizontal="right" textRotation="90"/>
    </xf>
    <xf numFmtId="0" fontId="0" fillId="5" borderId="0" xfId="0" applyFill="1" applyAlignment="1">
      <alignment horizontal="right" textRotation="90"/>
    </xf>
    <xf numFmtId="0" fontId="9" fillId="0" borderId="0" xfId="0" applyFont="1"/>
    <xf numFmtId="0" fontId="0" fillId="0" borderId="9" xfId="0" applyBorder="1"/>
    <xf numFmtId="0" fontId="0" fillId="0" borderId="10" xfId="0" applyBorder="1"/>
    <xf numFmtId="0" fontId="0" fillId="0" borderId="11" xfId="0" applyBorder="1"/>
    <xf numFmtId="0" fontId="1" fillId="4" borderId="7" xfId="4" applyBorder="1"/>
    <xf numFmtId="166" fontId="1" fillId="2" borderId="0" xfId="1" applyNumberFormat="1"/>
    <xf numFmtId="166" fontId="4" fillId="3" borderId="0" xfId="2" applyNumberFormat="1" applyFont="1" applyFill="1"/>
    <xf numFmtId="166" fontId="0" fillId="0" borderId="9" xfId="0" applyNumberFormat="1" applyBorder="1"/>
    <xf numFmtId="166" fontId="0" fillId="0" borderId="10" xfId="0" applyNumberFormat="1" applyBorder="1"/>
    <xf numFmtId="166" fontId="0" fillId="0" borderId="11" xfId="0" applyNumberFormat="1" applyBorder="1"/>
    <xf numFmtId="0" fontId="11" fillId="4" borderId="0" xfId="4" applyFont="1"/>
    <xf numFmtId="0" fontId="12" fillId="0" borderId="0" xfId="0" applyFont="1"/>
    <xf numFmtId="0" fontId="13" fillId="0" borderId="0" xfId="0" applyFont="1" applyAlignment="1">
      <alignment horizontal="center"/>
    </xf>
    <xf numFmtId="0" fontId="3" fillId="0" borderId="0" xfId="6"/>
    <xf numFmtId="0" fontId="3" fillId="0" borderId="0" xfId="6" applyAlignment="1">
      <alignment horizontal="right"/>
    </xf>
    <xf numFmtId="0" fontId="3" fillId="0" borderId="12" xfId="6" applyBorder="1" applyAlignment="1">
      <alignment horizontal="right"/>
    </xf>
    <xf numFmtId="0" fontId="3" fillId="0" borderId="12" xfId="6" applyBorder="1"/>
    <xf numFmtId="165" fontId="1" fillId="2" borderId="12" xfId="1" applyNumberFormat="1" applyBorder="1"/>
    <xf numFmtId="165" fontId="1" fillId="2" borderId="12" xfId="1" applyNumberFormat="1" applyBorder="1" applyAlignment="1">
      <alignment horizontal="right"/>
    </xf>
    <xf numFmtId="0" fontId="0" fillId="0" borderId="12" xfId="0" applyBorder="1"/>
    <xf numFmtId="3" fontId="1" fillId="2" borderId="12" xfId="1" applyNumberFormat="1" applyBorder="1"/>
    <xf numFmtId="3" fontId="0" fillId="0" borderId="0" xfId="0" applyNumberFormat="1"/>
    <xf numFmtId="167" fontId="1" fillId="2" borderId="12" xfId="1" applyNumberFormat="1" applyBorder="1"/>
    <xf numFmtId="168" fontId="1" fillId="4" borderId="0" xfId="5" applyNumberFormat="1" applyFill="1"/>
    <xf numFmtId="0" fontId="15" fillId="0" borderId="0" xfId="0" applyFont="1" applyAlignment="1">
      <alignment horizontal="center"/>
    </xf>
    <xf numFmtId="168" fontId="0" fillId="0" borderId="0" xfId="5" applyNumberFormat="1" applyFont="1"/>
    <xf numFmtId="165" fontId="0" fillId="0" borderId="0" xfId="0" applyNumberFormat="1"/>
    <xf numFmtId="165" fontId="4" fillId="3" borderId="0" xfId="3" applyNumberFormat="1"/>
    <xf numFmtId="0" fontId="0" fillId="0" borderId="0" xfId="0" applyAlignment="1">
      <alignment horizontal="right"/>
    </xf>
    <xf numFmtId="0" fontId="0" fillId="6"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14" fillId="0" borderId="0" xfId="0" applyFont="1"/>
    <xf numFmtId="0" fontId="6" fillId="0" borderId="2" xfId="0" applyFont="1" applyBorder="1" applyAlignment="1">
      <alignment vertical="center"/>
    </xf>
    <xf numFmtId="0" fontId="0" fillId="0" borderId="13" xfId="0" applyBorder="1"/>
    <xf numFmtId="0" fontId="0" fillId="0" borderId="14" xfId="0" applyBorder="1"/>
    <xf numFmtId="0" fontId="6" fillId="0" borderId="0" xfId="0" applyFont="1" applyAlignment="1">
      <alignment vertical="center"/>
    </xf>
    <xf numFmtId="0" fontId="6" fillId="0" borderId="7" xfId="0" applyFont="1" applyBorder="1" applyAlignment="1">
      <alignment vertical="center"/>
    </xf>
    <xf numFmtId="169" fontId="4" fillId="3" borderId="0" xfId="2" applyNumberFormat="1" applyFont="1" applyFill="1"/>
    <xf numFmtId="169" fontId="0" fillId="0" borderId="1" xfId="0" applyNumberFormat="1" applyBorder="1"/>
    <xf numFmtId="169" fontId="0" fillId="0" borderId="2" xfId="0" applyNumberFormat="1" applyBorder="1"/>
    <xf numFmtId="169" fontId="0" fillId="0" borderId="3" xfId="0" applyNumberFormat="1" applyBorder="1"/>
    <xf numFmtId="169" fontId="0" fillId="0" borderId="4" xfId="0" applyNumberFormat="1" applyBorder="1"/>
    <xf numFmtId="169" fontId="0" fillId="0" borderId="0" xfId="0" applyNumberFormat="1"/>
    <xf numFmtId="169" fontId="0" fillId="0" borderId="5" xfId="0" applyNumberFormat="1" applyBorder="1"/>
    <xf numFmtId="169" fontId="0" fillId="0" borderId="6" xfId="0" applyNumberFormat="1" applyBorder="1"/>
    <xf numFmtId="169" fontId="0" fillId="0" borderId="7" xfId="0" applyNumberFormat="1" applyBorder="1"/>
    <xf numFmtId="169" fontId="0" fillId="0" borderId="8"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6" fillId="0" borderId="2" xfId="0" applyFont="1" applyBorder="1" applyAlignment="1">
      <alignment horizontal="center" vertical="center"/>
    </xf>
    <xf numFmtId="0" fontId="6" fillId="0" borderId="0" xfId="0" applyFont="1" applyAlignment="1">
      <alignment horizontal="center" vertical="center"/>
    </xf>
    <xf numFmtId="0" fontId="6" fillId="0" borderId="7" xfId="0" applyFont="1"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cellXfs>
  <cellStyles count="7">
    <cellStyle name="40% - Accent1" xfId="1" builtinId="31"/>
    <cellStyle name="40% - Accent2" xfId="4" builtinId="35"/>
    <cellStyle name="Comma" xfId="5" builtinId="3"/>
    <cellStyle name="Currency" xfId="2" builtinId="4"/>
    <cellStyle name="Good" xfId="3" builtinId="26"/>
    <cellStyle name="Normal" xfId="0" builtinId="0"/>
    <cellStyle name="Normal 2" xfId="6" xr:uid="{504FCC07-F75D-4450-A441-45B57411D90D}"/>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'5.58 (Sensitivty Analysis)'!$U$1</c:f>
          <c:strCache>
            <c:ptCount val="1"/>
            <c:pt idx="0">
              <c:v>Sensitivity of $B$54 to Input2</c:v>
            </c:pt>
          </c:strCache>
        </c:strRef>
      </c:tx>
      <c:overlay val="0"/>
      <c:txPr>
        <a:bodyPr/>
        <a:lstStyle/>
        <a:p>
          <a:pPr>
            <a:defRPr sz="1200"/>
          </a:pPr>
          <a:endParaRPr lang="en-US"/>
        </a:p>
      </c:txPr>
    </c:title>
    <c:autoTitleDeleted val="0"/>
    <c:plotArea>
      <c:layout/>
      <c:lineChart>
        <c:grouping val="standard"/>
        <c:varyColors val="0"/>
        <c:ser>
          <c:idx val="0"/>
          <c:order val="0"/>
          <c:cat>
            <c:numRef>
              <c:f>'5.58 (Sensitivty Analysis)'!$B$4:$S$4</c:f>
              <c:numCache>
                <c:formatCode>"$"#,##0</c:formatCode>
                <c:ptCount val="18"/>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numCache>
            </c:numRef>
          </c:cat>
          <c:val>
            <c:numRef>
              <c:f>'5.58 (Sensitivty Analysis)'!$U$5:$U$22</c:f>
              <c:numCache>
                <c:formatCode>General</c:formatCode>
                <c:ptCount val="18"/>
                <c:pt idx="0">
                  <c:v>8600</c:v>
                </c:pt>
                <c:pt idx="1">
                  <c:v>3300</c:v>
                </c:pt>
                <c:pt idx="2">
                  <c:v>3300</c:v>
                </c:pt>
                <c:pt idx="3">
                  <c:v>3300</c:v>
                </c:pt>
                <c:pt idx="4">
                  <c:v>3300</c:v>
                </c:pt>
                <c:pt idx="5">
                  <c:v>3300</c:v>
                </c:pt>
                <c:pt idx="6">
                  <c:v>3300</c:v>
                </c:pt>
                <c:pt idx="7">
                  <c:v>3300</c:v>
                </c:pt>
                <c:pt idx="8">
                  <c:v>3300</c:v>
                </c:pt>
                <c:pt idx="9">
                  <c:v>3300</c:v>
                </c:pt>
                <c:pt idx="10">
                  <c:v>3300</c:v>
                </c:pt>
                <c:pt idx="11">
                  <c:v>3300</c:v>
                </c:pt>
                <c:pt idx="12">
                  <c:v>3300</c:v>
                </c:pt>
                <c:pt idx="13">
                  <c:v>3300</c:v>
                </c:pt>
                <c:pt idx="14">
                  <c:v>3300</c:v>
                </c:pt>
                <c:pt idx="15">
                  <c:v>3300</c:v>
                </c:pt>
                <c:pt idx="16">
                  <c:v>3300</c:v>
                </c:pt>
                <c:pt idx="17">
                  <c:v>3300</c:v>
                </c:pt>
              </c:numCache>
            </c:numRef>
          </c:val>
          <c:smooth val="0"/>
          <c:extLst>
            <c:ext xmlns:c16="http://schemas.microsoft.com/office/drawing/2014/chart" uri="{C3380CC4-5D6E-409C-BE32-E72D297353CC}">
              <c16:uniqueId val="{00000000-915F-40C7-9375-3FB050A27051}"/>
            </c:ext>
          </c:extLst>
        </c:ser>
        <c:dLbls>
          <c:showLegendKey val="0"/>
          <c:showVal val="0"/>
          <c:showCatName val="0"/>
          <c:showSerName val="0"/>
          <c:showPercent val="0"/>
          <c:showBubbleSize val="0"/>
        </c:dLbls>
        <c:marker val="1"/>
        <c:smooth val="0"/>
        <c:axId val="1180479487"/>
        <c:axId val="1375398319"/>
      </c:lineChart>
      <c:catAx>
        <c:axId val="1180479487"/>
        <c:scaling>
          <c:orientation val="minMax"/>
        </c:scaling>
        <c:delete val="0"/>
        <c:axPos val="b"/>
        <c:title>
          <c:tx>
            <c:rich>
              <a:bodyPr/>
              <a:lstStyle/>
              <a:p>
                <a:pPr>
                  <a:defRPr/>
                </a:pPr>
                <a:r>
                  <a:rPr lang="en-US"/>
                  <a:t>Input2 ($C$4)</a:t>
                </a:r>
              </a:p>
            </c:rich>
          </c:tx>
          <c:overlay val="0"/>
        </c:title>
        <c:numFmt formatCode="&quot;$&quot;#,##0" sourceLinked="1"/>
        <c:majorTickMark val="out"/>
        <c:minorTickMark val="none"/>
        <c:tickLblPos val="nextTo"/>
        <c:crossAx val="1375398319"/>
        <c:crosses val="autoZero"/>
        <c:auto val="1"/>
        <c:lblAlgn val="ctr"/>
        <c:lblOffset val="100"/>
        <c:noMultiLvlLbl val="0"/>
      </c:catAx>
      <c:valAx>
        <c:axId val="1375398319"/>
        <c:scaling>
          <c:orientation val="minMax"/>
        </c:scaling>
        <c:delete val="0"/>
        <c:axPos val="l"/>
        <c:majorGridlines/>
        <c:numFmt formatCode="General" sourceLinked="1"/>
        <c:majorTickMark val="out"/>
        <c:minorTickMark val="none"/>
        <c:tickLblPos val="nextTo"/>
        <c:crossAx val="1180479487"/>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'5.58 (Sensitivty Analysis)'!$Y$1</c:f>
          <c:strCache>
            <c:ptCount val="1"/>
            <c:pt idx="0">
              <c:v>Sensitivity of $B$54 to Input1</c:v>
            </c:pt>
          </c:strCache>
        </c:strRef>
      </c:tx>
      <c:overlay val="0"/>
      <c:txPr>
        <a:bodyPr/>
        <a:lstStyle/>
        <a:p>
          <a:pPr>
            <a:defRPr sz="1200"/>
          </a:pPr>
          <a:endParaRPr lang="en-US"/>
        </a:p>
      </c:txPr>
    </c:title>
    <c:autoTitleDeleted val="0"/>
    <c:plotArea>
      <c:layout/>
      <c:lineChart>
        <c:grouping val="standard"/>
        <c:varyColors val="0"/>
        <c:ser>
          <c:idx val="0"/>
          <c:order val="0"/>
          <c:cat>
            <c:numRef>
              <c:f>'5.58 (Sensitivty Analysis)'!$A$5:$A$22</c:f>
              <c:numCache>
                <c:formatCode>"$"#,##0</c:formatCode>
                <c:ptCount val="18"/>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numCache>
            </c:numRef>
          </c:cat>
          <c:val>
            <c:numRef>
              <c:f>'5.58 (Sensitivty Analysis)'!$Y$5:$Y$22</c:f>
              <c:numCache>
                <c:formatCode>General</c:formatCode>
                <c:ptCount val="18"/>
                <c:pt idx="0">
                  <c:v>8600</c:v>
                </c:pt>
                <c:pt idx="1">
                  <c:v>8600</c:v>
                </c:pt>
                <c:pt idx="2">
                  <c:v>5300</c:v>
                </c:pt>
                <c:pt idx="3">
                  <c:v>5300</c:v>
                </c:pt>
                <c:pt idx="4">
                  <c:v>5300</c:v>
                </c:pt>
                <c:pt idx="5">
                  <c:v>5300</c:v>
                </c:pt>
                <c:pt idx="6">
                  <c:v>5300</c:v>
                </c:pt>
                <c:pt idx="7">
                  <c:v>5300</c:v>
                </c:pt>
                <c:pt idx="8">
                  <c:v>5300</c:v>
                </c:pt>
                <c:pt idx="9">
                  <c:v>5300</c:v>
                </c:pt>
                <c:pt idx="10">
                  <c:v>5300</c:v>
                </c:pt>
                <c:pt idx="11">
                  <c:v>5300</c:v>
                </c:pt>
                <c:pt idx="12">
                  <c:v>5300</c:v>
                </c:pt>
                <c:pt idx="13">
                  <c:v>5300</c:v>
                </c:pt>
                <c:pt idx="14">
                  <c:v>5300</c:v>
                </c:pt>
                <c:pt idx="15">
                  <c:v>5300</c:v>
                </c:pt>
                <c:pt idx="16">
                  <c:v>5300</c:v>
                </c:pt>
                <c:pt idx="17">
                  <c:v>5300</c:v>
                </c:pt>
              </c:numCache>
            </c:numRef>
          </c:val>
          <c:smooth val="0"/>
          <c:extLst>
            <c:ext xmlns:c16="http://schemas.microsoft.com/office/drawing/2014/chart" uri="{C3380CC4-5D6E-409C-BE32-E72D297353CC}">
              <c16:uniqueId val="{00000000-7022-4221-8698-43F2965E9EB1}"/>
            </c:ext>
          </c:extLst>
        </c:ser>
        <c:dLbls>
          <c:showLegendKey val="0"/>
          <c:showVal val="0"/>
          <c:showCatName val="0"/>
          <c:showSerName val="0"/>
          <c:showPercent val="0"/>
          <c:showBubbleSize val="0"/>
        </c:dLbls>
        <c:marker val="1"/>
        <c:smooth val="0"/>
        <c:axId val="1338700431"/>
        <c:axId val="1338699599"/>
      </c:lineChart>
      <c:catAx>
        <c:axId val="1338700431"/>
        <c:scaling>
          <c:orientation val="minMax"/>
        </c:scaling>
        <c:delete val="0"/>
        <c:axPos val="b"/>
        <c:title>
          <c:tx>
            <c:rich>
              <a:bodyPr/>
              <a:lstStyle/>
              <a:p>
                <a:pPr>
                  <a:defRPr/>
                </a:pPr>
                <a:r>
                  <a:rPr lang="en-US"/>
                  <a:t>Input1 ($C$3)</a:t>
                </a:r>
              </a:p>
            </c:rich>
          </c:tx>
          <c:overlay val="0"/>
        </c:title>
        <c:numFmt formatCode="&quot;$&quot;#,##0" sourceLinked="1"/>
        <c:majorTickMark val="out"/>
        <c:minorTickMark val="none"/>
        <c:tickLblPos val="nextTo"/>
        <c:crossAx val="1338699599"/>
        <c:crosses val="autoZero"/>
        <c:auto val="1"/>
        <c:lblAlgn val="ctr"/>
        <c:lblOffset val="100"/>
        <c:noMultiLvlLbl val="0"/>
      </c:catAx>
      <c:valAx>
        <c:axId val="1338699599"/>
        <c:scaling>
          <c:orientation val="minMax"/>
        </c:scaling>
        <c:delete val="0"/>
        <c:axPos val="l"/>
        <c:majorGridlines/>
        <c:numFmt formatCode="General" sourceLinked="1"/>
        <c:majorTickMark val="out"/>
        <c:minorTickMark val="none"/>
        <c:tickLblPos val="nextTo"/>
        <c:crossAx val="1338700431"/>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'5.66(Additional)'!$K$1</c:f>
          <c:strCache>
            <c:ptCount val="1"/>
            <c:pt idx="0">
              <c:v>Sensitivity of Total__Dispatch__Cost to Time taken for engine 3 to reach fire3</c:v>
            </c:pt>
          </c:strCache>
        </c:strRef>
      </c:tx>
      <c:overlay val="0"/>
      <c:txPr>
        <a:bodyPr/>
        <a:lstStyle/>
        <a:p>
          <a:pPr>
            <a:defRPr sz="1200"/>
          </a:pPr>
          <a:endParaRPr lang="en-US"/>
        </a:p>
      </c:txPr>
    </c:title>
    <c:autoTitleDeleted val="0"/>
    <c:plotArea>
      <c:layout/>
      <c:lineChart>
        <c:grouping val="standard"/>
        <c:varyColors val="0"/>
        <c:ser>
          <c:idx val="0"/>
          <c:order val="0"/>
          <c:cat>
            <c:numRef>
              <c:f>'5.66(Additional)'!$B$4:$H$4</c:f>
              <c:numCache>
                <c:formatCode>General</c:formatCode>
                <c:ptCount val="7"/>
                <c:pt idx="0">
                  <c:v>3</c:v>
                </c:pt>
                <c:pt idx="1">
                  <c:v>4</c:v>
                </c:pt>
                <c:pt idx="2">
                  <c:v>5</c:v>
                </c:pt>
                <c:pt idx="3">
                  <c:v>6</c:v>
                </c:pt>
                <c:pt idx="4">
                  <c:v>7</c:v>
                </c:pt>
                <c:pt idx="5">
                  <c:v>8</c:v>
                </c:pt>
                <c:pt idx="6">
                  <c:v>9</c:v>
                </c:pt>
              </c:numCache>
            </c:numRef>
          </c:cat>
          <c:val>
            <c:numRef>
              <c:f>'5.66(Additional)'!$K$5:$K$11</c:f>
              <c:numCache>
                <c:formatCode>General</c:formatCode>
                <c:ptCount val="7"/>
                <c:pt idx="0">
                  <c:v>300</c:v>
                </c:pt>
                <c:pt idx="1">
                  <c:v>310</c:v>
                </c:pt>
                <c:pt idx="2">
                  <c:v>320</c:v>
                </c:pt>
                <c:pt idx="3">
                  <c:v>330</c:v>
                </c:pt>
                <c:pt idx="4">
                  <c:v>340</c:v>
                </c:pt>
                <c:pt idx="5">
                  <c:v>350</c:v>
                </c:pt>
                <c:pt idx="6">
                  <c:v>359</c:v>
                </c:pt>
              </c:numCache>
            </c:numRef>
          </c:val>
          <c:smooth val="0"/>
          <c:extLst>
            <c:ext xmlns:c16="http://schemas.microsoft.com/office/drawing/2014/chart" uri="{C3380CC4-5D6E-409C-BE32-E72D297353CC}">
              <c16:uniqueId val="{00000000-E83A-4608-BC29-B19DE03C1FCC}"/>
            </c:ext>
          </c:extLst>
        </c:ser>
        <c:dLbls>
          <c:showLegendKey val="0"/>
          <c:showVal val="0"/>
          <c:showCatName val="0"/>
          <c:showSerName val="0"/>
          <c:showPercent val="0"/>
          <c:showBubbleSize val="0"/>
        </c:dLbls>
        <c:marker val="1"/>
        <c:smooth val="0"/>
        <c:axId val="1240435536"/>
        <c:axId val="1240434288"/>
      </c:lineChart>
      <c:catAx>
        <c:axId val="1240435536"/>
        <c:scaling>
          <c:orientation val="minMax"/>
        </c:scaling>
        <c:delete val="0"/>
        <c:axPos val="b"/>
        <c:title>
          <c:tx>
            <c:rich>
              <a:bodyPr/>
              <a:lstStyle/>
              <a:p>
                <a:pPr>
                  <a:defRPr/>
                </a:pPr>
                <a:r>
                  <a:rPr lang="en-IN"/>
                  <a:t>Time taken for engine 3 to reach fire3 ($O$36)</a:t>
                </a:r>
              </a:p>
            </c:rich>
          </c:tx>
          <c:overlay val="0"/>
        </c:title>
        <c:numFmt formatCode="General" sourceLinked="1"/>
        <c:majorTickMark val="out"/>
        <c:minorTickMark val="none"/>
        <c:tickLblPos val="nextTo"/>
        <c:crossAx val="1240434288"/>
        <c:crosses val="autoZero"/>
        <c:auto val="1"/>
        <c:lblAlgn val="ctr"/>
        <c:lblOffset val="100"/>
        <c:noMultiLvlLbl val="0"/>
      </c:catAx>
      <c:valAx>
        <c:axId val="1240434288"/>
        <c:scaling>
          <c:orientation val="minMax"/>
        </c:scaling>
        <c:delete val="0"/>
        <c:axPos val="l"/>
        <c:majorGridlines/>
        <c:numFmt formatCode="General" sourceLinked="1"/>
        <c:majorTickMark val="out"/>
        <c:minorTickMark val="none"/>
        <c:tickLblPos val="nextTo"/>
        <c:crossAx val="124043553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'5.66(Additional)'!$O$1</c:f>
          <c:strCache>
            <c:ptCount val="1"/>
            <c:pt idx="0">
              <c:v>Sensitivity of Total__Dispatch__Cost to Time taken for engine 2 to reach fire 2</c:v>
            </c:pt>
          </c:strCache>
        </c:strRef>
      </c:tx>
      <c:overlay val="0"/>
      <c:txPr>
        <a:bodyPr/>
        <a:lstStyle/>
        <a:p>
          <a:pPr>
            <a:defRPr sz="1200"/>
          </a:pPr>
          <a:endParaRPr lang="en-US"/>
        </a:p>
      </c:txPr>
    </c:title>
    <c:autoTitleDeleted val="0"/>
    <c:plotArea>
      <c:layout/>
      <c:lineChart>
        <c:grouping val="standard"/>
        <c:varyColors val="0"/>
        <c:ser>
          <c:idx val="0"/>
          <c:order val="0"/>
          <c:cat>
            <c:numRef>
              <c:f>'5.66(Additional)'!$A$5:$A$11</c:f>
              <c:numCache>
                <c:formatCode>General</c:formatCode>
                <c:ptCount val="7"/>
                <c:pt idx="0">
                  <c:v>2</c:v>
                </c:pt>
                <c:pt idx="1">
                  <c:v>3</c:v>
                </c:pt>
                <c:pt idx="2">
                  <c:v>4</c:v>
                </c:pt>
                <c:pt idx="3">
                  <c:v>5</c:v>
                </c:pt>
                <c:pt idx="4">
                  <c:v>6</c:v>
                </c:pt>
                <c:pt idx="5">
                  <c:v>7</c:v>
                </c:pt>
                <c:pt idx="6">
                  <c:v>8</c:v>
                </c:pt>
              </c:numCache>
            </c:numRef>
          </c:cat>
          <c:val>
            <c:numRef>
              <c:f>'5.66(Additional)'!$O$5:$O$11</c:f>
              <c:numCache>
                <c:formatCode>General</c:formatCode>
                <c:ptCount val="7"/>
                <c:pt idx="0">
                  <c:v>300</c:v>
                </c:pt>
                <c:pt idx="1">
                  <c:v>309</c:v>
                </c:pt>
                <c:pt idx="2">
                  <c:v>318</c:v>
                </c:pt>
                <c:pt idx="3">
                  <c:v>325</c:v>
                </c:pt>
                <c:pt idx="4">
                  <c:v>332</c:v>
                </c:pt>
                <c:pt idx="5">
                  <c:v>339</c:v>
                </c:pt>
                <c:pt idx="6">
                  <c:v>346</c:v>
                </c:pt>
              </c:numCache>
            </c:numRef>
          </c:val>
          <c:smooth val="0"/>
          <c:extLst>
            <c:ext xmlns:c16="http://schemas.microsoft.com/office/drawing/2014/chart" uri="{C3380CC4-5D6E-409C-BE32-E72D297353CC}">
              <c16:uniqueId val="{00000000-0A58-4D3A-9D33-60D61006B896}"/>
            </c:ext>
          </c:extLst>
        </c:ser>
        <c:dLbls>
          <c:showLegendKey val="0"/>
          <c:showVal val="0"/>
          <c:showCatName val="0"/>
          <c:showSerName val="0"/>
          <c:showPercent val="0"/>
          <c:showBubbleSize val="0"/>
        </c:dLbls>
        <c:marker val="1"/>
        <c:smooth val="0"/>
        <c:axId val="1240440112"/>
        <c:axId val="1240439280"/>
      </c:lineChart>
      <c:catAx>
        <c:axId val="1240440112"/>
        <c:scaling>
          <c:orientation val="minMax"/>
        </c:scaling>
        <c:delete val="0"/>
        <c:axPos val="b"/>
        <c:title>
          <c:tx>
            <c:rich>
              <a:bodyPr/>
              <a:lstStyle/>
              <a:p>
                <a:pPr>
                  <a:defRPr/>
                </a:pPr>
                <a:r>
                  <a:rPr lang="en-IN"/>
                  <a:t>Time taken for engine 2 to reach fire 2 ($O$33)</a:t>
                </a:r>
              </a:p>
            </c:rich>
          </c:tx>
          <c:overlay val="0"/>
        </c:title>
        <c:numFmt formatCode="General" sourceLinked="1"/>
        <c:majorTickMark val="out"/>
        <c:minorTickMark val="none"/>
        <c:tickLblPos val="nextTo"/>
        <c:crossAx val="1240439280"/>
        <c:crosses val="autoZero"/>
        <c:auto val="1"/>
        <c:lblAlgn val="ctr"/>
        <c:lblOffset val="100"/>
        <c:noMultiLvlLbl val="0"/>
      </c:catAx>
      <c:valAx>
        <c:axId val="1240439280"/>
        <c:scaling>
          <c:orientation val="minMax"/>
        </c:scaling>
        <c:delete val="0"/>
        <c:axPos val="l"/>
        <c:majorGridlines/>
        <c:numFmt formatCode="General" sourceLinked="1"/>
        <c:majorTickMark val="out"/>
        <c:minorTickMark val="none"/>
        <c:tickLblPos val="nextTo"/>
        <c:crossAx val="1240440112"/>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'5.70(b.Sensitivity)'!$K$1</c:f>
          <c:strCache>
            <c:ptCount val="1"/>
            <c:pt idx="0">
              <c:v>Sensitivity of Total_Time to Max no of jobs assigned to an employee</c:v>
            </c:pt>
          </c:strCache>
        </c:strRef>
      </c:tx>
      <c:overlay val="0"/>
      <c:txPr>
        <a:bodyPr/>
        <a:lstStyle/>
        <a:p>
          <a:pPr>
            <a:defRPr sz="1200"/>
          </a:pPr>
          <a:endParaRPr lang="en-US"/>
        </a:p>
      </c:txPr>
    </c:title>
    <c:autoTitleDeleted val="0"/>
    <c:plotArea>
      <c:layout/>
      <c:lineChart>
        <c:grouping val="standard"/>
        <c:varyColors val="0"/>
        <c:ser>
          <c:idx val="0"/>
          <c:order val="0"/>
          <c:cat>
            <c:numRef>
              <c:f>'5.70(b.Sensitivity)'!$A$5:$A$8</c:f>
              <c:numCache>
                <c:formatCode>General</c:formatCode>
                <c:ptCount val="4"/>
                <c:pt idx="0">
                  <c:v>2</c:v>
                </c:pt>
                <c:pt idx="1">
                  <c:v>3</c:v>
                </c:pt>
                <c:pt idx="2">
                  <c:v>4</c:v>
                </c:pt>
                <c:pt idx="3">
                  <c:v>5</c:v>
                </c:pt>
              </c:numCache>
            </c:numRef>
          </c:cat>
          <c:val>
            <c:numRef>
              <c:f>'5.70(b.Sensitivity)'!$K$5:$K$8</c:f>
              <c:numCache>
                <c:formatCode>General</c:formatCode>
                <c:ptCount val="4"/>
                <c:pt idx="0">
                  <c:v>340</c:v>
                </c:pt>
                <c:pt idx="1">
                  <c:v>338</c:v>
                </c:pt>
                <c:pt idx="2">
                  <c:v>337</c:v>
                </c:pt>
                <c:pt idx="3">
                  <c:v>337</c:v>
                </c:pt>
              </c:numCache>
            </c:numRef>
          </c:val>
          <c:smooth val="0"/>
          <c:extLst>
            <c:ext xmlns:c16="http://schemas.microsoft.com/office/drawing/2014/chart" uri="{C3380CC4-5D6E-409C-BE32-E72D297353CC}">
              <c16:uniqueId val="{00000001-AD29-4BA7-A78E-239D32CA8149}"/>
            </c:ext>
          </c:extLst>
        </c:ser>
        <c:dLbls>
          <c:showLegendKey val="0"/>
          <c:showVal val="0"/>
          <c:showCatName val="0"/>
          <c:showSerName val="0"/>
          <c:showPercent val="0"/>
          <c:showBubbleSize val="0"/>
        </c:dLbls>
        <c:marker val="1"/>
        <c:smooth val="0"/>
        <c:axId val="1726651648"/>
        <c:axId val="1726649152"/>
      </c:lineChart>
      <c:catAx>
        <c:axId val="1726651648"/>
        <c:scaling>
          <c:orientation val="minMax"/>
        </c:scaling>
        <c:delete val="0"/>
        <c:axPos val="b"/>
        <c:title>
          <c:tx>
            <c:rich>
              <a:bodyPr/>
              <a:lstStyle/>
              <a:p>
                <a:pPr>
                  <a:defRPr/>
                </a:pPr>
                <a:r>
                  <a:rPr lang="en-IN"/>
                  <a:t>Max no of jobs assigned to an employee ($F$45)</a:t>
                </a:r>
              </a:p>
            </c:rich>
          </c:tx>
          <c:overlay val="0"/>
        </c:title>
        <c:numFmt formatCode="General" sourceLinked="1"/>
        <c:majorTickMark val="out"/>
        <c:minorTickMark val="none"/>
        <c:tickLblPos val="nextTo"/>
        <c:crossAx val="1726649152"/>
        <c:crosses val="autoZero"/>
        <c:auto val="1"/>
        <c:lblAlgn val="ctr"/>
        <c:lblOffset val="100"/>
        <c:noMultiLvlLbl val="0"/>
      </c:catAx>
      <c:valAx>
        <c:axId val="1726649152"/>
        <c:scaling>
          <c:orientation val="minMax"/>
        </c:scaling>
        <c:delete val="0"/>
        <c:axPos val="l"/>
        <c:majorGridlines/>
        <c:numFmt formatCode="General" sourceLinked="1"/>
        <c:majorTickMark val="out"/>
        <c:minorTickMark val="none"/>
        <c:tickLblPos val="nextTo"/>
        <c:crossAx val="1726651648"/>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'5.79 (Sensitivity Analysis)'!$K$1</c:f>
          <c:strCache>
            <c:ptCount val="1"/>
            <c:pt idx="0">
              <c:v>Sensitivity of Total_cost_of_meeting_demand to cost per slow serviced napkin</c:v>
            </c:pt>
          </c:strCache>
        </c:strRef>
      </c:tx>
      <c:overlay val="0"/>
      <c:txPr>
        <a:bodyPr/>
        <a:lstStyle/>
        <a:p>
          <a:pPr>
            <a:defRPr sz="1200"/>
          </a:pPr>
          <a:endParaRPr lang="en-US"/>
        </a:p>
      </c:txPr>
    </c:title>
    <c:autoTitleDeleted val="0"/>
    <c:plotArea>
      <c:layout/>
      <c:lineChart>
        <c:grouping val="standard"/>
        <c:varyColors val="0"/>
        <c:ser>
          <c:idx val="0"/>
          <c:order val="0"/>
          <c:cat>
            <c:numRef>
              <c:f>'5.79 (Sensitivity Analysis)'!$A$5:$A$12</c:f>
              <c:numCache>
                <c:formatCode>General</c:formatCode>
                <c:ptCount val="8"/>
                <c:pt idx="0">
                  <c:v>0.10000000149011612</c:v>
                </c:pt>
                <c:pt idx="1">
                  <c:v>0.15000000596046448</c:v>
                </c:pt>
                <c:pt idx="2">
                  <c:v>0.20000000298023224</c:v>
                </c:pt>
                <c:pt idx="3">
                  <c:v>0.25</c:v>
                </c:pt>
                <c:pt idx="4">
                  <c:v>0.30000001192092896</c:v>
                </c:pt>
                <c:pt idx="5">
                  <c:v>0.34999999403953552</c:v>
                </c:pt>
                <c:pt idx="6">
                  <c:v>0.40000000596046448</c:v>
                </c:pt>
                <c:pt idx="7">
                  <c:v>0.45000001788139343</c:v>
                </c:pt>
              </c:numCache>
            </c:numRef>
          </c:cat>
          <c:val>
            <c:numRef>
              <c:f>'5.79 (Sensitivity Analysis)'!$K$5:$K$12</c:f>
              <c:numCache>
                <c:formatCode>General</c:formatCode>
                <c:ptCount val="8"/>
                <c:pt idx="0">
                  <c:v>2917.5000029057264</c:v>
                </c:pt>
                <c:pt idx="1">
                  <c:v>3015.0000116229057</c:v>
                </c:pt>
                <c:pt idx="2">
                  <c:v>3112.5000058114529</c:v>
                </c:pt>
                <c:pt idx="3">
                  <c:v>3210</c:v>
                </c:pt>
                <c:pt idx="4">
                  <c:v>3307.5000232458115</c:v>
                </c:pt>
                <c:pt idx="5">
                  <c:v>3404.9999883770943</c:v>
                </c:pt>
                <c:pt idx="6">
                  <c:v>3502.5000116229057</c:v>
                </c:pt>
                <c:pt idx="7">
                  <c:v>3600.0000348687172</c:v>
                </c:pt>
              </c:numCache>
            </c:numRef>
          </c:val>
          <c:smooth val="0"/>
          <c:extLst>
            <c:ext xmlns:c16="http://schemas.microsoft.com/office/drawing/2014/chart" uri="{C3380CC4-5D6E-409C-BE32-E72D297353CC}">
              <c16:uniqueId val="{00000001-7B10-43D9-B6C3-1801B41CD64A}"/>
            </c:ext>
          </c:extLst>
        </c:ser>
        <c:dLbls>
          <c:showLegendKey val="0"/>
          <c:showVal val="0"/>
          <c:showCatName val="0"/>
          <c:showSerName val="0"/>
          <c:showPercent val="0"/>
          <c:showBubbleSize val="0"/>
        </c:dLbls>
        <c:marker val="1"/>
        <c:smooth val="0"/>
        <c:axId val="1518690144"/>
        <c:axId val="1518687648"/>
      </c:lineChart>
      <c:catAx>
        <c:axId val="1518690144"/>
        <c:scaling>
          <c:orientation val="minMax"/>
        </c:scaling>
        <c:delete val="0"/>
        <c:axPos val="b"/>
        <c:title>
          <c:tx>
            <c:rich>
              <a:bodyPr/>
              <a:lstStyle/>
              <a:p>
                <a:pPr>
                  <a:defRPr/>
                </a:pPr>
                <a:r>
                  <a:rPr lang="en-IN"/>
                  <a:t>cost per slow serviced napkin ($B$8)</a:t>
                </a:r>
              </a:p>
            </c:rich>
          </c:tx>
          <c:overlay val="0"/>
        </c:title>
        <c:numFmt formatCode="General" sourceLinked="1"/>
        <c:majorTickMark val="out"/>
        <c:minorTickMark val="none"/>
        <c:tickLblPos val="nextTo"/>
        <c:crossAx val="1518687648"/>
        <c:crosses val="autoZero"/>
        <c:auto val="1"/>
        <c:lblAlgn val="ctr"/>
        <c:lblOffset val="100"/>
        <c:noMultiLvlLbl val="0"/>
      </c:catAx>
      <c:valAx>
        <c:axId val="1518687648"/>
        <c:scaling>
          <c:orientation val="minMax"/>
        </c:scaling>
        <c:delete val="0"/>
        <c:axPos val="l"/>
        <c:majorGridlines/>
        <c:numFmt formatCode="General" sourceLinked="1"/>
        <c:majorTickMark val="out"/>
        <c:minorTickMark val="none"/>
        <c:tickLblPos val="nextTo"/>
        <c:crossAx val="1518690144"/>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8</xdr:col>
      <xdr:colOff>25400</xdr:colOff>
      <xdr:row>1</xdr:row>
      <xdr:rowOff>171450</xdr:rowOff>
    </xdr:from>
    <xdr:to>
      <xdr:col>13</xdr:col>
      <xdr:colOff>19050</xdr:colOff>
      <xdr:row>22</xdr:row>
      <xdr:rowOff>88900</xdr:rowOff>
    </xdr:to>
    <xdr:sp macro="" textlink="">
      <xdr:nvSpPr>
        <xdr:cNvPr id="2" name="TextBox 1">
          <a:extLst>
            <a:ext uri="{FF2B5EF4-FFF2-40B4-BE49-F238E27FC236}">
              <a16:creationId xmlns:a16="http://schemas.microsoft.com/office/drawing/2014/main" id="{7DC6F557-4E3D-4856-807C-E5F6740A9C24}"/>
            </a:ext>
          </a:extLst>
        </xdr:cNvPr>
        <xdr:cNvSpPr txBox="1"/>
      </xdr:nvSpPr>
      <xdr:spPr>
        <a:xfrm>
          <a:off x="7004050" y="355600"/>
          <a:ext cx="304165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Our optimal solution states that we should produce 10,000 units in Boston</a:t>
          </a:r>
          <a:r>
            <a:rPr lang="en-US" sz="1100" baseline="0"/>
            <a:t> and 5,300 in Charlotte. It further states that NY and Seattle's demand should be fuilfilled by transporting goods directly from Boston whereas Los Angele's demand should be fulfilled by shipping directly from Charlotte. </a:t>
          </a:r>
        </a:p>
        <a:p>
          <a:endParaRPr lang="en-US" sz="1100" baseline="0"/>
        </a:p>
        <a:p>
          <a:r>
            <a:rPr lang="en-US" sz="1100" b="1" baseline="0"/>
            <a:t>SENSITIVITY ANALYSIS</a:t>
          </a:r>
        </a:p>
        <a:p>
          <a:r>
            <a:rPr lang="en-US" sz="1100" baseline="0"/>
            <a:t>We conducted a sensisitivty analysis through a two-way table because we wanted to see at what shipping price would goods be transported through Chicago. We found interesting results that after the shipping costs combo of ($15, $10) no goods are transported through Chicago. Otherwise, there are solutions in which LA and Seattle's demand is being met through transporting via Chicago. </a:t>
          </a:r>
        </a:p>
        <a:p>
          <a:r>
            <a:rPr lang="en-US" sz="1100" baseline="0"/>
            <a:t>It was also interesting to note that at no shipping cost is it a good decision to meet NY's demand by transporting via Chicago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25400</xdr:colOff>
      <xdr:row>1</xdr:row>
      <xdr:rowOff>171450</xdr:rowOff>
    </xdr:from>
    <xdr:to>
      <xdr:col>13</xdr:col>
      <xdr:colOff>19050</xdr:colOff>
      <xdr:row>15</xdr:row>
      <xdr:rowOff>6350</xdr:rowOff>
    </xdr:to>
    <xdr:sp macro="" textlink="">
      <xdr:nvSpPr>
        <xdr:cNvPr id="2" name="TextBox 1">
          <a:extLst>
            <a:ext uri="{FF2B5EF4-FFF2-40B4-BE49-F238E27FC236}">
              <a16:creationId xmlns:a16="http://schemas.microsoft.com/office/drawing/2014/main" id="{1C383CD2-76B2-485B-88AA-C50084A5D902}"/>
            </a:ext>
          </a:extLst>
        </xdr:cNvPr>
        <xdr:cNvSpPr txBox="1"/>
      </xdr:nvSpPr>
      <xdr:spPr>
        <a:xfrm>
          <a:off x="8197850" y="355600"/>
          <a:ext cx="3041650" cy="241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part b with this additional shipment constraint we are producing the same amounts in Boston</a:t>
          </a:r>
          <a:r>
            <a:rPr lang="en-US" sz="1100" baseline="0"/>
            <a:t> and Charlotte, however we now ship 1,000 units from Boston to Chicago (where they ultimately fulfill New York and Seattle's demand of 700 and 300 respectively). </a:t>
          </a:r>
        </a:p>
        <a:p>
          <a:endParaRPr lang="en-US" sz="1100" baseline="0"/>
        </a:p>
        <a:p>
          <a:r>
            <a:rPr lang="en-US" sz="1100" baseline="0"/>
            <a:t>This is because no single city can handle more than 3,000 units. Previously, This limit was being broken in all cases. As a result, we have to ship a minimal amount through Chicago and doing so through Boston is cheaper (as transporting from Charlotte to Chicago costs $5 more per item).</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21</xdr:col>
      <xdr:colOff>0</xdr:colOff>
      <xdr:row>23</xdr:row>
      <xdr:rowOff>139700</xdr:rowOff>
    </xdr:from>
    <xdr:to>
      <xdr:col>29</xdr:col>
      <xdr:colOff>0</xdr:colOff>
      <xdr:row>39</xdr:row>
      <xdr:rowOff>50800</xdr:rowOff>
    </xdr:to>
    <xdr:graphicFrame macro="">
      <xdr:nvGraphicFramePr>
        <xdr:cNvPr id="2" name="STS_1_Chart1">
          <a:extLst>
            <a:ext uri="{FF2B5EF4-FFF2-40B4-BE49-F238E27FC236}">
              <a16:creationId xmlns:a16="http://schemas.microsoft.com/office/drawing/2014/main" id="{5448EE9F-7120-47ED-A6CB-200391210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30</xdr:col>
      <xdr:colOff>0</xdr:colOff>
      <xdr:row>23</xdr:row>
      <xdr:rowOff>139700</xdr:rowOff>
    </xdr:from>
    <xdr:to>
      <xdr:col>38</xdr:col>
      <xdr:colOff>0</xdr:colOff>
      <xdr:row>39</xdr:row>
      <xdr:rowOff>50800</xdr:rowOff>
    </xdr:to>
    <xdr:graphicFrame macro="">
      <xdr:nvGraphicFramePr>
        <xdr:cNvPr id="3" name="STS_1_Chart2">
          <a:extLst>
            <a:ext uri="{FF2B5EF4-FFF2-40B4-BE49-F238E27FC236}">
              <a16:creationId xmlns:a16="http://schemas.microsoft.com/office/drawing/2014/main" id="{0A73ED4A-3F01-4541-83F6-C83AAFA63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28</xdr:col>
      <xdr:colOff>0</xdr:colOff>
      <xdr:row>3</xdr:row>
      <xdr:rowOff>19050</xdr:rowOff>
    </xdr:from>
    <xdr:to>
      <xdr:col>34</xdr:col>
      <xdr:colOff>0</xdr:colOff>
      <xdr:row>9</xdr:row>
      <xdr:rowOff>19050</xdr:rowOff>
    </xdr:to>
    <xdr:sp macro="" textlink="">
      <xdr:nvSpPr>
        <xdr:cNvPr id="4" name="TextBox 3">
          <a:extLst>
            <a:ext uri="{FF2B5EF4-FFF2-40B4-BE49-F238E27FC236}">
              <a16:creationId xmlns:a16="http://schemas.microsoft.com/office/drawing/2014/main" id="{2B088DD1-0AFB-43B3-895A-976FA6F319AE}"/>
            </a:ext>
          </a:extLst>
        </xdr:cNvPr>
        <xdr:cNvSpPr txBox="1"/>
      </xdr:nvSpPr>
      <xdr:spPr>
        <a:xfrm>
          <a:off x="16871950" y="571500"/>
          <a:ext cx="3657600" cy="13335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By making appropriate selections in cells $U$4, $V$4, $Y$4, and $Z$4, you can chart any row (in left chart) or column (in right chart) of any table to the left.</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18</xdr:col>
      <xdr:colOff>238578</xdr:colOff>
      <xdr:row>0</xdr:row>
      <xdr:rowOff>59871</xdr:rowOff>
    </xdr:from>
    <xdr:to>
      <xdr:col>24</xdr:col>
      <xdr:colOff>97109</xdr:colOff>
      <xdr:row>18</xdr:row>
      <xdr:rowOff>27214</xdr:rowOff>
    </xdr:to>
    <xdr:pic>
      <xdr:nvPicPr>
        <xdr:cNvPr id="2" name="Picture 1">
          <a:extLst>
            <a:ext uri="{FF2B5EF4-FFF2-40B4-BE49-F238E27FC236}">
              <a16:creationId xmlns:a16="http://schemas.microsoft.com/office/drawing/2014/main" id="{C9BD18A4-6B3E-4881-A9C8-C57267773B8C}"/>
            </a:ext>
          </a:extLst>
        </xdr:cNvPr>
        <xdr:cNvPicPr>
          <a:picLocks noChangeAspect="1"/>
        </xdr:cNvPicPr>
      </xdr:nvPicPr>
      <xdr:blipFill>
        <a:blip xmlns:r="http://schemas.openxmlformats.org/officeDocument/2006/relationships" r:embed="rId1"/>
        <a:stretch>
          <a:fillRect/>
        </a:stretch>
      </xdr:blipFill>
      <xdr:spPr>
        <a:xfrm>
          <a:off x="13764078" y="59871"/>
          <a:ext cx="3516131" cy="3282043"/>
        </a:xfrm>
        <a:prstGeom prst="rect">
          <a:avLst/>
        </a:prstGeom>
      </xdr:spPr>
    </xdr:pic>
    <xdr:clientData/>
  </xdr:twoCellAnchor>
  <xdr:twoCellAnchor>
    <xdr:from>
      <xdr:col>10</xdr:col>
      <xdr:colOff>215900</xdr:colOff>
      <xdr:row>0</xdr:row>
      <xdr:rowOff>171450</xdr:rowOff>
    </xdr:from>
    <xdr:to>
      <xdr:col>15</xdr:col>
      <xdr:colOff>101600</xdr:colOff>
      <xdr:row>26</xdr:row>
      <xdr:rowOff>72571</xdr:rowOff>
    </xdr:to>
    <xdr:sp macro="" textlink="">
      <xdr:nvSpPr>
        <xdr:cNvPr id="3" name="TextBox 2">
          <a:extLst>
            <a:ext uri="{FF2B5EF4-FFF2-40B4-BE49-F238E27FC236}">
              <a16:creationId xmlns:a16="http://schemas.microsoft.com/office/drawing/2014/main" id="{910B71D4-3899-432A-89F9-2058CA4848AF}"/>
            </a:ext>
          </a:extLst>
        </xdr:cNvPr>
        <xdr:cNvSpPr txBox="1"/>
      </xdr:nvSpPr>
      <xdr:spPr>
        <a:xfrm>
          <a:off x="6915150" y="171450"/>
          <a:ext cx="3435350" cy="46890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 Using</a:t>
          </a:r>
          <a:r>
            <a:rPr lang="en-IN" sz="1100" baseline="0"/>
            <a:t> solver, we were able to find the optimal allocation arrangement amongst all available engines with given companies given our constraints. Please refer to </a:t>
          </a:r>
          <a:r>
            <a:rPr lang="en-IN" sz="1100" b="1" baseline="0"/>
            <a:t>Assignment Matrix</a:t>
          </a:r>
          <a:r>
            <a:rPr lang="en-IN" sz="1100" baseline="0"/>
            <a:t> to find out about optimal arrangement. Each cell in </a:t>
          </a:r>
          <a:r>
            <a:rPr lang="en-IN" sz="1100" b="1" baseline="0"/>
            <a:t>Cost Matrix</a:t>
          </a:r>
          <a:r>
            <a:rPr lang="en-IN" sz="1100" baseline="0"/>
            <a:t> was calculated using the formula : </a:t>
          </a:r>
          <a:r>
            <a:rPr lang="en-IN" sz="1100" b="1" baseline="0"/>
            <a:t>(Engine to fire cost coefficient)*(time taken for engine from given company to reach fire location). </a:t>
          </a:r>
          <a:r>
            <a:rPr lang="en-IN" sz="1100" baseline="0"/>
            <a:t>Using the </a:t>
          </a:r>
          <a:r>
            <a:rPr lang="en-IN" sz="1100" b="1" baseline="0"/>
            <a:t>sumproduct of cost matrix and assignment matrix</a:t>
          </a:r>
          <a:r>
            <a:rPr lang="en-IN" sz="1100" baseline="0"/>
            <a:t>, we find out that </a:t>
          </a:r>
          <a:r>
            <a:rPr lang="en-IN" sz="1100" b="1" baseline="0"/>
            <a:t>minimum</a:t>
          </a:r>
          <a:r>
            <a:rPr lang="en-IN" sz="1100" baseline="0"/>
            <a:t> </a:t>
          </a:r>
          <a:r>
            <a:rPr lang="en-IN" sz="1100" b="1" baseline="0"/>
            <a:t>cost</a:t>
          </a:r>
          <a:r>
            <a:rPr lang="en-IN" sz="1100" baseline="0"/>
            <a:t> to achieve optimal allocation of engines amongst fire companies is </a:t>
          </a:r>
          <a:r>
            <a:rPr lang="en-IN" sz="1100" b="1" baseline="0"/>
            <a:t>$329</a:t>
          </a:r>
          <a:r>
            <a:rPr lang="en-IN" sz="1100" baseline="0"/>
            <a:t>.</a:t>
          </a:r>
        </a:p>
        <a:p>
          <a:endParaRPr lang="en-IN" sz="1100" baseline="0"/>
        </a:p>
        <a:p>
          <a:r>
            <a:rPr lang="en-IN" sz="1100" baseline="0"/>
            <a:t>b.) Even when we swap the values of first rows of cost coefficient column as desired in the question, and run the solver, we find that the minimum cost value still remains unchanged. Thus the formulation for part a is valid for the cost of fire 1: 4t11 +6t12.</a:t>
          </a:r>
        </a:p>
        <a:p>
          <a:endParaRPr lang="en-IN" sz="1100" baseline="0"/>
        </a:p>
        <a:p>
          <a:r>
            <a:rPr lang="en-IN" sz="1100" baseline="0"/>
            <a:t>Additional.) Using solvertable, we run a sensitivity analysis of t22 and t33 on total dispatch cost. As we increase t22 from 2 to 8, total cost linearly increases from $300 to $346. Similarly when we increase t33 from 3 to 9, total dispatch cost linearly increases from $300 to $359. This makes intuitive sense because increase in time to reach will lead to more labor and raw material costs, thus increasing total costs.</a:t>
          </a:r>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10</xdr:col>
      <xdr:colOff>0</xdr:colOff>
      <xdr:row>12</xdr:row>
      <xdr:rowOff>69850</xdr:rowOff>
    </xdr:from>
    <xdr:to>
      <xdr:col>18</xdr:col>
      <xdr:colOff>0</xdr:colOff>
      <xdr:row>27</xdr:row>
      <xdr:rowOff>165100</xdr:rowOff>
    </xdr:to>
    <xdr:graphicFrame macro="">
      <xdr:nvGraphicFramePr>
        <xdr:cNvPr id="2" name="STS_1_Chart1">
          <a:extLst>
            <a:ext uri="{FF2B5EF4-FFF2-40B4-BE49-F238E27FC236}">
              <a16:creationId xmlns:a16="http://schemas.microsoft.com/office/drawing/2014/main" id="{0914A378-2743-4D24-A11B-306FC0517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0</xdr:colOff>
      <xdr:row>12</xdr:row>
      <xdr:rowOff>69850</xdr:rowOff>
    </xdr:from>
    <xdr:to>
      <xdr:col>27</xdr:col>
      <xdr:colOff>0</xdr:colOff>
      <xdr:row>27</xdr:row>
      <xdr:rowOff>165100</xdr:rowOff>
    </xdr:to>
    <xdr:graphicFrame macro="">
      <xdr:nvGraphicFramePr>
        <xdr:cNvPr id="3" name="STS_1_Chart2">
          <a:extLst>
            <a:ext uri="{FF2B5EF4-FFF2-40B4-BE49-F238E27FC236}">
              <a16:creationId xmlns:a16="http://schemas.microsoft.com/office/drawing/2014/main" id="{5AD65597-9238-43EC-9FE0-A1E61AAC4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18</xdr:col>
      <xdr:colOff>0</xdr:colOff>
      <xdr:row>3</xdr:row>
      <xdr:rowOff>19050</xdr:rowOff>
    </xdr:from>
    <xdr:to>
      <xdr:col>24</xdr:col>
      <xdr:colOff>0</xdr:colOff>
      <xdr:row>3</xdr:row>
      <xdr:rowOff>1352550</xdr:rowOff>
    </xdr:to>
    <xdr:sp macro="" textlink="">
      <xdr:nvSpPr>
        <xdr:cNvPr id="4" name="TextBox 3">
          <a:extLst>
            <a:ext uri="{FF2B5EF4-FFF2-40B4-BE49-F238E27FC236}">
              <a16:creationId xmlns:a16="http://schemas.microsoft.com/office/drawing/2014/main" id="{A06B92B7-E884-4027-9354-EE5D400B53B8}"/>
            </a:ext>
          </a:extLst>
        </xdr:cNvPr>
        <xdr:cNvSpPr txBox="1"/>
      </xdr:nvSpPr>
      <xdr:spPr>
        <a:xfrm>
          <a:off x="11760200" y="571500"/>
          <a:ext cx="3657600" cy="13335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IN" sz="1100"/>
            <a:t>By making appropriate selections in cells $K$4, $L$4, $O$4, and $P$4, you can chart any row (in left chart) or column (in right chart) of any table to the left.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19050</xdr:colOff>
      <xdr:row>0</xdr:row>
      <xdr:rowOff>0</xdr:rowOff>
    </xdr:from>
    <xdr:to>
      <xdr:col>18</xdr:col>
      <xdr:colOff>2189377</xdr:colOff>
      <xdr:row>14</xdr:row>
      <xdr:rowOff>6252</xdr:rowOff>
    </xdr:to>
    <xdr:pic>
      <xdr:nvPicPr>
        <xdr:cNvPr id="2" name="Picture 1">
          <a:extLst>
            <a:ext uri="{FF2B5EF4-FFF2-40B4-BE49-F238E27FC236}">
              <a16:creationId xmlns:a16="http://schemas.microsoft.com/office/drawing/2014/main" id="{61D19F84-FFB3-463F-80B3-DCEBD6F3B01B}"/>
            </a:ext>
          </a:extLst>
        </xdr:cNvPr>
        <xdr:cNvPicPr>
          <a:picLocks noChangeAspect="1"/>
        </xdr:cNvPicPr>
      </xdr:nvPicPr>
      <xdr:blipFill>
        <a:blip xmlns:r="http://schemas.openxmlformats.org/officeDocument/2006/relationships" r:embed="rId1"/>
        <a:stretch>
          <a:fillRect/>
        </a:stretch>
      </xdr:blipFill>
      <xdr:spPr>
        <a:xfrm>
          <a:off x="10382250" y="0"/>
          <a:ext cx="3492622" cy="2584352"/>
        </a:xfrm>
        <a:prstGeom prst="rect">
          <a:avLst/>
        </a:prstGeom>
      </xdr:spPr>
    </xdr:pic>
    <xdr:clientData/>
  </xdr:twoCellAnchor>
  <xdr:twoCellAnchor>
    <xdr:from>
      <xdr:col>17</xdr:col>
      <xdr:colOff>18143</xdr:colOff>
      <xdr:row>16</xdr:row>
      <xdr:rowOff>154214</xdr:rowOff>
    </xdr:from>
    <xdr:to>
      <xdr:col>18</xdr:col>
      <xdr:colOff>2313214</xdr:colOff>
      <xdr:row>33</xdr:row>
      <xdr:rowOff>136071</xdr:rowOff>
    </xdr:to>
    <xdr:sp macro="" textlink="">
      <xdr:nvSpPr>
        <xdr:cNvPr id="3" name="TextBox 2">
          <a:extLst>
            <a:ext uri="{FF2B5EF4-FFF2-40B4-BE49-F238E27FC236}">
              <a16:creationId xmlns:a16="http://schemas.microsoft.com/office/drawing/2014/main" id="{7F59307B-916F-4B73-B353-A280C07C62E3}"/>
            </a:ext>
          </a:extLst>
        </xdr:cNvPr>
        <xdr:cNvSpPr txBox="1"/>
      </xdr:nvSpPr>
      <xdr:spPr>
        <a:xfrm>
          <a:off x="11339286" y="3057071"/>
          <a:ext cx="3628571" cy="3066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a.)Using solver,</a:t>
          </a:r>
          <a:r>
            <a:rPr lang="en-IN" sz="1100" baseline="0"/>
            <a:t> we find the optimal </a:t>
          </a:r>
          <a:r>
            <a:rPr lang="en-IN" sz="1100" b="1" i="1" baseline="0"/>
            <a:t>job-assignment matrix</a:t>
          </a:r>
          <a:r>
            <a:rPr lang="en-IN" sz="1100" baseline="0"/>
            <a:t> where 1 is assigned corresponding to the job that is assigned to a given employee and 0 corresponds to the job that a given employee has not been assigned. Taking into account job assignment and time matrix together, we find out that total optimal time to finish all jobs by all employees given the constraints is </a:t>
          </a:r>
          <a:r>
            <a:rPr lang="en-IN" sz="1100" b="1" i="0" baseline="0"/>
            <a:t>340</a:t>
          </a:r>
          <a:r>
            <a:rPr lang="en-IN" sz="1100" baseline="0"/>
            <a:t> units.</a:t>
          </a:r>
          <a:endParaRPr lang="en-IN" sz="1100"/>
        </a:p>
        <a:p>
          <a:endParaRPr lang="en-IN" sz="1100"/>
        </a:p>
        <a:p>
          <a:r>
            <a:rPr lang="en-IN" sz="1100"/>
            <a:t>b.) i.) Using solver, we find that minimum</a:t>
          </a:r>
          <a:r>
            <a:rPr lang="en-IN" sz="1100" baseline="0"/>
            <a:t> optimal total time required is</a:t>
          </a:r>
          <a:r>
            <a:rPr lang="en-IN" sz="1100"/>
            <a:t> 342 time-units if one employee has to do atleast one job.</a:t>
          </a:r>
        </a:p>
        <a:p>
          <a:endParaRPr lang="en-IN" sz="1100" b="1"/>
        </a:p>
        <a:p>
          <a:r>
            <a:rPr lang="en-IN" sz="1100" b="1"/>
            <a:t>Sensitivity Analysis</a:t>
          </a:r>
          <a:r>
            <a:rPr lang="en-IN" sz="1100"/>
            <a:t>:Using solvertable, we find out that </a:t>
          </a:r>
          <a:r>
            <a:rPr lang="en-IN" sz="1100" baseline="0"/>
            <a:t>as we increase maximum no of employees allowed from 2 to 5 in increments of 1, our total time taken up by all the employees decreases from 340 hours to 337 hours.</a:t>
          </a:r>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10</xdr:col>
      <xdr:colOff>0</xdr:colOff>
      <xdr:row>9</xdr:row>
      <xdr:rowOff>50800</xdr:rowOff>
    </xdr:from>
    <xdr:to>
      <xdr:col>18</xdr:col>
      <xdr:colOff>0</xdr:colOff>
      <xdr:row>24</xdr:row>
      <xdr:rowOff>146050</xdr:rowOff>
    </xdr:to>
    <xdr:graphicFrame macro="">
      <xdr:nvGraphicFramePr>
        <xdr:cNvPr id="2" name="STS_1_Chart">
          <a:extLst>
            <a:ext uri="{FF2B5EF4-FFF2-40B4-BE49-F238E27FC236}">
              <a16:creationId xmlns:a16="http://schemas.microsoft.com/office/drawing/2014/main" id="{DD5AF7AC-ACD4-4496-BB19-D3EA47F46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19050</xdr:rowOff>
    </xdr:from>
    <xdr:to>
      <xdr:col>16</xdr:col>
      <xdr:colOff>0</xdr:colOff>
      <xdr:row>4</xdr:row>
      <xdr:rowOff>76200</xdr:rowOff>
    </xdr:to>
    <xdr:sp macro="" textlink="">
      <xdr:nvSpPr>
        <xdr:cNvPr id="3" name="TextBox 2">
          <a:extLst>
            <a:ext uri="{FF2B5EF4-FFF2-40B4-BE49-F238E27FC236}">
              <a16:creationId xmlns:a16="http://schemas.microsoft.com/office/drawing/2014/main" id="{AEC7E408-2671-4273-9B48-77D71EE584D1}"/>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IN" sz="1100"/>
            <a:t>When you select an output from the dropdown list in cell $K$4, the chart will adapt to that output.</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9</xdr:col>
      <xdr:colOff>33278</xdr:colOff>
      <xdr:row>0</xdr:row>
      <xdr:rowOff>0</xdr:rowOff>
    </xdr:from>
    <xdr:to>
      <xdr:col>14</xdr:col>
      <xdr:colOff>63622</xdr:colOff>
      <xdr:row>13</xdr:row>
      <xdr:rowOff>139700</xdr:rowOff>
    </xdr:to>
    <xdr:pic>
      <xdr:nvPicPr>
        <xdr:cNvPr id="2" name="Picture 1">
          <a:extLst>
            <a:ext uri="{FF2B5EF4-FFF2-40B4-BE49-F238E27FC236}">
              <a16:creationId xmlns:a16="http://schemas.microsoft.com/office/drawing/2014/main" id="{CA5CEFBE-6AAA-4183-9E26-2A2F85EF1D4A}"/>
            </a:ext>
          </a:extLst>
        </xdr:cNvPr>
        <xdr:cNvPicPr>
          <a:picLocks noChangeAspect="1"/>
        </xdr:cNvPicPr>
      </xdr:nvPicPr>
      <xdr:blipFill>
        <a:blip xmlns:r="http://schemas.openxmlformats.org/officeDocument/2006/relationships" r:embed="rId1"/>
        <a:stretch>
          <a:fillRect/>
        </a:stretch>
      </xdr:blipFill>
      <xdr:spPr>
        <a:xfrm>
          <a:off x="7272278" y="0"/>
          <a:ext cx="3078344" cy="2533650"/>
        </a:xfrm>
        <a:prstGeom prst="rect">
          <a:avLst/>
        </a:prstGeom>
      </xdr:spPr>
    </xdr:pic>
    <xdr:clientData/>
  </xdr:twoCellAnchor>
  <xdr:twoCellAnchor>
    <xdr:from>
      <xdr:col>8</xdr:col>
      <xdr:colOff>598715</xdr:colOff>
      <xdr:row>19</xdr:row>
      <xdr:rowOff>154213</xdr:rowOff>
    </xdr:from>
    <xdr:to>
      <xdr:col>14</xdr:col>
      <xdr:colOff>27214</xdr:colOff>
      <xdr:row>32</xdr:row>
      <xdr:rowOff>54428</xdr:rowOff>
    </xdr:to>
    <xdr:sp macro="" textlink="">
      <xdr:nvSpPr>
        <xdr:cNvPr id="3" name="TextBox 2">
          <a:extLst>
            <a:ext uri="{FF2B5EF4-FFF2-40B4-BE49-F238E27FC236}">
              <a16:creationId xmlns:a16="http://schemas.microsoft.com/office/drawing/2014/main" id="{69640455-AD2A-4F75-A5D9-827495D73025}"/>
            </a:ext>
          </a:extLst>
        </xdr:cNvPr>
        <xdr:cNvSpPr txBox="1"/>
      </xdr:nvSpPr>
      <xdr:spPr>
        <a:xfrm>
          <a:off x="7211786" y="3601356"/>
          <a:ext cx="3075214" cy="3002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Ans: Using solver tabl,e given the constraints laid out, we were able to determine</a:t>
          </a:r>
          <a:r>
            <a:rPr lang="en-IN" sz="1100" baseline="0"/>
            <a:t> optimal mix of new napkins purchased, no of fast serviced napkins and no of slow serviced napkins served on every day for all 4 days in the napkin_order_matrix. Given this optimal mix, minimized cost of meeting napkin demand for all 4 days turns out to be</a:t>
          </a:r>
          <a:r>
            <a:rPr lang="en-IN" sz="1100" b="1" i="1" baseline="0"/>
            <a:t> $3307.50</a:t>
          </a:r>
          <a:r>
            <a:rPr lang="en-IN" sz="1100" baseline="0"/>
            <a:t>.</a:t>
          </a:r>
        </a:p>
        <a:p>
          <a:endParaRPr lang="en-IN" sz="1100" baseline="0"/>
        </a:p>
        <a:p>
          <a:r>
            <a:rPr lang="en-IN" sz="1100" baseline="0"/>
            <a:t>Additional.) </a:t>
          </a:r>
          <a:r>
            <a:rPr lang="en-IN" sz="1100" b="1" baseline="0"/>
            <a:t>Sensitivity Analysis:</a:t>
          </a:r>
        </a:p>
        <a:p>
          <a:r>
            <a:rPr lang="en-IN" sz="1100" b="0" baseline="0"/>
            <a:t>Using solvertable, we find that as we increase the cost of slow serviced napkin from 10 cents to 45 cents, total cost of meeting required demand also rises from $2917.50 to $3600. This makes sense because total price will directly depend on price per slow serviced napkin and shares a linear relationship.</a:t>
          </a:r>
          <a:endParaRPr lang="en-IN" sz="1100" b="0"/>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11</xdr:col>
      <xdr:colOff>527050</xdr:colOff>
      <xdr:row>3</xdr:row>
      <xdr:rowOff>1155700</xdr:rowOff>
    </xdr:from>
    <xdr:to>
      <xdr:col>19</xdr:col>
      <xdr:colOff>527050</xdr:colOff>
      <xdr:row>15</xdr:row>
      <xdr:rowOff>25400</xdr:rowOff>
    </xdr:to>
    <xdr:graphicFrame macro="">
      <xdr:nvGraphicFramePr>
        <xdr:cNvPr id="2" name="STS_1_Chart">
          <a:extLst>
            <a:ext uri="{FF2B5EF4-FFF2-40B4-BE49-F238E27FC236}">
              <a16:creationId xmlns:a16="http://schemas.microsoft.com/office/drawing/2014/main" id="{438417D9-972B-431B-A67F-CFBB37FD71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527050</xdr:colOff>
      <xdr:row>3</xdr:row>
      <xdr:rowOff>19050</xdr:rowOff>
    </xdr:from>
    <xdr:to>
      <xdr:col>15</xdr:col>
      <xdr:colOff>527050</xdr:colOff>
      <xdr:row>3</xdr:row>
      <xdr:rowOff>781050</xdr:rowOff>
    </xdr:to>
    <xdr:sp macro="" textlink="">
      <xdr:nvSpPr>
        <xdr:cNvPr id="3" name="TextBox 2">
          <a:extLst>
            <a:ext uri="{FF2B5EF4-FFF2-40B4-BE49-F238E27FC236}">
              <a16:creationId xmlns:a16="http://schemas.microsoft.com/office/drawing/2014/main" id="{B4792EC9-C9B1-432E-8AE7-6B41274D1237}"/>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IN" sz="1100"/>
            <a:t>When you select an output from the dropdown list in cell $K$4, the chart will adapt to that output.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Zubair%20Porbunderwala/Downloads/Assignment4_AsutoshZubair%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58"/>
      <sheetName val="5.66(a)"/>
      <sheetName val="5.66(Additional)"/>
      <sheetName val="5.70(a)"/>
      <sheetName val="5.70(b.Sensitivity)"/>
      <sheetName val="5.79"/>
      <sheetName val="5.79_STS"/>
      <sheetName val="5.70_STS"/>
      <sheetName val="5.79 (Additional)"/>
      <sheetName val="5.66(a)_STS"/>
    </sheetNames>
    <sheetDataSet>
      <sheetData sheetId="0" refreshError="1"/>
      <sheetData sheetId="1">
        <row r="4">
          <cell r="C4">
            <v>1</v>
          </cell>
          <cell r="D4">
            <v>2</v>
          </cell>
          <cell r="E4">
            <v>3</v>
          </cell>
        </row>
        <row r="5">
          <cell r="B5">
            <v>1</v>
          </cell>
          <cell r="C5">
            <v>6</v>
          </cell>
          <cell r="D5">
            <v>7</v>
          </cell>
          <cell r="E5">
            <v>9</v>
          </cell>
        </row>
        <row r="6">
          <cell r="B6">
            <v>2</v>
          </cell>
          <cell r="C6">
            <v>5</v>
          </cell>
          <cell r="D6">
            <v>8</v>
          </cell>
          <cell r="E6">
            <v>11</v>
          </cell>
        </row>
        <row r="7">
          <cell r="B7">
            <v>3</v>
          </cell>
          <cell r="C7">
            <v>6</v>
          </cell>
          <cell r="D7">
            <v>9</v>
          </cell>
          <cell r="E7">
            <v>10</v>
          </cell>
        </row>
        <row r="30">
          <cell r="C30">
            <v>36</v>
          </cell>
          <cell r="D30">
            <v>24</v>
          </cell>
          <cell r="E30">
            <v>49</v>
          </cell>
          <cell r="F30">
            <v>21</v>
          </cell>
          <cell r="G30">
            <v>81</v>
          </cell>
          <cell r="H30">
            <v>72</v>
          </cell>
          <cell r="I30">
            <v>45</v>
          </cell>
          <cell r="O30">
            <v>6</v>
          </cell>
        </row>
        <row r="31">
          <cell r="C31">
            <v>36</v>
          </cell>
          <cell r="D31">
            <v>24</v>
          </cell>
          <cell r="E31">
            <v>49</v>
          </cell>
          <cell r="F31">
            <v>21</v>
          </cell>
          <cell r="G31">
            <v>81</v>
          </cell>
          <cell r="H31">
            <v>72</v>
          </cell>
          <cell r="I31">
            <v>45</v>
          </cell>
          <cell r="O31">
            <v>4</v>
          </cell>
        </row>
        <row r="32">
          <cell r="C32">
            <v>36</v>
          </cell>
          <cell r="D32">
            <v>24</v>
          </cell>
          <cell r="E32">
            <v>49</v>
          </cell>
          <cell r="F32">
            <v>21</v>
          </cell>
          <cell r="G32">
            <v>81</v>
          </cell>
          <cell r="H32">
            <v>72</v>
          </cell>
          <cell r="I32">
            <v>45</v>
          </cell>
          <cell r="O32">
            <v>7</v>
          </cell>
        </row>
        <row r="33">
          <cell r="C33">
            <v>30</v>
          </cell>
          <cell r="D33">
            <v>20</v>
          </cell>
          <cell r="E33">
            <v>56</v>
          </cell>
          <cell r="F33">
            <v>24</v>
          </cell>
          <cell r="G33">
            <v>99</v>
          </cell>
          <cell r="H33">
            <v>88</v>
          </cell>
          <cell r="I33">
            <v>55</v>
          </cell>
          <cell r="O33">
            <v>3</v>
          </cell>
        </row>
        <row r="34">
          <cell r="C34">
            <v>30</v>
          </cell>
          <cell r="D34">
            <v>20</v>
          </cell>
          <cell r="E34">
            <v>56</v>
          </cell>
          <cell r="F34">
            <v>24</v>
          </cell>
          <cell r="G34">
            <v>99</v>
          </cell>
          <cell r="H34">
            <v>88</v>
          </cell>
          <cell r="I34">
            <v>55</v>
          </cell>
          <cell r="O34">
            <v>9</v>
          </cell>
        </row>
        <row r="35">
          <cell r="C35">
            <v>36</v>
          </cell>
          <cell r="D35">
            <v>24</v>
          </cell>
          <cell r="E35">
            <v>63</v>
          </cell>
          <cell r="F35">
            <v>27</v>
          </cell>
          <cell r="G35">
            <v>90</v>
          </cell>
          <cell r="H35">
            <v>80</v>
          </cell>
          <cell r="I35">
            <v>50</v>
          </cell>
          <cell r="O35">
            <v>8</v>
          </cell>
        </row>
        <row r="36">
          <cell r="C36">
            <v>36</v>
          </cell>
          <cell r="D36">
            <v>24</v>
          </cell>
          <cell r="E36">
            <v>63</v>
          </cell>
          <cell r="F36">
            <v>27</v>
          </cell>
          <cell r="G36">
            <v>90</v>
          </cell>
          <cell r="H36">
            <v>80</v>
          </cell>
          <cell r="I36">
            <v>50</v>
          </cell>
          <cell r="O36">
            <v>5</v>
          </cell>
        </row>
        <row r="44">
          <cell r="C44">
            <v>0</v>
          </cell>
          <cell r="D44">
            <v>0</v>
          </cell>
          <cell r="E44">
            <v>0</v>
          </cell>
          <cell r="F44">
            <v>0</v>
          </cell>
          <cell r="G44">
            <v>0</v>
          </cell>
          <cell r="H44">
            <v>1</v>
          </cell>
          <cell r="I44">
            <v>0</v>
          </cell>
        </row>
        <row r="45">
          <cell r="C45">
            <v>0</v>
          </cell>
          <cell r="D45">
            <v>0</v>
          </cell>
          <cell r="E45">
            <v>0</v>
          </cell>
          <cell r="F45">
            <v>0</v>
          </cell>
          <cell r="G45">
            <v>1</v>
          </cell>
          <cell r="H45">
            <v>0</v>
          </cell>
          <cell r="I45">
            <v>0</v>
          </cell>
        </row>
        <row r="46">
          <cell r="C46">
            <v>0</v>
          </cell>
          <cell r="D46">
            <v>0</v>
          </cell>
          <cell r="E46">
            <v>1</v>
          </cell>
          <cell r="F46">
            <v>0</v>
          </cell>
          <cell r="G46">
            <v>0</v>
          </cell>
          <cell r="H46">
            <v>0</v>
          </cell>
          <cell r="I46">
            <v>0</v>
          </cell>
        </row>
        <row r="47">
          <cell r="C47">
            <v>1</v>
          </cell>
          <cell r="D47">
            <v>0</v>
          </cell>
          <cell r="E47">
            <v>0</v>
          </cell>
          <cell r="F47">
            <v>0</v>
          </cell>
          <cell r="G47">
            <v>0</v>
          </cell>
          <cell r="H47">
            <v>0</v>
          </cell>
          <cell r="I47">
            <v>0</v>
          </cell>
        </row>
        <row r="48">
          <cell r="C48">
            <v>0</v>
          </cell>
          <cell r="D48">
            <v>1</v>
          </cell>
          <cell r="E48">
            <v>0</v>
          </cell>
          <cell r="F48">
            <v>0</v>
          </cell>
          <cell r="G48">
            <v>0</v>
          </cell>
          <cell r="H48">
            <v>0</v>
          </cell>
          <cell r="I48">
            <v>0</v>
          </cell>
        </row>
        <row r="49">
          <cell r="C49">
            <v>0</v>
          </cell>
          <cell r="D49">
            <v>0</v>
          </cell>
          <cell r="E49">
            <v>0</v>
          </cell>
          <cell r="F49">
            <v>0</v>
          </cell>
          <cell r="G49">
            <v>0</v>
          </cell>
          <cell r="H49">
            <v>0</v>
          </cell>
          <cell r="I49">
            <v>1</v>
          </cell>
        </row>
        <row r="50">
          <cell r="C50">
            <v>0</v>
          </cell>
          <cell r="D50">
            <v>0</v>
          </cell>
          <cell r="E50">
            <v>0</v>
          </cell>
          <cell r="F50">
            <v>1</v>
          </cell>
          <cell r="G50">
            <v>0</v>
          </cell>
          <cell r="H50">
            <v>0</v>
          </cell>
          <cell r="I50">
            <v>0</v>
          </cell>
        </row>
      </sheetData>
      <sheetData sheetId="2">
        <row r="1">
          <cell r="K1" t="str">
            <v>Sensitivity of Total__Dispatch__Cost to Time taken for engine 3 to reach fire3</v>
          </cell>
        </row>
      </sheetData>
      <sheetData sheetId="3">
        <row r="6">
          <cell r="B6">
            <v>22</v>
          </cell>
          <cell r="C6">
            <v>21</v>
          </cell>
          <cell r="D6">
            <v>1000</v>
          </cell>
          <cell r="E6">
            <v>1000</v>
          </cell>
          <cell r="F6">
            <v>47</v>
          </cell>
          <cell r="G6">
            <v>36</v>
          </cell>
          <cell r="H6">
            <v>28</v>
          </cell>
          <cell r="I6">
            <v>22</v>
          </cell>
          <cell r="J6">
            <v>45</v>
          </cell>
          <cell r="K6">
            <v>34</v>
          </cell>
          <cell r="L6">
            <v>38</v>
          </cell>
          <cell r="M6">
            <v>24</v>
          </cell>
          <cell r="N6">
            <v>22</v>
          </cell>
          <cell r="O6">
            <v>20</v>
          </cell>
          <cell r="P6">
            <v>1000</v>
          </cell>
        </row>
        <row r="7">
          <cell r="B7">
            <v>1000</v>
          </cell>
          <cell r="C7">
            <v>36</v>
          </cell>
          <cell r="D7">
            <v>48</v>
          </cell>
          <cell r="E7">
            <v>31</v>
          </cell>
          <cell r="F7">
            <v>26</v>
          </cell>
          <cell r="G7">
            <v>28</v>
          </cell>
          <cell r="H7">
            <v>34</v>
          </cell>
          <cell r="I7">
            <v>41</v>
          </cell>
          <cell r="J7">
            <v>36</v>
          </cell>
          <cell r="K7">
            <v>44</v>
          </cell>
          <cell r="L7">
            <v>1000</v>
          </cell>
          <cell r="M7">
            <v>35</v>
          </cell>
          <cell r="N7">
            <v>23</v>
          </cell>
          <cell r="O7">
            <v>1000</v>
          </cell>
          <cell r="P7">
            <v>38</v>
          </cell>
        </row>
        <row r="8">
          <cell r="B8">
            <v>1000</v>
          </cell>
          <cell r="C8">
            <v>22</v>
          </cell>
          <cell r="D8">
            <v>36</v>
          </cell>
          <cell r="E8">
            <v>25</v>
          </cell>
          <cell r="F8">
            <v>34</v>
          </cell>
          <cell r="G8">
            <v>1000</v>
          </cell>
          <cell r="H8">
            <v>29</v>
          </cell>
          <cell r="I8">
            <v>43</v>
          </cell>
          <cell r="J8">
            <v>1000</v>
          </cell>
          <cell r="K8">
            <v>50</v>
          </cell>
          <cell r="L8">
            <v>28</v>
          </cell>
          <cell r="M8">
            <v>43</v>
          </cell>
          <cell r="N8">
            <v>47</v>
          </cell>
          <cell r="O8">
            <v>34</v>
          </cell>
          <cell r="P8">
            <v>33</v>
          </cell>
        </row>
        <row r="9">
          <cell r="B9">
            <v>22</v>
          </cell>
          <cell r="C9">
            <v>27</v>
          </cell>
          <cell r="D9">
            <v>1000</v>
          </cell>
          <cell r="E9">
            <v>1000</v>
          </cell>
          <cell r="F9">
            <v>46</v>
          </cell>
          <cell r="G9">
            <v>36</v>
          </cell>
          <cell r="H9">
            <v>23</v>
          </cell>
          <cell r="I9">
            <v>38</v>
          </cell>
          <cell r="J9">
            <v>24</v>
          </cell>
          <cell r="K9">
            <v>43</v>
          </cell>
          <cell r="L9">
            <v>47</v>
          </cell>
          <cell r="M9">
            <v>36</v>
          </cell>
          <cell r="N9">
            <v>1000</v>
          </cell>
          <cell r="O9">
            <v>35</v>
          </cell>
          <cell r="P9">
            <v>50</v>
          </cell>
        </row>
        <row r="10">
          <cell r="B10">
            <v>26</v>
          </cell>
          <cell r="C10">
            <v>43</v>
          </cell>
          <cell r="D10">
            <v>33</v>
          </cell>
          <cell r="E10">
            <v>48</v>
          </cell>
          <cell r="F10">
            <v>1000</v>
          </cell>
          <cell r="G10">
            <v>34</v>
          </cell>
          <cell r="H10">
            <v>44</v>
          </cell>
          <cell r="I10">
            <v>1000</v>
          </cell>
          <cell r="J10">
            <v>29</v>
          </cell>
          <cell r="K10">
            <v>31</v>
          </cell>
          <cell r="L10">
            <v>1000</v>
          </cell>
          <cell r="M10">
            <v>31</v>
          </cell>
          <cell r="N10">
            <v>1000</v>
          </cell>
          <cell r="O10">
            <v>23</v>
          </cell>
          <cell r="P10">
            <v>50</v>
          </cell>
        </row>
        <row r="11">
          <cell r="B11">
            <v>46</v>
          </cell>
          <cell r="C11">
            <v>1000</v>
          </cell>
          <cell r="D11">
            <v>41</v>
          </cell>
          <cell r="E11">
            <v>34</v>
          </cell>
          <cell r="F11">
            <v>29</v>
          </cell>
          <cell r="G11">
            <v>46</v>
          </cell>
          <cell r="H11">
            <v>30</v>
          </cell>
          <cell r="I11">
            <v>45</v>
          </cell>
          <cell r="J11">
            <v>1000</v>
          </cell>
          <cell r="K11">
            <v>1000</v>
          </cell>
          <cell r="L11">
            <v>28</v>
          </cell>
          <cell r="M11">
            <v>48</v>
          </cell>
          <cell r="N11">
            <v>33</v>
          </cell>
          <cell r="O11">
            <v>41</v>
          </cell>
          <cell r="P11">
            <v>48</v>
          </cell>
        </row>
        <row r="12">
          <cell r="B12">
            <v>21</v>
          </cell>
          <cell r="C12">
            <v>1000</v>
          </cell>
          <cell r="D12">
            <v>47</v>
          </cell>
          <cell r="E12">
            <v>37</v>
          </cell>
          <cell r="F12">
            <v>34</v>
          </cell>
          <cell r="G12">
            <v>47</v>
          </cell>
          <cell r="H12">
            <v>20</v>
          </cell>
          <cell r="I12">
            <v>45</v>
          </cell>
          <cell r="J12">
            <v>31</v>
          </cell>
          <cell r="K12">
            <v>33</v>
          </cell>
          <cell r="L12">
            <v>1000</v>
          </cell>
          <cell r="M12">
            <v>1000</v>
          </cell>
          <cell r="N12">
            <v>33</v>
          </cell>
          <cell r="O12">
            <v>41</v>
          </cell>
          <cell r="P12">
            <v>25</v>
          </cell>
        </row>
        <row r="13">
          <cell r="B13">
            <v>42</v>
          </cell>
          <cell r="C13">
            <v>34</v>
          </cell>
          <cell r="D13">
            <v>49</v>
          </cell>
          <cell r="E13">
            <v>26</v>
          </cell>
          <cell r="F13">
            <v>34</v>
          </cell>
          <cell r="G13">
            <v>23</v>
          </cell>
          <cell r="H13">
            <v>22</v>
          </cell>
          <cell r="I13">
            <v>39</v>
          </cell>
          <cell r="J13">
            <v>1000</v>
          </cell>
          <cell r="K13">
            <v>23</v>
          </cell>
          <cell r="L13">
            <v>50</v>
          </cell>
          <cell r="M13">
            <v>42</v>
          </cell>
          <cell r="N13">
            <v>42</v>
          </cell>
          <cell r="O13">
            <v>1000</v>
          </cell>
          <cell r="P13">
            <v>43</v>
          </cell>
        </row>
        <row r="14">
          <cell r="B14">
            <v>27</v>
          </cell>
          <cell r="C14">
            <v>23</v>
          </cell>
          <cell r="D14">
            <v>20</v>
          </cell>
          <cell r="E14">
            <v>1000</v>
          </cell>
          <cell r="F14">
            <v>1000</v>
          </cell>
          <cell r="G14">
            <v>20</v>
          </cell>
          <cell r="H14">
            <v>50</v>
          </cell>
          <cell r="I14">
            <v>41</v>
          </cell>
          <cell r="J14">
            <v>37</v>
          </cell>
          <cell r="K14">
            <v>43</v>
          </cell>
          <cell r="L14">
            <v>47</v>
          </cell>
          <cell r="M14">
            <v>1000</v>
          </cell>
          <cell r="N14">
            <v>45</v>
          </cell>
          <cell r="O14">
            <v>30</v>
          </cell>
          <cell r="P14">
            <v>45</v>
          </cell>
        </row>
        <row r="15">
          <cell r="B15">
            <v>1000</v>
          </cell>
          <cell r="C15">
            <v>40</v>
          </cell>
          <cell r="D15">
            <v>1000</v>
          </cell>
          <cell r="E15">
            <v>42</v>
          </cell>
          <cell r="F15">
            <v>43</v>
          </cell>
          <cell r="G15">
            <v>37</v>
          </cell>
          <cell r="H15">
            <v>39</v>
          </cell>
          <cell r="I15">
            <v>1000</v>
          </cell>
          <cell r="J15">
            <v>38</v>
          </cell>
          <cell r="K15">
            <v>40</v>
          </cell>
          <cell r="L15">
            <v>32</v>
          </cell>
          <cell r="M15">
            <v>20</v>
          </cell>
          <cell r="N15">
            <v>48</v>
          </cell>
          <cell r="O15">
            <v>22</v>
          </cell>
          <cell r="P15">
            <v>27</v>
          </cell>
        </row>
        <row r="29">
          <cell r="B29">
            <v>0</v>
          </cell>
          <cell r="C29">
            <v>0</v>
          </cell>
          <cell r="D29">
            <v>0</v>
          </cell>
          <cell r="E29">
            <v>0</v>
          </cell>
          <cell r="F29">
            <v>0</v>
          </cell>
          <cell r="G29">
            <v>0</v>
          </cell>
          <cell r="H29">
            <v>0</v>
          </cell>
          <cell r="I29">
            <v>1</v>
          </cell>
          <cell r="J29">
            <v>0</v>
          </cell>
          <cell r="K29">
            <v>0</v>
          </cell>
          <cell r="L29">
            <v>0</v>
          </cell>
          <cell r="M29">
            <v>0</v>
          </cell>
          <cell r="N29">
            <v>0</v>
          </cell>
          <cell r="O29">
            <v>1</v>
          </cell>
          <cell r="P29">
            <v>0</v>
          </cell>
        </row>
        <row r="30">
          <cell r="B30">
            <v>0</v>
          </cell>
          <cell r="C30">
            <v>0</v>
          </cell>
          <cell r="D30">
            <v>0</v>
          </cell>
          <cell r="E30">
            <v>0</v>
          </cell>
          <cell r="F30">
            <v>1</v>
          </cell>
          <cell r="G30">
            <v>0</v>
          </cell>
          <cell r="H30">
            <v>0</v>
          </cell>
          <cell r="I30">
            <v>0</v>
          </cell>
          <cell r="J30">
            <v>0</v>
          </cell>
          <cell r="K30">
            <v>0</v>
          </cell>
          <cell r="L30">
            <v>0</v>
          </cell>
          <cell r="M30">
            <v>0</v>
          </cell>
          <cell r="N30">
            <v>1</v>
          </cell>
          <cell r="O30">
            <v>0</v>
          </cell>
          <cell r="P30">
            <v>0</v>
          </cell>
        </row>
        <row r="31">
          <cell r="B31">
            <v>0</v>
          </cell>
          <cell r="C31">
            <v>1</v>
          </cell>
          <cell r="D31">
            <v>0</v>
          </cell>
          <cell r="E31">
            <v>1</v>
          </cell>
          <cell r="F31">
            <v>0</v>
          </cell>
          <cell r="G31">
            <v>0</v>
          </cell>
          <cell r="H31">
            <v>0</v>
          </cell>
          <cell r="I31">
            <v>0</v>
          </cell>
          <cell r="J31">
            <v>0</v>
          </cell>
          <cell r="K31">
            <v>0</v>
          </cell>
          <cell r="L31">
            <v>0</v>
          </cell>
          <cell r="M31">
            <v>0</v>
          </cell>
          <cell r="N31">
            <v>0</v>
          </cell>
          <cell r="O31">
            <v>0</v>
          </cell>
          <cell r="P31">
            <v>0</v>
          </cell>
        </row>
        <row r="32">
          <cell r="B32">
            <v>1</v>
          </cell>
          <cell r="C32">
            <v>0</v>
          </cell>
          <cell r="D32">
            <v>0</v>
          </cell>
          <cell r="E32">
            <v>0</v>
          </cell>
          <cell r="F32">
            <v>0</v>
          </cell>
          <cell r="G32">
            <v>0</v>
          </cell>
          <cell r="H32">
            <v>0</v>
          </cell>
          <cell r="I32">
            <v>0</v>
          </cell>
          <cell r="J32">
            <v>1</v>
          </cell>
          <cell r="K32">
            <v>0</v>
          </cell>
          <cell r="L32">
            <v>0</v>
          </cell>
          <cell r="M32">
            <v>0</v>
          </cell>
          <cell r="N32">
            <v>0</v>
          </cell>
          <cell r="O32">
            <v>0</v>
          </cell>
          <cell r="P32">
            <v>0</v>
          </cell>
        </row>
        <row r="33">
          <cell r="B33">
            <v>0</v>
          </cell>
          <cell r="C33">
            <v>0</v>
          </cell>
          <cell r="D33">
            <v>0</v>
          </cell>
          <cell r="E33">
            <v>0</v>
          </cell>
          <cell r="F33">
            <v>0</v>
          </cell>
          <cell r="G33">
            <v>0</v>
          </cell>
          <cell r="H33">
            <v>0</v>
          </cell>
          <cell r="I33">
            <v>0</v>
          </cell>
          <cell r="J33">
            <v>0</v>
          </cell>
          <cell r="K33">
            <v>0</v>
          </cell>
          <cell r="L33">
            <v>0</v>
          </cell>
          <cell r="M33">
            <v>0</v>
          </cell>
          <cell r="N33">
            <v>0</v>
          </cell>
          <cell r="O33">
            <v>0</v>
          </cell>
          <cell r="P33">
            <v>0</v>
          </cell>
        </row>
        <row r="34">
          <cell r="B34">
            <v>0</v>
          </cell>
          <cell r="C34">
            <v>0</v>
          </cell>
          <cell r="D34">
            <v>0</v>
          </cell>
          <cell r="E34">
            <v>0</v>
          </cell>
          <cell r="F34">
            <v>0</v>
          </cell>
          <cell r="G34">
            <v>0</v>
          </cell>
          <cell r="H34">
            <v>0</v>
          </cell>
          <cell r="I34">
            <v>0</v>
          </cell>
          <cell r="J34">
            <v>0</v>
          </cell>
          <cell r="K34">
            <v>0</v>
          </cell>
          <cell r="L34">
            <v>1</v>
          </cell>
          <cell r="M34">
            <v>0</v>
          </cell>
          <cell r="N34">
            <v>0</v>
          </cell>
          <cell r="O34">
            <v>0</v>
          </cell>
          <cell r="P34">
            <v>0</v>
          </cell>
        </row>
        <row r="35">
          <cell r="B35">
            <v>0</v>
          </cell>
          <cell r="C35">
            <v>0</v>
          </cell>
          <cell r="D35">
            <v>0</v>
          </cell>
          <cell r="E35">
            <v>0</v>
          </cell>
          <cell r="F35">
            <v>0</v>
          </cell>
          <cell r="G35">
            <v>0</v>
          </cell>
          <cell r="H35">
            <v>1</v>
          </cell>
          <cell r="I35">
            <v>0</v>
          </cell>
          <cell r="J35">
            <v>0</v>
          </cell>
          <cell r="K35">
            <v>0</v>
          </cell>
          <cell r="L35">
            <v>0</v>
          </cell>
          <cell r="M35">
            <v>0</v>
          </cell>
          <cell r="N35">
            <v>0</v>
          </cell>
          <cell r="O35">
            <v>0</v>
          </cell>
          <cell r="P35">
            <v>1</v>
          </cell>
        </row>
        <row r="36">
          <cell r="B36">
            <v>0</v>
          </cell>
          <cell r="C36">
            <v>0</v>
          </cell>
          <cell r="D36">
            <v>0</v>
          </cell>
          <cell r="E36">
            <v>0</v>
          </cell>
          <cell r="F36">
            <v>0</v>
          </cell>
          <cell r="G36">
            <v>0</v>
          </cell>
          <cell r="H36">
            <v>0</v>
          </cell>
          <cell r="I36">
            <v>0</v>
          </cell>
          <cell r="J36">
            <v>0</v>
          </cell>
          <cell r="K36">
            <v>1</v>
          </cell>
          <cell r="L36">
            <v>0</v>
          </cell>
          <cell r="M36">
            <v>0</v>
          </cell>
          <cell r="N36">
            <v>0</v>
          </cell>
          <cell r="O36">
            <v>0</v>
          </cell>
          <cell r="P36">
            <v>0</v>
          </cell>
        </row>
        <row r="37">
          <cell r="B37">
            <v>0</v>
          </cell>
          <cell r="C37">
            <v>0</v>
          </cell>
          <cell r="D37">
            <v>1</v>
          </cell>
          <cell r="E37">
            <v>0</v>
          </cell>
          <cell r="F37">
            <v>0</v>
          </cell>
          <cell r="G37">
            <v>1</v>
          </cell>
          <cell r="H37">
            <v>0</v>
          </cell>
          <cell r="I37">
            <v>0</v>
          </cell>
          <cell r="J37">
            <v>0</v>
          </cell>
          <cell r="K37">
            <v>0</v>
          </cell>
          <cell r="L37">
            <v>0</v>
          </cell>
          <cell r="M37">
            <v>0</v>
          </cell>
          <cell r="N37">
            <v>0</v>
          </cell>
          <cell r="O37">
            <v>0</v>
          </cell>
          <cell r="P37">
            <v>0</v>
          </cell>
        </row>
        <row r="38">
          <cell r="B38">
            <v>0</v>
          </cell>
          <cell r="C38">
            <v>0</v>
          </cell>
          <cell r="D38">
            <v>0</v>
          </cell>
          <cell r="E38">
            <v>0</v>
          </cell>
          <cell r="F38">
            <v>0</v>
          </cell>
          <cell r="G38">
            <v>0</v>
          </cell>
          <cell r="H38">
            <v>0</v>
          </cell>
          <cell r="I38">
            <v>0</v>
          </cell>
          <cell r="J38">
            <v>0</v>
          </cell>
          <cell r="K38">
            <v>0</v>
          </cell>
          <cell r="L38">
            <v>0</v>
          </cell>
          <cell r="M38">
            <v>1</v>
          </cell>
          <cell r="N38">
            <v>0</v>
          </cell>
          <cell r="O38">
            <v>0</v>
          </cell>
          <cell r="P38">
            <v>0</v>
          </cell>
        </row>
        <row r="45">
          <cell r="B45">
            <v>0</v>
          </cell>
          <cell r="D45">
            <v>2</v>
          </cell>
          <cell r="F45">
            <v>2</v>
          </cell>
          <cell r="K45">
            <v>1</v>
          </cell>
        </row>
        <row r="46">
          <cell r="D46">
            <v>2</v>
          </cell>
        </row>
        <row r="47">
          <cell r="D47">
            <v>2</v>
          </cell>
        </row>
        <row r="48">
          <cell r="D48">
            <v>2</v>
          </cell>
        </row>
        <row r="49">
          <cell r="D49">
            <v>0</v>
          </cell>
        </row>
        <row r="50">
          <cell r="D50">
            <v>1</v>
          </cell>
        </row>
        <row r="51">
          <cell r="D51">
            <v>2</v>
          </cell>
        </row>
        <row r="52">
          <cell r="D52">
            <v>1</v>
          </cell>
        </row>
        <row r="53">
          <cell r="D53">
            <v>2</v>
          </cell>
        </row>
        <row r="54">
          <cell r="D54">
            <v>1</v>
          </cell>
        </row>
      </sheetData>
      <sheetData sheetId="4" refreshError="1"/>
      <sheetData sheetId="5">
        <row r="6">
          <cell r="B6">
            <v>0.95</v>
          </cell>
        </row>
        <row r="7">
          <cell r="B7">
            <v>0.5</v>
          </cell>
        </row>
        <row r="8">
          <cell r="B8">
            <v>0.30000001192092896</v>
          </cell>
        </row>
        <row r="22">
          <cell r="B22">
            <v>1500</v>
          </cell>
          <cell r="C22">
            <v>0</v>
          </cell>
          <cell r="D22">
            <v>0</v>
          </cell>
          <cell r="H22">
            <v>1500</v>
          </cell>
        </row>
        <row r="23">
          <cell r="B23">
            <v>1050</v>
          </cell>
          <cell r="C23">
            <v>150</v>
          </cell>
          <cell r="D23">
            <v>0</v>
          </cell>
          <cell r="H23">
            <v>1200</v>
          </cell>
        </row>
        <row r="24">
          <cell r="B24">
            <v>0</v>
          </cell>
          <cell r="C24">
            <v>450</v>
          </cell>
          <cell r="D24">
            <v>1350</v>
          </cell>
          <cell r="H24">
            <v>1800</v>
          </cell>
        </row>
        <row r="25">
          <cell r="B25">
            <v>0</v>
          </cell>
          <cell r="C25">
            <v>0</v>
          </cell>
          <cell r="D25">
            <v>600</v>
          </cell>
          <cell r="H25">
            <v>600</v>
          </cell>
        </row>
        <row r="26">
          <cell r="B26">
            <v>2550</v>
          </cell>
          <cell r="C26">
            <v>600</v>
          </cell>
          <cell r="D26">
            <v>1950</v>
          </cell>
        </row>
        <row r="27">
          <cell r="B27">
            <v>0.95</v>
          </cell>
          <cell r="C27">
            <v>0.5</v>
          </cell>
          <cell r="D27">
            <v>0.30000001192092896</v>
          </cell>
        </row>
        <row r="34">
          <cell r="C34">
            <v>0</v>
          </cell>
        </row>
      </sheetData>
      <sheetData sheetId="6" refreshError="1"/>
      <sheetData sheetId="7" refreshError="1"/>
      <sheetData sheetId="8" refreshError="1"/>
      <sheetData sheetId="9"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F91D84-F78F-4996-91CE-9BEE49C86E44}" name="Table3" displayName="Table3" ref="Q2:R49" totalsRowShown="0">
  <autoFilter ref="Q2:R49" xr:uid="{98AD1445-2C4C-4430-A82D-51FFD6ACD7FC}"/>
  <tableColumns count="2">
    <tableColumn id="1" xr3:uid="{8A56E4D9-6DCE-414F-8710-81B01F961DF2}" name="Cell name"/>
    <tableColumn id="2" xr3:uid="{90117739-F0D7-458C-9E36-2B57A0BE6B83}" name="Referenc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3BBFE8-8A50-40FB-BAFF-61E384C4C68E}" name="Table1" displayName="Table1" ref="T2:U33" totalsRowShown="0">
  <autoFilter ref="T2:U33" xr:uid="{CA3BBFE8-8A50-40FB-BAFF-61E384C4C68E}"/>
  <tableColumns count="2">
    <tableColumn id="1" xr3:uid="{5AF7E134-4C8C-4AC6-84B5-62D72EE45D15}" name="Cell Name"/>
    <tableColumn id="2" xr3:uid="{E7418FD1-B78F-4F1A-AEA4-831851C2F7A3}" name="Referenc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1EEDFC-5725-4078-8605-BF5484D250BA}" name="Table2" displayName="Table2" ref="P2:Q23" totalsRowShown="0">
  <autoFilter ref="P2:Q23" xr:uid="{E21EEDFC-5725-4078-8605-BF5484D250BA}"/>
  <tableColumns count="2">
    <tableColumn id="1" xr3:uid="{319F335E-B706-46F0-AD1F-1086036D3C12}" name="Cell Name"/>
    <tableColumn id="2" xr3:uid="{F8A6AAE3-EA90-437F-804A-BFDE8D107D09}" name="Referenc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032F-7CE4-437B-A97B-0B8D9834E429}">
  <dimension ref="A1:P55"/>
  <sheetViews>
    <sheetView topLeftCell="A13" workbookViewId="0">
      <selection activeCell="C7" sqref="C7"/>
    </sheetView>
  </sheetViews>
  <sheetFormatPr defaultRowHeight="14.25" x14ac:dyDescent="0.45"/>
  <cols>
    <col min="1" max="1" width="25.33203125" bestFit="1" customWidth="1"/>
    <col min="2" max="2" width="16.19921875" customWidth="1"/>
    <col min="3" max="3" width="10.9296875" bestFit="1" customWidth="1"/>
    <col min="4" max="4" width="13.796875" customWidth="1"/>
    <col min="5" max="5" width="9.73046875" bestFit="1" customWidth="1"/>
    <col min="6" max="6" width="6.46484375" bestFit="1" customWidth="1"/>
  </cols>
  <sheetData>
    <row r="1" spans="1:16" x14ac:dyDescent="0.45">
      <c r="A1" s="37"/>
      <c r="B1" s="37"/>
      <c r="C1" s="37" t="s">
        <v>0</v>
      </c>
      <c r="D1" s="37"/>
      <c r="E1" s="37"/>
      <c r="F1" s="37"/>
    </row>
    <row r="2" spans="1:16" x14ac:dyDescent="0.45">
      <c r="A2" s="38"/>
      <c r="B2" s="39"/>
      <c r="C2" s="39" t="s">
        <v>1</v>
      </c>
      <c r="D2" s="39" t="s">
        <v>2</v>
      </c>
      <c r="E2" s="39" t="s">
        <v>3</v>
      </c>
      <c r="F2" s="39" t="s">
        <v>4</v>
      </c>
    </row>
    <row r="3" spans="1:16" x14ac:dyDescent="0.45">
      <c r="A3" s="37" t="s">
        <v>5</v>
      </c>
      <c r="B3" s="40" t="s">
        <v>6</v>
      </c>
      <c r="C3" s="41">
        <v>40</v>
      </c>
      <c r="D3" s="41">
        <v>80</v>
      </c>
      <c r="E3" s="41">
        <v>30</v>
      </c>
      <c r="F3" s="41">
        <v>75</v>
      </c>
      <c r="O3" t="s">
        <v>177</v>
      </c>
      <c r="P3" t="s">
        <v>178</v>
      </c>
    </row>
    <row r="4" spans="1:16" x14ac:dyDescent="0.45">
      <c r="A4" s="37"/>
      <c r="B4" s="40" t="s">
        <v>7</v>
      </c>
      <c r="C4" s="41">
        <v>45</v>
      </c>
      <c r="D4" s="41">
        <v>75</v>
      </c>
      <c r="E4" s="41">
        <v>55</v>
      </c>
      <c r="F4" s="41">
        <v>85</v>
      </c>
      <c r="O4" t="s">
        <v>179</v>
      </c>
      <c r="P4" t="s">
        <v>180</v>
      </c>
    </row>
    <row r="5" spans="1:16" x14ac:dyDescent="0.45">
      <c r="A5" s="37"/>
      <c r="B5" s="40" t="s">
        <v>1</v>
      </c>
      <c r="C5" s="42"/>
      <c r="D5" s="41">
        <v>65</v>
      </c>
      <c r="E5" s="41">
        <v>45</v>
      </c>
      <c r="F5" s="41">
        <v>60</v>
      </c>
      <c r="O5" t="s">
        <v>181</v>
      </c>
      <c r="P5" t="s">
        <v>182</v>
      </c>
    </row>
    <row r="6" spans="1:16" x14ac:dyDescent="0.45">
      <c r="O6" t="s">
        <v>183</v>
      </c>
      <c r="P6" t="s">
        <v>184</v>
      </c>
    </row>
    <row r="7" spans="1:16" x14ac:dyDescent="0.45">
      <c r="O7" t="s">
        <v>185</v>
      </c>
      <c r="P7" t="s">
        <v>186</v>
      </c>
    </row>
    <row r="8" spans="1:16" x14ac:dyDescent="0.45">
      <c r="A8" s="43" t="s">
        <v>187</v>
      </c>
      <c r="B8" s="44">
        <v>10000</v>
      </c>
      <c r="O8" t="s">
        <v>188</v>
      </c>
      <c r="P8" t="s">
        <v>189</v>
      </c>
    </row>
    <row r="9" spans="1:16" x14ac:dyDescent="0.45">
      <c r="A9" s="43" t="s">
        <v>190</v>
      </c>
      <c r="B9" s="44">
        <v>6000</v>
      </c>
      <c r="O9" t="s">
        <v>191</v>
      </c>
      <c r="P9" t="s">
        <v>192</v>
      </c>
    </row>
    <row r="10" spans="1:16" x14ac:dyDescent="0.45">
      <c r="A10" s="43" t="s">
        <v>193</v>
      </c>
      <c r="B10" s="44">
        <v>5300</v>
      </c>
      <c r="O10" t="s">
        <v>194</v>
      </c>
      <c r="P10" t="s">
        <v>195</v>
      </c>
    </row>
    <row r="11" spans="1:16" x14ac:dyDescent="0.45">
      <c r="A11" s="43" t="s">
        <v>196</v>
      </c>
      <c r="B11" s="44">
        <v>6700</v>
      </c>
      <c r="O11" t="s">
        <v>197</v>
      </c>
      <c r="P11" t="s">
        <v>198</v>
      </c>
    </row>
    <row r="12" spans="1:16" x14ac:dyDescent="0.45">
      <c r="A12" s="43" t="s">
        <v>199</v>
      </c>
      <c r="B12" s="44">
        <v>3300</v>
      </c>
      <c r="O12" t="s">
        <v>200</v>
      </c>
      <c r="P12" t="s">
        <v>201</v>
      </c>
    </row>
    <row r="13" spans="1:16" x14ac:dyDescent="0.45">
      <c r="B13" s="45"/>
    </row>
    <row r="14" spans="1:16" x14ac:dyDescent="0.45">
      <c r="A14" s="13" t="s">
        <v>202</v>
      </c>
      <c r="B14" s="45"/>
    </row>
    <row r="15" spans="1:16" x14ac:dyDescent="0.45">
      <c r="A15" s="43" t="s">
        <v>6</v>
      </c>
      <c r="B15" s="46">
        <v>150</v>
      </c>
    </row>
    <row r="16" spans="1:16" x14ac:dyDescent="0.45">
      <c r="A16" s="43" t="s">
        <v>7</v>
      </c>
      <c r="B16" s="46">
        <v>175</v>
      </c>
    </row>
    <row r="18" spans="1:5" x14ac:dyDescent="0.45">
      <c r="A18" s="13" t="s">
        <v>103</v>
      </c>
      <c r="B18" t="s">
        <v>203</v>
      </c>
    </row>
    <row r="19" spans="1:5" x14ac:dyDescent="0.45">
      <c r="A19" s="13" t="s">
        <v>116</v>
      </c>
      <c r="B19" t="s">
        <v>204</v>
      </c>
    </row>
    <row r="20" spans="1:5" x14ac:dyDescent="0.45">
      <c r="B20" t="s">
        <v>205</v>
      </c>
    </row>
    <row r="21" spans="1:5" x14ac:dyDescent="0.45">
      <c r="B21" t="s">
        <v>206</v>
      </c>
    </row>
    <row r="22" spans="1:5" x14ac:dyDescent="0.45">
      <c r="A22" s="13" t="s">
        <v>19</v>
      </c>
      <c r="B22" t="s">
        <v>207</v>
      </c>
    </row>
    <row r="24" spans="1:5" x14ac:dyDescent="0.45">
      <c r="D24" s="13" t="s">
        <v>208</v>
      </c>
    </row>
    <row r="25" spans="1:5" x14ac:dyDescent="0.45">
      <c r="A25" s="13" t="s">
        <v>209</v>
      </c>
      <c r="B25" s="47">
        <v>10000</v>
      </c>
      <c r="C25" s="48" t="s">
        <v>175</v>
      </c>
      <c r="D25" s="49">
        <f>Production_capacity_boston</f>
        <v>10000</v>
      </c>
    </row>
    <row r="26" spans="1:5" x14ac:dyDescent="0.45">
      <c r="A26" s="13" t="s">
        <v>210</v>
      </c>
      <c r="B26" s="47">
        <v>5300</v>
      </c>
      <c r="C26" s="48" t="s">
        <v>175</v>
      </c>
      <c r="D26" s="49">
        <f>Production_capacity_charlotte</f>
        <v>6000</v>
      </c>
    </row>
    <row r="29" spans="1:5" x14ac:dyDescent="0.45">
      <c r="A29" s="13" t="s">
        <v>5</v>
      </c>
      <c r="B29" s="13" t="s">
        <v>0</v>
      </c>
      <c r="C29" s="13" t="s">
        <v>211</v>
      </c>
      <c r="D29" s="13" t="s">
        <v>212</v>
      </c>
      <c r="E29" s="13" t="s">
        <v>213</v>
      </c>
    </row>
    <row r="30" spans="1:5" x14ac:dyDescent="0.45">
      <c r="A30" t="s">
        <v>6</v>
      </c>
      <c r="B30" t="s">
        <v>1</v>
      </c>
      <c r="C30" s="47">
        <v>0</v>
      </c>
      <c r="D30" s="50">
        <f>INDEX($C$3:$F$5,MATCH(A30,$B$3:$B$5,0),MATCH(B30,$C$2:$F$2,0))+INDEX($B$15:$B$16,MATCH(A30,$A$15:$A$16,0))</f>
        <v>190</v>
      </c>
      <c r="E30" s="50">
        <f>D30*C30</f>
        <v>0</v>
      </c>
    </row>
    <row r="31" spans="1:5" x14ac:dyDescent="0.45">
      <c r="A31" t="s">
        <v>6</v>
      </c>
      <c r="B31" t="s">
        <v>2</v>
      </c>
      <c r="C31" s="47">
        <v>0</v>
      </c>
      <c r="D31" s="50">
        <f t="shared" ref="D31:D37" si="0">INDEX($C$3:$F$5,MATCH(A31,$B$3:$B$5,0),MATCH(B31,$C$2:$F$2,0))+INDEX($B$15:$B$16,MATCH(A31,$A$15:$A$16,0))</f>
        <v>230</v>
      </c>
      <c r="E31" s="50">
        <f t="shared" ref="E31:E40" si="1">D31*C31</f>
        <v>0</v>
      </c>
    </row>
    <row r="32" spans="1:5" x14ac:dyDescent="0.45">
      <c r="A32" t="s">
        <v>6</v>
      </c>
      <c r="B32" t="s">
        <v>3</v>
      </c>
      <c r="C32" s="47">
        <v>6700</v>
      </c>
      <c r="D32" s="50">
        <f t="shared" si="0"/>
        <v>180</v>
      </c>
      <c r="E32" s="50">
        <f t="shared" si="1"/>
        <v>1206000</v>
      </c>
    </row>
    <row r="33" spans="1:5" x14ac:dyDescent="0.45">
      <c r="A33" t="s">
        <v>6</v>
      </c>
      <c r="B33" t="s">
        <v>4</v>
      </c>
      <c r="C33" s="47">
        <v>3300</v>
      </c>
      <c r="D33" s="50">
        <f t="shared" si="0"/>
        <v>225</v>
      </c>
      <c r="E33" s="50">
        <f t="shared" si="1"/>
        <v>742500</v>
      </c>
    </row>
    <row r="34" spans="1:5" x14ac:dyDescent="0.45">
      <c r="A34" t="s">
        <v>7</v>
      </c>
      <c r="B34" t="s">
        <v>1</v>
      </c>
      <c r="C34" s="47">
        <v>0</v>
      </c>
      <c r="D34" s="50">
        <f t="shared" si="0"/>
        <v>220</v>
      </c>
      <c r="E34" s="50">
        <f t="shared" si="1"/>
        <v>0</v>
      </c>
    </row>
    <row r="35" spans="1:5" x14ac:dyDescent="0.45">
      <c r="A35" t="s">
        <v>7</v>
      </c>
      <c r="B35" t="s">
        <v>2</v>
      </c>
      <c r="C35" s="47">
        <v>5300</v>
      </c>
      <c r="D35" s="50">
        <f t="shared" si="0"/>
        <v>250</v>
      </c>
      <c r="E35" s="50">
        <f t="shared" si="1"/>
        <v>1325000</v>
      </c>
    </row>
    <row r="36" spans="1:5" x14ac:dyDescent="0.45">
      <c r="A36" t="s">
        <v>7</v>
      </c>
      <c r="B36" t="s">
        <v>3</v>
      </c>
      <c r="C36" s="47">
        <v>0</v>
      </c>
      <c r="D36" s="50">
        <f t="shared" si="0"/>
        <v>230</v>
      </c>
      <c r="E36" s="50">
        <f t="shared" si="1"/>
        <v>0</v>
      </c>
    </row>
    <row r="37" spans="1:5" x14ac:dyDescent="0.45">
      <c r="A37" t="s">
        <v>7</v>
      </c>
      <c r="B37" t="s">
        <v>4</v>
      </c>
      <c r="C37" s="47">
        <v>0</v>
      </c>
      <c r="D37" s="50">
        <f t="shared" si="0"/>
        <v>260</v>
      </c>
      <c r="E37" s="50">
        <f t="shared" si="1"/>
        <v>0</v>
      </c>
    </row>
    <row r="38" spans="1:5" x14ac:dyDescent="0.45">
      <c r="A38" t="s">
        <v>1</v>
      </c>
      <c r="B38" t="s">
        <v>2</v>
      </c>
      <c r="C38" s="47">
        <v>0</v>
      </c>
      <c r="D38" s="50">
        <f>INDEX($C$3:$F$5,MATCH(A38,$B$3:$B$5,0),MATCH(B38,$C$2:$F$2,0))</f>
        <v>65</v>
      </c>
      <c r="E38" s="50">
        <f t="shared" si="1"/>
        <v>0</v>
      </c>
    </row>
    <row r="39" spans="1:5" x14ac:dyDescent="0.45">
      <c r="A39" t="s">
        <v>1</v>
      </c>
      <c r="B39" t="s">
        <v>3</v>
      </c>
      <c r="C39" s="47">
        <v>0</v>
      </c>
      <c r="D39" s="50">
        <f t="shared" ref="D39:D40" si="2">INDEX($C$3:$F$5,MATCH(A39,$B$3:$B$5,0),MATCH(B39,$C$2:$F$2,0))</f>
        <v>45</v>
      </c>
      <c r="E39" s="50">
        <f t="shared" si="1"/>
        <v>0</v>
      </c>
    </row>
    <row r="40" spans="1:5" x14ac:dyDescent="0.45">
      <c r="A40" t="s">
        <v>1</v>
      </c>
      <c r="B40" t="s">
        <v>4</v>
      </c>
      <c r="C40" s="47">
        <v>0</v>
      </c>
      <c r="D40" s="50">
        <f t="shared" si="2"/>
        <v>60</v>
      </c>
      <c r="E40" s="50">
        <f t="shared" si="1"/>
        <v>0</v>
      </c>
    </row>
    <row r="42" spans="1:5" x14ac:dyDescent="0.45">
      <c r="A42" t="s">
        <v>214</v>
      </c>
      <c r="B42" s="51">
        <f>SUM(E30:E40)</f>
        <v>3273500</v>
      </c>
    </row>
    <row r="44" spans="1:5" x14ac:dyDescent="0.45">
      <c r="A44" s="13" t="s">
        <v>215</v>
      </c>
      <c r="B44" t="s">
        <v>216</v>
      </c>
      <c r="D44" s="15" t="s">
        <v>217</v>
      </c>
    </row>
    <row r="45" spans="1:5" x14ac:dyDescent="0.45">
      <c r="A45" t="s">
        <v>6</v>
      </c>
      <c r="B45" s="49">
        <f>Production_in_Boston</f>
        <v>10000</v>
      </c>
      <c r="C45" s="48" t="s">
        <v>218</v>
      </c>
      <c r="D45" s="49">
        <f>SUMIF($A$30:$A$40,A45,Qty_Shipped)</f>
        <v>10000</v>
      </c>
    </row>
    <row r="46" spans="1:5" x14ac:dyDescent="0.45">
      <c r="A46" t="s">
        <v>7</v>
      </c>
      <c r="B46" s="49">
        <f>Production_in_Charlotte</f>
        <v>5300</v>
      </c>
      <c r="C46" s="48" t="s">
        <v>218</v>
      </c>
      <c r="D46" s="49">
        <f>SUMIF($A$30:$A$40,A46,Qty_Shipped)</f>
        <v>5300</v>
      </c>
    </row>
    <row r="47" spans="1:5" x14ac:dyDescent="0.45">
      <c r="D47" s="49"/>
    </row>
    <row r="48" spans="1:5" x14ac:dyDescent="0.45">
      <c r="A48" s="13" t="s">
        <v>219</v>
      </c>
    </row>
    <row r="49" spans="1:4" x14ac:dyDescent="0.45">
      <c r="A49" t="s">
        <v>2</v>
      </c>
      <c r="B49" s="49">
        <f>SUMIF($B$30:$B$40,A49,Qty_Shipped)</f>
        <v>5300</v>
      </c>
      <c r="C49" s="48" t="s">
        <v>218</v>
      </c>
      <c r="D49" s="49">
        <f>Demand_LA</f>
        <v>5300</v>
      </c>
    </row>
    <row r="50" spans="1:4" x14ac:dyDescent="0.45">
      <c r="A50" t="s">
        <v>3</v>
      </c>
      <c r="B50" s="49">
        <f>SUMIF($B$30:$B$40,A50,Qty_Shipped)</f>
        <v>6700</v>
      </c>
      <c r="C50" s="48" t="s">
        <v>218</v>
      </c>
      <c r="D50" s="49">
        <f>Demand_NY</f>
        <v>6700</v>
      </c>
    </row>
    <row r="51" spans="1:4" x14ac:dyDescent="0.45">
      <c r="A51" t="s">
        <v>4</v>
      </c>
      <c r="B51" s="49">
        <f>SUMIF($B$30:$B$40,A51,Qty_Shipped)</f>
        <v>3300</v>
      </c>
      <c r="C51" s="48" t="s">
        <v>218</v>
      </c>
      <c r="D51" s="49">
        <f>Demand_Seattle</f>
        <v>3300</v>
      </c>
    </row>
    <row r="53" spans="1:4" x14ac:dyDescent="0.45">
      <c r="A53" s="13" t="s">
        <v>220</v>
      </c>
      <c r="B53" t="s">
        <v>221</v>
      </c>
      <c r="D53" s="36" t="s">
        <v>222</v>
      </c>
    </row>
    <row r="54" spans="1:4" x14ac:dyDescent="0.45">
      <c r="A54" t="s">
        <v>1</v>
      </c>
      <c r="B54">
        <f>C30+C34</f>
        <v>0</v>
      </c>
      <c r="C54" s="48" t="s">
        <v>218</v>
      </c>
      <c r="D54">
        <f>SUM(C38:C40)</f>
        <v>0</v>
      </c>
    </row>
    <row r="55" spans="1:4" x14ac:dyDescent="0.45">
      <c r="C55" s="4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A76DB-5585-4017-BCEE-7A75584ECF5A}">
  <dimension ref="A1:P55"/>
  <sheetViews>
    <sheetView workbookViewId="0">
      <selection activeCell="E13" sqref="E13"/>
    </sheetView>
  </sheetViews>
  <sheetFormatPr defaultRowHeight="14.25" x14ac:dyDescent="0.45"/>
  <cols>
    <col min="1" max="1" width="25.33203125" bestFit="1" customWidth="1"/>
    <col min="2" max="2" width="16.19921875" customWidth="1"/>
    <col min="3" max="3" width="10.9296875" bestFit="1" customWidth="1"/>
    <col min="4" max="4" width="13.796875" customWidth="1"/>
    <col min="5" max="5" width="18.265625" bestFit="1" customWidth="1"/>
    <col min="6" max="6" width="14" bestFit="1" customWidth="1"/>
    <col min="7" max="7" width="9.73046875" bestFit="1" customWidth="1"/>
  </cols>
  <sheetData>
    <row r="1" spans="1:16" x14ac:dyDescent="0.45">
      <c r="A1" s="37"/>
      <c r="B1" s="37"/>
      <c r="C1" s="37" t="s">
        <v>0</v>
      </c>
      <c r="D1" s="37"/>
      <c r="E1" s="37"/>
      <c r="F1" s="37"/>
    </row>
    <row r="2" spans="1:16" x14ac:dyDescent="0.45">
      <c r="A2" s="38"/>
      <c r="B2" s="39"/>
      <c r="C2" s="39" t="s">
        <v>1</v>
      </c>
      <c r="D2" s="39" t="s">
        <v>2</v>
      </c>
      <c r="E2" s="39" t="s">
        <v>3</v>
      </c>
      <c r="F2" s="39" t="s">
        <v>4</v>
      </c>
    </row>
    <row r="3" spans="1:16" x14ac:dyDescent="0.45">
      <c r="A3" s="37" t="s">
        <v>5</v>
      </c>
      <c r="B3" s="40" t="s">
        <v>6</v>
      </c>
      <c r="C3" s="41">
        <v>40</v>
      </c>
      <c r="D3" s="41">
        <v>80</v>
      </c>
      <c r="E3" s="41">
        <v>30</v>
      </c>
      <c r="F3" s="41">
        <v>75</v>
      </c>
      <c r="O3" t="s">
        <v>177</v>
      </c>
      <c r="P3" t="s">
        <v>178</v>
      </c>
    </row>
    <row r="4" spans="1:16" x14ac:dyDescent="0.45">
      <c r="A4" s="37"/>
      <c r="B4" s="40" t="s">
        <v>7</v>
      </c>
      <c r="C4" s="41">
        <v>45</v>
      </c>
      <c r="D4" s="41">
        <v>75</v>
      </c>
      <c r="E4" s="41">
        <v>55</v>
      </c>
      <c r="F4" s="41">
        <v>85</v>
      </c>
      <c r="O4" t="s">
        <v>179</v>
      </c>
      <c r="P4" t="s">
        <v>180</v>
      </c>
    </row>
    <row r="5" spans="1:16" x14ac:dyDescent="0.45">
      <c r="A5" s="37"/>
      <c r="B5" s="40" t="s">
        <v>1</v>
      </c>
      <c r="C5" s="42"/>
      <c r="D5" s="41">
        <v>65</v>
      </c>
      <c r="E5" s="41">
        <v>45</v>
      </c>
      <c r="F5" s="41">
        <v>60</v>
      </c>
      <c r="O5" t="s">
        <v>181</v>
      </c>
      <c r="P5" t="s">
        <v>182</v>
      </c>
    </row>
    <row r="6" spans="1:16" x14ac:dyDescent="0.45">
      <c r="O6" t="s">
        <v>183</v>
      </c>
      <c r="P6" t="s">
        <v>184</v>
      </c>
    </row>
    <row r="7" spans="1:16" x14ac:dyDescent="0.45">
      <c r="O7" t="s">
        <v>185</v>
      </c>
      <c r="P7" t="s">
        <v>186</v>
      </c>
    </row>
    <row r="8" spans="1:16" x14ac:dyDescent="0.45">
      <c r="A8" s="43" t="s">
        <v>187</v>
      </c>
      <c r="B8" s="44">
        <v>10000</v>
      </c>
      <c r="O8" t="s">
        <v>188</v>
      </c>
      <c r="P8" t="s">
        <v>189</v>
      </c>
    </row>
    <row r="9" spans="1:16" x14ac:dyDescent="0.45">
      <c r="A9" s="43" t="s">
        <v>190</v>
      </c>
      <c r="B9" s="44">
        <v>6000</v>
      </c>
      <c r="O9" t="s">
        <v>191</v>
      </c>
      <c r="P9" t="s">
        <v>192</v>
      </c>
    </row>
    <row r="10" spans="1:16" x14ac:dyDescent="0.45">
      <c r="A10" s="43" t="s">
        <v>193</v>
      </c>
      <c r="B10" s="44">
        <v>5300</v>
      </c>
      <c r="O10" t="s">
        <v>194</v>
      </c>
      <c r="P10" t="s">
        <v>195</v>
      </c>
    </row>
    <row r="11" spans="1:16" x14ac:dyDescent="0.45">
      <c r="A11" s="43" t="s">
        <v>196</v>
      </c>
      <c r="B11" s="44">
        <v>6700</v>
      </c>
      <c r="O11" t="s">
        <v>197</v>
      </c>
      <c r="P11" t="s">
        <v>198</v>
      </c>
    </row>
    <row r="12" spans="1:16" x14ac:dyDescent="0.45">
      <c r="A12" s="43" t="s">
        <v>199</v>
      </c>
      <c r="B12" s="44">
        <v>3300</v>
      </c>
      <c r="O12" t="s">
        <v>200</v>
      </c>
      <c r="P12" t="s">
        <v>201</v>
      </c>
    </row>
    <row r="13" spans="1:16" x14ac:dyDescent="0.45">
      <c r="B13" s="45"/>
    </row>
    <row r="14" spans="1:16" x14ac:dyDescent="0.45">
      <c r="A14" s="13" t="s">
        <v>202</v>
      </c>
      <c r="B14" s="45"/>
    </row>
    <row r="15" spans="1:16" x14ac:dyDescent="0.45">
      <c r="A15" s="43" t="s">
        <v>6</v>
      </c>
      <c r="B15" s="46">
        <v>150</v>
      </c>
    </row>
    <row r="16" spans="1:16" x14ac:dyDescent="0.45">
      <c r="A16" s="43" t="s">
        <v>7</v>
      </c>
      <c r="B16" s="46">
        <v>175</v>
      </c>
    </row>
    <row r="18" spans="1:7" x14ac:dyDescent="0.45">
      <c r="A18" s="13" t="s">
        <v>103</v>
      </c>
      <c r="B18" t="s">
        <v>203</v>
      </c>
    </row>
    <row r="19" spans="1:7" x14ac:dyDescent="0.45">
      <c r="A19" s="13" t="s">
        <v>116</v>
      </c>
      <c r="B19" t="s">
        <v>204</v>
      </c>
    </row>
    <row r="20" spans="1:7" x14ac:dyDescent="0.45">
      <c r="B20" t="s">
        <v>205</v>
      </c>
    </row>
    <row r="21" spans="1:7" x14ac:dyDescent="0.45">
      <c r="B21" t="s">
        <v>206</v>
      </c>
    </row>
    <row r="22" spans="1:7" x14ac:dyDescent="0.45">
      <c r="A22" s="13" t="s">
        <v>19</v>
      </c>
      <c r="B22" t="s">
        <v>207</v>
      </c>
    </row>
    <row r="24" spans="1:7" x14ac:dyDescent="0.45">
      <c r="D24" s="13" t="s">
        <v>208</v>
      </c>
    </row>
    <row r="25" spans="1:7" x14ac:dyDescent="0.45">
      <c r="A25" s="13" t="s">
        <v>209</v>
      </c>
      <c r="B25" s="47">
        <v>10000</v>
      </c>
      <c r="C25" s="48" t="s">
        <v>175</v>
      </c>
      <c r="D25" s="49">
        <f>Production_capacity_boston</f>
        <v>10000</v>
      </c>
    </row>
    <row r="26" spans="1:7" x14ac:dyDescent="0.45">
      <c r="A26" s="13" t="s">
        <v>210</v>
      </c>
      <c r="B26" s="47">
        <v>5300</v>
      </c>
      <c r="C26" s="48" t="s">
        <v>175</v>
      </c>
      <c r="D26" s="49">
        <f>Production_capacity_charlotte</f>
        <v>6000</v>
      </c>
    </row>
    <row r="29" spans="1:7" x14ac:dyDescent="0.45">
      <c r="A29" s="13" t="s">
        <v>5</v>
      </c>
      <c r="B29" s="13" t="s">
        <v>0</v>
      </c>
      <c r="C29" s="13" t="s">
        <v>211</v>
      </c>
      <c r="E29" s="13" t="s">
        <v>351</v>
      </c>
      <c r="F29" s="13" t="s">
        <v>212</v>
      </c>
      <c r="G29" s="13" t="s">
        <v>213</v>
      </c>
    </row>
    <row r="30" spans="1:7" x14ac:dyDescent="0.45">
      <c r="A30" t="s">
        <v>6</v>
      </c>
      <c r="B30" t="s">
        <v>1</v>
      </c>
      <c r="C30" s="47">
        <v>1000</v>
      </c>
      <c r="D30" s="36" t="s">
        <v>175</v>
      </c>
      <c r="E30">
        <v>3000</v>
      </c>
      <c r="F30" s="50">
        <f t="shared" ref="F30:F37" si="0">INDEX($C$3:$F$5,MATCH(A30,$B$3:$B$5,0),MATCH(B30,$C$2:$F$2,0))+INDEX($B$15:$B$16,MATCH(A30,$A$15:$A$16,0))</f>
        <v>190</v>
      </c>
      <c r="G30" s="50">
        <f t="shared" ref="G30:G40" si="1">F30*C30</f>
        <v>190000</v>
      </c>
    </row>
    <row r="31" spans="1:7" x14ac:dyDescent="0.45">
      <c r="A31" t="s">
        <v>6</v>
      </c>
      <c r="B31" t="s">
        <v>2</v>
      </c>
      <c r="C31" s="47">
        <v>3000</v>
      </c>
      <c r="D31" s="36" t="s">
        <v>175</v>
      </c>
      <c r="E31">
        <v>3000</v>
      </c>
      <c r="F31" s="50">
        <f t="shared" si="0"/>
        <v>230</v>
      </c>
      <c r="G31" s="50">
        <f t="shared" si="1"/>
        <v>690000</v>
      </c>
    </row>
    <row r="32" spans="1:7" x14ac:dyDescent="0.45">
      <c r="A32" t="s">
        <v>6</v>
      </c>
      <c r="B32" t="s">
        <v>3</v>
      </c>
      <c r="C32" s="47">
        <v>3000</v>
      </c>
      <c r="D32" s="36" t="s">
        <v>175</v>
      </c>
      <c r="E32">
        <v>3000</v>
      </c>
      <c r="F32" s="50">
        <f t="shared" si="0"/>
        <v>180</v>
      </c>
      <c r="G32" s="50">
        <f t="shared" si="1"/>
        <v>540000</v>
      </c>
    </row>
    <row r="33" spans="1:7" x14ac:dyDescent="0.45">
      <c r="A33" t="s">
        <v>6</v>
      </c>
      <c r="B33" t="s">
        <v>4</v>
      </c>
      <c r="C33" s="47">
        <v>3000</v>
      </c>
      <c r="D33" s="36" t="s">
        <v>175</v>
      </c>
      <c r="E33">
        <v>3000</v>
      </c>
      <c r="F33" s="50">
        <f t="shared" si="0"/>
        <v>225</v>
      </c>
      <c r="G33" s="50">
        <f t="shared" si="1"/>
        <v>675000</v>
      </c>
    </row>
    <row r="34" spans="1:7" x14ac:dyDescent="0.45">
      <c r="A34" t="s">
        <v>7</v>
      </c>
      <c r="B34" t="s">
        <v>1</v>
      </c>
      <c r="C34" s="47">
        <v>0</v>
      </c>
      <c r="D34" s="36" t="s">
        <v>175</v>
      </c>
      <c r="E34">
        <v>3000</v>
      </c>
      <c r="F34" s="50">
        <f t="shared" si="0"/>
        <v>220</v>
      </c>
      <c r="G34" s="50">
        <f t="shared" si="1"/>
        <v>0</v>
      </c>
    </row>
    <row r="35" spans="1:7" x14ac:dyDescent="0.45">
      <c r="A35" t="s">
        <v>7</v>
      </c>
      <c r="B35" t="s">
        <v>2</v>
      </c>
      <c r="C35" s="47">
        <v>2300</v>
      </c>
      <c r="D35" s="36" t="s">
        <v>175</v>
      </c>
      <c r="E35">
        <v>3000</v>
      </c>
      <c r="F35" s="50">
        <f t="shared" si="0"/>
        <v>250</v>
      </c>
      <c r="G35" s="50">
        <f t="shared" si="1"/>
        <v>575000</v>
      </c>
    </row>
    <row r="36" spans="1:7" x14ac:dyDescent="0.45">
      <c r="A36" t="s">
        <v>7</v>
      </c>
      <c r="B36" t="s">
        <v>3</v>
      </c>
      <c r="C36" s="47">
        <v>3000</v>
      </c>
      <c r="D36" s="36" t="s">
        <v>175</v>
      </c>
      <c r="E36">
        <v>3000</v>
      </c>
      <c r="F36" s="50">
        <f t="shared" si="0"/>
        <v>230</v>
      </c>
      <c r="G36" s="50">
        <f t="shared" si="1"/>
        <v>690000</v>
      </c>
    </row>
    <row r="37" spans="1:7" x14ac:dyDescent="0.45">
      <c r="A37" t="s">
        <v>7</v>
      </c>
      <c r="B37" t="s">
        <v>4</v>
      </c>
      <c r="C37" s="47">
        <v>0</v>
      </c>
      <c r="D37" s="36" t="s">
        <v>175</v>
      </c>
      <c r="E37">
        <v>3000</v>
      </c>
      <c r="F37" s="50">
        <f t="shared" si="0"/>
        <v>260</v>
      </c>
      <c r="G37" s="50">
        <f t="shared" si="1"/>
        <v>0</v>
      </c>
    </row>
    <row r="38" spans="1:7" x14ac:dyDescent="0.45">
      <c r="A38" t="s">
        <v>1</v>
      </c>
      <c r="B38" t="s">
        <v>2</v>
      </c>
      <c r="C38" s="47">
        <v>0</v>
      </c>
      <c r="D38" s="36" t="s">
        <v>175</v>
      </c>
      <c r="E38">
        <v>3000</v>
      </c>
      <c r="F38" s="50">
        <f>INDEX($C$3:$F$5,MATCH(A38,$B$3:$B$5,0),MATCH(B38,$C$2:$F$2,0))</f>
        <v>65</v>
      </c>
      <c r="G38" s="50">
        <f t="shared" si="1"/>
        <v>0</v>
      </c>
    </row>
    <row r="39" spans="1:7" x14ac:dyDescent="0.45">
      <c r="A39" t="s">
        <v>1</v>
      </c>
      <c r="B39" t="s">
        <v>3</v>
      </c>
      <c r="C39" s="47">
        <v>700</v>
      </c>
      <c r="D39" s="36" t="s">
        <v>175</v>
      </c>
      <c r="E39">
        <v>3000</v>
      </c>
      <c r="F39" s="50">
        <f>INDEX($C$3:$F$5,MATCH(A39,$B$3:$B$5,0),MATCH(B39,$C$2:$F$2,0))</f>
        <v>45</v>
      </c>
      <c r="G39" s="50">
        <f t="shared" si="1"/>
        <v>31500</v>
      </c>
    </row>
    <row r="40" spans="1:7" x14ac:dyDescent="0.45">
      <c r="A40" t="s">
        <v>1</v>
      </c>
      <c r="B40" t="s">
        <v>4</v>
      </c>
      <c r="C40" s="47">
        <v>300</v>
      </c>
      <c r="D40" s="36" t="s">
        <v>175</v>
      </c>
      <c r="E40">
        <v>3000</v>
      </c>
      <c r="F40" s="50">
        <f>INDEX($C$3:$F$5,MATCH(A40,$B$3:$B$5,0),MATCH(B40,$C$2:$F$2,0))</f>
        <v>60</v>
      </c>
      <c r="G40" s="50">
        <f t="shared" si="1"/>
        <v>18000</v>
      </c>
    </row>
    <row r="42" spans="1:7" x14ac:dyDescent="0.45">
      <c r="A42" t="s">
        <v>214</v>
      </c>
      <c r="B42" s="51">
        <f>SUM(G30:G40)</f>
        <v>3409500</v>
      </c>
    </row>
    <row r="44" spans="1:7" x14ac:dyDescent="0.45">
      <c r="A44" s="13" t="s">
        <v>215</v>
      </c>
      <c r="B44" t="s">
        <v>216</v>
      </c>
      <c r="D44" s="15" t="s">
        <v>217</v>
      </c>
    </row>
    <row r="45" spans="1:7" x14ac:dyDescent="0.45">
      <c r="A45" t="s">
        <v>6</v>
      </c>
      <c r="B45" s="49">
        <f>Production_in_Boston</f>
        <v>10000</v>
      </c>
      <c r="C45" s="48" t="s">
        <v>218</v>
      </c>
      <c r="D45" s="49">
        <f>SUMIF($A$30:$A$40,A45,Qty_Shipped)</f>
        <v>10000</v>
      </c>
    </row>
    <row r="46" spans="1:7" x14ac:dyDescent="0.45">
      <c r="A46" t="s">
        <v>7</v>
      </c>
      <c r="B46" s="49">
        <f>Production_in_Charlotte</f>
        <v>5300</v>
      </c>
      <c r="C46" s="48" t="s">
        <v>218</v>
      </c>
      <c r="D46" s="49">
        <f>SUMIF($A$30:$A$40,A46,Qty_Shipped)</f>
        <v>5300</v>
      </c>
    </row>
    <row r="47" spans="1:7" x14ac:dyDescent="0.45">
      <c r="D47" s="49"/>
    </row>
    <row r="48" spans="1:7" x14ac:dyDescent="0.45">
      <c r="A48" s="13" t="s">
        <v>219</v>
      </c>
    </row>
    <row r="49" spans="1:4" x14ac:dyDescent="0.45">
      <c r="A49" t="s">
        <v>2</v>
      </c>
      <c r="B49" s="49">
        <f>SUMIF($B$30:$B$40,A49,Qty_Shipped)</f>
        <v>5300</v>
      </c>
      <c r="C49" s="48" t="s">
        <v>218</v>
      </c>
      <c r="D49" s="49">
        <f>Demand_LA</f>
        <v>5300</v>
      </c>
    </row>
    <row r="50" spans="1:4" x14ac:dyDescent="0.45">
      <c r="A50" t="s">
        <v>3</v>
      </c>
      <c r="B50" s="49">
        <f>SUMIF($B$30:$B$40,A50,Qty_Shipped)</f>
        <v>6700</v>
      </c>
      <c r="C50" s="48" t="s">
        <v>218</v>
      </c>
      <c r="D50" s="49">
        <f>Demand_NY</f>
        <v>6700</v>
      </c>
    </row>
    <row r="51" spans="1:4" x14ac:dyDescent="0.45">
      <c r="A51" t="s">
        <v>4</v>
      </c>
      <c r="B51" s="49">
        <f>SUMIF($B$30:$B$40,A51,Qty_Shipped)</f>
        <v>3300</v>
      </c>
      <c r="C51" s="48" t="s">
        <v>218</v>
      </c>
      <c r="D51" s="49">
        <f>Demand_Seattle</f>
        <v>3300</v>
      </c>
    </row>
    <row r="53" spans="1:4" x14ac:dyDescent="0.45">
      <c r="A53" s="13" t="s">
        <v>220</v>
      </c>
      <c r="B53" t="s">
        <v>221</v>
      </c>
      <c r="D53" s="36" t="s">
        <v>222</v>
      </c>
    </row>
    <row r="54" spans="1:4" x14ac:dyDescent="0.45">
      <c r="A54" t="s">
        <v>1</v>
      </c>
      <c r="B54">
        <f>C30+C34</f>
        <v>1000</v>
      </c>
      <c r="C54" s="48" t="s">
        <v>218</v>
      </c>
      <c r="D54">
        <f>SUM(C38:C40)</f>
        <v>1000</v>
      </c>
    </row>
    <row r="55" spans="1:4" x14ac:dyDescent="0.45">
      <c r="C55" s="4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02125-42D1-4451-A67B-EFF44B01C526}">
  <dimension ref="A1:AZ22"/>
  <sheetViews>
    <sheetView workbookViewId="0">
      <selection activeCell="C7" sqref="C7"/>
    </sheetView>
  </sheetViews>
  <sheetFormatPr defaultRowHeight="14.25" x14ac:dyDescent="0.45"/>
  <cols>
    <col min="1" max="1" width="5.9296875" bestFit="1" customWidth="1"/>
  </cols>
  <sheetData>
    <row r="1" spans="1:52" x14ac:dyDescent="0.45">
      <c r="A1" s="13" t="s">
        <v>223</v>
      </c>
      <c r="U1" s="24" t="str">
        <f>CONCATENATE("Sensitivity of ",$U$4," to ","Input2")</f>
        <v>Sensitivity of $B$54 to Input2</v>
      </c>
      <c r="Y1" s="24" t="str">
        <f>CONCATENATE("Sensitivity of ",$Y$4," to ","Input1")</f>
        <v>Sensitivity of $B$54 to Input1</v>
      </c>
    </row>
    <row r="2" spans="1:52" x14ac:dyDescent="0.45">
      <c r="U2" t="s">
        <v>224</v>
      </c>
      <c r="Y2" t="s">
        <v>225</v>
      </c>
      <c r="AZ2" t="s">
        <v>226</v>
      </c>
    </row>
    <row r="3" spans="1:52" x14ac:dyDescent="0.45">
      <c r="A3" t="s">
        <v>227</v>
      </c>
      <c r="U3" t="s">
        <v>228</v>
      </c>
      <c r="V3" t="s">
        <v>229</v>
      </c>
      <c r="Y3" t="s">
        <v>228</v>
      </c>
      <c r="Z3" t="s">
        <v>230</v>
      </c>
    </row>
    <row r="4" spans="1:52" ht="32.65" x14ac:dyDescent="0.45">
      <c r="A4" s="52" t="s">
        <v>226</v>
      </c>
      <c r="B4" s="50">
        <v>5</v>
      </c>
      <c r="C4" s="50">
        <v>10</v>
      </c>
      <c r="D4" s="50">
        <v>15</v>
      </c>
      <c r="E4" s="50">
        <v>20</v>
      </c>
      <c r="F4" s="50">
        <v>25</v>
      </c>
      <c r="G4" s="50">
        <v>30</v>
      </c>
      <c r="H4" s="50">
        <v>35</v>
      </c>
      <c r="I4" s="50">
        <v>40</v>
      </c>
      <c r="J4" s="50">
        <v>45</v>
      </c>
      <c r="K4" s="50">
        <v>50</v>
      </c>
      <c r="L4" s="50">
        <v>55</v>
      </c>
      <c r="M4" s="50">
        <v>60</v>
      </c>
      <c r="N4" s="50">
        <v>65</v>
      </c>
      <c r="O4" s="50">
        <v>70</v>
      </c>
      <c r="P4" s="50">
        <v>75</v>
      </c>
      <c r="Q4" s="50">
        <v>80</v>
      </c>
      <c r="R4" s="50">
        <v>85</v>
      </c>
      <c r="S4" s="50">
        <v>90</v>
      </c>
      <c r="T4" s="24">
        <f>MATCH($U$4,OutputAddresses,0)</f>
        <v>1</v>
      </c>
      <c r="U4" s="23" t="s">
        <v>226</v>
      </c>
      <c r="V4" s="53">
        <v>5</v>
      </c>
      <c r="W4" s="24">
        <f>MATCH($V$4,InputValues1,0)</f>
        <v>1</v>
      </c>
      <c r="X4" s="24">
        <f>MATCH($Y$4,OutputAddresses,0)</f>
        <v>1</v>
      </c>
      <c r="Y4" s="23" t="s">
        <v>226</v>
      </c>
      <c r="Z4" s="53">
        <v>5</v>
      </c>
      <c r="AA4" s="24">
        <f>MATCH($Z$4,InputValues2,0)</f>
        <v>1</v>
      </c>
    </row>
    <row r="5" spans="1:52" x14ac:dyDescent="0.45">
      <c r="A5" s="50">
        <v>5</v>
      </c>
      <c r="B5" s="54">
        <v>8600</v>
      </c>
      <c r="C5" s="55">
        <v>3300</v>
      </c>
      <c r="D5" s="55">
        <v>3300</v>
      </c>
      <c r="E5" s="55">
        <v>3300</v>
      </c>
      <c r="F5" s="55">
        <v>3300</v>
      </c>
      <c r="G5" s="55">
        <v>3300</v>
      </c>
      <c r="H5" s="55">
        <v>3300</v>
      </c>
      <c r="I5" s="55">
        <v>3300</v>
      </c>
      <c r="J5" s="55">
        <v>3300</v>
      </c>
      <c r="K5" s="55">
        <v>3300</v>
      </c>
      <c r="L5" s="55">
        <v>3300</v>
      </c>
      <c r="M5" s="55">
        <v>3300</v>
      </c>
      <c r="N5" s="55">
        <v>3300</v>
      </c>
      <c r="O5" s="55">
        <v>3300</v>
      </c>
      <c r="P5" s="55">
        <v>3300</v>
      </c>
      <c r="Q5" s="55">
        <v>3300</v>
      </c>
      <c r="R5" s="55">
        <v>3300</v>
      </c>
      <c r="S5" s="56">
        <v>3300</v>
      </c>
      <c r="T5" s="24" t="str">
        <f>"OutputValues_"&amp;$T$4</f>
        <v>OutputValues_1</v>
      </c>
      <c r="U5">
        <f ca="1">INDEX(INDIRECT($T$5),$W$4,1)</f>
        <v>8600</v>
      </c>
      <c r="X5" s="24" t="str">
        <f>"OutputValues_"&amp;$X$4</f>
        <v>OutputValues_1</v>
      </c>
      <c r="Y5">
        <f ca="1">INDEX(INDIRECT($X$5),1,$AA$4)</f>
        <v>8600</v>
      </c>
    </row>
    <row r="6" spans="1:52" x14ac:dyDescent="0.45">
      <c r="A6" s="50">
        <v>10</v>
      </c>
      <c r="B6" s="57">
        <v>8600</v>
      </c>
      <c r="C6">
        <v>3300</v>
      </c>
      <c r="D6">
        <v>3300</v>
      </c>
      <c r="E6">
        <v>3300</v>
      </c>
      <c r="F6">
        <v>3300</v>
      </c>
      <c r="G6">
        <v>3300</v>
      </c>
      <c r="H6">
        <v>3300</v>
      </c>
      <c r="I6">
        <v>3300</v>
      </c>
      <c r="J6">
        <v>3300</v>
      </c>
      <c r="K6">
        <v>3300</v>
      </c>
      <c r="L6">
        <v>3300</v>
      </c>
      <c r="M6">
        <v>3300</v>
      </c>
      <c r="N6">
        <v>3300</v>
      </c>
      <c r="O6">
        <v>3300</v>
      </c>
      <c r="P6">
        <v>3300</v>
      </c>
      <c r="Q6">
        <v>3300</v>
      </c>
      <c r="R6">
        <v>3300</v>
      </c>
      <c r="S6" s="58">
        <v>3300</v>
      </c>
      <c r="U6">
        <f ca="1">INDEX(INDIRECT($T$5),$W$4,2)</f>
        <v>3300</v>
      </c>
      <c r="Y6">
        <f ca="1">INDEX(INDIRECT($X$5),2,$AA$4)</f>
        <v>8600</v>
      </c>
    </row>
    <row r="7" spans="1:52" x14ac:dyDescent="0.45">
      <c r="A7" s="50">
        <v>15</v>
      </c>
      <c r="B7" s="57">
        <v>5300</v>
      </c>
      <c r="C7">
        <v>0</v>
      </c>
      <c r="D7">
        <v>0</v>
      </c>
      <c r="E7">
        <v>0</v>
      </c>
      <c r="F7">
        <v>0</v>
      </c>
      <c r="G7">
        <v>0</v>
      </c>
      <c r="H7">
        <v>0</v>
      </c>
      <c r="I7">
        <v>0</v>
      </c>
      <c r="J7">
        <v>0</v>
      </c>
      <c r="K7">
        <v>0</v>
      </c>
      <c r="L7">
        <v>0</v>
      </c>
      <c r="M7">
        <v>0</v>
      </c>
      <c r="N7">
        <v>0</v>
      </c>
      <c r="O7">
        <v>0</v>
      </c>
      <c r="P7">
        <v>0</v>
      </c>
      <c r="Q7">
        <v>0</v>
      </c>
      <c r="R7">
        <v>0</v>
      </c>
      <c r="S7" s="58">
        <v>0</v>
      </c>
      <c r="U7">
        <f ca="1">INDEX(INDIRECT($T$5),$W$4,3)</f>
        <v>3300</v>
      </c>
      <c r="Y7">
        <f ca="1">INDEX(INDIRECT($X$5),3,$AA$4)</f>
        <v>5300</v>
      </c>
    </row>
    <row r="8" spans="1:52" x14ac:dyDescent="0.45">
      <c r="A8" s="50">
        <v>20</v>
      </c>
      <c r="B8" s="57">
        <v>5300</v>
      </c>
      <c r="C8">
        <v>0</v>
      </c>
      <c r="D8">
        <v>0</v>
      </c>
      <c r="E8">
        <v>0</v>
      </c>
      <c r="F8">
        <v>0</v>
      </c>
      <c r="G8">
        <v>0</v>
      </c>
      <c r="H8">
        <v>0</v>
      </c>
      <c r="I8">
        <v>0</v>
      </c>
      <c r="J8">
        <v>0</v>
      </c>
      <c r="K8">
        <v>0</v>
      </c>
      <c r="L8">
        <v>0</v>
      </c>
      <c r="M8">
        <v>0</v>
      </c>
      <c r="N8">
        <v>0</v>
      </c>
      <c r="O8">
        <v>0</v>
      </c>
      <c r="P8">
        <v>0</v>
      </c>
      <c r="Q8">
        <v>0</v>
      </c>
      <c r="R8">
        <v>0</v>
      </c>
      <c r="S8" s="58">
        <v>0</v>
      </c>
      <c r="U8">
        <f ca="1">INDEX(INDIRECT($T$5),$W$4,4)</f>
        <v>3300</v>
      </c>
      <c r="Y8">
        <f ca="1">INDEX(INDIRECT($X$5),4,$AA$4)</f>
        <v>5300</v>
      </c>
    </row>
    <row r="9" spans="1:52" x14ac:dyDescent="0.45">
      <c r="A9" s="50">
        <v>25</v>
      </c>
      <c r="B9" s="57">
        <v>5300</v>
      </c>
      <c r="C9">
        <v>0</v>
      </c>
      <c r="D9">
        <v>0</v>
      </c>
      <c r="E9">
        <v>0</v>
      </c>
      <c r="F9">
        <v>0</v>
      </c>
      <c r="G9">
        <v>0</v>
      </c>
      <c r="H9">
        <v>0</v>
      </c>
      <c r="I9">
        <v>0</v>
      </c>
      <c r="J9">
        <v>0</v>
      </c>
      <c r="K9">
        <v>0</v>
      </c>
      <c r="L9">
        <v>0</v>
      </c>
      <c r="M9">
        <v>0</v>
      </c>
      <c r="N9">
        <v>0</v>
      </c>
      <c r="O9">
        <v>0</v>
      </c>
      <c r="P9">
        <v>0</v>
      </c>
      <c r="Q9">
        <v>0</v>
      </c>
      <c r="R9">
        <v>0</v>
      </c>
      <c r="S9" s="58">
        <v>0</v>
      </c>
      <c r="U9">
        <f ca="1">INDEX(INDIRECT($T$5),$W$4,5)</f>
        <v>3300</v>
      </c>
      <c r="Y9">
        <f ca="1">INDEX(INDIRECT($X$5),5,$AA$4)</f>
        <v>5300</v>
      </c>
    </row>
    <row r="10" spans="1:52" x14ac:dyDescent="0.45">
      <c r="A10" s="50">
        <v>30</v>
      </c>
      <c r="B10" s="57">
        <v>5300</v>
      </c>
      <c r="C10">
        <v>0</v>
      </c>
      <c r="D10">
        <v>0</v>
      </c>
      <c r="E10">
        <v>0</v>
      </c>
      <c r="F10">
        <v>0</v>
      </c>
      <c r="G10">
        <v>0</v>
      </c>
      <c r="H10">
        <v>0</v>
      </c>
      <c r="I10">
        <v>0</v>
      </c>
      <c r="J10">
        <v>0</v>
      </c>
      <c r="K10">
        <v>0</v>
      </c>
      <c r="L10">
        <v>0</v>
      </c>
      <c r="M10">
        <v>0</v>
      </c>
      <c r="N10">
        <v>0</v>
      </c>
      <c r="O10">
        <v>0</v>
      </c>
      <c r="P10">
        <v>0</v>
      </c>
      <c r="Q10">
        <v>0</v>
      </c>
      <c r="R10">
        <v>0</v>
      </c>
      <c r="S10" s="58">
        <v>0</v>
      </c>
      <c r="U10">
        <f ca="1">INDEX(INDIRECT($T$5),$W$4,6)</f>
        <v>3300</v>
      </c>
      <c r="Y10">
        <f ca="1">INDEX(INDIRECT($X$5),6,$AA$4)</f>
        <v>5300</v>
      </c>
    </row>
    <row r="11" spans="1:52" x14ac:dyDescent="0.45">
      <c r="A11" s="50">
        <v>35</v>
      </c>
      <c r="B11" s="57">
        <v>5300</v>
      </c>
      <c r="C11">
        <v>0</v>
      </c>
      <c r="D11">
        <v>0</v>
      </c>
      <c r="E11">
        <v>0</v>
      </c>
      <c r="F11">
        <v>0</v>
      </c>
      <c r="G11">
        <v>0</v>
      </c>
      <c r="H11">
        <v>0</v>
      </c>
      <c r="I11">
        <v>0</v>
      </c>
      <c r="J11">
        <v>0</v>
      </c>
      <c r="K11">
        <v>0</v>
      </c>
      <c r="L11">
        <v>0</v>
      </c>
      <c r="M11">
        <v>0</v>
      </c>
      <c r="N11">
        <v>0</v>
      </c>
      <c r="O11">
        <v>0</v>
      </c>
      <c r="P11">
        <v>0</v>
      </c>
      <c r="Q11">
        <v>0</v>
      </c>
      <c r="R11">
        <v>0</v>
      </c>
      <c r="S11" s="58">
        <v>0</v>
      </c>
      <c r="U11">
        <f ca="1">INDEX(INDIRECT($T$5),$W$4,7)</f>
        <v>3300</v>
      </c>
      <c r="Y11">
        <f ca="1">INDEX(INDIRECT($X$5),7,$AA$4)</f>
        <v>5300</v>
      </c>
    </row>
    <row r="12" spans="1:52" x14ac:dyDescent="0.45">
      <c r="A12" s="50">
        <v>40</v>
      </c>
      <c r="B12" s="57">
        <v>5300</v>
      </c>
      <c r="C12">
        <v>0</v>
      </c>
      <c r="D12">
        <v>0</v>
      </c>
      <c r="E12">
        <v>0</v>
      </c>
      <c r="F12">
        <v>0</v>
      </c>
      <c r="G12">
        <v>0</v>
      </c>
      <c r="H12">
        <v>0</v>
      </c>
      <c r="I12">
        <v>0</v>
      </c>
      <c r="J12">
        <v>0</v>
      </c>
      <c r="K12">
        <v>0</v>
      </c>
      <c r="L12">
        <v>0</v>
      </c>
      <c r="M12">
        <v>0</v>
      </c>
      <c r="N12">
        <v>0</v>
      </c>
      <c r="O12">
        <v>0</v>
      </c>
      <c r="P12">
        <v>0</v>
      </c>
      <c r="Q12">
        <v>0</v>
      </c>
      <c r="R12">
        <v>0</v>
      </c>
      <c r="S12" s="58">
        <v>0</v>
      </c>
      <c r="U12">
        <f ca="1">INDEX(INDIRECT($T$5),$W$4,8)</f>
        <v>3300</v>
      </c>
      <c r="Y12">
        <f ca="1">INDEX(INDIRECT($X$5),8,$AA$4)</f>
        <v>5300</v>
      </c>
    </row>
    <row r="13" spans="1:52" x14ac:dyDescent="0.45">
      <c r="A13" s="50">
        <v>45</v>
      </c>
      <c r="B13" s="57">
        <v>5300</v>
      </c>
      <c r="C13">
        <v>0</v>
      </c>
      <c r="D13">
        <v>0</v>
      </c>
      <c r="E13">
        <v>0</v>
      </c>
      <c r="F13">
        <v>0</v>
      </c>
      <c r="G13">
        <v>0</v>
      </c>
      <c r="H13">
        <v>0</v>
      </c>
      <c r="I13">
        <v>0</v>
      </c>
      <c r="J13">
        <v>0</v>
      </c>
      <c r="K13">
        <v>0</v>
      </c>
      <c r="L13">
        <v>0</v>
      </c>
      <c r="M13">
        <v>0</v>
      </c>
      <c r="N13">
        <v>0</v>
      </c>
      <c r="O13">
        <v>0</v>
      </c>
      <c r="P13">
        <v>0</v>
      </c>
      <c r="Q13">
        <v>0</v>
      </c>
      <c r="R13">
        <v>0</v>
      </c>
      <c r="S13" s="58">
        <v>0</v>
      </c>
      <c r="U13">
        <f ca="1">INDEX(INDIRECT($T$5),$W$4,9)</f>
        <v>3300</v>
      </c>
      <c r="Y13">
        <f ca="1">INDEX(INDIRECT($X$5),9,$AA$4)</f>
        <v>5300</v>
      </c>
    </row>
    <row r="14" spans="1:52" x14ac:dyDescent="0.45">
      <c r="A14" s="50">
        <v>50</v>
      </c>
      <c r="B14" s="57">
        <v>5300</v>
      </c>
      <c r="C14">
        <v>0</v>
      </c>
      <c r="D14">
        <v>0</v>
      </c>
      <c r="E14">
        <v>0</v>
      </c>
      <c r="F14">
        <v>0</v>
      </c>
      <c r="G14">
        <v>0</v>
      </c>
      <c r="H14">
        <v>0</v>
      </c>
      <c r="I14">
        <v>0</v>
      </c>
      <c r="J14">
        <v>0</v>
      </c>
      <c r="K14">
        <v>0</v>
      </c>
      <c r="L14">
        <v>0</v>
      </c>
      <c r="M14">
        <v>0</v>
      </c>
      <c r="N14">
        <v>0</v>
      </c>
      <c r="O14">
        <v>0</v>
      </c>
      <c r="P14">
        <v>0</v>
      </c>
      <c r="Q14">
        <v>0</v>
      </c>
      <c r="R14">
        <v>0</v>
      </c>
      <c r="S14" s="58">
        <v>0</v>
      </c>
      <c r="U14">
        <f ca="1">INDEX(INDIRECT($T$5),$W$4,10)</f>
        <v>3300</v>
      </c>
      <c r="Y14">
        <f ca="1">INDEX(INDIRECT($X$5),10,$AA$4)</f>
        <v>5300</v>
      </c>
    </row>
    <row r="15" spans="1:52" x14ac:dyDescent="0.45">
      <c r="A15" s="50">
        <v>55</v>
      </c>
      <c r="B15" s="57">
        <v>5300</v>
      </c>
      <c r="C15">
        <v>0</v>
      </c>
      <c r="D15">
        <v>0</v>
      </c>
      <c r="E15">
        <v>0</v>
      </c>
      <c r="F15">
        <v>0</v>
      </c>
      <c r="G15">
        <v>0</v>
      </c>
      <c r="H15">
        <v>0</v>
      </c>
      <c r="I15">
        <v>0</v>
      </c>
      <c r="J15">
        <v>0</v>
      </c>
      <c r="K15">
        <v>0</v>
      </c>
      <c r="L15">
        <v>0</v>
      </c>
      <c r="M15">
        <v>0</v>
      </c>
      <c r="N15">
        <v>0</v>
      </c>
      <c r="O15">
        <v>0</v>
      </c>
      <c r="P15">
        <v>0</v>
      </c>
      <c r="Q15">
        <v>0</v>
      </c>
      <c r="R15">
        <v>0</v>
      </c>
      <c r="S15" s="58">
        <v>0</v>
      </c>
      <c r="U15">
        <f ca="1">INDEX(INDIRECT($T$5),$W$4,11)</f>
        <v>3300</v>
      </c>
      <c r="Y15">
        <f ca="1">INDEX(INDIRECT($X$5),11,$AA$4)</f>
        <v>5300</v>
      </c>
    </row>
    <row r="16" spans="1:52" x14ac:dyDescent="0.45">
      <c r="A16" s="50">
        <v>60</v>
      </c>
      <c r="B16" s="57">
        <v>5300</v>
      </c>
      <c r="C16">
        <v>0</v>
      </c>
      <c r="D16">
        <v>0</v>
      </c>
      <c r="E16">
        <v>0</v>
      </c>
      <c r="F16">
        <v>0</v>
      </c>
      <c r="G16">
        <v>0</v>
      </c>
      <c r="H16">
        <v>0</v>
      </c>
      <c r="I16">
        <v>0</v>
      </c>
      <c r="J16">
        <v>0</v>
      </c>
      <c r="K16">
        <v>0</v>
      </c>
      <c r="L16">
        <v>0</v>
      </c>
      <c r="M16">
        <v>0</v>
      </c>
      <c r="N16">
        <v>0</v>
      </c>
      <c r="O16">
        <v>0</v>
      </c>
      <c r="P16">
        <v>0</v>
      </c>
      <c r="Q16">
        <v>0</v>
      </c>
      <c r="R16">
        <v>0</v>
      </c>
      <c r="S16" s="58">
        <v>0</v>
      </c>
      <c r="U16">
        <f ca="1">INDEX(INDIRECT($T$5),$W$4,12)</f>
        <v>3300</v>
      </c>
      <c r="Y16">
        <f ca="1">INDEX(INDIRECT($X$5),12,$AA$4)</f>
        <v>5300</v>
      </c>
    </row>
    <row r="17" spans="1:25" x14ac:dyDescent="0.45">
      <c r="A17" s="50">
        <v>65</v>
      </c>
      <c r="B17" s="57">
        <v>5300</v>
      </c>
      <c r="C17">
        <v>0</v>
      </c>
      <c r="D17">
        <v>0</v>
      </c>
      <c r="E17">
        <v>0</v>
      </c>
      <c r="F17">
        <v>0</v>
      </c>
      <c r="G17">
        <v>0</v>
      </c>
      <c r="H17">
        <v>0</v>
      </c>
      <c r="I17">
        <v>0</v>
      </c>
      <c r="J17">
        <v>0</v>
      </c>
      <c r="K17">
        <v>0</v>
      </c>
      <c r="L17">
        <v>0</v>
      </c>
      <c r="M17">
        <v>0</v>
      </c>
      <c r="N17">
        <v>0</v>
      </c>
      <c r="O17">
        <v>0</v>
      </c>
      <c r="P17">
        <v>0</v>
      </c>
      <c r="Q17">
        <v>0</v>
      </c>
      <c r="R17">
        <v>0</v>
      </c>
      <c r="S17" s="58">
        <v>0</v>
      </c>
      <c r="U17">
        <f ca="1">INDEX(INDIRECT($T$5),$W$4,13)</f>
        <v>3300</v>
      </c>
      <c r="Y17">
        <f ca="1">INDEX(INDIRECT($X$5),13,$AA$4)</f>
        <v>5300</v>
      </c>
    </row>
    <row r="18" spans="1:25" x14ac:dyDescent="0.45">
      <c r="A18" s="50">
        <v>70</v>
      </c>
      <c r="B18" s="57">
        <v>5300</v>
      </c>
      <c r="C18">
        <v>0</v>
      </c>
      <c r="D18">
        <v>0</v>
      </c>
      <c r="E18">
        <v>0</v>
      </c>
      <c r="F18">
        <v>0</v>
      </c>
      <c r="G18">
        <v>0</v>
      </c>
      <c r="H18">
        <v>0</v>
      </c>
      <c r="I18">
        <v>0</v>
      </c>
      <c r="J18">
        <v>0</v>
      </c>
      <c r="K18">
        <v>0</v>
      </c>
      <c r="L18">
        <v>0</v>
      </c>
      <c r="M18">
        <v>0</v>
      </c>
      <c r="N18">
        <v>0</v>
      </c>
      <c r="O18">
        <v>0</v>
      </c>
      <c r="P18">
        <v>0</v>
      </c>
      <c r="Q18">
        <v>0</v>
      </c>
      <c r="R18">
        <v>0</v>
      </c>
      <c r="S18" s="58">
        <v>0</v>
      </c>
      <c r="U18">
        <f ca="1">INDEX(INDIRECT($T$5),$W$4,14)</f>
        <v>3300</v>
      </c>
      <c r="Y18">
        <f ca="1">INDEX(INDIRECT($X$5),14,$AA$4)</f>
        <v>5300</v>
      </c>
    </row>
    <row r="19" spans="1:25" x14ac:dyDescent="0.45">
      <c r="A19" s="50">
        <v>75</v>
      </c>
      <c r="B19" s="57">
        <v>5300</v>
      </c>
      <c r="C19">
        <v>0</v>
      </c>
      <c r="D19">
        <v>0</v>
      </c>
      <c r="E19">
        <v>0</v>
      </c>
      <c r="F19">
        <v>0</v>
      </c>
      <c r="G19">
        <v>0</v>
      </c>
      <c r="H19">
        <v>0</v>
      </c>
      <c r="I19">
        <v>0</v>
      </c>
      <c r="J19">
        <v>0</v>
      </c>
      <c r="K19">
        <v>0</v>
      </c>
      <c r="L19">
        <v>0</v>
      </c>
      <c r="M19">
        <v>0</v>
      </c>
      <c r="N19">
        <v>0</v>
      </c>
      <c r="O19">
        <v>0</v>
      </c>
      <c r="P19">
        <v>0</v>
      </c>
      <c r="Q19">
        <v>0</v>
      </c>
      <c r="R19">
        <v>0</v>
      </c>
      <c r="S19" s="58">
        <v>0</v>
      </c>
      <c r="U19">
        <f ca="1">INDEX(INDIRECT($T$5),$W$4,15)</f>
        <v>3300</v>
      </c>
      <c r="Y19">
        <f ca="1">INDEX(INDIRECT($X$5),15,$AA$4)</f>
        <v>5300</v>
      </c>
    </row>
    <row r="20" spans="1:25" x14ac:dyDescent="0.45">
      <c r="A20" s="50">
        <v>80</v>
      </c>
      <c r="B20" s="57">
        <v>5300</v>
      </c>
      <c r="C20">
        <v>0</v>
      </c>
      <c r="D20">
        <v>0</v>
      </c>
      <c r="E20">
        <v>0</v>
      </c>
      <c r="F20">
        <v>0</v>
      </c>
      <c r="G20">
        <v>0</v>
      </c>
      <c r="H20">
        <v>0</v>
      </c>
      <c r="I20">
        <v>0</v>
      </c>
      <c r="J20">
        <v>0</v>
      </c>
      <c r="K20">
        <v>0</v>
      </c>
      <c r="L20">
        <v>0</v>
      </c>
      <c r="M20">
        <v>0</v>
      </c>
      <c r="N20">
        <v>0</v>
      </c>
      <c r="O20">
        <v>0</v>
      </c>
      <c r="P20">
        <v>0</v>
      </c>
      <c r="Q20">
        <v>0</v>
      </c>
      <c r="R20">
        <v>0</v>
      </c>
      <c r="S20" s="58">
        <v>0</v>
      </c>
      <c r="U20">
        <f ca="1">INDEX(INDIRECT($T$5),$W$4,16)</f>
        <v>3300</v>
      </c>
      <c r="Y20">
        <f ca="1">INDEX(INDIRECT($X$5),16,$AA$4)</f>
        <v>5300</v>
      </c>
    </row>
    <row r="21" spans="1:25" x14ac:dyDescent="0.45">
      <c r="A21" s="50">
        <v>85</v>
      </c>
      <c r="B21" s="57">
        <v>5300</v>
      </c>
      <c r="C21">
        <v>0</v>
      </c>
      <c r="D21">
        <v>0</v>
      </c>
      <c r="E21">
        <v>0</v>
      </c>
      <c r="F21">
        <v>0</v>
      </c>
      <c r="G21">
        <v>0</v>
      </c>
      <c r="H21">
        <v>0</v>
      </c>
      <c r="I21">
        <v>0</v>
      </c>
      <c r="J21">
        <v>0</v>
      </c>
      <c r="K21">
        <v>0</v>
      </c>
      <c r="L21">
        <v>0</v>
      </c>
      <c r="M21">
        <v>0</v>
      </c>
      <c r="N21">
        <v>0</v>
      </c>
      <c r="O21">
        <v>0</v>
      </c>
      <c r="P21">
        <v>0</v>
      </c>
      <c r="Q21">
        <v>0</v>
      </c>
      <c r="R21">
        <v>0</v>
      </c>
      <c r="S21" s="58">
        <v>0</v>
      </c>
      <c r="U21">
        <f ca="1">INDEX(INDIRECT($T$5),$W$4,17)</f>
        <v>3300</v>
      </c>
      <c r="Y21">
        <f ca="1">INDEX(INDIRECT($X$5),17,$AA$4)</f>
        <v>5300</v>
      </c>
    </row>
    <row r="22" spans="1:25" x14ac:dyDescent="0.45">
      <c r="A22" s="50">
        <v>90</v>
      </c>
      <c r="B22" s="59">
        <v>5300</v>
      </c>
      <c r="C22" s="20">
        <v>0</v>
      </c>
      <c r="D22" s="20">
        <v>0</v>
      </c>
      <c r="E22" s="20">
        <v>0</v>
      </c>
      <c r="F22" s="20">
        <v>0</v>
      </c>
      <c r="G22" s="20">
        <v>0</v>
      </c>
      <c r="H22" s="20">
        <v>0</v>
      </c>
      <c r="I22" s="20">
        <v>0</v>
      </c>
      <c r="J22" s="20">
        <v>0</v>
      </c>
      <c r="K22" s="20">
        <v>0</v>
      </c>
      <c r="L22" s="20">
        <v>0</v>
      </c>
      <c r="M22" s="20">
        <v>0</v>
      </c>
      <c r="N22" s="20">
        <v>0</v>
      </c>
      <c r="O22" s="20">
        <v>0</v>
      </c>
      <c r="P22" s="20">
        <v>0</v>
      </c>
      <c r="Q22" s="20">
        <v>0</v>
      </c>
      <c r="R22" s="20">
        <v>0</v>
      </c>
      <c r="S22" s="60">
        <v>0</v>
      </c>
      <c r="U22">
        <f ca="1">INDEX(INDIRECT($T$5),$W$4,18)</f>
        <v>3300</v>
      </c>
      <c r="Y22">
        <f ca="1">INDEX(INDIRECT($X$5),18,$AA$4)</f>
        <v>5300</v>
      </c>
    </row>
  </sheetData>
  <dataValidations count="3">
    <dataValidation type="list" allowBlank="1" showInputMessage="1" showErrorMessage="1" sqref="Z4" xr:uid="{1F29A19F-C41B-4D04-9CD3-43955CBA6616}">
      <formula1>InputValues2</formula1>
    </dataValidation>
    <dataValidation type="list" allowBlank="1" showInputMessage="1" showErrorMessage="1" sqref="V4" xr:uid="{A3C3A276-53C8-4606-8225-509636E992BC}">
      <formula1>InputValues1</formula1>
    </dataValidation>
    <dataValidation type="list" allowBlank="1" showInputMessage="1" showErrorMessage="1" sqref="U4 Y4" xr:uid="{035E0FB2-4C67-46C2-8B35-60BD74A1EAF8}">
      <formula1>OutputAddresses</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9887-03D0-464D-A1BC-9AAB9AF5900B}">
  <dimension ref="A1:R53"/>
  <sheetViews>
    <sheetView zoomScale="70" zoomScaleNormal="70" workbookViewId="0">
      <selection activeCell="J38" sqref="J38"/>
    </sheetView>
  </sheetViews>
  <sheetFormatPr defaultRowHeight="14.25" x14ac:dyDescent="0.45"/>
  <cols>
    <col min="1" max="1" width="17.33203125" bestFit="1" customWidth="1"/>
    <col min="11" max="11" width="9.06640625" bestFit="1" customWidth="1"/>
    <col min="13" max="13" width="10.33203125" bestFit="1" customWidth="1"/>
    <col min="15" max="15" width="13.9296875" bestFit="1" customWidth="1"/>
    <col min="17" max="17" width="16.73046875" bestFit="1" customWidth="1"/>
    <col min="18" max="18" width="21.46484375" bestFit="1" customWidth="1"/>
  </cols>
  <sheetData>
    <row r="1" spans="1:18" x14ac:dyDescent="0.45">
      <c r="A1" s="1" t="s">
        <v>8</v>
      </c>
      <c r="B1" s="2"/>
      <c r="C1" s="2"/>
      <c r="D1" s="2"/>
      <c r="Q1" s="14" t="s">
        <v>28</v>
      </c>
    </row>
    <row r="2" spans="1:18" x14ac:dyDescent="0.45">
      <c r="A2" s="2"/>
      <c r="B2" s="2"/>
      <c r="C2" s="2"/>
      <c r="D2" s="2"/>
      <c r="Q2" t="s">
        <v>231</v>
      </c>
      <c r="R2" t="s">
        <v>92</v>
      </c>
    </row>
    <row r="3" spans="1:18" x14ac:dyDescent="0.45">
      <c r="A3" s="2" t="s">
        <v>9</v>
      </c>
      <c r="B3" s="2"/>
      <c r="C3" s="82" t="s">
        <v>232</v>
      </c>
      <c r="D3" s="82"/>
      <c r="E3" s="82"/>
      <c r="Q3" t="s">
        <v>233</v>
      </c>
      <c r="R3" t="s">
        <v>234</v>
      </c>
    </row>
    <row r="4" spans="1:18" x14ac:dyDescent="0.45">
      <c r="A4" s="2"/>
      <c r="B4" s="3"/>
      <c r="C4" s="3">
        <v>1</v>
      </c>
      <c r="D4" s="3">
        <v>2</v>
      </c>
      <c r="E4">
        <v>3</v>
      </c>
      <c r="Q4" t="s">
        <v>235</v>
      </c>
      <c r="R4" t="s">
        <v>236</v>
      </c>
    </row>
    <row r="5" spans="1:18" x14ac:dyDescent="0.45">
      <c r="A5" s="83" t="s">
        <v>237</v>
      </c>
      <c r="B5">
        <v>1</v>
      </c>
      <c r="C5" s="8">
        <v>6</v>
      </c>
      <c r="D5" s="8">
        <v>7</v>
      </c>
      <c r="E5" s="8">
        <v>9</v>
      </c>
      <c r="Q5" t="s">
        <v>238</v>
      </c>
      <c r="R5" t="s">
        <v>239</v>
      </c>
    </row>
    <row r="6" spans="1:18" x14ac:dyDescent="0.45">
      <c r="A6" s="83"/>
      <c r="B6">
        <v>2</v>
      </c>
      <c r="C6" s="8">
        <v>5</v>
      </c>
      <c r="D6" s="8">
        <v>8</v>
      </c>
      <c r="E6" s="8">
        <v>11</v>
      </c>
      <c r="Q6" t="s">
        <v>240</v>
      </c>
      <c r="R6" t="s">
        <v>241</v>
      </c>
    </row>
    <row r="7" spans="1:18" x14ac:dyDescent="0.45">
      <c r="A7" s="83"/>
      <c r="B7">
        <v>3</v>
      </c>
      <c r="C7" s="8">
        <v>6</v>
      </c>
      <c r="D7" s="8">
        <v>9</v>
      </c>
      <c r="E7" s="8">
        <v>10</v>
      </c>
      <c r="Q7" t="s">
        <v>242</v>
      </c>
      <c r="R7" t="s">
        <v>243</v>
      </c>
    </row>
    <row r="8" spans="1:18" x14ac:dyDescent="0.45">
      <c r="Q8" t="s">
        <v>244</v>
      </c>
      <c r="R8" t="s">
        <v>245</v>
      </c>
    </row>
    <row r="9" spans="1:18" x14ac:dyDescent="0.45">
      <c r="A9" s="1" t="s">
        <v>103</v>
      </c>
      <c r="B9" t="s">
        <v>246</v>
      </c>
      <c r="Q9" t="s">
        <v>247</v>
      </c>
      <c r="R9" t="s">
        <v>248</v>
      </c>
    </row>
    <row r="10" spans="1:18" x14ac:dyDescent="0.45">
      <c r="A10" s="13"/>
      <c r="Q10" t="s">
        <v>249</v>
      </c>
      <c r="R10" t="s">
        <v>250</v>
      </c>
    </row>
    <row r="11" spans="1:18" x14ac:dyDescent="0.45">
      <c r="A11" s="1" t="s">
        <v>19</v>
      </c>
      <c r="B11" t="s">
        <v>251</v>
      </c>
      <c r="Q11" t="s">
        <v>252</v>
      </c>
      <c r="R11" t="s">
        <v>253</v>
      </c>
    </row>
    <row r="12" spans="1:18" x14ac:dyDescent="0.45">
      <c r="A12" s="13"/>
      <c r="B12" t="s">
        <v>254</v>
      </c>
      <c r="Q12" t="s">
        <v>255</v>
      </c>
      <c r="R12" t="s">
        <v>256</v>
      </c>
    </row>
    <row r="13" spans="1:18" x14ac:dyDescent="0.45">
      <c r="A13" s="13"/>
      <c r="B13" t="s">
        <v>257</v>
      </c>
      <c r="Q13" t="s">
        <v>258</v>
      </c>
      <c r="R13" t="s">
        <v>259</v>
      </c>
    </row>
    <row r="14" spans="1:18" x14ac:dyDescent="0.45">
      <c r="A14" s="13"/>
      <c r="B14" t="s">
        <v>260</v>
      </c>
      <c r="Q14" t="s">
        <v>261</v>
      </c>
      <c r="R14" t="s">
        <v>262</v>
      </c>
    </row>
    <row r="15" spans="1:18" x14ac:dyDescent="0.45">
      <c r="A15" s="13"/>
      <c r="B15" t="s">
        <v>263</v>
      </c>
      <c r="Q15" t="s">
        <v>264</v>
      </c>
      <c r="R15" t="s">
        <v>265</v>
      </c>
    </row>
    <row r="16" spans="1:18" x14ac:dyDescent="0.45">
      <c r="A16" s="13"/>
      <c r="B16" t="s">
        <v>266</v>
      </c>
      <c r="Q16" t="s">
        <v>267</v>
      </c>
      <c r="R16" t="s">
        <v>268</v>
      </c>
    </row>
    <row r="17" spans="1:18" x14ac:dyDescent="0.45">
      <c r="A17" s="13"/>
      <c r="Q17" t="s">
        <v>269</v>
      </c>
      <c r="R17" t="s">
        <v>270</v>
      </c>
    </row>
    <row r="18" spans="1:18" x14ac:dyDescent="0.45">
      <c r="A18" s="13" t="s">
        <v>116</v>
      </c>
      <c r="B18" t="s">
        <v>271</v>
      </c>
      <c r="Q18" t="s">
        <v>272</v>
      </c>
      <c r="R18" t="s">
        <v>273</v>
      </c>
    </row>
    <row r="19" spans="1:18" x14ac:dyDescent="0.45">
      <c r="Q19" t="s">
        <v>274</v>
      </c>
      <c r="R19" t="s">
        <v>275</v>
      </c>
    </row>
    <row r="20" spans="1:18" x14ac:dyDescent="0.45">
      <c r="A20" t="s">
        <v>276</v>
      </c>
      <c r="B20" t="s">
        <v>277</v>
      </c>
      <c r="Q20" t="s">
        <v>278</v>
      </c>
      <c r="R20" t="s">
        <v>279</v>
      </c>
    </row>
    <row r="21" spans="1:18" x14ac:dyDescent="0.45">
      <c r="B21" t="s">
        <v>280</v>
      </c>
      <c r="Q21" t="s">
        <v>281</v>
      </c>
      <c r="R21" t="s">
        <v>282</v>
      </c>
    </row>
    <row r="22" spans="1:18" x14ac:dyDescent="0.45">
      <c r="B22" t="s">
        <v>283</v>
      </c>
      <c r="Q22" t="s">
        <v>284</v>
      </c>
      <c r="R22" t="s">
        <v>285</v>
      </c>
    </row>
    <row r="23" spans="1:18" x14ac:dyDescent="0.45">
      <c r="Q23" t="s">
        <v>286</v>
      </c>
      <c r="R23" t="s">
        <v>287</v>
      </c>
    </row>
    <row r="24" spans="1:18" x14ac:dyDescent="0.45">
      <c r="Q24" t="s">
        <v>288</v>
      </c>
      <c r="R24" t="s">
        <v>289</v>
      </c>
    </row>
    <row r="25" spans="1:18" x14ac:dyDescent="0.45">
      <c r="Q25" t="s">
        <v>290</v>
      </c>
      <c r="R25" t="s">
        <v>291</v>
      </c>
    </row>
    <row r="26" spans="1:18" x14ac:dyDescent="0.45">
      <c r="K26" s="61"/>
      <c r="Q26" t="s">
        <v>292</v>
      </c>
      <c r="R26" t="s">
        <v>293</v>
      </c>
    </row>
    <row r="27" spans="1:18" x14ac:dyDescent="0.45">
      <c r="A27" s="62" t="s">
        <v>294</v>
      </c>
      <c r="B27" s="43" t="s">
        <v>232</v>
      </c>
      <c r="C27" s="63">
        <v>1</v>
      </c>
      <c r="D27" s="64">
        <v>1</v>
      </c>
      <c r="E27" s="63">
        <v>2</v>
      </c>
      <c r="F27" s="64">
        <v>2</v>
      </c>
      <c r="G27" s="63">
        <v>3</v>
      </c>
      <c r="H27" s="63">
        <v>3</v>
      </c>
      <c r="I27" s="64">
        <v>3</v>
      </c>
      <c r="Q27" t="s">
        <v>295</v>
      </c>
      <c r="R27" t="s">
        <v>296</v>
      </c>
    </row>
    <row r="28" spans="1:18" x14ac:dyDescent="0.45">
      <c r="A28" s="65"/>
      <c r="C28" s="77" t="s">
        <v>297</v>
      </c>
      <c r="D28" s="78"/>
      <c r="E28" s="77" t="s">
        <v>297</v>
      </c>
      <c r="F28" s="78"/>
      <c r="G28" s="79" t="s">
        <v>297</v>
      </c>
      <c r="H28" s="79"/>
      <c r="I28" s="78"/>
      <c r="M28" s="14" t="s">
        <v>298</v>
      </c>
      <c r="Q28" t="s">
        <v>299</v>
      </c>
      <c r="R28" t="s">
        <v>300</v>
      </c>
    </row>
    <row r="29" spans="1:18" ht="42.75" x14ac:dyDescent="0.45">
      <c r="A29" s="66" t="s">
        <v>301</v>
      </c>
      <c r="B29" s="18" t="s">
        <v>302</v>
      </c>
      <c r="C29" s="59">
        <v>1</v>
      </c>
      <c r="D29" s="60">
        <v>2</v>
      </c>
      <c r="E29" s="59">
        <v>1</v>
      </c>
      <c r="F29" s="60">
        <v>2</v>
      </c>
      <c r="G29" s="20">
        <v>1</v>
      </c>
      <c r="H29" s="20">
        <v>2</v>
      </c>
      <c r="I29" s="60">
        <v>3</v>
      </c>
      <c r="M29" s="54" t="s">
        <v>303</v>
      </c>
      <c r="N29" s="55" t="s">
        <v>304</v>
      </c>
      <c r="O29" s="56" t="s">
        <v>305</v>
      </c>
      <c r="Q29" t="s">
        <v>108</v>
      </c>
      <c r="R29" t="s">
        <v>306</v>
      </c>
    </row>
    <row r="30" spans="1:18" x14ac:dyDescent="0.45">
      <c r="A30" s="54">
        <v>1</v>
      </c>
      <c r="B30" s="56" t="s">
        <v>233</v>
      </c>
      <c r="C30" s="54">
        <f>Co_e1f1*INDEX(timematrix,MATCH($A$30,company1,0),MATCH(C27,firelocation,0))</f>
        <v>36</v>
      </c>
      <c r="D30" s="56">
        <f>Co_e2f1*INDEX(timematrix,MATCH($A$30,company1,0),MATCH(D27,firelocation,0))</f>
        <v>24</v>
      </c>
      <c r="E30" s="55">
        <f>Co_e1f2*INDEX(timematrix,MATCH($A$30,company1,0),MATCH(E27,firelocation,0))</f>
        <v>49</v>
      </c>
      <c r="F30" s="56">
        <f>Co_e2f2*INDEX(timematrix,MATCH($A$30,company1,0),MATCH(F27,firelocation,0))</f>
        <v>21</v>
      </c>
      <c r="G30" s="55">
        <f>Co_e1f3*INDEX(timematrix,MATCH($A$30,company1,0),MATCH(G27,firelocation,0))</f>
        <v>81</v>
      </c>
      <c r="H30" s="55">
        <f>Co_e2f3*INDEX(timematrix,MATCH($A$30,company1,0),MATCH(H27,firelocation,0))</f>
        <v>72</v>
      </c>
      <c r="I30" s="56">
        <f>Co_e3f3*INDEX(timematrix,MATCH($A$30,company1,0),MATCH(I27,firelocation,0))</f>
        <v>45</v>
      </c>
      <c r="M30" s="57">
        <v>1</v>
      </c>
      <c r="N30">
        <v>1</v>
      </c>
      <c r="O30" s="9">
        <v>6</v>
      </c>
      <c r="Q30" t="s">
        <v>307</v>
      </c>
      <c r="R30" t="s">
        <v>308</v>
      </c>
    </row>
    <row r="31" spans="1:18" x14ac:dyDescent="0.45">
      <c r="A31" s="57">
        <v>1</v>
      </c>
      <c r="B31" s="58" t="s">
        <v>238</v>
      </c>
      <c r="C31" s="57">
        <f>Co_e1f1*INDEX(timematrix,MATCH($A$31,company1,0),MATCH(C27,firelocation,0))</f>
        <v>36</v>
      </c>
      <c r="D31" s="58">
        <f>Co_e2f1*INDEX(timematrix,MATCH($A$31,company1,0),MATCH(D27,firelocation,0))</f>
        <v>24</v>
      </c>
      <c r="E31">
        <f>Co_e1f2*INDEX(timematrix,MATCH($A$31,company1,0),MATCH(E27,firelocation,0))</f>
        <v>49</v>
      </c>
      <c r="F31" s="58">
        <f>Co_e2f2*INDEX(timematrix,MATCH($A$31,company1,0),MATCH(F27,firelocation,0))</f>
        <v>21</v>
      </c>
      <c r="G31">
        <f>Co_e1f3*INDEX(timematrix,MATCH($A$31,company1,0),MATCH(G27,firelocation,0))</f>
        <v>81</v>
      </c>
      <c r="H31">
        <f>Co_e2f3*INDEX(timematrix,MATCH($A$31,company1,0),MATCH(H27,firelocation,0))</f>
        <v>72</v>
      </c>
      <c r="I31" s="58">
        <f>Co_e3f3*INDEX(timematrix,MATCH($A$31,company1,0),MATCH(I27,firelocation,0))</f>
        <v>45</v>
      </c>
      <c r="M31" s="57">
        <v>2</v>
      </c>
      <c r="N31">
        <v>1</v>
      </c>
      <c r="O31" s="9">
        <v>4</v>
      </c>
      <c r="Q31" t="s">
        <v>297</v>
      </c>
      <c r="R31" t="s">
        <v>289</v>
      </c>
    </row>
    <row r="32" spans="1:18" x14ac:dyDescent="0.45">
      <c r="A32" s="57">
        <v>1</v>
      </c>
      <c r="B32" s="58" t="s">
        <v>309</v>
      </c>
      <c r="C32" s="57">
        <f>Co_e1f1*INDEX(timematrix,MATCH($A$32,company1,0),MATCH(C27,firelocation,0))</f>
        <v>36</v>
      </c>
      <c r="D32" s="58">
        <f>Co_e2f1*INDEX(timematrix,MATCH($A$32,company1,0),MATCH(D27,firelocation,0))</f>
        <v>24</v>
      </c>
      <c r="E32">
        <f>Co_e1f2*INDEX(timematrix,MATCH($A$32,company1,0),MATCH(E27,firelocation,0))</f>
        <v>49</v>
      </c>
      <c r="F32" s="58">
        <f>Co_e2f2*INDEX(timematrix,MATCH($A$32,company1,0),MATCH(F27,firelocation,0))</f>
        <v>21</v>
      </c>
      <c r="G32">
        <f>Co_e1f3*INDEX(timematrix,MATCH($A$32,company1,0),MATCH(G27,firelocation,0))</f>
        <v>81</v>
      </c>
      <c r="H32">
        <f>Co_e2f3*INDEX(timematrix,MATCH($A$32,company1,0),MATCH(H27,firelocation,0))</f>
        <v>72</v>
      </c>
      <c r="I32" s="58">
        <f>Co_e3f3*INDEX(timematrix,MATCH($A$32,company1,0),MATCH(I27,firelocation,0))</f>
        <v>45</v>
      </c>
      <c r="M32" s="57">
        <v>1</v>
      </c>
      <c r="N32">
        <v>2</v>
      </c>
      <c r="O32" s="9">
        <v>7</v>
      </c>
      <c r="Q32" t="s">
        <v>303</v>
      </c>
      <c r="R32" t="s">
        <v>310</v>
      </c>
    </row>
    <row r="33" spans="1:18" x14ac:dyDescent="0.45">
      <c r="A33" s="57">
        <v>2</v>
      </c>
      <c r="B33" s="58" t="s">
        <v>299</v>
      </c>
      <c r="C33" s="57">
        <f>Co_e1f1*INDEX(timematrix,MATCH($A$33,company1,0),MATCH(C27,firelocation,0))</f>
        <v>30</v>
      </c>
      <c r="D33" s="58">
        <f>Co_e2f1*INDEX(timematrix,MATCH($A$33,company1,0),MATCH(D27,firelocation,0))</f>
        <v>20</v>
      </c>
      <c r="E33">
        <f>Co_e1f2*INDEX(timematrix,MATCH($A$33,company1,0),MATCH(E27,firelocation,0))</f>
        <v>56</v>
      </c>
      <c r="F33" s="58">
        <f>Co_e2f2*INDEX(timematrix,MATCH($A$33,company1,0),MATCH(F27,firelocation,0))</f>
        <v>24</v>
      </c>
      <c r="G33">
        <f>Co_e1f3*INDEX(timematrix,MATCH($A$33,company1,0),MATCH(G27,firelocation,0))</f>
        <v>99</v>
      </c>
      <c r="H33">
        <f>Co_e2f3*INDEX(timematrix,MATCH($A$33,company1,0),MATCH(H27,firelocation,0))</f>
        <v>88</v>
      </c>
      <c r="I33" s="58">
        <f>Co_e3f3*INDEX(timematrix,MATCH($A$33,company1,0),MATCH(I27,firelocation,0))</f>
        <v>55</v>
      </c>
      <c r="M33" s="57">
        <v>2</v>
      </c>
      <c r="N33">
        <v>2</v>
      </c>
      <c r="O33" s="9">
        <v>3</v>
      </c>
      <c r="Q33" t="s">
        <v>311</v>
      </c>
      <c r="R33" t="s">
        <v>312</v>
      </c>
    </row>
    <row r="34" spans="1:18" x14ac:dyDescent="0.45">
      <c r="A34" s="57">
        <v>2</v>
      </c>
      <c r="B34" s="58" t="s">
        <v>307</v>
      </c>
      <c r="C34" s="57">
        <f>Co_e1f1*INDEX(timematrix,MATCH($A$34,company1,0),MATCH(C27,firelocation,0))</f>
        <v>30</v>
      </c>
      <c r="D34" s="58">
        <f>Co_e2f1*INDEX(timematrix,MATCH($A$34,company1,0),MATCH(D27,firelocation,0))</f>
        <v>20</v>
      </c>
      <c r="E34">
        <f>Co_e1f2*INDEX(timematrix,MATCH($A$34,company1,0),MATCH(E27,firelocation,0))</f>
        <v>56</v>
      </c>
      <c r="F34" s="58">
        <f>Co_e2f2*INDEX(timematrix,MATCH($A$34,company1,0),MATCH(F27,firelocation,0))</f>
        <v>24</v>
      </c>
      <c r="G34">
        <f>Co_e1f3*INDEX(timematrix,MATCH($A$34,company1,0),MATCH(G27,firelocation,0))</f>
        <v>99</v>
      </c>
      <c r="H34">
        <f>Co_e2f3*INDEX(timematrix,MATCH($A$34,company1,0),MATCH(H27,firelocation,0))</f>
        <v>88</v>
      </c>
      <c r="I34" s="58">
        <f>Co_e3f3*INDEX(timematrix,MATCH($A$34,company1,0),MATCH(I27,firelocation,0))</f>
        <v>55</v>
      </c>
      <c r="M34" s="57">
        <v>1</v>
      </c>
      <c r="N34">
        <v>3</v>
      </c>
      <c r="O34" s="9">
        <v>9</v>
      </c>
      <c r="Q34" t="s">
        <v>313</v>
      </c>
      <c r="R34" t="s">
        <v>314</v>
      </c>
    </row>
    <row r="35" spans="1:18" x14ac:dyDescent="0.45">
      <c r="A35" s="57">
        <v>3</v>
      </c>
      <c r="B35" s="58" t="s">
        <v>311</v>
      </c>
      <c r="C35" s="57">
        <f>Co_e1f1*INDEX(timematrix,MATCH($A$35,company1,0),MATCH(C27,firelocation,0))</f>
        <v>36</v>
      </c>
      <c r="D35" s="58">
        <f>Co_e2f1*INDEX(timematrix,MATCH($A$35,company1,0),MATCH(D27,firelocation,0))</f>
        <v>24</v>
      </c>
      <c r="E35">
        <f>Co_e1f2*INDEX(timematrix,MATCH($A$35,company1,0),MATCH(E27,firelocation,0))</f>
        <v>63</v>
      </c>
      <c r="F35" s="58">
        <f>Co_e2f2*INDEX(timematrix,MATCH($A$35,company1,0),MATCH(F27,firelocation,0))</f>
        <v>27</v>
      </c>
      <c r="G35">
        <f>Co_e1f3*INDEX(timematrix,MATCH($A$35,company1,0),MATCH(G27,firelocation,0))</f>
        <v>90</v>
      </c>
      <c r="H35">
        <f>Co_e2f3*INDEX(timematrix,MATCH($A$35,company1,0),MATCH(H27,firelocation,0))</f>
        <v>80</v>
      </c>
      <c r="I35" s="58">
        <f>Co_e3f3*INDEX(timematrix,MATCH($A$35,company1,0),MATCH(I27,firelocation,0))</f>
        <v>50</v>
      </c>
      <c r="M35" s="57">
        <v>2</v>
      </c>
      <c r="N35">
        <v>3</v>
      </c>
      <c r="O35" s="9">
        <v>8</v>
      </c>
      <c r="Q35" t="s">
        <v>315</v>
      </c>
      <c r="R35" t="s">
        <v>316</v>
      </c>
    </row>
    <row r="36" spans="1:18" x14ac:dyDescent="0.45">
      <c r="A36" s="59">
        <v>3</v>
      </c>
      <c r="B36" s="60" t="s">
        <v>317</v>
      </c>
      <c r="C36" s="59">
        <f>Co_e1f1*INDEX(timematrix,MATCH($A$36,company1,0),MATCH(C27,firelocation,0))</f>
        <v>36</v>
      </c>
      <c r="D36" s="60">
        <f>Co_e2f1*INDEX(timematrix,MATCH($A$36,company1,0),MATCH(D27,firelocation,0))</f>
        <v>24</v>
      </c>
      <c r="E36" s="20">
        <f>Co_e1f2*INDEX(timematrix,MATCH($A$36,company1,0),MATCH(E27,firelocation,0))</f>
        <v>63</v>
      </c>
      <c r="F36" s="60">
        <f>Co_e2f2*INDEX(timematrix,MATCH($A$36,company1,0),MATCH(F27,firelocation,0))</f>
        <v>27</v>
      </c>
      <c r="G36" s="20">
        <f>Co_e1f3*INDEX(timematrix,MATCH($A$36,company1,0),MATCH(G27,firelocation,0))</f>
        <v>90</v>
      </c>
      <c r="H36" s="20">
        <f>Co_e2f3*INDEX(timematrix,MATCH($A$36,company1,0),MATCH(H27,firelocation,0))</f>
        <v>80</v>
      </c>
      <c r="I36" s="60">
        <f>Co_e3f3*INDEX(timematrix,MATCH($A$36,company1,0),MATCH(I27,firelocation,0))</f>
        <v>50</v>
      </c>
      <c r="M36" s="59">
        <v>3</v>
      </c>
      <c r="N36" s="20">
        <v>3</v>
      </c>
      <c r="O36" s="12">
        <v>5</v>
      </c>
      <c r="Q36" t="s">
        <v>318</v>
      </c>
      <c r="R36" t="s">
        <v>319</v>
      </c>
    </row>
    <row r="37" spans="1:18" x14ac:dyDescent="0.45">
      <c r="Q37" t="s">
        <v>320</v>
      </c>
      <c r="R37" t="s">
        <v>321</v>
      </c>
    </row>
    <row r="38" spans="1:18" ht="42.75" x14ac:dyDescent="0.45">
      <c r="K38" s="18" t="s">
        <v>322</v>
      </c>
      <c r="L38" s="67">
        <f>SUMPRODUCT(cost_matrix,assignment_matrix)</f>
        <v>329</v>
      </c>
      <c r="Q38" t="s">
        <v>323</v>
      </c>
      <c r="R38" t="s">
        <v>324</v>
      </c>
    </row>
    <row r="39" spans="1:18" x14ac:dyDescent="0.45">
      <c r="Q39" t="s">
        <v>325</v>
      </c>
      <c r="R39" t="s">
        <v>326</v>
      </c>
    </row>
    <row r="40" spans="1:18" x14ac:dyDescent="0.45">
      <c r="Q40" t="s">
        <v>327</v>
      </c>
      <c r="R40" t="s">
        <v>328</v>
      </c>
    </row>
    <row r="41" spans="1:18" x14ac:dyDescent="0.45">
      <c r="A41" s="84" t="s">
        <v>329</v>
      </c>
      <c r="B41" s="43" t="s">
        <v>232</v>
      </c>
      <c r="C41" s="87">
        <v>1</v>
      </c>
      <c r="D41" s="87"/>
      <c r="E41" s="87">
        <v>2</v>
      </c>
      <c r="F41" s="87"/>
      <c r="G41" s="87">
        <v>3</v>
      </c>
      <c r="H41" s="87"/>
      <c r="I41" s="88"/>
      <c r="Q41" t="s">
        <v>232</v>
      </c>
      <c r="R41" t="s">
        <v>289</v>
      </c>
    </row>
    <row r="42" spans="1:18" x14ac:dyDescent="0.45">
      <c r="A42" s="85"/>
      <c r="C42" s="77" t="s">
        <v>297</v>
      </c>
      <c r="D42" s="78"/>
      <c r="E42" s="77" t="s">
        <v>297</v>
      </c>
      <c r="F42" s="78"/>
      <c r="G42" s="79" t="s">
        <v>297</v>
      </c>
      <c r="H42" s="79"/>
      <c r="I42" s="78"/>
      <c r="Q42" t="s">
        <v>330</v>
      </c>
      <c r="R42" t="s">
        <v>331</v>
      </c>
    </row>
    <row r="43" spans="1:18" x14ac:dyDescent="0.45">
      <c r="A43" s="86"/>
      <c r="C43" s="59">
        <v>1</v>
      </c>
      <c r="D43" s="60">
        <v>2</v>
      </c>
      <c r="E43" s="59">
        <v>1</v>
      </c>
      <c r="F43" s="60">
        <v>2</v>
      </c>
      <c r="G43" s="20">
        <v>1</v>
      </c>
      <c r="H43" s="20">
        <v>2</v>
      </c>
      <c r="I43" s="60">
        <v>3</v>
      </c>
      <c r="J43" t="s">
        <v>332</v>
      </c>
      <c r="L43" t="s">
        <v>333</v>
      </c>
      <c r="Q43" t="s">
        <v>334</v>
      </c>
      <c r="R43" t="s">
        <v>335</v>
      </c>
    </row>
    <row r="44" spans="1:18" x14ac:dyDescent="0.45">
      <c r="A44" s="77" t="s">
        <v>10</v>
      </c>
      <c r="B44" s="56" t="s">
        <v>233</v>
      </c>
      <c r="C44" s="16">
        <v>0</v>
      </c>
      <c r="D44" s="16">
        <v>0</v>
      </c>
      <c r="E44" s="16">
        <v>0</v>
      </c>
      <c r="F44" s="16">
        <v>0</v>
      </c>
      <c r="G44" s="16">
        <v>0</v>
      </c>
      <c r="H44" s="16">
        <v>1</v>
      </c>
      <c r="I44" s="16">
        <v>0</v>
      </c>
      <c r="J44">
        <f>SUM(a)</f>
        <v>1</v>
      </c>
      <c r="K44" t="s">
        <v>23</v>
      </c>
      <c r="L44" s="8">
        <v>1</v>
      </c>
      <c r="Q44" t="s">
        <v>336</v>
      </c>
      <c r="R44" t="s">
        <v>289</v>
      </c>
    </row>
    <row r="45" spans="1:18" x14ac:dyDescent="0.45">
      <c r="A45" s="80"/>
      <c r="B45" s="58" t="s">
        <v>238</v>
      </c>
      <c r="C45" s="16">
        <v>0</v>
      </c>
      <c r="D45" s="16">
        <v>0</v>
      </c>
      <c r="E45" s="16">
        <v>0</v>
      </c>
      <c r="F45" s="16">
        <v>0</v>
      </c>
      <c r="G45" s="16">
        <v>1</v>
      </c>
      <c r="H45" s="16">
        <v>0</v>
      </c>
      <c r="I45" s="16">
        <v>0</v>
      </c>
      <c r="J45">
        <f>SUM(b)</f>
        <v>1</v>
      </c>
      <c r="K45" t="s">
        <v>23</v>
      </c>
      <c r="L45" s="8">
        <v>1</v>
      </c>
      <c r="Q45" t="s">
        <v>317</v>
      </c>
      <c r="R45" t="s">
        <v>337</v>
      </c>
    </row>
    <row r="46" spans="1:18" x14ac:dyDescent="0.45">
      <c r="A46" s="80"/>
      <c r="B46" s="58" t="s">
        <v>309</v>
      </c>
      <c r="C46" s="16">
        <v>0</v>
      </c>
      <c r="D46" s="16">
        <v>0</v>
      </c>
      <c r="E46" s="16">
        <v>1</v>
      </c>
      <c r="F46" s="16">
        <v>0</v>
      </c>
      <c r="G46" s="16">
        <v>0</v>
      </c>
      <c r="H46" s="16">
        <v>0</v>
      </c>
      <c r="I46" s="16">
        <v>0</v>
      </c>
      <c r="J46">
        <f>SUM(c_)</f>
        <v>1</v>
      </c>
      <c r="K46" t="s">
        <v>23</v>
      </c>
      <c r="L46" s="8">
        <v>1</v>
      </c>
      <c r="Q46" t="s">
        <v>333</v>
      </c>
      <c r="R46" t="s">
        <v>338</v>
      </c>
    </row>
    <row r="47" spans="1:18" x14ac:dyDescent="0.45">
      <c r="A47" s="80" t="s">
        <v>11</v>
      </c>
      <c r="B47" s="58" t="s">
        <v>299</v>
      </c>
      <c r="C47" s="16">
        <v>1</v>
      </c>
      <c r="D47" s="16">
        <v>0</v>
      </c>
      <c r="E47" s="16">
        <v>0</v>
      </c>
      <c r="F47" s="16">
        <v>0</v>
      </c>
      <c r="G47" s="16">
        <v>0</v>
      </c>
      <c r="H47" s="16">
        <v>0</v>
      </c>
      <c r="I47" s="16">
        <v>0</v>
      </c>
      <c r="J47">
        <f>SUM(d)</f>
        <v>1</v>
      </c>
      <c r="K47" t="s">
        <v>23</v>
      </c>
      <c r="L47" s="8">
        <v>1</v>
      </c>
      <c r="Q47" t="s">
        <v>339</v>
      </c>
      <c r="R47" t="s">
        <v>340</v>
      </c>
    </row>
    <row r="48" spans="1:18" x14ac:dyDescent="0.45">
      <c r="A48" s="80"/>
      <c r="B48" s="58" t="s">
        <v>307</v>
      </c>
      <c r="C48" s="16">
        <v>0</v>
      </c>
      <c r="D48" s="16">
        <v>1</v>
      </c>
      <c r="E48" s="16">
        <v>0</v>
      </c>
      <c r="F48" s="16">
        <v>0</v>
      </c>
      <c r="G48" s="16">
        <v>0</v>
      </c>
      <c r="H48" s="16">
        <v>0</v>
      </c>
      <c r="I48" s="16">
        <v>0</v>
      </c>
      <c r="J48">
        <f>SUM(e)</f>
        <v>1</v>
      </c>
      <c r="K48" t="s">
        <v>23</v>
      </c>
      <c r="L48" s="8">
        <v>1</v>
      </c>
      <c r="Q48" t="s">
        <v>341</v>
      </c>
      <c r="R48" t="s">
        <v>342</v>
      </c>
    </row>
    <row r="49" spans="1:18" x14ac:dyDescent="0.45">
      <c r="A49" s="80" t="s">
        <v>12</v>
      </c>
      <c r="B49" s="58" t="s">
        <v>311</v>
      </c>
      <c r="C49" s="16">
        <v>0</v>
      </c>
      <c r="D49" s="16">
        <v>0</v>
      </c>
      <c r="E49" s="16">
        <v>0</v>
      </c>
      <c r="F49" s="16">
        <v>0</v>
      </c>
      <c r="G49" s="16">
        <v>0</v>
      </c>
      <c r="H49" s="16">
        <v>0</v>
      </c>
      <c r="I49" s="16">
        <v>1</v>
      </c>
      <c r="J49">
        <f>SUM(f)</f>
        <v>1</v>
      </c>
      <c r="K49" t="s">
        <v>23</v>
      </c>
      <c r="L49" s="8">
        <v>1</v>
      </c>
      <c r="Q49" t="s">
        <v>332</v>
      </c>
      <c r="R49" t="s">
        <v>343</v>
      </c>
    </row>
    <row r="50" spans="1:18" x14ac:dyDescent="0.45">
      <c r="A50" s="81"/>
      <c r="B50" s="60" t="s">
        <v>317</v>
      </c>
      <c r="C50" s="16">
        <v>0</v>
      </c>
      <c r="D50" s="16">
        <v>0</v>
      </c>
      <c r="E50" s="16">
        <v>0</v>
      </c>
      <c r="F50" s="16">
        <v>1</v>
      </c>
      <c r="G50" s="16">
        <v>0</v>
      </c>
      <c r="H50" s="16">
        <v>0</v>
      </c>
      <c r="I50" s="16">
        <v>0</v>
      </c>
      <c r="J50">
        <f>SUM(g)</f>
        <v>1</v>
      </c>
      <c r="K50" t="s">
        <v>23</v>
      </c>
      <c r="L50" s="8">
        <v>1</v>
      </c>
    </row>
    <row r="51" spans="1:18" x14ac:dyDescent="0.45">
      <c r="B51" s="43" t="s">
        <v>341</v>
      </c>
      <c r="C51">
        <f>SUM(fir1e1)</f>
        <v>1</v>
      </c>
      <c r="D51">
        <f>SUM(fir1e2)</f>
        <v>1</v>
      </c>
      <c r="E51">
        <f>SUM(fir2e1)</f>
        <v>1</v>
      </c>
      <c r="F51">
        <f>SUM(fir2e2)</f>
        <v>1</v>
      </c>
      <c r="G51">
        <f>SUM(fir1e3)</f>
        <v>1</v>
      </c>
      <c r="H51">
        <f>SUM(fir2e3)</f>
        <v>1</v>
      </c>
      <c r="I51">
        <f>SUM(fir3e3)</f>
        <v>1</v>
      </c>
    </row>
    <row r="52" spans="1:18" x14ac:dyDescent="0.45">
      <c r="C52" t="s">
        <v>23</v>
      </c>
      <c r="D52" t="s">
        <v>23</v>
      </c>
      <c r="E52" t="s">
        <v>23</v>
      </c>
      <c r="F52" t="s">
        <v>23</v>
      </c>
      <c r="G52" t="s">
        <v>23</v>
      </c>
      <c r="H52" t="s">
        <v>23</v>
      </c>
      <c r="I52" t="s">
        <v>23</v>
      </c>
    </row>
    <row r="53" spans="1:18" x14ac:dyDescent="0.45">
      <c r="B53" t="s">
        <v>108</v>
      </c>
      <c r="C53" s="8">
        <v>1</v>
      </c>
      <c r="D53" s="8">
        <v>1</v>
      </c>
      <c r="E53" s="8">
        <v>1</v>
      </c>
      <c r="F53" s="8">
        <v>1</v>
      </c>
      <c r="G53" s="8">
        <v>1</v>
      </c>
      <c r="H53" s="8">
        <v>1</v>
      </c>
      <c r="I53" s="8">
        <v>1</v>
      </c>
    </row>
  </sheetData>
  <mergeCells count="15">
    <mergeCell ref="C3:E3"/>
    <mergeCell ref="A5:A7"/>
    <mergeCell ref="C28:D28"/>
    <mergeCell ref="E28:F28"/>
    <mergeCell ref="G28:I28"/>
    <mergeCell ref="E42:F42"/>
    <mergeCell ref="G42:I42"/>
    <mergeCell ref="A44:A46"/>
    <mergeCell ref="A47:A48"/>
    <mergeCell ref="A49:A50"/>
    <mergeCell ref="A41:A43"/>
    <mergeCell ref="C41:D41"/>
    <mergeCell ref="E41:F41"/>
    <mergeCell ref="G41:I41"/>
    <mergeCell ref="C42:D42"/>
  </mergeCells>
  <pageMargins left="0.7" right="0.7" top="0.75" bottom="0.75" header="0.3" footer="0.3"/>
  <pageSetup paperSize="9" orientation="portrait" horizontalDpi="1200" verticalDpi="1200"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044F-D1C9-4D3E-A313-E2D0B73F118C}">
  <dimension ref="A1:AZ11"/>
  <sheetViews>
    <sheetView topLeftCell="G1" workbookViewId="0">
      <selection activeCell="J17" sqref="J17"/>
    </sheetView>
  </sheetViews>
  <sheetFormatPr defaultRowHeight="14.25" x14ac:dyDescent="0.45"/>
  <cols>
    <col min="1" max="1" width="20" bestFit="1" customWidth="1"/>
  </cols>
  <sheetData>
    <row r="1" spans="1:52" x14ac:dyDescent="0.45">
      <c r="A1" s="13" t="s">
        <v>344</v>
      </c>
      <c r="K1" s="24" t="str">
        <f>CONCATENATE("Sensitivity of ",$K$4," to ","Time taken for engine 3 to reach fire3")</f>
        <v>Sensitivity of Total__Dispatch__Cost to Time taken for engine 3 to reach fire3</v>
      </c>
      <c r="O1" s="24" t="str">
        <f>CONCATENATE("Sensitivity of ",$O$4," to ","Time taken for engine 2 to reach fire 2")</f>
        <v>Sensitivity of Total__Dispatch__Cost to Time taken for engine 2 to reach fire 2</v>
      </c>
    </row>
    <row r="2" spans="1:52" x14ac:dyDescent="0.45">
      <c r="K2" t="s">
        <v>345</v>
      </c>
      <c r="O2" t="s">
        <v>346</v>
      </c>
      <c r="AZ2" t="s">
        <v>347</v>
      </c>
    </row>
    <row r="3" spans="1:52" x14ac:dyDescent="0.45">
      <c r="A3" t="s">
        <v>348</v>
      </c>
      <c r="K3" t="s">
        <v>228</v>
      </c>
      <c r="L3" t="s">
        <v>349</v>
      </c>
      <c r="O3" t="s">
        <v>228</v>
      </c>
      <c r="P3" t="s">
        <v>350</v>
      </c>
    </row>
    <row r="4" spans="1:52" ht="105.75" x14ac:dyDescent="0.45">
      <c r="A4" s="52" t="s">
        <v>347</v>
      </c>
      <c r="B4">
        <v>3</v>
      </c>
      <c r="C4">
        <v>4</v>
      </c>
      <c r="D4">
        <v>5</v>
      </c>
      <c r="E4">
        <v>6</v>
      </c>
      <c r="F4">
        <v>7</v>
      </c>
      <c r="G4">
        <v>8</v>
      </c>
      <c r="H4">
        <v>9</v>
      </c>
      <c r="J4" s="24">
        <f>MATCH($K$4,OutputAddresses,0)</f>
        <v>1</v>
      </c>
      <c r="K4" s="23" t="s">
        <v>347</v>
      </c>
      <c r="L4" s="53">
        <v>2</v>
      </c>
      <c r="M4" s="24">
        <f>MATCH($L$4,InputValues1,0)</f>
        <v>1</v>
      </c>
      <c r="N4" s="24">
        <f>MATCH($O$4,OutputAddresses,0)</f>
        <v>1</v>
      </c>
      <c r="O4" s="23" t="s">
        <v>347</v>
      </c>
      <c r="P4" s="53">
        <v>3</v>
      </c>
      <c r="Q4" s="24">
        <f>MATCH($P$4,InputValues2,0)</f>
        <v>1</v>
      </c>
    </row>
    <row r="5" spans="1:52" x14ac:dyDescent="0.45">
      <c r="A5">
        <v>2</v>
      </c>
      <c r="B5" s="68">
        <v>300</v>
      </c>
      <c r="C5" s="69">
        <v>310</v>
      </c>
      <c r="D5" s="69">
        <v>320</v>
      </c>
      <c r="E5" s="69">
        <v>330</v>
      </c>
      <c r="F5" s="69">
        <v>340</v>
      </c>
      <c r="G5" s="69">
        <v>350</v>
      </c>
      <c r="H5" s="70">
        <v>359</v>
      </c>
      <c r="J5" s="24" t="str">
        <f>"OutputValues_"&amp;$J$4</f>
        <v>OutputValues_1</v>
      </c>
      <c r="K5">
        <f ca="1">INDEX(INDIRECT($J$5),$M$4,1)</f>
        <v>300</v>
      </c>
      <c r="N5" s="24" t="str">
        <f>"OutputValues_"&amp;$N$4</f>
        <v>OutputValues_1</v>
      </c>
      <c r="O5">
        <f ca="1">INDEX(INDIRECT($N$5),1,$Q$4)</f>
        <v>300</v>
      </c>
    </row>
    <row r="6" spans="1:52" x14ac:dyDescent="0.45">
      <c r="A6">
        <v>3</v>
      </c>
      <c r="B6" s="71">
        <v>309</v>
      </c>
      <c r="C6" s="72">
        <v>319</v>
      </c>
      <c r="D6" s="72">
        <v>329</v>
      </c>
      <c r="E6" s="72">
        <v>339</v>
      </c>
      <c r="F6" s="72">
        <v>349</v>
      </c>
      <c r="G6" s="72">
        <v>359</v>
      </c>
      <c r="H6" s="73">
        <v>368</v>
      </c>
      <c r="K6">
        <f ca="1">INDEX(INDIRECT($J$5),$M$4,2)</f>
        <v>310</v>
      </c>
      <c r="O6">
        <f ca="1">INDEX(INDIRECT($N$5),2,$Q$4)</f>
        <v>309</v>
      </c>
    </row>
    <row r="7" spans="1:52" x14ac:dyDescent="0.45">
      <c r="A7">
        <v>4</v>
      </c>
      <c r="B7" s="71">
        <v>318</v>
      </c>
      <c r="C7" s="72">
        <v>328</v>
      </c>
      <c r="D7" s="72">
        <v>338</v>
      </c>
      <c r="E7" s="72">
        <v>348</v>
      </c>
      <c r="F7" s="72">
        <v>358</v>
      </c>
      <c r="G7" s="72">
        <v>368</v>
      </c>
      <c r="H7" s="73">
        <v>377</v>
      </c>
      <c r="K7">
        <f ca="1">INDEX(INDIRECT($J$5),$M$4,3)</f>
        <v>320</v>
      </c>
      <c r="O7">
        <f ca="1">INDEX(INDIRECT($N$5),3,$Q$4)</f>
        <v>318</v>
      </c>
    </row>
    <row r="8" spans="1:52" x14ac:dyDescent="0.45">
      <c r="A8">
        <v>5</v>
      </c>
      <c r="B8" s="71">
        <v>325</v>
      </c>
      <c r="C8" s="72">
        <v>335</v>
      </c>
      <c r="D8" s="72">
        <v>345</v>
      </c>
      <c r="E8" s="72">
        <v>355</v>
      </c>
      <c r="F8" s="72">
        <v>365</v>
      </c>
      <c r="G8" s="72">
        <v>375</v>
      </c>
      <c r="H8" s="73">
        <v>385</v>
      </c>
      <c r="K8">
        <f ca="1">INDEX(INDIRECT($J$5),$M$4,4)</f>
        <v>330</v>
      </c>
      <c r="O8">
        <f ca="1">INDEX(INDIRECT($N$5),4,$Q$4)</f>
        <v>325</v>
      </c>
    </row>
    <row r="9" spans="1:52" x14ac:dyDescent="0.45">
      <c r="A9">
        <v>6</v>
      </c>
      <c r="B9" s="71">
        <v>332</v>
      </c>
      <c r="C9" s="72">
        <v>342</v>
      </c>
      <c r="D9" s="72">
        <v>352</v>
      </c>
      <c r="E9" s="72">
        <v>362</v>
      </c>
      <c r="F9" s="72">
        <v>372</v>
      </c>
      <c r="G9" s="72">
        <v>382</v>
      </c>
      <c r="H9" s="73">
        <v>392</v>
      </c>
      <c r="K9">
        <f ca="1">INDEX(INDIRECT($J$5),$M$4,5)</f>
        <v>340</v>
      </c>
      <c r="O9">
        <f ca="1">INDEX(INDIRECT($N$5),5,$Q$4)</f>
        <v>332</v>
      </c>
    </row>
    <row r="10" spans="1:52" x14ac:dyDescent="0.45">
      <c r="A10">
        <v>7</v>
      </c>
      <c r="B10" s="71">
        <v>339</v>
      </c>
      <c r="C10" s="72">
        <v>349</v>
      </c>
      <c r="D10" s="72">
        <v>359</v>
      </c>
      <c r="E10" s="72">
        <v>369</v>
      </c>
      <c r="F10" s="72">
        <v>379</v>
      </c>
      <c r="G10" s="72">
        <v>389</v>
      </c>
      <c r="H10" s="73">
        <v>399</v>
      </c>
      <c r="K10">
        <f ca="1">INDEX(INDIRECT($J$5),$M$4,6)</f>
        <v>350</v>
      </c>
      <c r="O10">
        <f ca="1">INDEX(INDIRECT($N$5),6,$Q$4)</f>
        <v>339</v>
      </c>
    </row>
    <row r="11" spans="1:52" x14ac:dyDescent="0.45">
      <c r="A11">
        <v>8</v>
      </c>
      <c r="B11" s="74">
        <v>346</v>
      </c>
      <c r="C11" s="75">
        <v>356</v>
      </c>
      <c r="D11" s="75">
        <v>366</v>
      </c>
      <c r="E11" s="75">
        <v>376</v>
      </c>
      <c r="F11" s="75">
        <v>386</v>
      </c>
      <c r="G11" s="75">
        <v>396</v>
      </c>
      <c r="H11" s="76">
        <v>406</v>
      </c>
      <c r="K11">
        <f ca="1">INDEX(INDIRECT($J$5),$M$4,7)</f>
        <v>359</v>
      </c>
      <c r="O11">
        <f ca="1">INDEX(INDIRECT($N$5),7,$Q$4)</f>
        <v>346</v>
      </c>
    </row>
  </sheetData>
  <dataValidations count="3">
    <dataValidation type="list" allowBlank="1" showInputMessage="1" showErrorMessage="1" sqref="P4" xr:uid="{BF2C5CC4-EF29-4B0C-B0AA-9F13B8BF48F6}">
      <formula1>InputValues2</formula1>
    </dataValidation>
    <dataValidation type="list" allowBlank="1" showInputMessage="1" showErrorMessage="1" sqref="L4" xr:uid="{655C37F8-4042-400E-81B1-78E9BE7D02DD}">
      <formula1>InputValues1</formula1>
    </dataValidation>
    <dataValidation type="list" allowBlank="1" showInputMessage="1" showErrorMessage="1" sqref="K4 O4" xr:uid="{73468BA9-BBF8-4F74-B11A-EFBCC3EE9BC1}">
      <formula1>OutputAddresses</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0292F-EC05-42A2-86AF-7C2F061EC8F7}">
  <dimension ref="A1:U59"/>
  <sheetViews>
    <sheetView zoomScale="70" zoomScaleNormal="70" workbookViewId="0">
      <selection activeCell="P42" sqref="P42"/>
    </sheetView>
  </sheetViews>
  <sheetFormatPr defaultRowHeight="14.25" x14ac:dyDescent="0.45"/>
  <cols>
    <col min="1" max="1" width="18.19921875" bestFit="1" customWidth="1"/>
    <col min="2" max="2" width="9" bestFit="1" customWidth="1"/>
    <col min="5" max="6" width="9.33203125" bestFit="1" customWidth="1"/>
    <col min="7" max="7" width="9.53125" bestFit="1" customWidth="1"/>
    <col min="13" max="14" width="9.33203125" bestFit="1" customWidth="1"/>
    <col min="15" max="15" width="9.53125" bestFit="1" customWidth="1"/>
    <col min="18" max="18" width="19.06640625" bestFit="1" customWidth="1"/>
    <col min="19" max="19" width="47.9296875" bestFit="1" customWidth="1"/>
    <col min="20" max="20" width="49.33203125" bestFit="1" customWidth="1"/>
    <col min="21" max="21" width="19.06640625" bestFit="1" customWidth="1"/>
  </cols>
  <sheetData>
    <row r="1" spans="1:21" x14ac:dyDescent="0.45">
      <c r="A1" s="21" t="s">
        <v>174</v>
      </c>
      <c r="T1" s="14" t="s">
        <v>28</v>
      </c>
    </row>
    <row r="2" spans="1:21" x14ac:dyDescent="0.45">
      <c r="T2" t="s">
        <v>91</v>
      </c>
      <c r="U2" t="s">
        <v>92</v>
      </c>
    </row>
    <row r="3" spans="1:21" x14ac:dyDescent="0.45">
      <c r="A3" s="14" t="s">
        <v>13</v>
      </c>
      <c r="T3" t="s">
        <v>29</v>
      </c>
      <c r="U3" t="s">
        <v>30</v>
      </c>
    </row>
    <row r="4" spans="1:21" x14ac:dyDescent="0.45">
      <c r="B4" s="13" t="s">
        <v>14</v>
      </c>
      <c r="T4" t="s">
        <v>31</v>
      </c>
      <c r="U4" t="s">
        <v>32</v>
      </c>
    </row>
    <row r="5" spans="1:21" x14ac:dyDescent="0.45">
      <c r="A5" s="13" t="s">
        <v>15</v>
      </c>
      <c r="B5">
        <v>1</v>
      </c>
      <c r="C5">
        <v>2</v>
      </c>
      <c r="D5">
        <v>3</v>
      </c>
      <c r="E5">
        <v>4</v>
      </c>
      <c r="F5">
        <v>5</v>
      </c>
      <c r="G5">
        <v>6</v>
      </c>
      <c r="H5">
        <v>7</v>
      </c>
      <c r="I5">
        <v>8</v>
      </c>
      <c r="J5">
        <v>9</v>
      </c>
      <c r="K5">
        <v>10</v>
      </c>
      <c r="L5">
        <v>11</v>
      </c>
      <c r="M5">
        <v>12</v>
      </c>
      <c r="N5">
        <v>13</v>
      </c>
      <c r="O5">
        <v>14</v>
      </c>
      <c r="P5">
        <v>15</v>
      </c>
      <c r="T5" t="s">
        <v>33</v>
      </c>
      <c r="U5" t="s">
        <v>34</v>
      </c>
    </row>
    <row r="6" spans="1:21" x14ac:dyDescent="0.45">
      <c r="A6">
        <v>1</v>
      </c>
      <c r="B6" s="4">
        <v>22</v>
      </c>
      <c r="C6" s="5">
        <v>21</v>
      </c>
      <c r="D6" s="5">
        <v>1000</v>
      </c>
      <c r="E6" s="5">
        <v>1000</v>
      </c>
      <c r="F6" s="5">
        <v>47</v>
      </c>
      <c r="G6" s="5">
        <v>36</v>
      </c>
      <c r="H6" s="5">
        <v>28</v>
      </c>
      <c r="I6" s="5">
        <v>22</v>
      </c>
      <c r="J6" s="5">
        <v>45</v>
      </c>
      <c r="K6" s="5">
        <v>34</v>
      </c>
      <c r="L6" s="5">
        <v>38</v>
      </c>
      <c r="M6" s="5">
        <v>24</v>
      </c>
      <c r="N6" s="5">
        <v>22</v>
      </c>
      <c r="O6" s="5">
        <v>20</v>
      </c>
      <c r="P6" s="6">
        <v>1000</v>
      </c>
      <c r="T6" t="s">
        <v>35</v>
      </c>
      <c r="U6" t="s">
        <v>36</v>
      </c>
    </row>
    <row r="7" spans="1:21" x14ac:dyDescent="0.45">
      <c r="A7">
        <v>2</v>
      </c>
      <c r="B7" s="7">
        <v>1000</v>
      </c>
      <c r="C7" s="8">
        <v>36</v>
      </c>
      <c r="D7" s="8">
        <v>48</v>
      </c>
      <c r="E7" s="8">
        <v>31</v>
      </c>
      <c r="F7" s="8">
        <v>26</v>
      </c>
      <c r="G7" s="8">
        <v>28</v>
      </c>
      <c r="H7" s="8">
        <v>34</v>
      </c>
      <c r="I7" s="8">
        <v>41</v>
      </c>
      <c r="J7" s="8">
        <v>36</v>
      </c>
      <c r="K7" s="8">
        <v>44</v>
      </c>
      <c r="L7" s="8">
        <v>1000</v>
      </c>
      <c r="M7" s="8">
        <v>35</v>
      </c>
      <c r="N7" s="8">
        <v>23</v>
      </c>
      <c r="O7" s="8">
        <v>1000</v>
      </c>
      <c r="P7" s="9">
        <v>38</v>
      </c>
      <c r="T7" t="s">
        <v>37</v>
      </c>
      <c r="U7" t="s">
        <v>38</v>
      </c>
    </row>
    <row r="8" spans="1:21" x14ac:dyDescent="0.45">
      <c r="A8">
        <v>3</v>
      </c>
      <c r="B8" s="7">
        <v>1000</v>
      </c>
      <c r="C8" s="8">
        <v>22</v>
      </c>
      <c r="D8" s="8">
        <v>36</v>
      </c>
      <c r="E8" s="8">
        <v>25</v>
      </c>
      <c r="F8" s="8">
        <v>34</v>
      </c>
      <c r="G8" s="8">
        <v>1000</v>
      </c>
      <c r="H8" s="8">
        <v>29</v>
      </c>
      <c r="I8" s="8">
        <v>43</v>
      </c>
      <c r="J8" s="8">
        <v>1000</v>
      </c>
      <c r="K8" s="8">
        <v>50</v>
      </c>
      <c r="L8" s="8">
        <v>28</v>
      </c>
      <c r="M8" s="8">
        <v>43</v>
      </c>
      <c r="N8" s="8">
        <v>47</v>
      </c>
      <c r="O8" s="8">
        <v>34</v>
      </c>
      <c r="P8" s="9">
        <v>33</v>
      </c>
      <c r="T8" t="s">
        <v>39</v>
      </c>
      <c r="U8" t="s">
        <v>40</v>
      </c>
    </row>
    <row r="9" spans="1:21" x14ac:dyDescent="0.45">
      <c r="A9">
        <v>4</v>
      </c>
      <c r="B9" s="7">
        <v>22</v>
      </c>
      <c r="C9" s="8">
        <v>27</v>
      </c>
      <c r="D9" s="8">
        <v>1000</v>
      </c>
      <c r="E9" s="8">
        <v>1000</v>
      </c>
      <c r="F9" s="8">
        <v>46</v>
      </c>
      <c r="G9" s="8">
        <v>36</v>
      </c>
      <c r="H9" s="8">
        <v>23</v>
      </c>
      <c r="I9" s="8">
        <v>38</v>
      </c>
      <c r="J9" s="8">
        <v>24</v>
      </c>
      <c r="K9" s="8">
        <v>43</v>
      </c>
      <c r="L9" s="8">
        <v>47</v>
      </c>
      <c r="M9" s="8">
        <v>36</v>
      </c>
      <c r="N9" s="8">
        <v>1000</v>
      </c>
      <c r="O9" s="8">
        <v>35</v>
      </c>
      <c r="P9" s="9">
        <v>50</v>
      </c>
      <c r="T9" t="s">
        <v>41</v>
      </c>
      <c r="U9" t="s">
        <v>42</v>
      </c>
    </row>
    <row r="10" spans="1:21" x14ac:dyDescent="0.45">
      <c r="A10">
        <v>5</v>
      </c>
      <c r="B10" s="7">
        <v>26</v>
      </c>
      <c r="C10" s="8">
        <v>43</v>
      </c>
      <c r="D10" s="8">
        <v>33</v>
      </c>
      <c r="E10" s="8">
        <v>48</v>
      </c>
      <c r="F10" s="8">
        <v>1000</v>
      </c>
      <c r="G10" s="8">
        <v>34</v>
      </c>
      <c r="H10" s="8">
        <v>44</v>
      </c>
      <c r="I10" s="8">
        <v>1000</v>
      </c>
      <c r="J10" s="8">
        <v>29</v>
      </c>
      <c r="K10" s="8">
        <v>31</v>
      </c>
      <c r="L10" s="8">
        <v>1000</v>
      </c>
      <c r="M10" s="8">
        <v>31</v>
      </c>
      <c r="N10" s="8">
        <v>1000</v>
      </c>
      <c r="O10" s="8">
        <v>23</v>
      </c>
      <c r="P10" s="9">
        <v>50</v>
      </c>
      <c r="T10" t="s">
        <v>43</v>
      </c>
      <c r="U10" t="s">
        <v>44</v>
      </c>
    </row>
    <row r="11" spans="1:21" x14ac:dyDescent="0.45">
      <c r="A11">
        <v>6</v>
      </c>
      <c r="B11" s="7">
        <v>46</v>
      </c>
      <c r="C11" s="8">
        <v>1000</v>
      </c>
      <c r="D11" s="8">
        <v>41</v>
      </c>
      <c r="E11" s="8">
        <v>34</v>
      </c>
      <c r="F11" s="8">
        <v>29</v>
      </c>
      <c r="G11" s="8">
        <v>46</v>
      </c>
      <c r="H11" s="8">
        <v>30</v>
      </c>
      <c r="I11" s="8">
        <v>45</v>
      </c>
      <c r="J11" s="8">
        <v>1000</v>
      </c>
      <c r="K11" s="8">
        <v>1000</v>
      </c>
      <c r="L11" s="8">
        <v>28</v>
      </c>
      <c r="M11" s="8">
        <v>48</v>
      </c>
      <c r="N11" s="8">
        <v>33</v>
      </c>
      <c r="O11" s="8">
        <v>41</v>
      </c>
      <c r="P11" s="9">
        <v>48</v>
      </c>
      <c r="T11" t="s">
        <v>45</v>
      </c>
      <c r="U11" t="s">
        <v>46</v>
      </c>
    </row>
    <row r="12" spans="1:21" x14ac:dyDescent="0.45">
      <c r="A12">
        <v>7</v>
      </c>
      <c r="B12" s="7">
        <v>21</v>
      </c>
      <c r="C12" s="8">
        <v>1000</v>
      </c>
      <c r="D12" s="8">
        <v>47</v>
      </c>
      <c r="E12" s="8">
        <v>37</v>
      </c>
      <c r="F12" s="8">
        <v>34</v>
      </c>
      <c r="G12" s="8">
        <v>47</v>
      </c>
      <c r="H12" s="8">
        <v>20</v>
      </c>
      <c r="I12" s="8">
        <v>45</v>
      </c>
      <c r="J12" s="8">
        <v>31</v>
      </c>
      <c r="K12" s="8">
        <v>33</v>
      </c>
      <c r="L12" s="8">
        <v>1000</v>
      </c>
      <c r="M12" s="8">
        <v>1000</v>
      </c>
      <c r="N12" s="8">
        <v>33</v>
      </c>
      <c r="O12" s="8">
        <v>41</v>
      </c>
      <c r="P12" s="9">
        <v>25</v>
      </c>
      <c r="T12" t="s">
        <v>47</v>
      </c>
      <c r="U12" t="s">
        <v>48</v>
      </c>
    </row>
    <row r="13" spans="1:21" x14ac:dyDescent="0.45">
      <c r="A13">
        <v>8</v>
      </c>
      <c r="B13" s="7">
        <v>42</v>
      </c>
      <c r="C13" s="8">
        <v>34</v>
      </c>
      <c r="D13" s="8">
        <v>49</v>
      </c>
      <c r="E13" s="8">
        <v>26</v>
      </c>
      <c r="F13" s="8">
        <v>34</v>
      </c>
      <c r="G13" s="8">
        <v>23</v>
      </c>
      <c r="H13" s="8">
        <v>22</v>
      </c>
      <c r="I13" s="8">
        <v>39</v>
      </c>
      <c r="J13" s="8">
        <v>1000</v>
      </c>
      <c r="K13" s="8">
        <v>23</v>
      </c>
      <c r="L13" s="8">
        <v>50</v>
      </c>
      <c r="M13" s="8">
        <v>42</v>
      </c>
      <c r="N13" s="8">
        <v>42</v>
      </c>
      <c r="O13" s="8">
        <v>1000</v>
      </c>
      <c r="P13" s="9">
        <v>43</v>
      </c>
      <c r="T13" t="s">
        <v>49</v>
      </c>
      <c r="U13" t="s">
        <v>50</v>
      </c>
    </row>
    <row r="14" spans="1:21" x14ac:dyDescent="0.45">
      <c r="A14">
        <v>9</v>
      </c>
      <c r="B14" s="7">
        <v>27</v>
      </c>
      <c r="C14" s="8">
        <v>23</v>
      </c>
      <c r="D14" s="8">
        <v>20</v>
      </c>
      <c r="E14" s="8">
        <v>1000</v>
      </c>
      <c r="F14" s="8">
        <v>1000</v>
      </c>
      <c r="G14" s="8">
        <v>20</v>
      </c>
      <c r="H14" s="8">
        <v>50</v>
      </c>
      <c r="I14" s="8">
        <v>41</v>
      </c>
      <c r="J14" s="8">
        <v>37</v>
      </c>
      <c r="K14" s="8">
        <v>43</v>
      </c>
      <c r="L14" s="8">
        <v>47</v>
      </c>
      <c r="M14" s="8">
        <v>1000</v>
      </c>
      <c r="N14" s="8">
        <v>45</v>
      </c>
      <c r="O14" s="8">
        <v>30</v>
      </c>
      <c r="P14" s="9">
        <v>45</v>
      </c>
      <c r="T14" t="s">
        <v>51</v>
      </c>
      <c r="U14" t="s">
        <v>52</v>
      </c>
    </row>
    <row r="15" spans="1:21" x14ac:dyDescent="0.45">
      <c r="A15">
        <v>10</v>
      </c>
      <c r="B15" s="10">
        <v>1000</v>
      </c>
      <c r="C15" s="11">
        <v>40</v>
      </c>
      <c r="D15" s="11">
        <v>1000</v>
      </c>
      <c r="E15" s="11">
        <v>42</v>
      </c>
      <c r="F15" s="11">
        <v>43</v>
      </c>
      <c r="G15" s="11">
        <v>37</v>
      </c>
      <c r="H15" s="11">
        <v>39</v>
      </c>
      <c r="I15" s="11">
        <v>1000</v>
      </c>
      <c r="J15" s="11">
        <v>38</v>
      </c>
      <c r="K15" s="11">
        <v>40</v>
      </c>
      <c r="L15" s="11">
        <v>32</v>
      </c>
      <c r="M15" s="11">
        <v>20</v>
      </c>
      <c r="N15" s="11">
        <v>48</v>
      </c>
      <c r="O15" s="11">
        <v>22</v>
      </c>
      <c r="P15" s="12">
        <v>27</v>
      </c>
      <c r="T15" t="s">
        <v>53</v>
      </c>
      <c r="U15" t="s">
        <v>54</v>
      </c>
    </row>
    <row r="16" spans="1:21" x14ac:dyDescent="0.45">
      <c r="T16" t="s">
        <v>55</v>
      </c>
      <c r="U16" t="s">
        <v>56</v>
      </c>
    </row>
    <row r="17" spans="1:21" x14ac:dyDescent="0.45">
      <c r="T17" t="s">
        <v>57</v>
      </c>
      <c r="U17" t="s">
        <v>58</v>
      </c>
    </row>
    <row r="18" spans="1:21" x14ac:dyDescent="0.45">
      <c r="T18" t="s">
        <v>59</v>
      </c>
      <c r="U18" t="s">
        <v>60</v>
      </c>
    </row>
    <row r="19" spans="1:21" x14ac:dyDescent="0.45">
      <c r="A19" s="13" t="s">
        <v>17</v>
      </c>
      <c r="B19" t="s">
        <v>18</v>
      </c>
      <c r="T19" t="s">
        <v>61</v>
      </c>
      <c r="U19" t="s">
        <v>62</v>
      </c>
    </row>
    <row r="20" spans="1:21" x14ac:dyDescent="0.45">
      <c r="A20" s="13"/>
      <c r="T20" t="s">
        <v>63</v>
      </c>
      <c r="U20" t="s">
        <v>64</v>
      </c>
    </row>
    <row r="21" spans="1:21" x14ac:dyDescent="0.45">
      <c r="A21" s="13" t="s">
        <v>19</v>
      </c>
      <c r="B21" t="s">
        <v>20</v>
      </c>
      <c r="T21" t="s">
        <v>65</v>
      </c>
      <c r="U21" t="s">
        <v>66</v>
      </c>
    </row>
    <row r="22" spans="1:21" x14ac:dyDescent="0.45">
      <c r="A22" s="13"/>
      <c r="B22" t="s">
        <v>24</v>
      </c>
      <c r="T22" t="s">
        <v>67</v>
      </c>
      <c r="U22" t="s">
        <v>68</v>
      </c>
    </row>
    <row r="23" spans="1:21" x14ac:dyDescent="0.45">
      <c r="A23" s="13"/>
      <c r="T23" t="s">
        <v>69</v>
      </c>
      <c r="U23" t="s">
        <v>70</v>
      </c>
    </row>
    <row r="24" spans="1:21" x14ac:dyDescent="0.45">
      <c r="A24" s="13" t="s">
        <v>25</v>
      </c>
      <c r="B24" t="s">
        <v>26</v>
      </c>
      <c r="T24" t="s">
        <v>71</v>
      </c>
      <c r="U24" t="s">
        <v>72</v>
      </c>
    </row>
    <row r="25" spans="1:21" x14ac:dyDescent="0.45">
      <c r="T25" t="s">
        <v>73</v>
      </c>
      <c r="U25" t="s">
        <v>74</v>
      </c>
    </row>
    <row r="26" spans="1:21" x14ac:dyDescent="0.45">
      <c r="T26" t="s">
        <v>75</v>
      </c>
      <c r="U26" t="s">
        <v>76</v>
      </c>
    </row>
    <row r="27" spans="1:21" x14ac:dyDescent="0.45">
      <c r="B27" s="13" t="s">
        <v>22</v>
      </c>
      <c r="T27" t="s">
        <v>77</v>
      </c>
      <c r="U27" t="s">
        <v>78</v>
      </c>
    </row>
    <row r="28" spans="1:21" x14ac:dyDescent="0.45">
      <c r="A28" s="13" t="s">
        <v>21</v>
      </c>
      <c r="B28">
        <v>1</v>
      </c>
      <c r="C28">
        <v>2</v>
      </c>
      <c r="D28">
        <v>3</v>
      </c>
      <c r="E28">
        <v>4</v>
      </c>
      <c r="F28">
        <v>5</v>
      </c>
      <c r="G28">
        <v>6</v>
      </c>
      <c r="H28">
        <v>7</v>
      </c>
      <c r="I28">
        <v>8</v>
      </c>
      <c r="J28">
        <v>9</v>
      </c>
      <c r="K28">
        <v>10</v>
      </c>
      <c r="L28">
        <v>11</v>
      </c>
      <c r="M28">
        <v>12</v>
      </c>
      <c r="N28">
        <v>13</v>
      </c>
      <c r="O28">
        <v>14</v>
      </c>
      <c r="P28">
        <v>15</v>
      </c>
      <c r="T28" t="s">
        <v>79</v>
      </c>
      <c r="U28" t="s">
        <v>80</v>
      </c>
    </row>
    <row r="29" spans="1:21" x14ac:dyDescent="0.45">
      <c r="A29">
        <v>1</v>
      </c>
      <c r="B29" s="16">
        <v>0</v>
      </c>
      <c r="C29" s="16">
        <v>0</v>
      </c>
      <c r="D29" s="16">
        <v>0</v>
      </c>
      <c r="E29" s="16">
        <v>0</v>
      </c>
      <c r="F29" s="16">
        <v>0</v>
      </c>
      <c r="G29" s="16">
        <v>0</v>
      </c>
      <c r="H29" s="16">
        <v>0</v>
      </c>
      <c r="I29" s="16">
        <v>1</v>
      </c>
      <c r="J29" s="16">
        <v>0</v>
      </c>
      <c r="K29" s="16">
        <v>0</v>
      </c>
      <c r="L29" s="16">
        <v>0</v>
      </c>
      <c r="M29" s="16">
        <v>0</v>
      </c>
      <c r="N29" s="16">
        <v>0</v>
      </c>
      <c r="O29" s="16">
        <v>1</v>
      </c>
      <c r="P29" s="16">
        <v>0</v>
      </c>
      <c r="T29" t="s">
        <v>81</v>
      </c>
      <c r="U29" t="s">
        <v>82</v>
      </c>
    </row>
    <row r="30" spans="1:21" x14ac:dyDescent="0.45">
      <c r="A30">
        <v>2</v>
      </c>
      <c r="B30" s="16">
        <v>0</v>
      </c>
      <c r="C30" s="16">
        <v>0</v>
      </c>
      <c r="D30" s="16">
        <v>0</v>
      </c>
      <c r="E30" s="16">
        <v>0</v>
      </c>
      <c r="F30" s="16">
        <v>1</v>
      </c>
      <c r="G30" s="16">
        <v>0</v>
      </c>
      <c r="H30" s="16">
        <v>0</v>
      </c>
      <c r="I30" s="16">
        <v>0</v>
      </c>
      <c r="J30" s="16">
        <v>0</v>
      </c>
      <c r="K30" s="16">
        <v>0</v>
      </c>
      <c r="L30" s="16">
        <v>0</v>
      </c>
      <c r="M30" s="16">
        <v>0</v>
      </c>
      <c r="N30" s="16">
        <v>1</v>
      </c>
      <c r="O30" s="16">
        <v>0</v>
      </c>
      <c r="P30" s="16">
        <v>0</v>
      </c>
      <c r="T30" t="s">
        <v>83</v>
      </c>
      <c r="U30" t="s">
        <v>84</v>
      </c>
    </row>
    <row r="31" spans="1:21" x14ac:dyDescent="0.45">
      <c r="A31">
        <v>3</v>
      </c>
      <c r="B31" s="16">
        <v>0</v>
      </c>
      <c r="C31" s="16">
        <v>1</v>
      </c>
      <c r="D31" s="16">
        <v>0</v>
      </c>
      <c r="E31" s="16">
        <v>1</v>
      </c>
      <c r="F31" s="16">
        <v>0</v>
      </c>
      <c r="G31" s="16">
        <v>0</v>
      </c>
      <c r="H31" s="16">
        <v>0</v>
      </c>
      <c r="I31" s="16">
        <v>0</v>
      </c>
      <c r="J31" s="16">
        <v>0</v>
      </c>
      <c r="K31" s="16">
        <v>0</v>
      </c>
      <c r="L31" s="16">
        <v>0</v>
      </c>
      <c r="M31" s="16">
        <v>0</v>
      </c>
      <c r="N31" s="16">
        <v>0</v>
      </c>
      <c r="O31" s="16">
        <v>0</v>
      </c>
      <c r="P31" s="16">
        <v>0</v>
      </c>
      <c r="T31" t="s">
        <v>85</v>
      </c>
      <c r="U31" t="s">
        <v>86</v>
      </c>
    </row>
    <row r="32" spans="1:21" x14ac:dyDescent="0.45">
      <c r="A32">
        <v>4</v>
      </c>
      <c r="B32" s="16">
        <v>1</v>
      </c>
      <c r="C32" s="16">
        <v>0</v>
      </c>
      <c r="D32" s="16">
        <v>0</v>
      </c>
      <c r="E32" s="16">
        <v>0</v>
      </c>
      <c r="F32" s="16">
        <v>0</v>
      </c>
      <c r="G32" s="16">
        <v>0</v>
      </c>
      <c r="H32" s="16">
        <v>0</v>
      </c>
      <c r="I32" s="16">
        <v>0</v>
      </c>
      <c r="J32" s="16">
        <v>1</v>
      </c>
      <c r="K32" s="16">
        <v>0</v>
      </c>
      <c r="L32" s="16">
        <v>0</v>
      </c>
      <c r="M32" s="16">
        <v>0</v>
      </c>
      <c r="N32" s="16">
        <v>0</v>
      </c>
      <c r="O32" s="16">
        <v>0</v>
      </c>
      <c r="P32" s="16">
        <v>0</v>
      </c>
      <c r="T32" t="s">
        <v>87</v>
      </c>
      <c r="U32" t="s">
        <v>88</v>
      </c>
    </row>
    <row r="33" spans="1:21" x14ac:dyDescent="0.45">
      <c r="A33">
        <v>5</v>
      </c>
      <c r="B33" s="16">
        <v>0</v>
      </c>
      <c r="C33" s="16">
        <v>0</v>
      </c>
      <c r="D33" s="16">
        <v>0</v>
      </c>
      <c r="E33" s="16">
        <v>0</v>
      </c>
      <c r="F33" s="16">
        <v>0</v>
      </c>
      <c r="G33" s="16">
        <v>0</v>
      </c>
      <c r="H33" s="16">
        <v>0</v>
      </c>
      <c r="I33" s="16">
        <v>0</v>
      </c>
      <c r="J33" s="16">
        <v>0</v>
      </c>
      <c r="K33" s="16">
        <v>0</v>
      </c>
      <c r="L33" s="16">
        <v>0</v>
      </c>
      <c r="M33" s="16">
        <v>0</v>
      </c>
      <c r="N33" s="16">
        <v>0</v>
      </c>
      <c r="O33" s="34">
        <v>0</v>
      </c>
      <c r="P33" s="16">
        <v>0</v>
      </c>
      <c r="T33" t="s">
        <v>89</v>
      </c>
      <c r="U33" t="s">
        <v>90</v>
      </c>
    </row>
    <row r="34" spans="1:21" x14ac:dyDescent="0.45">
      <c r="A34">
        <v>6</v>
      </c>
      <c r="B34" s="16">
        <v>0</v>
      </c>
      <c r="C34" s="16">
        <v>0</v>
      </c>
      <c r="D34" s="16">
        <v>0</v>
      </c>
      <c r="E34" s="16">
        <v>0</v>
      </c>
      <c r="F34" s="16">
        <v>0</v>
      </c>
      <c r="G34" s="16">
        <v>0</v>
      </c>
      <c r="H34" s="16">
        <v>0</v>
      </c>
      <c r="I34" s="16">
        <v>0</v>
      </c>
      <c r="J34" s="16">
        <v>0</v>
      </c>
      <c r="K34" s="16">
        <v>0</v>
      </c>
      <c r="L34" s="16">
        <v>1</v>
      </c>
      <c r="M34" s="16">
        <v>0</v>
      </c>
      <c r="N34" s="16">
        <v>0</v>
      </c>
      <c r="O34" s="16">
        <v>0</v>
      </c>
      <c r="P34" s="16">
        <v>0</v>
      </c>
    </row>
    <row r="35" spans="1:21" x14ac:dyDescent="0.45">
      <c r="A35">
        <v>7</v>
      </c>
      <c r="B35" s="16">
        <v>0</v>
      </c>
      <c r="C35" s="16">
        <v>0</v>
      </c>
      <c r="D35" s="16">
        <v>0</v>
      </c>
      <c r="E35" s="16">
        <v>0</v>
      </c>
      <c r="F35" s="16">
        <v>0</v>
      </c>
      <c r="G35" s="16">
        <v>0</v>
      </c>
      <c r="H35" s="16">
        <v>1</v>
      </c>
      <c r="I35" s="16">
        <v>0</v>
      </c>
      <c r="J35" s="16">
        <v>0</v>
      </c>
      <c r="K35" s="16">
        <v>0</v>
      </c>
      <c r="L35" s="16">
        <v>0</v>
      </c>
      <c r="M35" s="16">
        <v>0</v>
      </c>
      <c r="N35" s="16">
        <v>0</v>
      </c>
      <c r="O35" s="16">
        <v>0</v>
      </c>
      <c r="P35" s="16">
        <v>1</v>
      </c>
    </row>
    <row r="36" spans="1:21" x14ac:dyDescent="0.45">
      <c r="A36">
        <v>8</v>
      </c>
      <c r="B36" s="16">
        <v>0</v>
      </c>
      <c r="C36" s="16">
        <v>0</v>
      </c>
      <c r="D36" s="16">
        <v>0</v>
      </c>
      <c r="E36" s="16">
        <v>0</v>
      </c>
      <c r="F36" s="16">
        <v>0</v>
      </c>
      <c r="G36" s="16">
        <v>0</v>
      </c>
      <c r="H36" s="16">
        <v>0</v>
      </c>
      <c r="I36" s="16">
        <v>0</v>
      </c>
      <c r="J36" s="16">
        <v>0</v>
      </c>
      <c r="K36" s="16">
        <v>1</v>
      </c>
      <c r="L36" s="16">
        <v>0</v>
      </c>
      <c r="M36" s="16">
        <v>0</v>
      </c>
      <c r="N36" s="16">
        <v>0</v>
      </c>
      <c r="O36" s="16">
        <v>0</v>
      </c>
      <c r="P36" s="16">
        <v>0</v>
      </c>
      <c r="T36" s="35" t="s">
        <v>171</v>
      </c>
    </row>
    <row r="37" spans="1:21" x14ac:dyDescent="0.45">
      <c r="A37">
        <v>9</v>
      </c>
      <c r="B37" s="16">
        <v>0</v>
      </c>
      <c r="C37" s="16">
        <v>0</v>
      </c>
      <c r="D37" s="16">
        <v>1</v>
      </c>
      <c r="E37" s="16">
        <v>0</v>
      </c>
      <c r="F37" s="16">
        <v>0</v>
      </c>
      <c r="G37" s="16">
        <v>1</v>
      </c>
      <c r="H37" s="16">
        <v>0</v>
      </c>
      <c r="I37" s="16">
        <v>0</v>
      </c>
      <c r="J37" s="16">
        <v>0</v>
      </c>
      <c r="K37" s="16">
        <v>0</v>
      </c>
      <c r="L37" s="16">
        <v>0</v>
      </c>
      <c r="M37" s="16">
        <v>0</v>
      </c>
      <c r="N37" s="16">
        <v>0</v>
      </c>
      <c r="O37" s="16">
        <v>0</v>
      </c>
      <c r="P37" s="16">
        <v>0</v>
      </c>
    </row>
    <row r="38" spans="1:21" x14ac:dyDescent="0.45">
      <c r="A38">
        <v>10</v>
      </c>
      <c r="B38" s="16">
        <v>0</v>
      </c>
      <c r="C38" s="16">
        <v>0</v>
      </c>
      <c r="D38" s="16">
        <v>0</v>
      </c>
      <c r="E38" s="16">
        <v>0</v>
      </c>
      <c r="F38" s="16">
        <v>0</v>
      </c>
      <c r="G38" s="16">
        <v>0</v>
      </c>
      <c r="H38" s="16">
        <v>0</v>
      </c>
      <c r="I38" s="16">
        <v>0</v>
      </c>
      <c r="J38" s="16">
        <v>0</v>
      </c>
      <c r="K38" s="16">
        <v>0</v>
      </c>
      <c r="L38" s="16">
        <v>0</v>
      </c>
      <c r="M38" s="16">
        <v>1</v>
      </c>
      <c r="N38" s="16">
        <v>0</v>
      </c>
      <c r="O38" s="16">
        <v>0</v>
      </c>
      <c r="P38" s="16">
        <v>0</v>
      </c>
    </row>
    <row r="41" spans="1:21" x14ac:dyDescent="0.45">
      <c r="A41" t="s">
        <v>16</v>
      </c>
      <c r="B41" s="17">
        <f>SUMPRODUCT(time_matrix,job_assignment_matrix)</f>
        <v>340</v>
      </c>
    </row>
    <row r="44" spans="1:21" ht="99.75" x14ac:dyDescent="0.45">
      <c r="B44" s="18" t="s">
        <v>95</v>
      </c>
      <c r="D44" s="18" t="s">
        <v>94</v>
      </c>
      <c r="F44" s="18" t="s">
        <v>93</v>
      </c>
      <c r="I44" s="18" t="s">
        <v>96</v>
      </c>
      <c r="K44" s="18" t="s">
        <v>97</v>
      </c>
    </row>
    <row r="45" spans="1:21" x14ac:dyDescent="0.45">
      <c r="A45">
        <v>1</v>
      </c>
      <c r="B45">
        <v>0</v>
      </c>
      <c r="C45" s="36" t="s">
        <v>175</v>
      </c>
      <c r="D45">
        <f>SUM(jobs_1)</f>
        <v>2</v>
      </c>
      <c r="E45" s="36" t="s">
        <v>175</v>
      </c>
      <c r="F45" s="8">
        <v>2</v>
      </c>
      <c r="H45">
        <v>1</v>
      </c>
      <c r="I45">
        <f>SUM(e2j_1)</f>
        <v>1</v>
      </c>
      <c r="J45" s="15" t="s">
        <v>23</v>
      </c>
      <c r="K45" s="8">
        <v>1</v>
      </c>
    </row>
    <row r="46" spans="1:21" x14ac:dyDescent="0.45">
      <c r="A46">
        <v>2</v>
      </c>
      <c r="C46" s="36" t="s">
        <v>175</v>
      </c>
      <c r="D46">
        <f>SUM(jobs_2)</f>
        <v>2</v>
      </c>
      <c r="E46" s="36" t="s">
        <v>175</v>
      </c>
      <c r="H46">
        <v>2</v>
      </c>
      <c r="I46">
        <f>SUM(e2j_2)</f>
        <v>1</v>
      </c>
    </row>
    <row r="47" spans="1:21" x14ac:dyDescent="0.45">
      <c r="A47">
        <v>3</v>
      </c>
      <c r="C47" s="36" t="s">
        <v>175</v>
      </c>
      <c r="D47">
        <f>SUM(jobs_3)</f>
        <v>2</v>
      </c>
      <c r="E47" s="36" t="s">
        <v>175</v>
      </c>
      <c r="H47">
        <v>3</v>
      </c>
      <c r="I47">
        <f>SUM(e2j_3)</f>
        <v>1</v>
      </c>
    </row>
    <row r="48" spans="1:21" x14ac:dyDescent="0.45">
      <c r="A48">
        <v>4</v>
      </c>
      <c r="C48" s="36" t="s">
        <v>175</v>
      </c>
      <c r="D48">
        <f>SUM(jobs_4)</f>
        <v>2</v>
      </c>
      <c r="E48" s="36" t="s">
        <v>175</v>
      </c>
      <c r="H48">
        <v>4</v>
      </c>
      <c r="I48">
        <f>SUM(e2j_4)</f>
        <v>1</v>
      </c>
    </row>
    <row r="49" spans="1:9" x14ac:dyDescent="0.45">
      <c r="A49">
        <v>5</v>
      </c>
      <c r="C49" s="36" t="s">
        <v>175</v>
      </c>
      <c r="D49">
        <f>SUM(jobs_5)</f>
        <v>0</v>
      </c>
      <c r="E49" s="36" t="s">
        <v>175</v>
      </c>
      <c r="H49">
        <v>5</v>
      </c>
      <c r="I49">
        <f>SUM(e2j_5)</f>
        <v>1</v>
      </c>
    </row>
    <row r="50" spans="1:9" x14ac:dyDescent="0.45">
      <c r="A50">
        <v>6</v>
      </c>
      <c r="C50" s="36" t="s">
        <v>175</v>
      </c>
      <c r="D50">
        <f>SUM(jobs_6)</f>
        <v>1</v>
      </c>
      <c r="E50" s="36" t="s">
        <v>175</v>
      </c>
      <c r="H50">
        <v>6</v>
      </c>
      <c r="I50">
        <f>SUM(e2j_6)</f>
        <v>1</v>
      </c>
    </row>
    <row r="51" spans="1:9" x14ac:dyDescent="0.45">
      <c r="A51">
        <v>7</v>
      </c>
      <c r="C51" s="36" t="s">
        <v>175</v>
      </c>
      <c r="D51">
        <f>SUM(jobs_7)</f>
        <v>2</v>
      </c>
      <c r="E51" s="36" t="s">
        <v>175</v>
      </c>
      <c r="H51">
        <v>7</v>
      </c>
      <c r="I51">
        <f>SUM(e2j_7)</f>
        <v>1</v>
      </c>
    </row>
    <row r="52" spans="1:9" x14ac:dyDescent="0.45">
      <c r="A52">
        <v>8</v>
      </c>
      <c r="C52" s="36" t="s">
        <v>175</v>
      </c>
      <c r="D52">
        <f>SUM(jobs_8)</f>
        <v>1</v>
      </c>
      <c r="E52" s="36" t="s">
        <v>175</v>
      </c>
      <c r="H52">
        <v>8</v>
      </c>
      <c r="I52">
        <f>SUM(e2j_8)</f>
        <v>1</v>
      </c>
    </row>
    <row r="53" spans="1:9" x14ac:dyDescent="0.45">
      <c r="A53">
        <v>9</v>
      </c>
      <c r="C53" s="36" t="s">
        <v>175</v>
      </c>
      <c r="D53">
        <f>SUM(jobs_9)</f>
        <v>2</v>
      </c>
      <c r="E53" s="36" t="s">
        <v>175</v>
      </c>
      <c r="H53">
        <v>9</v>
      </c>
      <c r="I53">
        <f>SUM(e2j_9)</f>
        <v>1</v>
      </c>
    </row>
    <row r="54" spans="1:9" x14ac:dyDescent="0.45">
      <c r="A54">
        <v>10</v>
      </c>
      <c r="C54" s="36" t="s">
        <v>175</v>
      </c>
      <c r="D54">
        <f>SUM(jobs_10)</f>
        <v>1</v>
      </c>
      <c r="E54" s="36" t="s">
        <v>175</v>
      </c>
      <c r="H54">
        <v>10</v>
      </c>
      <c r="I54">
        <f>SUM(e2j_10)</f>
        <v>1</v>
      </c>
    </row>
    <row r="55" spans="1:9" x14ac:dyDescent="0.45">
      <c r="H55">
        <v>11</v>
      </c>
      <c r="I55">
        <f>SUM(e2j_11)</f>
        <v>1</v>
      </c>
    </row>
    <row r="56" spans="1:9" x14ac:dyDescent="0.45">
      <c r="E56" t="s">
        <v>176</v>
      </c>
      <c r="H56">
        <v>12</v>
      </c>
      <c r="I56">
        <f>SUM(e2j_12)</f>
        <v>1</v>
      </c>
    </row>
    <row r="57" spans="1:9" x14ac:dyDescent="0.45">
      <c r="B57" t="s">
        <v>27</v>
      </c>
      <c r="C57">
        <f>SUM(No_of_jobs_assigned_to_employee)</f>
        <v>15</v>
      </c>
      <c r="D57" s="36" t="s">
        <v>175</v>
      </c>
      <c r="E57" s="8">
        <v>15</v>
      </c>
      <c r="H57">
        <v>13</v>
      </c>
      <c r="I57">
        <f>SUM(e2j_13)</f>
        <v>1</v>
      </c>
    </row>
    <row r="58" spans="1:9" x14ac:dyDescent="0.45">
      <c r="H58">
        <v>14</v>
      </c>
      <c r="I58">
        <f>SUM(e2j_14)</f>
        <v>1</v>
      </c>
    </row>
    <row r="59" spans="1:9" x14ac:dyDescent="0.45">
      <c r="H59">
        <v>15</v>
      </c>
      <c r="I59">
        <f>SUM(e2j_15)</f>
        <v>1</v>
      </c>
    </row>
  </sheetData>
  <phoneticPr fontId="7" type="noConversion"/>
  <conditionalFormatting sqref="B6:P15">
    <cfRule type="cellIs" dxfId="0" priority="1" operator="equal">
      <formula>1000</formula>
    </cfRule>
  </conditionalFormatting>
  <pageMargins left="0.7" right="0.7" top="0.75" bottom="0.75" header="0.3" footer="0.3"/>
  <pageSetup paperSize="9" orientation="portrait" horizontalDpi="1200" verticalDpi="1200"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1A922-74F9-4F84-A64A-D2ACAD704D6C}">
  <dimension ref="A1:K8"/>
  <sheetViews>
    <sheetView workbookViewId="0">
      <selection activeCell="G29" sqref="G29"/>
    </sheetView>
  </sheetViews>
  <sheetFormatPr defaultRowHeight="14.25" x14ac:dyDescent="0.45"/>
  <sheetData>
    <row r="1" spans="1:11" x14ac:dyDescent="0.45">
      <c r="A1" s="13" t="s">
        <v>99</v>
      </c>
      <c r="K1" s="24" t="str">
        <f>CONCATENATE("Sensitivity of ",$K$4," to ","Max no of jobs assigned to an employee")</f>
        <v>Sensitivity of Total_Time to Max no of jobs assigned to an employee</v>
      </c>
    </row>
    <row r="3" spans="1:11" x14ac:dyDescent="0.45">
      <c r="A3" t="s">
        <v>100</v>
      </c>
      <c r="K3" t="s">
        <v>102</v>
      </c>
    </row>
    <row r="4" spans="1:11" ht="53.65" x14ac:dyDescent="0.45">
      <c r="B4" s="22" t="s">
        <v>101</v>
      </c>
      <c r="J4" s="24">
        <f>MATCH($K$4,OutputAddresses,0)</f>
        <v>1</v>
      </c>
      <c r="K4" s="23" t="s">
        <v>101</v>
      </c>
    </row>
    <row r="5" spans="1:11" x14ac:dyDescent="0.45">
      <c r="A5">
        <v>2</v>
      </c>
      <c r="B5" s="25">
        <v>340</v>
      </c>
      <c r="K5">
        <f>INDEX(OutputValues,1,$J$4)</f>
        <v>340</v>
      </c>
    </row>
    <row r="6" spans="1:11" x14ac:dyDescent="0.45">
      <c r="A6">
        <v>3</v>
      </c>
      <c r="B6" s="26">
        <v>338</v>
      </c>
      <c r="K6">
        <f>INDEX(OutputValues,2,$J$4)</f>
        <v>338</v>
      </c>
    </row>
    <row r="7" spans="1:11" x14ac:dyDescent="0.45">
      <c r="A7">
        <v>4</v>
      </c>
      <c r="B7" s="26">
        <v>337</v>
      </c>
      <c r="K7">
        <f>INDEX(OutputValues,3,$J$4)</f>
        <v>337</v>
      </c>
    </row>
    <row r="8" spans="1:11" x14ac:dyDescent="0.45">
      <c r="A8">
        <v>5</v>
      </c>
      <c r="B8" s="27">
        <v>337</v>
      </c>
      <c r="K8">
        <f>INDEX(OutputValues,4,$J$4)</f>
        <v>337</v>
      </c>
    </row>
  </sheetData>
  <dataValidations count="1">
    <dataValidation type="list" allowBlank="1" showInputMessage="1" showErrorMessage="1" sqref="K4" xr:uid="{47169CDD-11C7-4E42-BEBA-8CD13A9CCC3F}">
      <formula1>OutputAddresses</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66025-F7BA-4494-B049-25FBECC71FD2}">
  <dimension ref="A1:Q36"/>
  <sheetViews>
    <sheetView tabSelected="1" zoomScale="70" zoomScaleNormal="70" workbookViewId="0">
      <selection activeCell="O37" sqref="O37"/>
    </sheetView>
  </sheetViews>
  <sheetFormatPr defaultRowHeight="14.25" x14ac:dyDescent="0.45"/>
  <cols>
    <col min="1" max="1" width="32.33203125" bestFit="1" customWidth="1"/>
    <col min="2" max="2" width="10.19921875" bestFit="1" customWidth="1"/>
    <col min="16" max="16" width="34.06640625" bestFit="1" customWidth="1"/>
    <col min="17" max="17" width="18.19921875" bestFit="1" customWidth="1"/>
  </cols>
  <sheetData>
    <row r="1" spans="1:17" x14ac:dyDescent="0.45">
      <c r="A1" s="14" t="s">
        <v>107</v>
      </c>
      <c r="P1" s="14" t="s">
        <v>28</v>
      </c>
    </row>
    <row r="2" spans="1:17" x14ac:dyDescent="0.45">
      <c r="P2" t="s">
        <v>91</v>
      </c>
      <c r="Q2" t="s">
        <v>92</v>
      </c>
    </row>
    <row r="3" spans="1:17" x14ac:dyDescent="0.45">
      <c r="B3" t="s">
        <v>109</v>
      </c>
      <c r="C3" t="s">
        <v>110</v>
      </c>
      <c r="D3" t="s">
        <v>111</v>
      </c>
      <c r="E3" t="s">
        <v>112</v>
      </c>
      <c r="P3" t="s">
        <v>132</v>
      </c>
      <c r="Q3" t="s">
        <v>133</v>
      </c>
    </row>
    <row r="4" spans="1:17" x14ac:dyDescent="0.45">
      <c r="A4" t="s">
        <v>108</v>
      </c>
      <c r="B4" s="8">
        <v>1500</v>
      </c>
      <c r="C4" s="8">
        <v>1200</v>
      </c>
      <c r="D4" s="8">
        <v>1800</v>
      </c>
      <c r="E4" s="8">
        <v>600</v>
      </c>
      <c r="P4" t="s">
        <v>134</v>
      </c>
      <c r="Q4" t="s">
        <v>135</v>
      </c>
    </row>
    <row r="5" spans="1:17" x14ac:dyDescent="0.45">
      <c r="P5" t="s">
        <v>136</v>
      </c>
      <c r="Q5" t="s">
        <v>137</v>
      </c>
    </row>
    <row r="6" spans="1:17" x14ac:dyDescent="0.45">
      <c r="A6" t="s">
        <v>113</v>
      </c>
      <c r="B6" s="8">
        <v>0.95</v>
      </c>
      <c r="P6" t="s">
        <v>138</v>
      </c>
      <c r="Q6" t="s">
        <v>139</v>
      </c>
    </row>
    <row r="7" spans="1:17" x14ac:dyDescent="0.45">
      <c r="A7" t="s">
        <v>114</v>
      </c>
      <c r="B7" s="8">
        <v>0.5</v>
      </c>
      <c r="P7" t="s">
        <v>108</v>
      </c>
      <c r="Q7" t="s">
        <v>140</v>
      </c>
    </row>
    <row r="8" spans="1:17" x14ac:dyDescent="0.45">
      <c r="A8" t="s">
        <v>115</v>
      </c>
      <c r="B8" s="8">
        <v>0.30000001192092896</v>
      </c>
      <c r="P8" t="s">
        <v>141</v>
      </c>
      <c r="Q8" t="s">
        <v>142</v>
      </c>
    </row>
    <row r="9" spans="1:17" x14ac:dyDescent="0.45">
      <c r="P9" t="s">
        <v>143</v>
      </c>
      <c r="Q9" t="s">
        <v>144</v>
      </c>
    </row>
    <row r="10" spans="1:17" x14ac:dyDescent="0.45">
      <c r="A10" t="s">
        <v>116</v>
      </c>
      <c r="B10" t="s">
        <v>117</v>
      </c>
      <c r="P10" t="s">
        <v>145</v>
      </c>
      <c r="Q10" t="s">
        <v>146</v>
      </c>
    </row>
    <row r="11" spans="1:17" x14ac:dyDescent="0.45">
      <c r="P11" t="s">
        <v>85</v>
      </c>
      <c r="Q11" t="s">
        <v>86</v>
      </c>
    </row>
    <row r="12" spans="1:17" x14ac:dyDescent="0.45">
      <c r="P12" t="s">
        <v>147</v>
      </c>
      <c r="Q12" t="s">
        <v>148</v>
      </c>
    </row>
    <row r="13" spans="1:17" x14ac:dyDescent="0.45">
      <c r="P13" t="s">
        <v>87</v>
      </c>
      <c r="Q13" t="s">
        <v>149</v>
      </c>
    </row>
    <row r="14" spans="1:17" x14ac:dyDescent="0.45">
      <c r="A14" t="s">
        <v>103</v>
      </c>
      <c r="B14" t="s">
        <v>104</v>
      </c>
      <c r="P14" t="s">
        <v>150</v>
      </c>
      <c r="Q14" t="s">
        <v>151</v>
      </c>
    </row>
    <row r="15" spans="1:17" x14ac:dyDescent="0.45">
      <c r="P15" t="s">
        <v>152</v>
      </c>
      <c r="Q15" t="s">
        <v>153</v>
      </c>
    </row>
    <row r="16" spans="1:17" x14ac:dyDescent="0.45">
      <c r="A16" t="s">
        <v>19</v>
      </c>
      <c r="B16" t="s">
        <v>105</v>
      </c>
      <c r="P16" t="s">
        <v>154</v>
      </c>
      <c r="Q16" t="s">
        <v>155</v>
      </c>
    </row>
    <row r="17" spans="1:17" x14ac:dyDescent="0.45">
      <c r="B17" t="s">
        <v>106</v>
      </c>
      <c r="P17" t="s">
        <v>89</v>
      </c>
      <c r="Q17" t="s">
        <v>90</v>
      </c>
    </row>
    <row r="18" spans="1:17" x14ac:dyDescent="0.45">
      <c r="P18" t="s">
        <v>122</v>
      </c>
      <c r="Q18" t="s">
        <v>156</v>
      </c>
    </row>
    <row r="19" spans="1:17" x14ac:dyDescent="0.45">
      <c r="A19" t="s">
        <v>124</v>
      </c>
      <c r="B19" t="s">
        <v>129</v>
      </c>
      <c r="P19" t="s">
        <v>157</v>
      </c>
      <c r="Q19" t="s">
        <v>158</v>
      </c>
    </row>
    <row r="20" spans="1:17" x14ac:dyDescent="0.45">
      <c r="P20" t="s">
        <v>159</v>
      </c>
      <c r="Q20" t="s">
        <v>160</v>
      </c>
    </row>
    <row r="21" spans="1:17" ht="71.25" x14ac:dyDescent="0.45">
      <c r="A21" t="s">
        <v>118</v>
      </c>
      <c r="B21" s="18" t="s">
        <v>119</v>
      </c>
      <c r="C21" s="18" t="s">
        <v>120</v>
      </c>
      <c r="D21" s="18" t="s">
        <v>121</v>
      </c>
      <c r="E21" s="18" t="s">
        <v>128</v>
      </c>
      <c r="F21" s="18" t="s">
        <v>122</v>
      </c>
      <c r="H21" s="18" t="s">
        <v>108</v>
      </c>
      <c r="P21" t="s">
        <v>164</v>
      </c>
      <c r="Q21" t="s">
        <v>165</v>
      </c>
    </row>
    <row r="22" spans="1:17" x14ac:dyDescent="0.45">
      <c r="A22">
        <v>1</v>
      </c>
      <c r="B22" s="16">
        <v>1500</v>
      </c>
      <c r="C22" s="16">
        <v>0</v>
      </c>
      <c r="D22" s="16">
        <v>0</v>
      </c>
      <c r="E22">
        <f>SUM(C22:D22)</f>
        <v>0</v>
      </c>
      <c r="F22">
        <f>SUM(B22:D22)</f>
        <v>1500</v>
      </c>
      <c r="G22" t="s">
        <v>123</v>
      </c>
      <c r="H22" s="8">
        <v>1500</v>
      </c>
      <c r="P22" t="s">
        <v>101</v>
      </c>
      <c r="Q22" t="s">
        <v>161</v>
      </c>
    </row>
    <row r="23" spans="1:17" x14ac:dyDescent="0.45">
      <c r="A23">
        <v>2</v>
      </c>
      <c r="B23" s="16">
        <v>1050</v>
      </c>
      <c r="C23" s="16">
        <v>150</v>
      </c>
      <c r="D23" s="16">
        <v>0</v>
      </c>
      <c r="E23">
        <f>SUM(C23:D23)</f>
        <v>150</v>
      </c>
      <c r="F23">
        <f>SUM(B23:D23)</f>
        <v>1200</v>
      </c>
      <c r="G23" t="s">
        <v>123</v>
      </c>
      <c r="H23" s="8">
        <v>1200</v>
      </c>
      <c r="P23" t="s">
        <v>162</v>
      </c>
      <c r="Q23" t="s">
        <v>163</v>
      </c>
    </row>
    <row r="24" spans="1:17" x14ac:dyDescent="0.45">
      <c r="A24">
        <v>3</v>
      </c>
      <c r="B24" s="16">
        <v>0</v>
      </c>
      <c r="C24" s="16">
        <v>450</v>
      </c>
      <c r="D24" s="16">
        <v>1350</v>
      </c>
      <c r="E24">
        <f t="shared" ref="E24:E25" si="0">SUM(C24:D24)</f>
        <v>1800</v>
      </c>
      <c r="F24">
        <f>SUM(B24:D24)</f>
        <v>1800</v>
      </c>
      <c r="G24" t="s">
        <v>123</v>
      </c>
      <c r="H24" s="8">
        <v>1800</v>
      </c>
    </row>
    <row r="25" spans="1:17" x14ac:dyDescent="0.45">
      <c r="A25" s="20">
        <v>4</v>
      </c>
      <c r="B25" s="28">
        <v>0</v>
      </c>
      <c r="C25" s="28">
        <v>0</v>
      </c>
      <c r="D25" s="28">
        <v>600</v>
      </c>
      <c r="E25">
        <f t="shared" si="0"/>
        <v>600</v>
      </c>
      <c r="F25">
        <f>SUM(B25:D25)</f>
        <v>600</v>
      </c>
      <c r="G25" t="s">
        <v>123</v>
      </c>
      <c r="H25" s="8">
        <v>600</v>
      </c>
    </row>
    <row r="26" spans="1:17" x14ac:dyDescent="0.45">
      <c r="A26" t="s">
        <v>125</v>
      </c>
      <c r="B26">
        <f>SUM(New_Napkins__bought)</f>
        <v>2550</v>
      </c>
      <c r="C26">
        <f>SUM(No_of_Napkins__fast__serviced)</f>
        <v>600</v>
      </c>
      <c r="D26">
        <f>SUM(No_of__napkins_slow_serviced)</f>
        <v>1950</v>
      </c>
    </row>
    <row r="27" spans="1:17" x14ac:dyDescent="0.45">
      <c r="A27" t="s">
        <v>126</v>
      </c>
      <c r="B27" s="29">
        <f>Cost_of_purchasing_one_new_napkin</f>
        <v>0.95</v>
      </c>
      <c r="C27" s="29">
        <f>Cost_of_Fast_service__napkin</f>
        <v>0.5</v>
      </c>
      <c r="D27" s="29">
        <f>Cost_of_slow_service___napkin</f>
        <v>0.30000001192092896</v>
      </c>
    </row>
    <row r="29" spans="1:17" x14ac:dyDescent="0.45">
      <c r="A29" t="s">
        <v>127</v>
      </c>
      <c r="B29" s="30">
        <f>SUMPRODUCT(Cost___napkin,Total___of_napkins)</f>
        <v>3307.5000232458115</v>
      </c>
    </row>
    <row r="33" spans="1:3" x14ac:dyDescent="0.45">
      <c r="A33" t="s">
        <v>131</v>
      </c>
      <c r="C33" t="s">
        <v>130</v>
      </c>
    </row>
    <row r="34" spans="1:3" x14ac:dyDescent="0.45">
      <c r="A34">
        <f>B22-C23-D24</f>
        <v>0</v>
      </c>
      <c r="B34" t="s">
        <v>123</v>
      </c>
      <c r="C34">
        <v>0</v>
      </c>
    </row>
    <row r="35" spans="1:3" x14ac:dyDescent="0.45">
      <c r="A35">
        <f>B23-C24-D25</f>
        <v>0</v>
      </c>
      <c r="B35" t="s">
        <v>123</v>
      </c>
    </row>
    <row r="36" spans="1:3" x14ac:dyDescent="0.45">
      <c r="A36">
        <f>B24-C25</f>
        <v>0</v>
      </c>
      <c r="B36" t="s">
        <v>123</v>
      </c>
    </row>
  </sheetData>
  <pageMargins left="0.7" right="0.7" top="0.75" bottom="0.75" header="0.3" footer="0.3"/>
  <pageSetup paperSize="9" orientation="portrait" horizontalDpi="1200" verticalDpi="1200"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4BA30-DE79-434B-832A-CBF6A10C2184}">
  <dimension ref="A1:B15"/>
  <sheetViews>
    <sheetView workbookViewId="0"/>
  </sheetViews>
  <sheetFormatPr defaultRowHeight="14.25" x14ac:dyDescent="0.45"/>
  <sheetData>
    <row r="1" spans="1:2" x14ac:dyDescent="0.45">
      <c r="A1">
        <v>1</v>
      </c>
    </row>
    <row r="2" spans="1:2" x14ac:dyDescent="0.45">
      <c r="A2" t="s">
        <v>166</v>
      </c>
    </row>
    <row r="3" spans="1:2" x14ac:dyDescent="0.45">
      <c r="A3">
        <v>1</v>
      </c>
    </row>
    <row r="4" spans="1:2" x14ac:dyDescent="0.45">
      <c r="A4">
        <v>0.1</v>
      </c>
    </row>
    <row r="5" spans="1:2" x14ac:dyDescent="0.45">
      <c r="A5">
        <v>0.45</v>
      </c>
    </row>
    <row r="6" spans="1:2" x14ac:dyDescent="0.45">
      <c r="A6">
        <v>0.05</v>
      </c>
    </row>
    <row r="8" spans="1:2" x14ac:dyDescent="0.45">
      <c r="A8" s="19"/>
      <c r="B8" s="19"/>
    </row>
    <row r="9" spans="1:2" x14ac:dyDescent="0.45">
      <c r="A9" t="s">
        <v>167</v>
      </c>
    </row>
    <row r="10" spans="1:2" x14ac:dyDescent="0.45">
      <c r="A10" t="s">
        <v>168</v>
      </c>
    </row>
    <row r="15" spans="1:2" x14ac:dyDescent="0.45">
      <c r="B15" s="1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E196-8894-40D9-8DD1-FCC7976F90D7}">
  <dimension ref="A1:B15"/>
  <sheetViews>
    <sheetView workbookViewId="0"/>
  </sheetViews>
  <sheetFormatPr defaultRowHeight="14.25" x14ac:dyDescent="0.45"/>
  <sheetData>
    <row r="1" spans="1:2" x14ac:dyDescent="0.45">
      <c r="A1">
        <v>1</v>
      </c>
    </row>
    <row r="2" spans="1:2" x14ac:dyDescent="0.45">
      <c r="A2" t="s">
        <v>172</v>
      </c>
    </row>
    <row r="3" spans="1:2" x14ac:dyDescent="0.45">
      <c r="A3">
        <v>1</v>
      </c>
    </row>
    <row r="4" spans="1:2" x14ac:dyDescent="0.45">
      <c r="A4">
        <v>1</v>
      </c>
    </row>
    <row r="5" spans="1:2" x14ac:dyDescent="0.45">
      <c r="A5">
        <v>3</v>
      </c>
    </row>
    <row r="6" spans="1:2" x14ac:dyDescent="0.45">
      <c r="A6">
        <v>1</v>
      </c>
    </row>
    <row r="8" spans="1:2" x14ac:dyDescent="0.45">
      <c r="A8" s="19"/>
      <c r="B8" s="19"/>
    </row>
    <row r="9" spans="1:2" x14ac:dyDescent="0.45">
      <c r="A9" t="s">
        <v>98</v>
      </c>
    </row>
    <row r="10" spans="1:2" x14ac:dyDescent="0.45">
      <c r="A10" t="s">
        <v>173</v>
      </c>
    </row>
    <row r="15" spans="1:2" x14ac:dyDescent="0.45">
      <c r="B15"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4B04A-53CB-42AA-A053-F4498B3BF34E}">
  <dimension ref="A1:K12"/>
  <sheetViews>
    <sheetView topLeftCell="A4" workbookViewId="0">
      <selection activeCell="F24" sqref="F24"/>
    </sheetView>
  </sheetViews>
  <sheetFormatPr defaultRowHeight="14.25" x14ac:dyDescent="0.45"/>
  <cols>
    <col min="2" max="2" width="9.9296875" bestFit="1" customWidth="1"/>
  </cols>
  <sheetData>
    <row r="1" spans="1:11" x14ac:dyDescent="0.45">
      <c r="A1" s="13" t="s">
        <v>169</v>
      </c>
      <c r="K1" s="24" t="str">
        <f>CONCATENATE("Sensitivity of ",$K$4," to ","cost per slow serviced napkin")</f>
        <v>Sensitivity of Total_cost_of_meeting_demand to cost per slow serviced napkin</v>
      </c>
    </row>
    <row r="3" spans="1:11" x14ac:dyDescent="0.45">
      <c r="A3" t="s">
        <v>170</v>
      </c>
      <c r="K3" t="s">
        <v>102</v>
      </c>
    </row>
    <row r="4" spans="1:11" ht="148.5" x14ac:dyDescent="0.45">
      <c r="B4" s="22" t="s">
        <v>159</v>
      </c>
      <c r="J4" s="24">
        <f>MATCH($K$4,OutputAddresses,0)</f>
        <v>1</v>
      </c>
      <c r="K4" s="23" t="s">
        <v>159</v>
      </c>
    </row>
    <row r="5" spans="1:11" x14ac:dyDescent="0.45">
      <c r="A5">
        <v>0.10000000149011612</v>
      </c>
      <c r="B5" s="31">
        <v>2917.5000029057264</v>
      </c>
      <c r="K5">
        <f>INDEX(OutputValues,1,$J$4)</f>
        <v>2917.5000029057264</v>
      </c>
    </row>
    <row r="6" spans="1:11" x14ac:dyDescent="0.45">
      <c r="A6">
        <v>0.15000000596046448</v>
      </c>
      <c r="B6" s="32">
        <v>3015.0000116229057</v>
      </c>
      <c r="K6">
        <f>INDEX(OutputValues,2,$J$4)</f>
        <v>3015.0000116229057</v>
      </c>
    </row>
    <row r="7" spans="1:11" x14ac:dyDescent="0.45">
      <c r="A7">
        <v>0.20000000298023224</v>
      </c>
      <c r="B7" s="32">
        <v>3112.5000058114529</v>
      </c>
      <c r="K7">
        <f>INDEX(OutputValues,3,$J$4)</f>
        <v>3112.5000058114529</v>
      </c>
    </row>
    <row r="8" spans="1:11" x14ac:dyDescent="0.45">
      <c r="A8">
        <v>0.25</v>
      </c>
      <c r="B8" s="32">
        <v>3210</v>
      </c>
      <c r="K8">
        <f>INDEX(OutputValues,4,$J$4)</f>
        <v>3210</v>
      </c>
    </row>
    <row r="9" spans="1:11" x14ac:dyDescent="0.45">
      <c r="A9">
        <v>0.30000001192092896</v>
      </c>
      <c r="B9" s="32">
        <v>3307.5000232458115</v>
      </c>
      <c r="K9">
        <f>INDEX(OutputValues,5,$J$4)</f>
        <v>3307.5000232458115</v>
      </c>
    </row>
    <row r="10" spans="1:11" x14ac:dyDescent="0.45">
      <c r="A10">
        <v>0.34999999403953552</v>
      </c>
      <c r="B10" s="32">
        <v>3404.9999883770943</v>
      </c>
      <c r="K10">
        <f>INDEX(OutputValues,6,$J$4)</f>
        <v>3404.9999883770943</v>
      </c>
    </row>
    <row r="11" spans="1:11" x14ac:dyDescent="0.45">
      <c r="A11">
        <v>0.40000000596046448</v>
      </c>
      <c r="B11" s="32">
        <v>3502.5000116229057</v>
      </c>
      <c r="K11">
        <f>INDEX(OutputValues,7,$J$4)</f>
        <v>3502.5000116229057</v>
      </c>
    </row>
    <row r="12" spans="1:11" x14ac:dyDescent="0.45">
      <c r="A12">
        <v>0.45000001788139343</v>
      </c>
      <c r="B12" s="33">
        <v>3600.0000348687172</v>
      </c>
      <c r="K12">
        <f>INDEX(OutputValues,8,$J$4)</f>
        <v>3600.0000348687172</v>
      </c>
    </row>
  </sheetData>
  <dataValidations count="1">
    <dataValidation type="list" allowBlank="1" showInputMessage="1" showErrorMessage="1" sqref="K4" xr:uid="{6EA01A3E-4090-451B-AB65-B68FF03670B6}">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134</vt:i4>
      </vt:variant>
    </vt:vector>
  </HeadingPairs>
  <TitlesOfParts>
    <vt:vector size="143" baseType="lpstr">
      <vt:lpstr>5.58 (a)</vt:lpstr>
      <vt:lpstr>5.58 (b)</vt:lpstr>
      <vt:lpstr>5.58 (Sensitivty Analysis)</vt:lpstr>
      <vt:lpstr>FireEngDispCostOptimization</vt:lpstr>
      <vt:lpstr>5.66(Additional)</vt:lpstr>
      <vt:lpstr>AllJobsCompleteTimeMinimize</vt:lpstr>
      <vt:lpstr>5.70(b.Sensitivity)</vt:lpstr>
      <vt:lpstr>SupplyCostOptimization</vt:lpstr>
      <vt:lpstr>5.79 (Sensitivity Analysis)</vt:lpstr>
      <vt:lpstr>a</vt:lpstr>
      <vt:lpstr>assignment_matrix</vt:lpstr>
      <vt:lpstr>b</vt:lpstr>
      <vt:lpstr>c_</vt:lpstr>
      <vt:lpstr>'5.70(b.Sensitivity)'!ChartData</vt:lpstr>
      <vt:lpstr>'5.79 (Sensitivity Analysis)'!ChartData</vt:lpstr>
      <vt:lpstr>'5.58 (Sensitivty Analysis)'!ChartData1</vt:lpstr>
      <vt:lpstr>'5.66(Additional)'!ChartData1</vt:lpstr>
      <vt:lpstr>'5.58 (Sensitivty Analysis)'!ChartData2</vt:lpstr>
      <vt:lpstr>'5.66(Additional)'!ChartData2</vt:lpstr>
      <vt:lpstr>Co_e1f1</vt:lpstr>
      <vt:lpstr>Co_e1f2</vt:lpstr>
      <vt:lpstr>Co_e1f3</vt:lpstr>
      <vt:lpstr>Co_e2f1</vt:lpstr>
      <vt:lpstr>Co_e2f2</vt:lpstr>
      <vt:lpstr>Co_e2f3</vt:lpstr>
      <vt:lpstr>Co_e3f3</vt:lpstr>
      <vt:lpstr>com1fir1</vt:lpstr>
      <vt:lpstr>com1fir2</vt:lpstr>
      <vt:lpstr>com1fir3</vt:lpstr>
      <vt:lpstr>com2fir1</vt:lpstr>
      <vt:lpstr>com2fir2</vt:lpstr>
      <vt:lpstr>com2fir3</vt:lpstr>
      <vt:lpstr>com3fir1</vt:lpstr>
      <vt:lpstr>com3fir2</vt:lpstr>
      <vt:lpstr>com3fir3</vt:lpstr>
      <vt:lpstr>company1</vt:lpstr>
      <vt:lpstr>Cost___napkin</vt:lpstr>
      <vt:lpstr>Cost_Coefficient</vt:lpstr>
      <vt:lpstr>Cost_coefficients</vt:lpstr>
      <vt:lpstr>cost_matrix</vt:lpstr>
      <vt:lpstr>Cost_of_Fast_service__napkin</vt:lpstr>
      <vt:lpstr>Cost_of_purchasing_one_new_napkin</vt:lpstr>
      <vt:lpstr>Cost_of_slow_service___napkin</vt:lpstr>
      <vt:lpstr>d</vt:lpstr>
      <vt:lpstr>FireEngDispCostOptimization!Demand</vt:lpstr>
      <vt:lpstr>Demand</vt:lpstr>
      <vt:lpstr>'5.58 (b)'!Demand_LA</vt:lpstr>
      <vt:lpstr>Demand_LA</vt:lpstr>
      <vt:lpstr>'5.58 (b)'!Demand_NY</vt:lpstr>
      <vt:lpstr>Demand_NY</vt:lpstr>
      <vt:lpstr>'5.58 (b)'!Demand_Seattle</vt:lpstr>
      <vt:lpstr>Demand_Seattle</vt:lpstr>
      <vt:lpstr>e</vt:lpstr>
      <vt:lpstr>e2j_1</vt:lpstr>
      <vt:lpstr>e2j_10</vt:lpstr>
      <vt:lpstr>e2j_11</vt:lpstr>
      <vt:lpstr>e2j_12</vt:lpstr>
      <vt:lpstr>e2j_13</vt:lpstr>
      <vt:lpstr>e2j_14</vt:lpstr>
      <vt:lpstr>e2j_15</vt:lpstr>
      <vt:lpstr>e2j_2</vt:lpstr>
      <vt:lpstr>e2j_3</vt:lpstr>
      <vt:lpstr>e2j_4</vt:lpstr>
      <vt:lpstr>e2j_5</vt:lpstr>
      <vt:lpstr>e2j_6</vt:lpstr>
      <vt:lpstr>e2j_7</vt:lpstr>
      <vt:lpstr>e2j_8</vt:lpstr>
      <vt:lpstr>e2j_9</vt:lpstr>
      <vt:lpstr>Engine_sub</vt:lpstr>
      <vt:lpstr>f</vt:lpstr>
      <vt:lpstr>fir1e1</vt:lpstr>
      <vt:lpstr>fir1e2</vt:lpstr>
      <vt:lpstr>fir1e3</vt:lpstr>
      <vt:lpstr>fir2e1</vt:lpstr>
      <vt:lpstr>fir2e2</vt:lpstr>
      <vt:lpstr>fir2e3</vt:lpstr>
      <vt:lpstr>fir3e3</vt:lpstr>
      <vt:lpstr>Fire__sub</vt:lpstr>
      <vt:lpstr>firelocation</vt:lpstr>
      <vt:lpstr>g</vt:lpstr>
      <vt:lpstr>'5.70(b.Sensitivity)'!InputValues</vt:lpstr>
      <vt:lpstr>'5.79 (Sensitivity Analysis)'!InputValues</vt:lpstr>
      <vt:lpstr>'5.58 (Sensitivty Analysis)'!InputValues1</vt:lpstr>
      <vt:lpstr>'5.66(Additional)'!InputValues1</vt:lpstr>
      <vt:lpstr>'5.58 (Sensitivty Analysis)'!InputValues2</vt:lpstr>
      <vt:lpstr>'5.66(Additional)'!InputValues2</vt:lpstr>
      <vt:lpstr>job_assignment_matrix</vt:lpstr>
      <vt:lpstr>jobs_1</vt:lpstr>
      <vt:lpstr>jobs_10</vt:lpstr>
      <vt:lpstr>jobs_2</vt:lpstr>
      <vt:lpstr>jobs_3</vt:lpstr>
      <vt:lpstr>jobs_4</vt:lpstr>
      <vt:lpstr>jobs_5</vt:lpstr>
      <vt:lpstr>jobs_6</vt:lpstr>
      <vt:lpstr>jobs_7</vt:lpstr>
      <vt:lpstr>jobs_8</vt:lpstr>
      <vt:lpstr>jobs_9</vt:lpstr>
      <vt:lpstr>Maximum_employee_that_can_be_assigned_to_one_job</vt:lpstr>
      <vt:lpstr>Maximum_jobs_assigned_per_person</vt:lpstr>
      <vt:lpstr>Min_jobs__assigned_to__one_person</vt:lpstr>
      <vt:lpstr>Min_value</vt:lpstr>
      <vt:lpstr>napkin_order_matrix</vt:lpstr>
      <vt:lpstr>New_Napkins__bought</vt:lpstr>
      <vt:lpstr>No_of__napkins_slow_serviced</vt:lpstr>
      <vt:lpstr>No_of_employee_working_on_Job</vt:lpstr>
      <vt:lpstr>no_of_fast_services_napkins_day1</vt:lpstr>
      <vt:lpstr>No_of_jobs_assigned_to_employee</vt:lpstr>
      <vt:lpstr>No_of_Napkins__fast__serviced</vt:lpstr>
      <vt:lpstr>no_of_slow_serviced_napkins_day1</vt:lpstr>
      <vt:lpstr>no_of_slow_serviced_napkins_day2</vt:lpstr>
      <vt:lpstr>'5.58 (Sensitivty Analysis)'!OutputAddresses</vt:lpstr>
      <vt:lpstr>'5.66(Additional)'!OutputAddresses</vt:lpstr>
      <vt:lpstr>'5.70(b.Sensitivity)'!OutputAddresses</vt:lpstr>
      <vt:lpstr>'5.79 (Sensitivity Analysis)'!OutputAddresses</vt:lpstr>
      <vt:lpstr>'5.70(b.Sensitivity)'!OutputValues</vt:lpstr>
      <vt:lpstr>'5.79 (Sensitivity Analysis)'!OutputValues</vt:lpstr>
      <vt:lpstr>'5.58 (Sensitivty Analysis)'!OutputValues_1</vt:lpstr>
      <vt:lpstr>'5.66(Additional)'!OutputValues_1</vt:lpstr>
      <vt:lpstr>'5.58 (b)'!Production_capacity_boston</vt:lpstr>
      <vt:lpstr>Production_capacity_boston</vt:lpstr>
      <vt:lpstr>'5.58 (b)'!Production_capacity_charlotte</vt:lpstr>
      <vt:lpstr>Production_capacity_charlotte</vt:lpstr>
      <vt:lpstr>'5.58 (b)'!Production_cost_boston</vt:lpstr>
      <vt:lpstr>Production_cost_boston</vt:lpstr>
      <vt:lpstr>'5.58 (b)'!Production_cost_Charlotte</vt:lpstr>
      <vt:lpstr>Production_cost_Charlotte</vt:lpstr>
      <vt:lpstr>'5.58 (b)'!Production_in_Boston</vt:lpstr>
      <vt:lpstr>Production_in_Boston</vt:lpstr>
      <vt:lpstr>'5.58 (b)'!Production_in_Charlotte</vt:lpstr>
      <vt:lpstr>Production_in_Charlotte</vt:lpstr>
      <vt:lpstr>'5.58 (b)'!Qty_Shipped</vt:lpstr>
      <vt:lpstr>Qty_Shipped</vt:lpstr>
      <vt:lpstr>FireEngDispCostOptimization!Supply</vt:lpstr>
      <vt:lpstr>time_matrix</vt:lpstr>
      <vt:lpstr>timematrix</vt:lpstr>
      <vt:lpstr>Total</vt:lpstr>
      <vt:lpstr>Total___of_napkins</vt:lpstr>
      <vt:lpstr>Total__Dispatch__Cost</vt:lpstr>
      <vt:lpstr>Total_cost_of_meeting_demand</vt:lpstr>
      <vt:lpstr>Total_Time</vt:lpstr>
      <vt:lpstr>Total1</vt:lpstr>
      <vt:lpstr>Total2</vt:lpstr>
      <vt:lpstr>Transhipment_Constraints_on_napkins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Mishra</dc:creator>
  <cp:lastModifiedBy>Asutosh Mishra</cp:lastModifiedBy>
  <dcterms:created xsi:type="dcterms:W3CDTF">2022-04-08T02:58:32Z</dcterms:created>
  <dcterms:modified xsi:type="dcterms:W3CDTF">2024-05-27T02:08:03Z</dcterms:modified>
</cp:coreProperties>
</file>