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 tabRatio="837" firstSheet="2" activeTab="5"/>
  </bookViews>
  <sheets>
    <sheet name="FNTYSY" sheetId="26" state="hidden" r:id="rId1"/>
    <sheet name="QNRSMQ" sheetId="25" state="hidden" r:id="rId2"/>
    <sheet name="数据基表" sheetId="39" r:id="rId3"/>
    <sheet name="数据填报" sheetId="12" r:id="rId4"/>
    <sheet name="表一" sheetId="1" r:id="rId5"/>
    <sheet name="表二" sheetId="2" r:id="rId6"/>
    <sheet name="煤炭库存统计表" sheetId="33" r:id="rId7"/>
    <sheet name="煤化工板块调度日志" sheetId="36" r:id="rId8"/>
    <sheet name="大表" sheetId="34" r:id="rId9"/>
    <sheet name="OWONVY" sheetId="23" state="hidden" r:id="rId10"/>
    <sheet name="报调度室简表" sheetId="11" r:id="rId11"/>
    <sheet name="报调度指挥中心" sheetId="19" r:id="rId12"/>
    <sheet name="历史产量" sheetId="3" r:id="rId13"/>
    <sheet name="历史销量" sheetId="9" r:id="rId14"/>
    <sheet name="每月计划粘贴" sheetId="32" r:id="rId15"/>
    <sheet name="分月生产计划" sheetId="4" r:id="rId16"/>
    <sheet name="甲醇库容比" sheetId="40" r:id="rId17"/>
    <sheet name="煤炭库存报调度室" sheetId="41" r:id="rId18"/>
    <sheet name="Sheet1" sheetId="42" r:id="rId19"/>
    <sheet name="报事业部领导 (2)" sheetId="29" state="hidden" r:id="rId20"/>
  </sheets>
  <externalReferences>
    <externalReference r:id="rId21"/>
  </externalReferences>
  <definedNames>
    <definedName name="_xlnm._FilterDatabase" localSheetId="8" hidden="1">大表!$I$6:$I$56</definedName>
    <definedName name="_GoBack" localSheetId="2">数据基表!$L$245</definedName>
    <definedName name="OLE_LINK12" localSheetId="7">煤化工板块调度日志!$C$6</definedName>
    <definedName name="OLE_LINK5" localSheetId="7">煤化工板块调度日志!$C$17</definedName>
    <definedName name="_xlnm.Print_Area" localSheetId="10">报调度室简表!$A$1:$H$11</definedName>
    <definedName name="_xlnm.Print_Area" localSheetId="5">表二!$A$1:$S$52</definedName>
    <definedName name="_xlnm.Print_Area" localSheetId="4">表一!$A$1:$Q$69</definedName>
    <definedName name="_xlnm.Print_Area" localSheetId="3">数据填报!$BO$52:$CE$71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B150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0550-2168078</t>
        </r>
      </text>
    </comment>
  </commentList>
</comments>
</file>

<file path=xl/sharedStrings.xml><?xml version="1.0" encoding="utf-8"?>
<sst xmlns="http://schemas.openxmlformats.org/spreadsheetml/2006/main" count="4489" uniqueCount="650">
  <si>
    <t>晋城煤业集团煤化工板块生产调度情况日报表（一）</t>
  </si>
  <si>
    <t>公司名称：</t>
  </si>
  <si>
    <t>晋煤金石集团</t>
  </si>
  <si>
    <t>单位：吨</t>
  </si>
  <si>
    <t>日期：</t>
  </si>
  <si>
    <t>总氨产量</t>
  </si>
  <si>
    <t>合成氨产量</t>
  </si>
  <si>
    <t>尿素产量</t>
  </si>
  <si>
    <t>甲醇产量</t>
  </si>
  <si>
    <t>其他肥料产量</t>
  </si>
  <si>
    <t>精细化工产品产量</t>
  </si>
  <si>
    <t>当日</t>
  </si>
  <si>
    <t>月累
计划</t>
  </si>
  <si>
    <t>月累
实际</t>
  </si>
  <si>
    <t>年累
计划</t>
  </si>
  <si>
    <t>年累
实际</t>
  </si>
  <si>
    <t>藁城园区</t>
  </si>
  <si>
    <t>金万泰</t>
  </si>
  <si>
    <t>湖北华强</t>
  </si>
  <si>
    <t>金华润</t>
  </si>
  <si>
    <t>安乡金牛</t>
  </si>
  <si>
    <t>合计</t>
  </si>
  <si>
    <t>集团公司煤化工板块生产调度情况日报表（二）</t>
  </si>
  <si>
    <t>单位：吨、元/吨、千克/吨、千万时/吨</t>
  </si>
  <si>
    <t>1900年1月0日</t>
  </si>
  <si>
    <t>尿素销量</t>
  </si>
  <si>
    <t>华强复三聚氰胺</t>
  </si>
  <si>
    <t>元/吨</t>
  </si>
  <si>
    <t>甲醇销量</t>
  </si>
  <si>
    <t>液氨销量</t>
  </si>
  <si>
    <t>其它肥料销量</t>
  </si>
  <si>
    <t>精细化工销量</t>
  </si>
  <si>
    <t>吨氨耗原料煤</t>
  </si>
  <si>
    <t>吨氨耗电</t>
  </si>
  <si>
    <t>吨尿素耗蒸汽</t>
  </si>
  <si>
    <t>吨尿素耗电</t>
  </si>
  <si>
    <t>原料煤情况（含燃料煤）</t>
  </si>
  <si>
    <t>月累计</t>
  </si>
  <si>
    <t>年累计</t>
  </si>
  <si>
    <t>当日
价格</t>
  </si>
  <si>
    <t>库存量</t>
  </si>
  <si>
    <t xml:space="preserve">当日
价格  </t>
  </si>
  <si>
    <t>块煤
库存</t>
  </si>
  <si>
    <t>块煤
日消耗</t>
  </si>
  <si>
    <t>末煤
库存</t>
  </si>
  <si>
    <t>末煤
日消耗</t>
  </si>
  <si>
    <t>燃料煤库存</t>
  </si>
  <si>
    <t>燃料煤消耗</t>
  </si>
  <si>
    <t xml:space="preserve"> </t>
  </si>
  <si>
    <t>未用</t>
  </si>
  <si>
    <t>山西晋丰煤化工有限责任公司</t>
  </si>
  <si>
    <t>晋丰</t>
  </si>
  <si>
    <t>高平</t>
  </si>
  <si>
    <t>闻喜</t>
  </si>
  <si>
    <t>原料煤情况（不含燃料煤）</t>
  </si>
  <si>
    <t>燃料煤</t>
  </si>
  <si>
    <t>库存</t>
  </si>
  <si>
    <t>日消耗</t>
  </si>
  <si>
    <t>高平大颗粒</t>
  </si>
  <si>
    <t xml:space="preserve">                                                               </t>
  </si>
  <si>
    <t>高平大颗粒多肽</t>
  </si>
  <si>
    <t>高平中颗粒</t>
  </si>
  <si>
    <t>高平中颗粒多肽</t>
  </si>
  <si>
    <t>高平小颗粒</t>
  </si>
  <si>
    <t>安全生产及突发事件情况</t>
  </si>
  <si>
    <t>公司名称：河南晋开化工投资控股集团有限责任公司</t>
  </si>
  <si>
    <t>精细化工产量</t>
  </si>
  <si>
    <t>一分</t>
  </si>
  <si>
    <t>二分</t>
  </si>
  <si>
    <t>延化</t>
  </si>
  <si>
    <t>复合肥公司</t>
  </si>
  <si>
    <t>郸城</t>
  </si>
  <si>
    <t>武陟</t>
  </si>
  <si>
    <t>平均售价</t>
  </si>
  <si>
    <t>吨氨耗入炉煤</t>
  </si>
  <si>
    <t>复合肥</t>
  </si>
  <si>
    <t>硝铵</t>
  </si>
  <si>
    <t>多孔</t>
  </si>
  <si>
    <t>一分（精甲醇）</t>
  </si>
  <si>
    <t>延化（粗甲醇）</t>
  </si>
  <si>
    <t>郸城（精甲醇）</t>
  </si>
  <si>
    <t>武陟（粗甲醇）</t>
  </si>
  <si>
    <t>恒盛公司</t>
  </si>
  <si>
    <t>日期：2019年5月3</t>
  </si>
  <si>
    <t>本部</t>
  </si>
  <si>
    <t>恒鑫</t>
  </si>
  <si>
    <t>2019.5.4</t>
  </si>
  <si>
    <t>原料煤情况</t>
  </si>
  <si>
    <t>燃料煤日消耗</t>
  </si>
  <si>
    <t>联盟公司</t>
  </si>
  <si>
    <t>一厂</t>
  </si>
  <si>
    <t>二厂</t>
  </si>
  <si>
    <t>38209</t>
  </si>
  <si>
    <t>燃料末煤</t>
  </si>
  <si>
    <t>山东晋煤明水化工集团有限公司</t>
  </si>
  <si>
    <t>报表填报人</t>
  </si>
  <si>
    <t>手机</t>
  </si>
  <si>
    <t>电话</t>
  </si>
  <si>
    <t>单位</t>
  </si>
  <si>
    <t>明泉科技</t>
  </si>
  <si>
    <t>晋煤明化</t>
  </si>
  <si>
    <t>化肥三厂</t>
  </si>
  <si>
    <t>汉枫明化</t>
  </si>
  <si>
    <t>明升达</t>
  </si>
  <si>
    <t>文登</t>
  </si>
  <si>
    <t>郓城</t>
  </si>
  <si>
    <t>滕州</t>
  </si>
  <si>
    <t>晋煤集团煤化工板块各公司煤炭库存统计表</t>
  </si>
  <si>
    <t>2019.5.5              单位：吨</t>
  </si>
  <si>
    <t>公司名称</t>
  </si>
  <si>
    <t>生产情况（生产、检修）</t>
  </si>
  <si>
    <t>燃料煤情况</t>
  </si>
  <si>
    <t>原料末煤</t>
  </si>
  <si>
    <t>二级公司</t>
  </si>
  <si>
    <t>三级公司</t>
  </si>
  <si>
    <t>可用天数</t>
  </si>
  <si>
    <t>明化本部</t>
  </si>
  <si>
    <t>生产</t>
  </si>
  <si>
    <t>山东晋煤明升达化工有限公司</t>
  </si>
  <si>
    <t>停车</t>
  </si>
  <si>
    <t>郓城县鲁发化工有限公司</t>
  </si>
  <si>
    <t>检修</t>
  </si>
  <si>
    <t>安徽晋煤中能化工股份有限公司</t>
  </si>
  <si>
    <t>精甲醇产量</t>
  </si>
  <si>
    <t>其它肥料产量</t>
  </si>
  <si>
    <t>泉盛</t>
  </si>
  <si>
    <t>新疆</t>
  </si>
  <si>
    <t>精甲醇销量</t>
  </si>
  <si>
    <t>总氨</t>
  </si>
  <si>
    <t>煤耗(kg/t)</t>
  </si>
  <si>
    <t>汽耗(kg/t)</t>
  </si>
  <si>
    <t>电耗(kwh/t)</t>
  </si>
  <si>
    <t>晋煤集团煤化工板块各公司煤炭库存统计表5.5</t>
  </si>
  <si>
    <t>泉盛固定床工艺</t>
  </si>
  <si>
    <t>生产情况（生产、试生产）</t>
  </si>
  <si>
    <t>原料块煤</t>
  </si>
  <si>
    <t>中能化工</t>
  </si>
  <si>
    <t>中能公司</t>
  </si>
  <si>
    <t>泉盛公司</t>
  </si>
  <si>
    <t>新疆公司</t>
  </si>
  <si>
    <t>公司名称：安徽昊源化工集团有限公司</t>
  </si>
  <si>
    <t>昊源本部</t>
  </si>
  <si>
    <t>航天炉</t>
  </si>
  <si>
    <t>公司名称：安徽昊源化工集团</t>
  </si>
  <si>
    <t>单位：吨、元/吨、千克/吨、千瓦时/吨</t>
  </si>
  <si>
    <t>日期：2019.5.31</t>
  </si>
  <si>
    <t>昊源公司</t>
  </si>
  <si>
    <t>本部固定床</t>
  </si>
  <si>
    <t>本部航天炉</t>
  </si>
  <si>
    <t>园区航天炉</t>
  </si>
  <si>
    <t>湖北三宁化工股份有限公司</t>
  </si>
  <si>
    <t xml:space="preserve">单位：吨 </t>
  </si>
  <si>
    <t>合成氨</t>
  </si>
  <si>
    <t>尿素</t>
  </si>
  <si>
    <t>甲醇</t>
  </si>
  <si>
    <t>精细化化工</t>
  </si>
  <si>
    <t>其他肥料</t>
  </si>
  <si>
    <t>当日产量</t>
  </si>
  <si>
    <t>月计划数量</t>
  </si>
  <si>
    <t>月累计产量</t>
  </si>
  <si>
    <t>年计划数量</t>
  </si>
  <si>
    <t>年累计产量</t>
  </si>
  <si>
    <t>三宁</t>
  </si>
  <si>
    <t>液氨</t>
  </si>
  <si>
    <t>已内酰胺</t>
  </si>
  <si>
    <t>当日销量</t>
  </si>
  <si>
    <t>月累计销量</t>
  </si>
  <si>
    <t>年累计销量</t>
  </si>
  <si>
    <t>当日价格</t>
  </si>
  <si>
    <t>吨天耗煤</t>
  </si>
  <si>
    <t>吨月耗煤</t>
  </si>
  <si>
    <t>吨年耗煤</t>
  </si>
  <si>
    <t>吨天耗电</t>
  </si>
  <si>
    <t>吨月耗电</t>
  </si>
  <si>
    <t>吨年耗电</t>
  </si>
  <si>
    <t>吨天耗蒸汽</t>
  </si>
  <si>
    <t>吨月耗蒸汽</t>
  </si>
  <si>
    <t>吨年耗蒸汽</t>
  </si>
  <si>
    <t>块煤库存</t>
  </si>
  <si>
    <t>块煤日消耗</t>
  </si>
  <si>
    <t>末煤库存</t>
  </si>
  <si>
    <t>末煤日消耗</t>
  </si>
  <si>
    <t>名称</t>
  </si>
  <si>
    <t>己内酰胺价格</t>
  </si>
  <si>
    <t>潜江金华润</t>
  </si>
  <si>
    <t>山东晋煤日月化工有限公司</t>
  </si>
  <si>
    <t>日月</t>
  </si>
  <si>
    <t>同辉</t>
  </si>
  <si>
    <t>原料煤</t>
  </si>
  <si>
    <t>晋城煤业集团天溪煤制油分公司</t>
  </si>
  <si>
    <t>石化汽柴油</t>
  </si>
  <si>
    <t>煤基合成油</t>
  </si>
  <si>
    <t>吨合成油耗甲醇</t>
  </si>
  <si>
    <t>吨合成油耗电</t>
  </si>
  <si>
    <t>吨甲醇耗原料煤</t>
  </si>
  <si>
    <t>价格</t>
  </si>
  <si>
    <t>杂醇</t>
  </si>
  <si>
    <t>天溪公司</t>
  </si>
  <si>
    <t>唐山邦力晋银化工有限公司</t>
  </si>
  <si>
    <t>粗</t>
  </si>
  <si>
    <t>（精）</t>
  </si>
  <si>
    <t>零售</t>
  </si>
  <si>
    <t>0（粗）</t>
  </si>
  <si>
    <t xml:space="preserve"> 公司名称</t>
  </si>
  <si>
    <t>晋银公司</t>
  </si>
  <si>
    <t>金象公司</t>
  </si>
  <si>
    <t>天源公司</t>
  </si>
  <si>
    <t>沫煤
库存</t>
  </si>
  <si>
    <t>沫煤
日消耗</t>
  </si>
  <si>
    <t>燃料煤
日消耗</t>
  </si>
  <si>
    <t>河南晋煤天庆煤化工有限公司</t>
  </si>
  <si>
    <t>其他肥料产量(煤制天然气）</t>
  </si>
  <si>
    <t>河南晋煤天庆煤化工有限责任公司</t>
  </si>
  <si>
    <t>LNG</t>
  </si>
  <si>
    <t>晋煤华昱公司</t>
  </si>
  <si>
    <t>/</t>
  </si>
  <si>
    <t>2019.5.5</t>
  </si>
  <si>
    <t>甲醇（销量）</t>
  </si>
  <si>
    <t>吨甲醇耗电</t>
  </si>
  <si>
    <t>燃煤库存</t>
  </si>
  <si>
    <t>原煤库存</t>
  </si>
  <si>
    <t>杂醇销售量</t>
  </si>
  <si>
    <t>杂醇价格</t>
  </si>
  <si>
    <t>联盟
石油</t>
  </si>
  <si>
    <t>石化产品产量</t>
  </si>
  <si>
    <t>日计划量</t>
  </si>
  <si>
    <t>月计划</t>
  </si>
  <si>
    <t>月累实际</t>
  </si>
  <si>
    <t>月累超亏</t>
  </si>
  <si>
    <t>年计划</t>
  </si>
  <si>
    <t>年累实际</t>
  </si>
  <si>
    <t>年累超亏</t>
  </si>
  <si>
    <t>汽油</t>
  </si>
  <si>
    <t>柴油</t>
  </si>
  <si>
    <t>石化汽、柴油销量（吨）</t>
  </si>
  <si>
    <t xml:space="preserve">当日价格  </t>
  </si>
  <si>
    <t>今日值班：</t>
  </si>
  <si>
    <t>尚志宏 闫军</t>
  </si>
  <si>
    <t>本月天数</t>
  </si>
  <si>
    <t>累计天数</t>
  </si>
  <si>
    <t>年度累计
天数</t>
  </si>
  <si>
    <t>调度情况日报表一(产品产量)</t>
  </si>
  <si>
    <t>调度情况日报表二（产品销售）</t>
  </si>
  <si>
    <t>调度情况日报表二（产品消耗）</t>
  </si>
  <si>
    <t>日报表二（原料煤情况）</t>
  </si>
  <si>
    <t>复合肥料</t>
  </si>
  <si>
    <t>精细化工</t>
  </si>
  <si>
    <t>石化产品</t>
  </si>
  <si>
    <t>合成油</t>
  </si>
  <si>
    <t>复合</t>
  </si>
  <si>
    <t>精细</t>
  </si>
  <si>
    <t>块煤</t>
  </si>
  <si>
    <t>末煤</t>
  </si>
  <si>
    <t>月累</t>
  </si>
  <si>
    <t>年累</t>
  </si>
  <si>
    <t>金石</t>
  </si>
  <si>
    <t>晋开</t>
  </si>
  <si>
    <t>恒盛</t>
  </si>
  <si>
    <t>联盟</t>
  </si>
  <si>
    <t>明水</t>
  </si>
  <si>
    <t>中能</t>
  </si>
  <si>
    <t>昊源</t>
  </si>
  <si>
    <t>天溪</t>
  </si>
  <si>
    <t>双多</t>
  </si>
  <si>
    <t>晋巨</t>
  </si>
  <si>
    <t>晋银</t>
  </si>
  <si>
    <t>金象</t>
  </si>
  <si>
    <t>天源</t>
  </si>
  <si>
    <t>天庆</t>
  </si>
  <si>
    <t>华昱</t>
  </si>
  <si>
    <t>石油</t>
  </si>
  <si>
    <t>原料末煤库存</t>
  </si>
  <si>
    <t>燃料末煤库存</t>
  </si>
  <si>
    <t>昨
日
月
累</t>
  </si>
  <si>
    <t>肥料</t>
  </si>
  <si>
    <t>石化</t>
  </si>
  <si>
    <t>今日库存</t>
  </si>
  <si>
    <t>选
择
性
粘
贴
至
此
处</t>
  </si>
  <si>
    <t>尿素产销差值</t>
  </si>
  <si>
    <t>甲醇产销差值</t>
  </si>
  <si>
    <t>华强400 金华润400 金源100</t>
  </si>
  <si>
    <t>三宁400</t>
  </si>
  <si>
    <t>日月400</t>
  </si>
  <si>
    <t>晋巨400</t>
  </si>
  <si>
    <t>.</t>
  </si>
  <si>
    <t xml:space="preserve">今
日
月
累
</t>
  </si>
  <si>
    <t>复
制
此
处</t>
  </si>
  <si>
    <t>尿素当日产销率</t>
  </si>
  <si>
    <t>销量</t>
  </si>
  <si>
    <t>昨日价格</t>
  </si>
  <si>
    <t>差值</t>
  </si>
  <si>
    <t>库存增减</t>
  </si>
  <si>
    <t>甲醇当日产销率</t>
  </si>
  <si>
    <t>产量</t>
  </si>
  <si>
    <t>q</t>
  </si>
  <si>
    <t>0(精）</t>
  </si>
  <si>
    <t>月修改项目</t>
  </si>
  <si>
    <t>各公司当月生产计划</t>
  </si>
  <si>
    <t>本月计划</t>
  </si>
  <si>
    <t>截止今日完成比例：</t>
  </si>
  <si>
    <t>月累计划</t>
  </si>
  <si>
    <t>年累计划</t>
  </si>
  <si>
    <t>月生产计划</t>
  </si>
  <si>
    <t>晋煤金石</t>
  </si>
  <si>
    <t>山西晋丰</t>
  </si>
  <si>
    <t>河南晋开</t>
  </si>
  <si>
    <t>江苏恒盛</t>
  </si>
  <si>
    <t>山东联盟</t>
  </si>
  <si>
    <t>山东明水</t>
  </si>
  <si>
    <t>安徽中能</t>
  </si>
  <si>
    <t>安徽昊源</t>
  </si>
  <si>
    <t>湖北三宁</t>
  </si>
  <si>
    <t>山东日月</t>
  </si>
  <si>
    <t>晋煤天溪</t>
  </si>
  <si>
    <t>江苏双多</t>
  </si>
  <si>
    <t>唐山晋银</t>
  </si>
  <si>
    <t>山西金象</t>
  </si>
  <si>
    <t>山西天源</t>
  </si>
  <si>
    <t>晋煤天庆</t>
  </si>
  <si>
    <t>晋煤华昱</t>
  </si>
  <si>
    <t>截至今日完成比例：</t>
  </si>
  <si>
    <t>复合肥料产量</t>
  </si>
  <si>
    <t>煤基合成油产量</t>
  </si>
  <si>
    <t>联盟石油</t>
  </si>
  <si>
    <t>今日产量
影响因素</t>
  </si>
  <si>
    <t>检修系统：1、明升达公司因建设新项目，老厂于2019年3月30日0时停车，新项目已进入试生产阶段。</t>
  </si>
  <si>
    <t>上周</t>
  </si>
  <si>
    <t>本周</t>
  </si>
  <si>
    <t>31日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</si>
  <si>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</si>
  <si>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</si>
  <si>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</si>
  <si>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</si>
  <si>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</si>
  <si>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</si>
  <si>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</si>
  <si>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</si>
  <si>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</si>
  <si>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</si>
  <si>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</si>
  <si>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</si>
  <si>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</si>
  <si>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</si>
  <si>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今日</t>
  </si>
  <si>
    <t>复合肥产量</t>
  </si>
  <si>
    <t>精细产量</t>
  </si>
  <si>
    <t>全年计划</t>
  </si>
  <si>
    <t>周计划</t>
  </si>
  <si>
    <t>序时计划</t>
  </si>
  <si>
    <t>实际时序比</t>
  </si>
  <si>
    <t>实际时序差</t>
  </si>
  <si>
    <t>实际年计划比</t>
  </si>
  <si>
    <t>产品销售情况</t>
  </si>
  <si>
    <t>产品消耗情况</t>
  </si>
  <si>
    <t>复合肥料销量</t>
  </si>
  <si>
    <t>煤基合成油销量（吨）</t>
  </si>
  <si>
    <t>原料煤紧张单位</t>
  </si>
  <si>
    <r>
      <rPr>
        <sz val="12"/>
        <rFont val="宋体"/>
        <charset val="134"/>
      </rPr>
      <t xml:space="preserve">今日生产及突发事件
情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况</t>
    </r>
  </si>
  <si>
    <t>1、满负荷运行公司21家：天溪公司、天源公司、晋丰高平公司、金象公司、晋开二分公司、联盟公司、明水本部、明升达公司、金华润公司、明泉公司、中能公司、恒盛公司、金牛公司、昊源公司、天庆公司、三宁公司、晋银公司、新疆万源公司、华强公司、联盟石油公司、日月公司。2、减量运行公司1家：金石藁城公司。3、停车公司3家：泉盛公司、华昱公司、晋丰闻喜公司。4、停产公司5家：双多公司因搬迁改造停产、金万泰公司因环保原因停产，延化公司因搬迁改造停产、晋开一分公司因项目搬迁原因停产，武陟绿宇公司因产能落后停产。5、板块整体煤炭库容比为59.68%。</t>
  </si>
  <si>
    <t>尿素价格</t>
  </si>
  <si>
    <t>甲醇价格</t>
  </si>
  <si>
    <t>吨氨耗煤</t>
  </si>
  <si>
    <t>原料块煤库存</t>
  </si>
  <si>
    <t>三聚氰胺价格</t>
  </si>
  <si>
    <t>甲醇算数平均价格</t>
  </si>
  <si>
    <t>甲醇产量加权价格</t>
  </si>
  <si>
    <t>液氨价格</t>
  </si>
  <si>
    <t>煤化工板块各公司煤炭库存统计表</t>
  </si>
  <si>
    <t>单位：吨、天</t>
  </si>
  <si>
    <t>序
号</t>
  </si>
  <si>
    <t>剩余可用库存</t>
  </si>
  <si>
    <t>总计</t>
  </si>
  <si>
    <t>板块整体煤炭库容比</t>
  </si>
  <si>
    <t>%</t>
  </si>
  <si>
    <t>小计</t>
  </si>
  <si>
    <t>晋煤金石化工</t>
  </si>
  <si>
    <t>藁城</t>
  </si>
  <si>
    <t>减量生产</t>
  </si>
  <si>
    <t>停车检修</t>
  </si>
  <si>
    <t>华强</t>
  </si>
  <si>
    <t>正常生产</t>
  </si>
  <si>
    <t>金牛</t>
  </si>
  <si>
    <t xml:space="preserve">晋丰   化工 </t>
  </si>
  <si>
    <t>高平公司</t>
  </si>
  <si>
    <t>闻喜公司</t>
  </si>
  <si>
    <t>河南晋开化工</t>
  </si>
  <si>
    <t>一分公司</t>
  </si>
  <si>
    <t>停产</t>
  </si>
  <si>
    <t>二分公司</t>
  </si>
  <si>
    <t>延化化工</t>
  </si>
  <si>
    <t>太康昕洲</t>
  </si>
  <si>
    <t>郸城晋鑫</t>
  </si>
  <si>
    <t>武陟绿宇</t>
  </si>
  <si>
    <t>江苏晋煤恒盛</t>
  </si>
  <si>
    <t>山东联盟化工</t>
  </si>
  <si>
    <t>山东晋煤明水</t>
  </si>
  <si>
    <t>郓城鲁发</t>
  </si>
  <si>
    <t>山东晋煤日月</t>
  </si>
  <si>
    <t>日月同辉</t>
  </si>
  <si>
    <t>未报</t>
  </si>
  <si>
    <t>安徽晋煤中能</t>
  </si>
  <si>
    <t>泉盛化工</t>
  </si>
  <si>
    <t>新疆万源</t>
  </si>
  <si>
    <t>系统开车</t>
  </si>
  <si>
    <t>安徽昊源化工</t>
  </si>
  <si>
    <t>阜阳昊源</t>
  </si>
  <si>
    <t>阜南新天</t>
  </si>
  <si>
    <t>界首昊源</t>
  </si>
  <si>
    <t>新材料</t>
  </si>
  <si>
    <t>湖北三宁化工</t>
  </si>
  <si>
    <t>三宁本部</t>
  </si>
  <si>
    <t>田田化工</t>
  </si>
  <si>
    <t>江苏双多化工</t>
  </si>
  <si>
    <t xml:space="preserve"> 停车</t>
  </si>
  <si>
    <t>唐山晋银化工</t>
  </si>
  <si>
    <t>山西金象化工</t>
  </si>
  <si>
    <t>山西晋煤天源</t>
  </si>
  <si>
    <t>天溪煤制油</t>
  </si>
  <si>
    <t>晋煤天庆公司</t>
  </si>
  <si>
    <t>华昱公司</t>
  </si>
  <si>
    <t>公路运输公司煤炭库存及产品库存情况汇总表</t>
  </si>
  <si>
    <t>块煤最大库存</t>
  </si>
  <si>
    <t>生产情况</t>
  </si>
  <si>
    <t>块煤情况</t>
  </si>
  <si>
    <t>末煤情况</t>
  </si>
  <si>
    <t>尿素库存</t>
  </si>
  <si>
    <t>甲醇库存</t>
  </si>
  <si>
    <t>可用天</t>
  </si>
  <si>
    <t>块煤最大库容可用天数</t>
  </si>
  <si>
    <t>末煤最大库容可用天数</t>
  </si>
  <si>
    <t>末煤最大库存</t>
  </si>
  <si>
    <t xml:space="preserve">晋丰高平公司 </t>
  </si>
  <si>
    <t>天庆公司</t>
  </si>
  <si>
    <t>煤化工板块调度日志</t>
  </si>
  <si>
    <t>值班长：</t>
  </si>
  <si>
    <t>项目</t>
  </si>
  <si>
    <t>计划</t>
  </si>
  <si>
    <t>实际</t>
  </si>
  <si>
    <t>氨醇</t>
  </si>
  <si>
    <t>天
溪
公
司</t>
  </si>
  <si>
    <t>煤炭库存</t>
  </si>
  <si>
    <t>安全
生产
情况</t>
  </si>
  <si>
    <t>总氨计划</t>
  </si>
  <si>
    <t>昨日总氨</t>
  </si>
  <si>
    <t>合成氨计划</t>
  </si>
  <si>
    <t>昨日合成氨</t>
  </si>
  <si>
    <t>甲醇计划</t>
  </si>
  <si>
    <t>昨日甲醇</t>
  </si>
  <si>
    <t>尿素计划</t>
  </si>
  <si>
    <t>昨日尿素</t>
  </si>
  <si>
    <t>日计划</t>
  </si>
  <si>
    <t>全年日均
计划</t>
  </si>
  <si>
    <t>超亏</t>
  </si>
  <si>
    <t>`煤化工板块总氨尿素产量、主产品售价、煤耗、存煤日报表</t>
  </si>
  <si>
    <t>单位：吨、元/吨</t>
  </si>
  <si>
    <t>计划完成率%</t>
  </si>
  <si>
    <t>生产
情况</t>
  </si>
  <si>
    <t>主产品售价</t>
  </si>
  <si>
    <t>煤炭消耗</t>
  </si>
  <si>
    <t>煤炭发运</t>
  </si>
  <si>
    <t>原料
块煤</t>
  </si>
  <si>
    <t>原料
末煤</t>
  </si>
  <si>
    <t>燃料
末煤</t>
  </si>
  <si>
    <t>产量差值</t>
  </si>
  <si>
    <t>影响原因</t>
  </si>
  <si>
    <t>晋丰化工</t>
  </si>
  <si>
    <t>山西晋丰化工</t>
  </si>
  <si>
    <t>调整工况</t>
  </si>
  <si>
    <t>太康</t>
  </si>
  <si>
    <t>万源</t>
  </si>
  <si>
    <t>晋煤天溪煤制油</t>
  </si>
  <si>
    <t>加负荷调整工况</t>
  </si>
  <si>
    <t>鲁发</t>
  </si>
  <si>
    <t>界首</t>
  </si>
  <si>
    <t>新天</t>
  </si>
  <si>
    <t>田田</t>
  </si>
  <si>
    <t>晋能控股装备制造集团煤化工板块生产调度情况日报简表</t>
  </si>
  <si>
    <t>填报单位：煤化工事业部</t>
  </si>
  <si>
    <t xml:space="preserve">  单位：吨</t>
  </si>
  <si>
    <t>煤炭消耗量</t>
  </si>
  <si>
    <t>自供煤</t>
  </si>
  <si>
    <t>外供煤</t>
  </si>
  <si>
    <t xml:space="preserve">安全生产及
突发事件情况 </t>
  </si>
  <si>
    <t>值班人员</t>
  </si>
  <si>
    <r>
      <rPr>
        <sz val="14"/>
        <rFont val="楷体_GB2312"/>
        <charset val="134"/>
      </rPr>
      <t>集团公司调度指挥中心</t>
    </r>
    <r>
      <rPr>
        <sz val="14"/>
        <rFont val="Times New Roman"/>
        <charset val="134"/>
      </rPr>
      <t xml:space="preserve">    </t>
    </r>
    <r>
      <rPr>
        <sz val="14"/>
        <rFont val="楷体_GB2312"/>
        <charset val="134"/>
      </rPr>
      <t>电话：</t>
    </r>
    <r>
      <rPr>
        <sz val="14"/>
        <rFont val="Times New Roman"/>
        <charset val="134"/>
      </rPr>
      <t>0356-3668525</t>
    </r>
    <r>
      <rPr>
        <sz val="14"/>
        <rFont val="楷体_GB2312"/>
        <charset val="134"/>
      </rPr>
      <t>、</t>
    </r>
    <r>
      <rPr>
        <sz val="14"/>
        <rFont val="Times New Roman"/>
        <charset val="134"/>
      </rPr>
      <t>0356-3668575</t>
    </r>
    <r>
      <rPr>
        <sz val="14"/>
        <rFont val="楷体_GB2312"/>
        <charset val="134"/>
      </rPr>
      <t>、</t>
    </r>
    <r>
      <rPr>
        <sz val="14"/>
        <rFont val="Times New Roman"/>
        <charset val="134"/>
      </rPr>
      <t>0356-3665075</t>
    </r>
    <r>
      <rPr>
        <sz val="14"/>
        <rFont val="楷体_GB2312"/>
        <charset val="134"/>
      </rPr>
      <t>；传真：</t>
    </r>
    <r>
      <rPr>
        <sz val="14"/>
        <rFont val="Times New Roman"/>
        <charset val="134"/>
      </rPr>
      <t>0356-3668527</t>
    </r>
    <r>
      <rPr>
        <sz val="14"/>
        <rFont val="楷体_GB2312"/>
        <charset val="134"/>
      </rPr>
      <t>。</t>
    </r>
  </si>
  <si>
    <r>
      <rPr>
        <sz val="14"/>
        <rFont val="楷体_GB2312"/>
        <charset val="134"/>
      </rPr>
      <t>煤化工事业部调度</t>
    </r>
    <r>
      <rPr>
        <sz val="14"/>
        <rFont val="Times New Roman"/>
        <charset val="134"/>
      </rPr>
      <t xml:space="preserve">    </t>
    </r>
    <r>
      <rPr>
        <sz val="14"/>
        <rFont val="楷体_GB2312"/>
        <charset val="134"/>
      </rPr>
      <t>电话：</t>
    </r>
    <r>
      <rPr>
        <sz val="14"/>
        <rFont val="Times New Roman"/>
        <charset val="134"/>
      </rPr>
      <t>0356-3668301</t>
    </r>
    <r>
      <rPr>
        <sz val="14"/>
        <rFont val="楷体_GB2312"/>
        <charset val="134"/>
      </rPr>
      <t>；传真：</t>
    </r>
    <r>
      <rPr>
        <sz val="14"/>
        <rFont val="Times New Roman"/>
        <charset val="134"/>
      </rPr>
      <t>0356-3668301</t>
    </r>
    <r>
      <rPr>
        <sz val="14"/>
        <rFont val="楷体_GB2312"/>
        <charset val="134"/>
      </rPr>
      <t>；邮箱：</t>
    </r>
    <r>
      <rPr>
        <sz val="14"/>
        <rFont val="Times New Roman"/>
        <charset val="134"/>
      </rPr>
      <t>mhgdiaodu@163.com</t>
    </r>
    <r>
      <rPr>
        <sz val="14"/>
        <rFont val="楷体_GB2312"/>
        <charset val="134"/>
      </rPr>
      <t>。</t>
    </r>
  </si>
  <si>
    <t>集团公司煤化工板块主要产品库存和售价情况表</t>
  </si>
  <si>
    <t xml:space="preserve">   单位：吨、元/吨</t>
  </si>
  <si>
    <t>月累销量</t>
  </si>
  <si>
    <t>年累销量</t>
  </si>
  <si>
    <t>当日库存</t>
  </si>
  <si>
    <t>尿素产品</t>
  </si>
  <si>
    <t>甲醇产品</t>
  </si>
  <si>
    <t>备    注</t>
  </si>
  <si>
    <r>
      <rPr>
        <sz val="14"/>
        <rFont val="楷体_GB2312"/>
        <charset val="134"/>
      </rPr>
      <t>煤化工事业部调度</t>
    </r>
    <r>
      <rPr>
        <sz val="14"/>
        <rFont val="Times New Roman"/>
        <charset val="134"/>
      </rPr>
      <t xml:space="preserve">    </t>
    </r>
    <r>
      <rPr>
        <sz val="14"/>
        <rFont val="楷体_GB2312"/>
        <charset val="134"/>
      </rPr>
      <t>电话：</t>
    </r>
    <r>
      <rPr>
        <sz val="14"/>
        <rFont val="Times New Roman"/>
        <charset val="134"/>
      </rPr>
      <t>0356-3668301</t>
    </r>
    <r>
      <rPr>
        <sz val="14"/>
        <rFont val="楷体_GB2312"/>
        <charset val="134"/>
      </rPr>
      <t>；传真：</t>
    </r>
    <r>
      <rPr>
        <sz val="14"/>
        <rFont val="Times New Roman"/>
        <charset val="134"/>
      </rPr>
      <t>0356-3668519</t>
    </r>
    <r>
      <rPr>
        <sz val="14"/>
        <rFont val="楷体_GB2312"/>
        <charset val="134"/>
      </rPr>
      <t>；邮箱：</t>
    </r>
    <r>
      <rPr>
        <sz val="14"/>
        <rFont val="Times New Roman"/>
        <charset val="134"/>
      </rPr>
      <t>mhgdiaodu@163.com</t>
    </r>
    <r>
      <rPr>
        <sz val="14"/>
        <rFont val="楷体_GB2312"/>
        <charset val="134"/>
      </rPr>
      <t>。</t>
    </r>
  </si>
  <si>
    <t>发展规划处提供各化工公司历史产量完成情况</t>
  </si>
  <si>
    <t>总氨产量分月完成情况</t>
  </si>
  <si>
    <t>1月
未核准</t>
  </si>
  <si>
    <t>2月
已核准</t>
  </si>
  <si>
    <t>3月
已核准</t>
  </si>
  <si>
    <t>4月
已核准</t>
  </si>
  <si>
    <t>5月
已核准</t>
  </si>
  <si>
    <t>6月
已核准</t>
  </si>
  <si>
    <t>7月
已核准</t>
  </si>
  <si>
    <t>8月
已核准</t>
  </si>
  <si>
    <t>9月
已核准</t>
  </si>
  <si>
    <t>10月
已核准</t>
  </si>
  <si>
    <t>11月
已核准</t>
  </si>
  <si>
    <t>12月
未核准</t>
  </si>
  <si>
    <t>金石公司</t>
  </si>
  <si>
    <t>晋丰公司</t>
  </si>
  <si>
    <t>晋开公司</t>
  </si>
  <si>
    <t>联盟化工</t>
  </si>
  <si>
    <t>明水公司</t>
  </si>
  <si>
    <t>三宁公司</t>
  </si>
  <si>
    <t>日月公司</t>
  </si>
  <si>
    <t>双多公司</t>
  </si>
  <si>
    <t>合成氨产量分月完成情况</t>
  </si>
  <si>
    <t>尿素产量分月完成情况</t>
  </si>
  <si>
    <t>甲醇产量分月完成情况</t>
  </si>
  <si>
    <t>复合肥产量分月完成情况</t>
  </si>
  <si>
    <t>精细化工产品产量分月完成情况</t>
  </si>
  <si>
    <t>石化产品产量分月完成情况</t>
  </si>
  <si>
    <t>煤基合成油产量分月完成情况</t>
  </si>
  <si>
    <t>2月    已核准</t>
  </si>
  <si>
    <t>发展规划处提供各化工公司历史销量完成情况</t>
  </si>
  <si>
    <t>尿素销量分月完成情况</t>
  </si>
  <si>
    <t>甲醇销量分月完成情况</t>
  </si>
  <si>
    <t>液氨销量分月完成情况</t>
  </si>
  <si>
    <t>其他肥料销量分月完成情况</t>
  </si>
  <si>
    <t>精细化工产品销量分月完成情况</t>
  </si>
  <si>
    <t>石化产品销量分月完成情况</t>
  </si>
  <si>
    <t>煤基合成油销量分月完成情况</t>
  </si>
  <si>
    <t>氨醇、合成、甲醇生产计划表</t>
  </si>
  <si>
    <t>尿素、精细、肥料生产计划表</t>
  </si>
  <si>
    <t>基于经济运行处所报表 计划最终表</t>
  </si>
  <si>
    <t>月天数</t>
  </si>
  <si>
    <t>年天数</t>
  </si>
  <si>
    <t>单位名称</t>
  </si>
  <si>
    <t>氨醇总量(万吨)</t>
  </si>
  <si>
    <t>合成氨产量(万吨)</t>
  </si>
  <si>
    <t>甲醇产量(万吨)</t>
  </si>
  <si>
    <t>尿素产量(万吨)</t>
  </si>
  <si>
    <t>精细化工产量(万吨)</t>
  </si>
  <si>
    <t>其它肥料产量(万吨)</t>
  </si>
  <si>
    <t>本月下达</t>
  </si>
  <si>
    <t>下达日计划</t>
  </si>
  <si>
    <t>单位 项目</t>
  </si>
  <si>
    <t>晋煤
金石化工</t>
  </si>
  <si>
    <t>——</t>
  </si>
  <si>
    <t>开封晋开</t>
  </si>
  <si>
    <t>河北金万泰</t>
  </si>
  <si>
    <t>金石化肥</t>
  </si>
  <si>
    <t>天成</t>
  </si>
  <si>
    <t>河北冀衡</t>
  </si>
  <si>
    <t>冀州银海</t>
  </si>
  <si>
    <t>河南天庆</t>
  </si>
  <si>
    <t>湖北潜江</t>
  </si>
  <si>
    <t>湖北金楚</t>
  </si>
  <si>
    <t>安徽金龙源</t>
  </si>
  <si>
    <t>山西
晋丰化工</t>
  </si>
  <si>
    <t>章丘日月</t>
  </si>
  <si>
    <t>河南
晋开化工</t>
  </si>
  <si>
    <t>唐山邦力</t>
  </si>
  <si>
    <t>一分(本部)</t>
  </si>
  <si>
    <t>二分(本部)</t>
  </si>
  <si>
    <t>晋开绿宇</t>
  </si>
  <si>
    <t>板块合计</t>
  </si>
  <si>
    <t>晋开郸城</t>
  </si>
  <si>
    <t>晋丰本部</t>
  </si>
  <si>
    <t>晋开延化</t>
  </si>
  <si>
    <t>晋丰闻喜</t>
  </si>
  <si>
    <t>中能本部</t>
  </si>
  <si>
    <t>江苏
晋煤恒盛</t>
  </si>
  <si>
    <t>恒盛本部</t>
  </si>
  <si>
    <t>恒鑫化工</t>
  </si>
  <si>
    <t>金石园区</t>
  </si>
  <si>
    <t>生物化工</t>
  </si>
  <si>
    <t>联盟一厂</t>
  </si>
  <si>
    <t>联盟二厂</t>
  </si>
  <si>
    <t>山东
晋煤明水</t>
  </si>
  <si>
    <t>明水本部</t>
  </si>
  <si>
    <t>明升达公司</t>
  </si>
  <si>
    <t>郓城公司</t>
  </si>
  <si>
    <t>安徽
晋煤中能</t>
  </si>
  <si>
    <t>临泉化工</t>
  </si>
  <si>
    <t>临化泉盛</t>
  </si>
  <si>
    <t>安徽
昊源化工</t>
  </si>
  <si>
    <t>新天化</t>
  </si>
  <si>
    <t>湖北
三宁化工</t>
  </si>
  <si>
    <t>宜昌田田</t>
  </si>
  <si>
    <t>宜昌富升</t>
  </si>
  <si>
    <t>浙江晋巨化工</t>
  </si>
  <si>
    <t>河南晋煤天庆</t>
  </si>
  <si>
    <t>天溪（油品）</t>
  </si>
  <si>
    <t>石油（油品）</t>
  </si>
  <si>
    <t>其他</t>
  </si>
  <si>
    <t>绍兴</t>
  </si>
  <si>
    <t>发展规划处提供各化工公司每月生产计划</t>
  </si>
  <si>
    <t>总氨分月生产计划</t>
  </si>
  <si>
    <t>年度计划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</si>
  <si>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</si>
  <si>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</si>
  <si>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</si>
  <si>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</si>
  <si>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</si>
  <si>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</si>
  <si>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</si>
  <si>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</si>
  <si>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</si>
  <si>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</si>
  <si>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</si>
  <si>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</si>
  <si>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年累计计划</t>
  </si>
  <si>
    <t>合成氨分月生产计划</t>
  </si>
  <si>
    <t>尿素分月生产计划</t>
  </si>
  <si>
    <t>甲醇分月生产计划</t>
  </si>
  <si>
    <t>其他肥料分月生产计划</t>
  </si>
  <si>
    <t>精细化工产品分月生产计划</t>
  </si>
  <si>
    <t>石化产品分月生产计划</t>
  </si>
  <si>
    <t>煤基合成油分月生产计划</t>
  </si>
  <si>
    <t>最大储量</t>
  </si>
  <si>
    <t>库容比%</t>
  </si>
  <si>
    <t>河北金石</t>
  </si>
  <si>
    <t xml:space="preserve">山西晋丰   </t>
  </si>
  <si>
    <t>正在开车</t>
  </si>
  <si>
    <t>金石化工</t>
  </si>
  <si>
    <t>当日计划</t>
  </si>
  <si>
    <t>年度累计</t>
  </si>
  <si>
    <t>今日年累计</t>
  </si>
  <si>
    <t>序时计划产量</t>
  </si>
  <si>
    <t>序时计划比</t>
  </si>
  <si>
    <t>晋城地区</t>
  </si>
  <si>
    <t>河北地区</t>
  </si>
  <si>
    <t>河南地区</t>
  </si>
  <si>
    <t>华东地区</t>
  </si>
  <si>
    <t>山东地区</t>
  </si>
  <si>
    <t>安徽地区</t>
  </si>
  <si>
    <t>湖北地区</t>
  </si>
  <si>
    <t>平均</t>
  </si>
  <si>
    <r>
      <rPr>
        <sz val="10"/>
        <color rgb="FF000000"/>
        <rFont val="宋体"/>
        <charset val="134"/>
      </rPr>
      <t>1199</t>
    </r>
    <r>
      <rPr>
        <sz val="10"/>
        <color rgb="FF000000"/>
        <rFont val="宋体"/>
        <charset val="134"/>
      </rPr>
      <t> </t>
    </r>
  </si>
  <si>
    <r>
      <rPr>
        <sz val="10"/>
        <color rgb="FF000000"/>
        <rFont val="宋体"/>
        <charset val="134"/>
      </rPr>
      <t>1</t>
    </r>
    <r>
      <rPr>
        <sz val="10"/>
        <color rgb="FF000000"/>
        <rFont val="宋体"/>
        <charset val="134"/>
      </rPr>
      <t>211</t>
    </r>
    <r>
      <rPr>
        <sz val="10"/>
        <color rgb="FF000000"/>
        <rFont val="宋体"/>
        <charset val="134"/>
      </rPr>
      <t> </t>
    </r>
  </si>
  <si>
    <r>
      <rPr>
        <sz val="10"/>
        <color rgb="FF000000"/>
        <rFont val="宋体"/>
        <charset val="134"/>
      </rPr>
      <t>1</t>
    </r>
    <r>
      <rPr>
        <sz val="10"/>
        <color rgb="FF000000"/>
        <rFont val="宋体"/>
        <charset val="134"/>
      </rPr>
      <t>238</t>
    </r>
    <r>
      <rPr>
        <sz val="10"/>
        <color rgb="FF000000"/>
        <rFont val="宋体"/>
        <charset val="134"/>
      </rPr>
      <t> </t>
    </r>
  </si>
  <si>
    <t>晋城煤业集团煤化工板块生产调度情况日报简表</t>
  </si>
  <si>
    <t>天溪甲醇</t>
  </si>
  <si>
    <t>日序时计划</t>
  </si>
  <si>
    <t>日实际完成</t>
  </si>
  <si>
    <t xml:space="preserve">安全生产情况 </t>
  </si>
  <si>
    <r>
      <rPr>
        <sz val="12"/>
        <rFont val="宋体"/>
        <charset val="134"/>
      </rPr>
      <t>集团公司调度指挥中心</t>
    </r>
    <r>
      <rPr>
        <sz val="14"/>
        <rFont val="Times New Roman"/>
        <charset val="134"/>
      </rPr>
      <t xml:space="preserve">    </t>
    </r>
    <r>
      <rPr>
        <sz val="14"/>
        <rFont val="楷体_GB2312"/>
        <charset val="134"/>
      </rPr>
      <t>电话：</t>
    </r>
    <r>
      <rPr>
        <sz val="14"/>
        <rFont val="Times New Roman"/>
        <charset val="134"/>
      </rPr>
      <t>0356-3668525</t>
    </r>
    <r>
      <rPr>
        <sz val="14"/>
        <rFont val="楷体_GB2312"/>
        <charset val="134"/>
      </rPr>
      <t>、</t>
    </r>
    <r>
      <rPr>
        <sz val="14"/>
        <rFont val="Times New Roman"/>
        <charset val="134"/>
      </rPr>
      <t>0356-3668575</t>
    </r>
    <r>
      <rPr>
        <sz val="14"/>
        <rFont val="楷体_GB2312"/>
        <charset val="134"/>
      </rPr>
      <t>、</t>
    </r>
    <r>
      <rPr>
        <sz val="14"/>
        <rFont val="Times New Roman"/>
        <charset val="134"/>
      </rPr>
      <t>0356-3665075</t>
    </r>
    <r>
      <rPr>
        <sz val="14"/>
        <rFont val="楷体_GB2312"/>
        <charset val="134"/>
      </rPr>
      <t>；传真：</t>
    </r>
    <r>
      <rPr>
        <sz val="14"/>
        <rFont val="Times New Roman"/>
        <charset val="134"/>
      </rPr>
      <t>0356-3668527</t>
    </r>
    <r>
      <rPr>
        <sz val="14"/>
        <rFont val="楷体_GB2312"/>
        <charset val="134"/>
      </rPr>
      <t>。</t>
    </r>
  </si>
  <si>
    <r>
      <rPr>
        <sz val="12"/>
        <rFont val="宋体"/>
        <charset val="134"/>
      </rPr>
      <t>煤化工事业部调度</t>
    </r>
    <r>
      <rPr>
        <sz val="14"/>
        <rFont val="Times New Roman"/>
        <charset val="134"/>
      </rPr>
      <t xml:space="preserve">    </t>
    </r>
    <r>
      <rPr>
        <sz val="14"/>
        <rFont val="楷体_GB2312"/>
        <charset val="134"/>
      </rPr>
      <t>电话：</t>
    </r>
    <r>
      <rPr>
        <sz val="14"/>
        <rFont val="Times New Roman"/>
        <charset val="134"/>
      </rPr>
      <t>0356-3668301</t>
    </r>
    <r>
      <rPr>
        <sz val="14"/>
        <rFont val="楷体_GB2312"/>
        <charset val="134"/>
      </rPr>
      <t>；传真：</t>
    </r>
    <r>
      <rPr>
        <sz val="14"/>
        <rFont val="Times New Roman"/>
        <charset val="134"/>
      </rPr>
      <t>0356-3668519</t>
    </r>
    <r>
      <rPr>
        <sz val="14"/>
        <rFont val="楷体_GB2312"/>
        <charset val="134"/>
      </rPr>
      <t>；邮箱：</t>
    </r>
    <r>
      <rPr>
        <sz val="14"/>
        <rFont val="Times New Roman"/>
        <charset val="134"/>
      </rPr>
      <t>mhgdiaodu@163.com</t>
    </r>
    <r>
      <rPr>
        <sz val="14"/>
        <rFont val="楷体_GB2312"/>
        <charset val="134"/>
      </rPr>
      <t>。</t>
    </r>
  </si>
</sst>
</file>

<file path=xl/styles.xml><?xml version="1.0" encoding="utf-8"?>
<styleSheet xmlns="http://schemas.openxmlformats.org/spreadsheetml/2006/main">
  <numFmts count="76">
    <numFmt numFmtId="176" formatCode="_(&quot;$&quot;* #,##0.00_);_(&quot;$&quot;* \(#,##0.00\);_(&quot;$&quot;* &quot;-&quot;??_);_(@_)"/>
    <numFmt numFmtId="177" formatCode="#\ ??/??"/>
    <numFmt numFmtId="178" formatCode="&quot;綅&quot;\t#,##0_);[Red]\(&quot;綅&quot;\t#,##0\)"/>
    <numFmt numFmtId="179" formatCode="0;_⠀"/>
    <numFmt numFmtId="44" formatCode="_ &quot;￥&quot;* #,##0.00_ ;_ &quot;￥&quot;* \-#,##0.00_ ;_ &quot;￥&quot;* &quot;-&quot;??_ ;_ @_ "/>
    <numFmt numFmtId="180" formatCode="_(&quot;$&quot;* #,##0_);_(&quot;$&quot;* \(#,##0\);_(&quot;$&quot;* &quot;-&quot;_);_(@_)"/>
    <numFmt numFmtId="43" formatCode="_ * #,##0.00_ ;_ * \-#,##0.00_ ;_ * &quot;-&quot;??_ ;_ @_ "/>
    <numFmt numFmtId="181" formatCode="0;_̄"/>
    <numFmt numFmtId="182" formatCode="_-* #,##0_-;\-* #,##0_-;_-* &quot;-&quot;_-;_-@_-"/>
    <numFmt numFmtId="42" formatCode="_ &quot;￥&quot;* #,##0_ ;_ &quot;￥&quot;* \-#,##0_ ;_ &quot;￥&quot;* &quot;-&quot;_ ;_ @_ "/>
    <numFmt numFmtId="183" formatCode="#,##0_ "/>
    <numFmt numFmtId="41" formatCode="_ * #,##0_ ;_ * \-#,##0_ ;_ * &quot;-&quot;_ ;_ @_ "/>
    <numFmt numFmtId="184" formatCode="_ \¥* #,##0.00_ ;_ \¥* \-#,##0.00_ ;_ \¥* &quot;-&quot;??_ ;_ @_ "/>
    <numFmt numFmtId="185" formatCode="&quot;?\t#,##0_);[Red]\(&quot;&quot;?&quot;\t#,##0\)"/>
    <numFmt numFmtId="186" formatCode="_-&quot;$&quot;* #,##0_-;\-&quot;$&quot;* #,##0_-;_-&quot;$&quot;* &quot;-&quot;_-;_-@_-"/>
    <numFmt numFmtId="187" formatCode="0.0_ "/>
    <numFmt numFmtId="188" formatCode="_-* #,##0.00_$_-;\-* #,##0.00_$_-;_-* &quot;-&quot;??_$_-;_-@_-"/>
    <numFmt numFmtId="189" formatCode="0;_㰀"/>
    <numFmt numFmtId="190" formatCode="#,##0.0_);\(#,##0.0\)"/>
    <numFmt numFmtId="191" formatCode="_-* #,##0.00\ _k_r_-;\-* #,##0.00\ _k_r_-;_-* &quot;-&quot;??\ _k_r_-;_-@_-"/>
    <numFmt numFmtId="192" formatCode="_-* #,##0\ _k_r_-;\-* #,##0\ _k_r_-;_-* &quot;-&quot;\ _k_r_-;_-@_-"/>
    <numFmt numFmtId="193" formatCode="_-* #,##0.00_-;\-* #,##0.00_-;_-* &quot;-&quot;??_-;_-@_-"/>
    <numFmt numFmtId="194" formatCode="_-* #,##0&quot;$&quot;_-;\-* #,##0&quot;$&quot;_-;_-* &quot;-&quot;&quot;$&quot;_-;_-@_-"/>
    <numFmt numFmtId="195" formatCode="\$#,##0.00;\(\$#,##0.00\)"/>
    <numFmt numFmtId="196" formatCode="0.00_)"/>
    <numFmt numFmtId="197" formatCode="[$-F800]dddd\,\ mmmm\ dd\,\ yyyy"/>
    <numFmt numFmtId="198" formatCode="0.0"/>
    <numFmt numFmtId="199" formatCode="&quot;$&quot;#,##0_);[Red]\(&quot;$&quot;#,##0\)"/>
    <numFmt numFmtId="200" formatCode="yy\.mm\.dd"/>
    <numFmt numFmtId="201" formatCode="&quot;$&quot;#,##0_);\(&quot;$&quot;#,##0\)"/>
    <numFmt numFmtId="202" formatCode="#,##0;[Red]\(#,##0\)"/>
    <numFmt numFmtId="203" formatCode="&quot;$&quot;#,##0.00_);[Red]\(&quot;$&quot;#,##0.00\)"/>
    <numFmt numFmtId="204" formatCode="_-&quot;$&quot;\ * #,##0.00_-;_-&quot;$&quot;\ * #,##0.00\-;_-&quot;$&quot;\ * &quot;-&quot;??_-;_-@_-"/>
    <numFmt numFmtId="205" formatCode="yyyy&quot;年&quot;m&quot;月&quot;d&quot;日&quot;;@"/>
    <numFmt numFmtId="206" formatCode="#,##0;\(#,##0\)"/>
    <numFmt numFmtId="207" formatCode="#,##0;\-#,##0;&quot;-&quot;"/>
    <numFmt numFmtId="208" formatCode="\$#,##0;\(\$#,##0\)"/>
    <numFmt numFmtId="209" formatCode="0_ "/>
    <numFmt numFmtId="210" formatCode="_-&quot;$&quot;\ * #,##0_-;_-&quot;$&quot;\ * #,##0\-;_-&quot;$&quot;\ * &quot;-&quot;_-;_-@_-"/>
    <numFmt numFmtId="211" formatCode="&quot;$&quot;\ #,##0.00_-;[Red]&quot;$&quot;\ #,##0.00\-"/>
    <numFmt numFmtId="212" formatCode="0;_頀"/>
    <numFmt numFmtId="213" formatCode="_-&quot;$&quot;* #,##0.00_-;\-&quot;$&quot;* #,##0.00_-;_-&quot;$&quot;* &quot;-&quot;??_-;_-@_-"/>
    <numFmt numFmtId="214" formatCode="_-* #,##0_$_-;\-* #,##0_$_-;_-* &quot;-&quot;_$_-;_-@_-"/>
    <numFmt numFmtId="215" formatCode="0;_耀"/>
    <numFmt numFmtId="216" formatCode="_-* #,##0.00&quot;$&quot;_-;\-* #,##0.00&quot;$&quot;_-;_-* &quot;-&quot;??&quot;$&quot;_-;_-@_-"/>
    <numFmt numFmtId="217" formatCode="0_);[Red]\(0\)"/>
    <numFmt numFmtId="218" formatCode="0;_瀀"/>
    <numFmt numFmtId="219" formatCode="0.0000_ "/>
    <numFmt numFmtId="220" formatCode="0;_砀"/>
    <numFmt numFmtId="221" formatCode="0.00_ "/>
    <numFmt numFmtId="222" formatCode="0_);\(0\)"/>
    <numFmt numFmtId="223" formatCode="0;_␀"/>
    <numFmt numFmtId="224" formatCode="0;_䰀"/>
    <numFmt numFmtId="225" formatCode="0;_퀀"/>
    <numFmt numFmtId="226" formatCode="0;_堀"/>
    <numFmt numFmtId="227" formatCode="0;_倀"/>
    <numFmt numFmtId="228" formatCode="0;_"/>
    <numFmt numFmtId="229" formatCode="0;__xdc00_"/>
    <numFmt numFmtId="230" formatCode="0;_䀀"/>
    <numFmt numFmtId="231" formatCode="0;_ꀀ"/>
    <numFmt numFmtId="232" formatCode="0;_怀"/>
    <numFmt numFmtId="233" formatCode="0;_䠀"/>
    <numFmt numFmtId="234" formatCode="0;_ࠄ"/>
    <numFmt numFmtId="235" formatCode="0;[Red]0"/>
    <numFmt numFmtId="236" formatCode="0;_᠀"/>
    <numFmt numFmtId="237" formatCode="0;_Ċ"/>
    <numFmt numFmtId="238" formatCode="0;_ꄊ"/>
    <numFmt numFmtId="239" formatCode="0;_"/>
    <numFmt numFmtId="240" formatCode="0;_ఀ"/>
    <numFmt numFmtId="241" formatCode="0;_ᰀ"/>
    <numFmt numFmtId="242" formatCode="0;_Ⰰ"/>
    <numFmt numFmtId="243" formatCode="0;_렀"/>
    <numFmt numFmtId="244" formatCode="0;_Ā"/>
    <numFmt numFmtId="245" formatCode="0.000_ "/>
    <numFmt numFmtId="246" formatCode="0;_"/>
    <numFmt numFmtId="247" formatCode="0.00_);[Red]\(0.00\)"/>
  </numFmts>
  <fonts count="215">
    <font>
      <sz val="12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0.5"/>
      <name val="华文仿宋"/>
      <charset val="134"/>
    </font>
    <font>
      <b/>
      <sz val="12"/>
      <name val="宋体"/>
      <charset val="134"/>
    </font>
    <font>
      <sz val="11"/>
      <name val="华文仿宋"/>
      <charset val="134"/>
    </font>
    <font>
      <sz val="10"/>
      <color rgb="FF000000"/>
      <name val="宋体"/>
      <charset val="134"/>
    </font>
    <font>
      <sz val="7.5"/>
      <color rgb="FF000000"/>
      <name val="宋体"/>
      <charset val="134"/>
    </font>
    <font>
      <sz val="11"/>
      <color rgb="FF000000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2"/>
      <name val="仿宋_GB2312"/>
      <charset val="134"/>
    </font>
    <font>
      <sz val="11"/>
      <name val="仿宋_GB2312"/>
      <charset val="134"/>
    </font>
    <font>
      <sz val="11"/>
      <name val="宋体"/>
      <charset val="134"/>
    </font>
    <font>
      <sz val="10"/>
      <name val="Times New Roman"/>
      <charset val="134"/>
    </font>
    <font>
      <b/>
      <sz val="18"/>
      <name val="宋体"/>
      <charset val="134"/>
    </font>
    <font>
      <b/>
      <sz val="10"/>
      <name val="宋体"/>
      <charset val="134"/>
      <scheme val="major"/>
    </font>
    <font>
      <b/>
      <sz val="10"/>
      <color theme="1"/>
      <name val="宋体"/>
      <charset val="134"/>
      <scheme val="major"/>
    </font>
    <font>
      <sz val="18"/>
      <name val="黑体"/>
      <charset val="134"/>
    </font>
    <font>
      <b/>
      <sz val="20"/>
      <color indexed="10"/>
      <name val="宋体"/>
      <charset val="134"/>
    </font>
    <font>
      <b/>
      <sz val="20"/>
      <name val="宋体"/>
      <charset val="134"/>
    </font>
    <font>
      <b/>
      <sz val="12"/>
      <name val="华文宋体"/>
      <charset val="134"/>
    </font>
    <font>
      <b/>
      <sz val="11.5"/>
      <name val="华文宋体"/>
      <charset val="134"/>
    </font>
    <font>
      <b/>
      <sz val="14"/>
      <name val="Times New Roman"/>
      <charset val="134"/>
    </font>
    <font>
      <sz val="12"/>
      <name val="华文宋体"/>
      <charset val="134"/>
    </font>
    <font>
      <b/>
      <sz val="10"/>
      <name val="宋体"/>
      <charset val="134"/>
    </font>
    <font>
      <b/>
      <sz val="10"/>
      <name val="华文宋体"/>
      <charset val="134"/>
    </font>
    <font>
      <b/>
      <sz val="14"/>
      <name val="Times New Roman"/>
      <charset val="0"/>
    </font>
    <font>
      <b/>
      <sz val="8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0"/>
      <color theme="1"/>
      <name val="宋体"/>
      <charset val="134"/>
    </font>
    <font>
      <sz val="12"/>
      <color indexed="60"/>
      <name val="宋体"/>
      <charset val="134"/>
    </font>
    <font>
      <sz val="9"/>
      <name val="宋体"/>
      <charset val="134"/>
    </font>
    <font>
      <sz val="12"/>
      <color theme="1"/>
      <name val="宋体"/>
      <charset val="134"/>
    </font>
    <font>
      <sz val="10.5"/>
      <name val="宋体"/>
      <charset val="134"/>
    </font>
    <font>
      <sz val="20"/>
      <name val="黑体"/>
      <charset val="134"/>
    </font>
    <font>
      <sz val="14"/>
      <name val="楷体_GB2312"/>
      <charset val="134"/>
    </font>
    <font>
      <b/>
      <sz val="14"/>
      <name val="宋体"/>
      <charset val="134"/>
    </font>
    <font>
      <b/>
      <sz val="26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9"/>
      <name val="黑体"/>
      <charset val="134"/>
    </font>
    <font>
      <sz val="18"/>
      <color indexed="9"/>
      <name val="黑体"/>
      <charset val="134"/>
    </font>
    <font>
      <sz val="14"/>
      <name val="黑体"/>
      <charset val="134"/>
    </font>
    <font>
      <b/>
      <sz val="9"/>
      <name val="宋体"/>
      <charset val="134"/>
    </font>
    <font>
      <sz val="8"/>
      <name val="宋体"/>
      <charset val="134"/>
    </font>
    <font>
      <sz val="14"/>
      <color indexed="9"/>
      <name val="黑体"/>
      <charset val="134"/>
    </font>
    <font>
      <sz val="10"/>
      <color indexed="8"/>
      <name val="宋体"/>
      <charset val="134"/>
    </font>
    <font>
      <sz val="24"/>
      <name val="宋体"/>
      <charset val="134"/>
    </font>
    <font>
      <sz val="11"/>
      <color indexed="8"/>
      <name val="宋体"/>
      <charset val="134"/>
    </font>
    <font>
      <sz val="12"/>
      <color rgb="FFFF0000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1"/>
      <color theme="1"/>
      <name val="宋体"/>
      <charset val="134"/>
    </font>
    <font>
      <sz val="22"/>
      <name val="宋体"/>
      <charset val="134"/>
    </font>
    <font>
      <sz val="12"/>
      <color rgb="FF00B050"/>
      <name val="宋体"/>
      <charset val="134"/>
    </font>
    <font>
      <b/>
      <sz val="12"/>
      <color rgb="FFFF0000"/>
      <name val="宋体"/>
      <charset val="134"/>
    </font>
    <font>
      <sz val="12"/>
      <color indexed="10"/>
      <name val="Times New Roman"/>
      <charset val="134"/>
    </font>
    <font>
      <sz val="10"/>
      <color indexed="8"/>
      <name val="Times New Roman"/>
      <charset val="0"/>
    </font>
    <font>
      <sz val="12"/>
      <name val="Times New Roman"/>
      <charset val="0"/>
    </font>
    <font>
      <sz val="12"/>
      <name val="Times New Roman"/>
      <charset val="134"/>
    </font>
    <font>
      <sz val="12"/>
      <color rgb="FFC0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6"/>
      <name val="Times New Roman"/>
      <charset val="134"/>
    </font>
    <font>
      <sz val="14"/>
      <name val="仿宋_GB2312"/>
      <charset val="134"/>
    </font>
    <font>
      <sz val="14"/>
      <name val="仿宋_GB2312"/>
      <charset val="134"/>
    </font>
    <font>
      <u/>
      <sz val="12"/>
      <name val="宋体"/>
      <charset val="134"/>
    </font>
    <font>
      <sz val="10"/>
      <color rgb="FFFF0000"/>
      <name val="宋体"/>
      <charset val="134"/>
    </font>
    <font>
      <sz val="11"/>
      <color indexed="20"/>
      <name val="宋体"/>
      <charset val="134"/>
    </font>
    <font>
      <sz val="9"/>
      <name val="ˎ̥"/>
      <charset val="134"/>
    </font>
    <font>
      <sz val="9"/>
      <name val="ˎ̥"/>
      <charset val="0"/>
    </font>
    <font>
      <sz val="9"/>
      <color indexed="10"/>
      <name val="ˎ̥"/>
      <charset val="0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indexed="8"/>
      <name val="宋体"/>
      <charset val="134"/>
    </font>
    <font>
      <b/>
      <sz val="12"/>
      <color indexed="8"/>
      <name val="仿宋_GB2312"/>
      <charset val="134"/>
    </font>
    <font>
      <sz val="12"/>
      <color indexed="8"/>
      <name val="仿宋_GB2312"/>
      <charset val="134"/>
    </font>
    <font>
      <b/>
      <sz val="14"/>
      <color rgb="FF333333"/>
      <name val="宋体"/>
      <charset val="134"/>
    </font>
    <font>
      <b/>
      <sz val="14"/>
      <color rgb="FF333333"/>
      <name val="MSyahei"/>
      <charset val="134"/>
    </font>
    <font>
      <sz val="9"/>
      <color rgb="FF333333"/>
      <name val="SimSun"/>
      <charset val="134"/>
    </font>
    <font>
      <sz val="10"/>
      <color rgb="FF000000"/>
      <name val="MSyahei"/>
      <charset val="134"/>
    </font>
    <font>
      <b/>
      <sz val="10"/>
      <color rgb="FF333333"/>
      <name val="宋体"/>
      <charset val="134"/>
    </font>
    <font>
      <sz val="10"/>
      <color rgb="FF333333"/>
      <name val="SimSun"/>
      <charset val="134"/>
    </font>
    <font>
      <b/>
      <sz val="12"/>
      <color rgb="FFFFFFFF"/>
      <name val="MSyahei"/>
      <charset val="134"/>
    </font>
    <font>
      <sz val="10"/>
      <color rgb="FF333333"/>
      <name val="MSyahei"/>
      <charset val="134"/>
    </font>
    <font>
      <b/>
      <sz val="12"/>
      <name val="仿宋_GB2312"/>
      <charset val="134"/>
    </font>
    <font>
      <sz val="10"/>
      <color indexed="20"/>
      <name val="宋体"/>
      <charset val="134"/>
    </font>
    <font>
      <b/>
      <sz val="10"/>
      <color indexed="20"/>
      <name val="宋体"/>
      <charset val="134"/>
    </font>
    <font>
      <b/>
      <sz val="10"/>
      <color rgb="FFFF0000"/>
      <name val="宋体"/>
      <charset val="134"/>
    </font>
    <font>
      <b/>
      <sz val="12"/>
      <color rgb="FFFFFFFF"/>
      <name val="宋体"/>
      <charset val="134"/>
    </font>
    <font>
      <sz val="12"/>
      <color indexed="63"/>
      <name val="宋体"/>
      <charset val="134"/>
    </font>
    <font>
      <b/>
      <sz val="16"/>
      <name val="宋体"/>
      <charset val="134"/>
    </font>
    <font>
      <sz val="12"/>
      <color rgb="FF000000"/>
      <name val="仿宋_GB2312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Arial"/>
      <charset val="0"/>
    </font>
    <font>
      <sz val="11"/>
      <name val="Arial"/>
      <charset val="0"/>
    </font>
    <font>
      <b/>
      <u/>
      <sz val="10"/>
      <name val="宋体"/>
      <charset val="134"/>
    </font>
    <font>
      <u/>
      <sz val="10"/>
      <name val="宋体"/>
      <charset val="134"/>
    </font>
    <font>
      <sz val="12"/>
      <color rgb="FF000000"/>
      <name val="宋体"/>
      <charset val="134"/>
    </font>
    <font>
      <sz val="11"/>
      <color theme="1"/>
      <name val="Arial"/>
      <charset val="0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1"/>
      <name val="仿宋"/>
      <charset val="134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2"/>
      <color indexed="17"/>
      <name val="楷体_GB2312"/>
      <charset val="134"/>
    </font>
    <font>
      <sz val="11"/>
      <color theme="0"/>
      <name val="宋体"/>
      <charset val="134"/>
      <scheme val="minor"/>
    </font>
    <font>
      <sz val="10.5"/>
      <color indexed="20"/>
      <name val="宋体"/>
      <charset val="134"/>
    </font>
    <font>
      <sz val="12"/>
      <color indexed="20"/>
      <name val="楷体_GB2312"/>
      <charset val="134"/>
    </font>
    <font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楷体_GB2312"/>
      <charset val="134"/>
    </font>
    <font>
      <sz val="12"/>
      <color indexed="8"/>
      <name val="楷体_GB2312"/>
      <charset val="134"/>
    </font>
    <font>
      <b/>
      <sz val="15"/>
      <color indexed="5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indexed="9"/>
      <name val="宋体"/>
      <charset val="134"/>
    </font>
    <font>
      <b/>
      <sz val="11"/>
      <color indexed="52"/>
      <name val="宋体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0"/>
      <name val="Helv"/>
      <charset val="134"/>
    </font>
    <font>
      <sz val="11"/>
      <color indexed="10"/>
      <name val="宋体"/>
      <charset val="134"/>
    </font>
    <font>
      <sz val="10.5"/>
      <color indexed="17"/>
      <name val="宋体"/>
      <charset val="134"/>
    </font>
    <font>
      <sz val="12"/>
      <color indexed="9"/>
      <name val="楷体_GB2312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sz val="12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楷体_GB2312"/>
      <charset val="134"/>
    </font>
    <font>
      <sz val="10"/>
      <color indexed="17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56"/>
      <name val="楷体_GB2312"/>
      <charset val="134"/>
    </font>
    <font>
      <sz val="11"/>
      <color indexed="16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indexed="16"/>
      <name val="宋体"/>
      <charset val="134"/>
    </font>
    <font>
      <sz val="10"/>
      <name val="Geneva"/>
      <charset val="134"/>
    </font>
    <font>
      <sz val="12"/>
      <color indexed="17"/>
      <name val="宋体"/>
      <charset val="134"/>
    </font>
    <font>
      <sz val="12"/>
      <color indexed="9"/>
      <name val="Helv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indexed="6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  <font>
      <sz val="12"/>
      <name val="Helv"/>
      <charset val="134"/>
    </font>
    <font>
      <i/>
      <sz val="11"/>
      <color indexed="23"/>
      <name val="宋体"/>
      <charset val="134"/>
    </font>
    <font>
      <sz val="11"/>
      <color rgb="FF9C0006"/>
      <name val="宋体"/>
      <charset val="134"/>
      <scheme val="minor"/>
    </font>
    <font>
      <sz val="12"/>
      <color indexed="10"/>
      <name val="楷体_GB2312"/>
      <charset val="134"/>
    </font>
    <font>
      <b/>
      <sz val="12"/>
      <name val="Arial"/>
      <charset val="134"/>
    </font>
    <font>
      <b/>
      <sz val="10"/>
      <name val="Tms Rmn"/>
      <charset val="134"/>
    </font>
    <font>
      <b/>
      <sz val="10"/>
      <name val="MS Sans Serif"/>
      <charset val="134"/>
    </font>
    <font>
      <b/>
      <sz val="11"/>
      <color indexed="63"/>
      <name val="宋体"/>
      <charset val="134"/>
    </font>
    <font>
      <b/>
      <sz val="18"/>
      <name val="Arial"/>
      <charset val="134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2"/>
      <color indexed="52"/>
      <name val="楷体_GB2312"/>
      <charset val="134"/>
    </font>
    <font>
      <sz val="7"/>
      <name val="Helv"/>
      <charset val="134"/>
    </font>
    <font>
      <sz val="12"/>
      <name val="新細明體"/>
      <charset val="134"/>
    </font>
    <font>
      <u/>
      <sz val="12"/>
      <color indexed="12"/>
      <name val="宋体"/>
      <charset val="134"/>
    </font>
    <font>
      <sz val="7"/>
      <color indexed="10"/>
      <name val="Helv"/>
      <charset val="134"/>
    </font>
    <font>
      <sz val="12"/>
      <name val="Arial"/>
      <charset val="134"/>
    </font>
    <font>
      <sz val="12"/>
      <name val="Courier"/>
      <charset val="134"/>
    </font>
    <font>
      <sz val="11"/>
      <color rgb="FF006100"/>
      <name val="宋体"/>
      <charset val="134"/>
      <scheme val="minor"/>
    </font>
    <font>
      <b/>
      <sz val="9"/>
      <name val="Arial"/>
      <charset val="134"/>
    </font>
    <font>
      <u/>
      <sz val="12"/>
      <color indexed="20"/>
      <name val="宋体"/>
      <charset val="134"/>
    </font>
    <font>
      <sz val="10"/>
      <color indexed="8"/>
      <name val="MS Sans Serif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b/>
      <sz val="14"/>
      <name val="楷体"/>
      <charset val="134"/>
    </font>
    <font>
      <sz val="12"/>
      <name val="官帕眉"/>
      <charset val="134"/>
    </font>
    <font>
      <sz val="8"/>
      <name val="Times New Roman"/>
      <charset val="134"/>
    </font>
    <font>
      <u/>
      <sz val="7.5"/>
      <color indexed="12"/>
      <name val="Arial"/>
      <charset val="134"/>
    </font>
    <font>
      <u/>
      <sz val="7.5"/>
      <color indexed="36"/>
      <name val="Arial"/>
      <charset val="134"/>
    </font>
    <font>
      <b/>
      <sz val="12"/>
      <color indexed="63"/>
      <name val="楷体_GB2312"/>
      <charset val="134"/>
    </font>
    <font>
      <sz val="10"/>
      <name val="Courier"/>
      <charset val="134"/>
    </font>
    <font>
      <sz val="12"/>
      <name val="바탕체"/>
      <charset val="134"/>
    </font>
    <font>
      <sz val="11"/>
      <color indexed="52"/>
      <name val="宋体"/>
      <charset val="134"/>
    </font>
    <font>
      <sz val="8"/>
      <name val="Arial"/>
      <charset val="134"/>
    </font>
    <font>
      <b/>
      <sz val="12"/>
      <color indexed="9"/>
      <name val="楷体_GB2312"/>
      <charset val="134"/>
    </font>
    <font>
      <sz val="18"/>
      <color indexed="56"/>
      <name val="宋体"/>
      <charset val="134"/>
    </font>
    <font>
      <sz val="12"/>
      <color indexed="52"/>
      <name val="楷体_GB2312"/>
      <charset val="134"/>
    </font>
    <font>
      <sz val="10"/>
      <name val="楷体"/>
      <charset val="134"/>
    </font>
    <font>
      <i/>
      <sz val="12"/>
      <color indexed="23"/>
      <name val="楷体_GB2312"/>
      <charset val="134"/>
    </font>
    <font>
      <sz val="11"/>
      <color rgb="FFFA7D00"/>
      <name val="宋体"/>
      <charset val="134"/>
      <scheme val="minor"/>
    </font>
    <font>
      <sz val="12"/>
      <color indexed="62"/>
      <name val="楷体_GB2312"/>
      <charset val="134"/>
    </font>
    <font>
      <b/>
      <sz val="12"/>
      <color indexed="8"/>
      <name val="楷体_GB2312"/>
      <charset val="134"/>
    </font>
    <font>
      <u/>
      <sz val="12"/>
      <color indexed="36"/>
      <name val="宋体"/>
      <charset val="134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indexed="60"/>
      <name val="楷体_GB2312"/>
      <charset val="134"/>
    </font>
    <font>
      <sz val="11"/>
      <color rgb="FF9C6500"/>
      <name val="宋体"/>
      <charset val="134"/>
      <scheme val="minor"/>
    </font>
    <font>
      <sz val="10"/>
      <name val="MS Sans Serif"/>
      <charset val="134"/>
    </font>
    <font>
      <sz val="11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9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689BCE"/>
        <bgColor rgb="FFFFFFFF"/>
      </patternFill>
    </fill>
    <fill>
      <patternFill patternType="solid">
        <fgColor rgb="FFE1EBF6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66490676595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29"/>
      </patternFill>
    </fill>
    <fill>
      <patternFill patternType="solid">
        <fgColor rgb="FFC6EFCE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gray06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theme="6" tint="0.799340800195319"/>
        <bgColor indexed="64"/>
      </patternFill>
    </fill>
    <fill>
      <patternFill patternType="mediumGray">
        <fgColor indexed="22"/>
      </patternFill>
    </fill>
    <fill>
      <patternFill patternType="lightUp">
        <fgColor indexed="9"/>
        <bgColor indexed="55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4" tint="0.396649067659536"/>
        <bgColor indexed="64"/>
      </patternFill>
    </fill>
    <fill>
      <patternFill patternType="solid">
        <fgColor theme="6" tint="0.396649067659536"/>
        <bgColor indexed="64"/>
      </patternFill>
    </fill>
  </fills>
  <borders count="1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 style="medium">
        <color indexed="8"/>
      </right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57"/>
      </right>
      <top/>
      <bottom/>
      <diagonal/>
    </border>
    <border>
      <left/>
      <right style="medium">
        <color indexed="8"/>
      </right>
      <top style="medium">
        <color indexed="57"/>
      </top>
      <bottom style="medium">
        <color indexed="57"/>
      </bottom>
      <diagonal/>
    </border>
    <border>
      <left style="medium">
        <color indexed="8"/>
      </left>
      <right/>
      <top style="medium">
        <color indexed="57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 style="medium">
        <color indexed="57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medium">
        <color indexed="5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6649067659536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</borders>
  <cellStyleXfs count="4493">
    <xf numFmtId="0" fontId="0" fillId="0" borderId="0"/>
    <xf numFmtId="42" fontId="75" fillId="0" borderId="0" applyFont="0" applyFill="0" applyBorder="0" applyAlignment="0" applyProtection="0">
      <alignment vertical="center"/>
    </xf>
    <xf numFmtId="44" fontId="7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2" fillId="45" borderId="120" applyNumberFormat="0" applyAlignment="0" applyProtection="0">
      <alignment vertical="center"/>
    </xf>
    <xf numFmtId="0" fontId="121" fillId="4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49" fontId="126" fillId="0" borderId="0" applyFont="0" applyFill="0" applyBorder="0" applyAlignment="0" applyProtection="0"/>
    <xf numFmtId="41" fontId="75" fillId="0" borderId="0" applyFont="0" applyFill="0" applyBorder="0" applyAlignment="0" applyProtection="0">
      <alignment vertical="center"/>
    </xf>
    <xf numFmtId="0" fontId="40" fillId="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2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2" fillId="53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3" fontId="75" fillId="0" borderId="0" applyFont="0" applyFill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5" fillId="41" borderId="116" applyNumberFormat="0" applyFont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1" fillId="0" borderId="0"/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39" fillId="0" borderId="122" applyNumberFormat="0" applyFill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61" fillId="0" borderId="0"/>
    <xf numFmtId="0" fontId="71" fillId="7" borderId="0" applyNumberFormat="0" applyBorder="0" applyAlignment="0" applyProtection="0">
      <alignment vertical="center"/>
    </xf>
    <xf numFmtId="0" fontId="140" fillId="0" borderId="122" applyNumberFormat="0" applyFill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31" fillId="60" borderId="0" applyNumberFormat="0" applyBorder="0" applyAlignment="0" applyProtection="0">
      <alignment vertical="center"/>
    </xf>
    <xf numFmtId="0" fontId="135" fillId="0" borderId="123" applyNumberFormat="0" applyFill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31" fillId="61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42" fillId="62" borderId="1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0"/>
    <xf numFmtId="0" fontId="0" fillId="10" borderId="117" applyNumberFormat="0" applyFont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147" fillId="62" borderId="120" applyNumberFormat="0" applyAlignment="0" applyProtection="0">
      <alignment vertical="center"/>
    </xf>
    <xf numFmtId="0" fontId="148" fillId="64" borderId="12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5" fillId="0" borderId="0">
      <alignment vertical="top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19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21" fillId="66" borderId="0" applyNumberFormat="0" applyBorder="0" applyAlignment="0" applyProtection="0">
      <alignment vertical="center"/>
    </xf>
    <xf numFmtId="0" fontId="0" fillId="0" borderId="0"/>
    <xf numFmtId="0" fontId="13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6" fontId="0" fillId="0" borderId="0" applyFont="0" applyFill="0" applyBorder="0" applyAlignment="0" applyProtection="0"/>
    <xf numFmtId="0" fontId="50" fillId="14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53" fillId="0" borderId="128" applyNumberFormat="0" applyFill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58" fillId="0" borderId="12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59" fillId="7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5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1" fillId="72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21" fillId="7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131" fillId="7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21" fillId="7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1" fillId="4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21" fillId="7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1" fillId="6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1" fillId="7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0" fillId="0" borderId="0">
      <alignment vertical="center"/>
    </xf>
    <xf numFmtId="0" fontId="131" fillId="79" borderId="0" applyNumberFormat="0" applyBorder="0" applyAlignment="0" applyProtection="0">
      <alignment vertical="center"/>
    </xf>
    <xf numFmtId="0" fontId="121" fillId="80" borderId="0" applyNumberFormat="0" applyBorder="0" applyAlignment="0" applyProtection="0">
      <alignment vertical="center"/>
    </xf>
    <xf numFmtId="0" fontId="0" fillId="0" borderId="0">
      <alignment vertical="center"/>
    </xf>
    <xf numFmtId="0" fontId="121" fillId="8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31" fillId="42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83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1" fillId="8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27" fillId="0" borderId="0"/>
    <xf numFmtId="0" fontId="113" fillId="65" borderId="0" applyNumberFormat="0" applyBorder="0" applyAlignment="0" applyProtection="0">
      <alignment vertical="center"/>
    </xf>
    <xf numFmtId="0" fontId="131" fillId="8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119" fillId="16" borderId="0" applyNumberFormat="0" applyBorder="0" applyAlignment="0" applyProtection="0">
      <alignment vertical="center"/>
    </xf>
    <xf numFmtId="0" fontId="125" fillId="0" borderId="0">
      <alignment vertical="top"/>
    </xf>
    <xf numFmtId="0" fontId="0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27" fillId="0" borderId="0"/>
    <xf numFmtId="0" fontId="126" fillId="0" borderId="0"/>
    <xf numFmtId="0" fontId="50" fillId="15" borderId="0" applyNumberFormat="0" applyBorder="0" applyAlignment="0" applyProtection="0">
      <alignment vertical="center"/>
    </xf>
    <xf numFmtId="0" fontId="61" fillId="0" borderId="0"/>
    <xf numFmtId="0" fontId="119" fillId="16" borderId="0" applyNumberFormat="0" applyBorder="0" applyAlignment="0" applyProtection="0">
      <alignment vertical="center"/>
    </xf>
    <xf numFmtId="0" fontId="125" fillId="0" borderId="0">
      <alignment vertical="top"/>
    </xf>
    <xf numFmtId="0" fontId="128" fillId="0" borderId="0" applyNumberFormat="0" applyFill="0" applyBorder="0" applyAlignment="0" applyProtection="0">
      <alignment vertical="center"/>
    </xf>
    <xf numFmtId="0" fontId="152" fillId="62" borderId="12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40" fillId="20" borderId="0" applyNumberFormat="0" applyBorder="0" applyAlignment="0" applyProtection="0"/>
    <xf numFmtId="0" fontId="50" fillId="15" borderId="0" applyNumberFormat="0" applyBorder="0" applyAlignment="0" applyProtection="0">
      <alignment vertical="center"/>
    </xf>
    <xf numFmtId="0" fontId="0" fillId="0" borderId="0"/>
    <xf numFmtId="0" fontId="127" fillId="0" borderId="0"/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61" fillId="0" borderId="0"/>
    <xf numFmtId="0" fontId="0" fillId="0" borderId="0">
      <alignment vertical="center"/>
    </xf>
    <xf numFmtId="0" fontId="0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125" fillId="0" borderId="0">
      <alignment vertical="top"/>
    </xf>
    <xf numFmtId="0" fontId="155" fillId="0" borderId="0"/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5" fillId="0" borderId="0"/>
    <xf numFmtId="0" fontId="126" fillId="0" borderId="0"/>
    <xf numFmtId="49" fontId="0" fillId="0" borderId="0" applyFont="0" applyFill="0" applyBorder="0" applyAlignment="0" applyProtection="0"/>
    <xf numFmtId="0" fontId="0" fillId="0" borderId="0"/>
    <xf numFmtId="0" fontId="119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61" fillId="0" borderId="0"/>
    <xf numFmtId="0" fontId="61" fillId="0" borderId="0"/>
    <xf numFmtId="0" fontId="11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/>
    <xf numFmtId="0" fontId="50" fillId="14" borderId="0" applyNumberFormat="0" applyBorder="0" applyAlignment="0" applyProtection="0">
      <alignment vertical="center"/>
    </xf>
    <xf numFmtId="0" fontId="155" fillId="0" borderId="0"/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7" fillId="0" borderId="0"/>
    <xf numFmtId="44" fontId="0" fillId="0" borderId="0" applyFont="0" applyFill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27" fillId="0" borderId="0"/>
    <xf numFmtId="0" fontId="50" fillId="14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5" fillId="0" borderId="0">
      <alignment vertical="top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25" fillId="0" borderId="0">
      <alignment vertical="top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5" fillId="0" borderId="0">
      <alignment vertical="top"/>
    </xf>
    <xf numFmtId="0" fontId="75" fillId="35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26" fillId="0" borderId="0"/>
    <xf numFmtId="0" fontId="154" fillId="68" borderId="0" applyNumberFormat="0" applyBorder="0" applyAlignment="0" applyProtection="0"/>
    <xf numFmtId="0" fontId="126" fillId="0" borderId="0"/>
    <xf numFmtId="0" fontId="110" fillId="3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26" fillId="0" borderId="0"/>
    <xf numFmtId="0" fontId="61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40" fillId="38" borderId="0" applyNumberFormat="0" applyBorder="0" applyAlignment="0" applyProtection="0"/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0" fillId="38" borderId="0" applyNumberFormat="0" applyBorder="0" applyAlignment="0" applyProtection="0"/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3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30" fillId="58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9" fillId="38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9" fillId="38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67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/>
    <xf numFmtId="0" fontId="119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75" fillId="8" borderId="118" applyNumberFormat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75" fillId="8" borderId="118" applyNumberFormat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5" fillId="8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75" fillId="88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10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4" fillId="7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7" fillId="0" borderId="0"/>
    <xf numFmtId="0" fontId="112" fillId="1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19" fillId="7" borderId="0" applyNumberFormat="0" applyBorder="0" applyAlignment="0" applyProtection="0">
      <alignment vertical="center"/>
    </xf>
    <xf numFmtId="0" fontId="119" fillId="15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11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9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19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2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154" fillId="7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19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/>
    <xf numFmtId="0" fontId="71" fillId="16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30" fillId="58" borderId="0" applyNumberFormat="0" applyBorder="0" applyAlignment="0" applyProtection="0">
      <alignment vertical="center"/>
    </xf>
    <xf numFmtId="0" fontId="0" fillId="0" borderId="0"/>
    <xf numFmtId="0" fontId="50" fillId="15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130" fillId="5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19" fillId="16" borderId="0" applyNumberFormat="0" applyBorder="0" applyAlignment="0" applyProtection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9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8" borderId="0" applyNumberFormat="0" applyBorder="0" applyAlignment="0" applyProtection="0"/>
    <xf numFmtId="0" fontId="116" fillId="20" borderId="118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9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9" fillId="43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40" fontId="0" fillId="0" borderId="0" applyFont="0" applyFill="0" applyBorder="0" applyAlignment="0" applyProtection="0"/>
    <xf numFmtId="0" fontId="110" fillId="56" borderId="0" applyNumberFormat="0" applyBorder="0" applyAlignment="0" applyProtection="0">
      <alignment vertical="center"/>
    </xf>
    <xf numFmtId="0" fontId="168" fillId="82" borderId="17">
      <protection locked="0"/>
    </xf>
    <xf numFmtId="0" fontId="50" fillId="14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19" fillId="4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30" fillId="34" borderId="0" applyNumberFormat="0" applyBorder="0" applyAlignment="0" applyProtection="0">
      <alignment vertical="center"/>
    </xf>
    <xf numFmtId="0" fontId="119" fillId="20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54" fillId="68" borderId="0" applyNumberFormat="0" applyBorder="0" applyAlignment="0" applyProtection="0"/>
    <xf numFmtId="0" fontId="50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0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93" borderId="0" applyNumberFormat="0" applyFont="0" applyBorder="0" applyAlignment="0" applyProtection="0"/>
    <xf numFmtId="0" fontId="50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20" borderId="0" applyNumberFormat="0" applyBorder="0" applyAlignment="0" applyProtection="0">
      <alignment vertical="center"/>
    </xf>
    <xf numFmtId="0" fontId="75" fillId="8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75" fillId="8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37" fontId="186" fillId="0" borderId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4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5" fillId="9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4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0" fontId="75" fillId="9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9" fillId="4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5" fillId="9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95" fontId="14" fillId="0" borderId="0"/>
    <xf numFmtId="0" fontId="75" fillId="9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57" borderId="0" applyNumberFormat="0" applyBorder="0" applyAlignment="0" applyProtection="0">
      <alignment vertical="center"/>
    </xf>
    <xf numFmtId="0" fontId="139" fillId="0" borderId="134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5" fillId="9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75" fillId="95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11" borderId="0" applyNumberFormat="0" applyBorder="0" applyAlignment="0" applyProtection="0">
      <alignment vertical="center"/>
    </xf>
    <xf numFmtId="0" fontId="140" fillId="0" borderId="133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75" fillId="89" borderId="0" applyNumberFormat="0" applyBorder="0" applyAlignment="0" applyProtection="0">
      <alignment vertical="center"/>
    </xf>
    <xf numFmtId="0" fontId="75" fillId="8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96" fontId="187" fillId="0" borderId="0"/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1" fillId="0" borderId="0"/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149" fillId="0" borderId="127" applyNumberFormat="0" applyFill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19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34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41" borderId="116" applyNumberFormat="0" applyFont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56" fillId="91" borderId="0" applyNumberFormat="0" applyBorder="0" applyAlignment="0" applyProtection="0"/>
    <xf numFmtId="0" fontId="11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201" fontId="169" fillId="0" borderId="21" applyAlignment="0" applyProtection="0"/>
    <xf numFmtId="0" fontId="50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5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5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5" fillId="84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9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50" fillId="0" borderId="0"/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5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62" fillId="46" borderId="130" applyNumberFormat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119" fillId="47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127" fillId="0" borderId="0">
      <protection locked="0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93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2" fontId="180" fillId="0" borderId="0" applyProtection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119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46" fillId="4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6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43" borderId="0" applyNumberFormat="0" applyBorder="0" applyAlignment="0" applyProtection="0"/>
    <xf numFmtId="0" fontId="75" fillId="4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5" fillId="84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39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36" borderId="0" applyNumberFormat="0" applyBorder="0" applyAlignment="0" applyProtection="0">
      <alignment vertical="center"/>
    </xf>
    <xf numFmtId="14" fontId="190" fillId="0" borderId="0">
      <alignment horizontal="center" wrapText="1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71" fillId="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36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68" fillId="82" borderId="17">
      <protection locked="0"/>
    </xf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68" fillId="82" borderId="17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/>
    <xf numFmtId="0" fontId="110" fillId="58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30" fillId="56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30" fillId="5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30" fillId="56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10" fillId="56" borderId="0" applyNumberFormat="0" applyBorder="0" applyAlignment="0" applyProtection="0">
      <alignment vertical="center"/>
    </xf>
    <xf numFmtId="0" fontId="13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30" fillId="39" borderId="0" applyNumberFormat="0" applyBorder="0" applyAlignment="0" applyProtection="0">
      <alignment vertical="center"/>
    </xf>
    <xf numFmtId="0" fontId="13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2" fillId="46" borderId="130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1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1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30" fillId="34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0" fillId="34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200" fontId="126" fillId="0" borderId="23" applyFill="0" applyProtection="0">
      <alignment horizontal="right"/>
    </xf>
    <xf numFmtId="0" fontId="123" fillId="46" borderId="0" applyNumberFormat="0" applyBorder="0" applyAlignment="0" applyProtection="0"/>
    <xf numFmtId="41" fontId="0" fillId="0" borderId="0" applyFont="0" applyFill="0" applyBorder="0" applyAlignment="0" applyProtection="0"/>
    <xf numFmtId="0" fontId="110" fillId="34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10" fillId="34" borderId="0" applyNumberFormat="0" applyBorder="0" applyAlignment="0" applyProtection="0">
      <alignment vertical="center"/>
    </xf>
    <xf numFmtId="0" fontId="110" fillId="58" borderId="0" applyNumberFormat="0" applyBorder="0" applyAlignment="0" applyProtection="0">
      <alignment vertical="center"/>
    </xf>
    <xf numFmtId="0" fontId="113" fillId="96" borderId="0" applyNumberFormat="0" applyBorder="0" applyAlignment="0" applyProtection="0">
      <alignment vertical="center"/>
    </xf>
    <xf numFmtId="0" fontId="113" fillId="96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56" borderId="0" applyNumberFormat="0" applyBorder="0" applyAlignment="0" applyProtection="0">
      <alignment vertical="center"/>
    </xf>
    <xf numFmtId="0" fontId="50" fillId="0" borderId="0">
      <alignment vertical="center"/>
    </xf>
    <xf numFmtId="0" fontId="113" fillId="37" borderId="0" applyNumberFormat="0" applyBorder="0" applyAlignment="0" applyProtection="0">
      <alignment vertical="center"/>
    </xf>
    <xf numFmtId="0" fontId="113" fillId="37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203" fontId="0" fillId="0" borderId="0" applyFont="0" applyFill="0" applyBorder="0" applyAlignment="0" applyProtection="0"/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3" fillId="9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3" fillId="9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13" fillId="6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8" fillId="0" borderId="119" applyNumberFormat="0" applyFill="0" applyAlignment="0" applyProtection="0">
      <alignment vertical="center"/>
    </xf>
    <xf numFmtId="0" fontId="113" fillId="63" borderId="0" applyNumberFormat="0" applyBorder="0" applyAlignment="0" applyProtection="0">
      <alignment vertical="center"/>
    </xf>
    <xf numFmtId="0" fontId="118" fillId="0" borderId="119" applyNumberFormat="0" applyFill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3" fillId="50" borderId="0" applyNumberFormat="0" applyBorder="0" applyAlignment="0" applyProtection="0">
      <alignment vertical="center"/>
    </xf>
    <xf numFmtId="0" fontId="113" fillId="50" borderId="0" applyNumberFormat="0" applyBorder="0" applyAlignment="0" applyProtection="0">
      <alignment vertical="center"/>
    </xf>
    <xf numFmtId="0" fontId="113" fillId="6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8" borderId="0" applyNumberFormat="0" applyBorder="0" applyAlignment="0" applyProtection="0"/>
    <xf numFmtId="0" fontId="11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123" fillId="14" borderId="0" applyNumberFormat="0" applyBorder="0" applyAlignment="0" applyProtection="0"/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23" fillId="49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0" borderId="0" applyNumberFormat="0" applyBorder="0" applyAlignment="0" applyProtection="0"/>
    <xf numFmtId="0" fontId="0" fillId="0" borderId="0">
      <alignment vertical="center"/>
    </xf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85" borderId="0" applyNumberFormat="0" applyBorder="0" applyAlignment="0" applyProtection="0">
      <alignment vertical="center"/>
    </xf>
    <xf numFmtId="0" fontId="40" fillId="10" borderId="0" applyNumberFormat="0" applyBorder="0" applyAlignment="0" applyProtection="0"/>
    <xf numFmtId="0" fontId="115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40" fillId="8" borderId="0" applyNumberFormat="0" applyBorder="0" applyAlignment="0" applyProtection="0"/>
    <xf numFmtId="182" fontId="0" fillId="0" borderId="0" applyFont="0" applyFill="0" applyBorder="0" applyAlignment="0" applyProtection="0">
      <alignment vertical="center"/>
    </xf>
    <xf numFmtId="0" fontId="40" fillId="8" borderId="0" applyNumberFormat="0" applyBorder="0" applyAlignment="0" applyProtection="0"/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23" fillId="86" borderId="0" applyNumberFormat="0" applyBorder="0" applyAlignment="0" applyProtection="0"/>
    <xf numFmtId="0" fontId="110" fillId="8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123" fillId="8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3" fillId="46" borderId="0" applyNumberFormat="0" applyBorder="0" applyAlignment="0" applyProtection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8" borderId="0" applyNumberFormat="0" applyBorder="0" applyAlignment="0" applyProtection="0"/>
    <xf numFmtId="0" fontId="89" fillId="16" borderId="0" applyNumberFormat="0" applyBorder="0" applyAlignment="0" applyProtection="0">
      <alignment vertical="center"/>
    </xf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123" fillId="8" borderId="0" applyNumberFormat="0" applyBorder="0" applyAlignment="0" applyProtection="0"/>
    <xf numFmtId="176" fontId="0" fillId="0" borderId="0" applyFont="0" applyFill="0" applyBorder="0" applyAlignment="0" applyProtection="0"/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4" fillId="0" borderId="0"/>
    <xf numFmtId="0" fontId="123" fillId="49" borderId="0" applyNumberFormat="0" applyBorder="0" applyAlignment="0" applyProtection="0"/>
    <xf numFmtId="0" fontId="110" fillId="17" borderId="0" applyNumberFormat="0" applyBorder="0" applyAlignment="0" applyProtection="0">
      <alignment vertical="center"/>
    </xf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40" fillId="43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123" fillId="14" borderId="0" applyNumberFormat="0" applyBorder="0" applyAlignment="0" applyProtection="0"/>
    <xf numFmtId="0" fontId="110" fillId="17" borderId="0" applyNumberFormat="0" applyBorder="0" applyAlignment="0" applyProtection="0">
      <alignment vertical="center"/>
    </xf>
    <xf numFmtId="0" fontId="123" fillId="17" borderId="0" applyNumberFormat="0" applyBorder="0" applyAlignment="0" applyProtection="0"/>
    <xf numFmtId="0" fontId="110" fillId="5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40" fillId="10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13" fillId="8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23" fillId="20" borderId="0" applyNumberFormat="0" applyBorder="0" applyAlignment="0" applyProtection="0"/>
    <xf numFmtId="0" fontId="111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23" fillId="34" borderId="0" applyNumberFormat="0" applyBorder="0" applyAlignment="0" applyProtection="0"/>
    <xf numFmtId="0" fontId="190" fillId="0" borderId="0">
      <alignment horizontal="center" wrapText="1"/>
      <protection locked="0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3" fontId="176" fillId="0" borderId="0"/>
    <xf numFmtId="0" fontId="146" fillId="43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207" fontId="125" fillId="0" borderId="0" applyFill="0" applyBorder="0" applyAlignment="0"/>
    <xf numFmtId="0" fontId="124" fillId="8" borderId="118" applyNumberFormat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69" fillId="0" borderId="0" applyNumberFormat="0" applyFill="0" applyBorder="0" applyAlignment="0" applyProtection="0"/>
    <xf numFmtId="0" fontId="89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0" fontId="0" fillId="0" borderId="0"/>
    <xf numFmtId="41" fontId="0" fillId="0" borderId="0" applyFont="0" applyFill="0" applyBorder="0" applyAlignment="0" applyProtection="0"/>
    <xf numFmtId="0" fontId="0" fillId="0" borderId="0">
      <alignment vertical="center"/>
    </xf>
    <xf numFmtId="41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206" fontId="14" fillId="0" borderId="0"/>
    <xf numFmtId="0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202" fontId="126" fillId="0" borderId="0"/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186" fontId="0" fillId="0" borderId="0" applyFont="0" applyFill="0" applyBorder="0" applyAlignment="0" applyProtection="0"/>
    <xf numFmtId="204" fontId="0" fillId="0" borderId="0" applyFont="0" applyFill="0" applyBorder="0" applyAlignment="0" applyProtection="0"/>
    <xf numFmtId="0" fontId="180" fillId="0" borderId="0" applyProtection="0"/>
    <xf numFmtId="0" fontId="71" fillId="7" borderId="0" applyNumberFormat="0" applyBorder="0" applyAlignment="0" applyProtection="0">
      <alignment vertical="center"/>
    </xf>
    <xf numFmtId="0" fontId="0" fillId="0" borderId="0"/>
    <xf numFmtId="208" fontId="14" fillId="0" borderId="0"/>
    <xf numFmtId="44" fontId="0" fillId="0" borderId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2" fillId="0" borderId="0" applyNumberFormat="0" applyFill="0" applyBorder="0" applyAlignment="0" applyProtection="0">
      <alignment vertical="top"/>
      <protection locked="0"/>
    </xf>
    <xf numFmtId="0" fontId="111" fillId="15" borderId="0" applyNumberFormat="0" applyBorder="0" applyAlignment="0" applyProtection="0">
      <alignment vertical="center"/>
    </xf>
    <xf numFmtId="4" fontId="0" fillId="0" borderId="0" applyFont="0" applyFill="0" applyBorder="0" applyAlignment="0" applyProtection="0"/>
    <xf numFmtId="0" fontId="0" fillId="0" borderId="0">
      <alignment vertical="center"/>
    </xf>
    <xf numFmtId="0" fontId="197" fillId="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10" fillId="17" borderId="0" applyNumberFormat="0" applyBorder="0" applyAlignment="0" applyProtection="0">
      <alignment vertical="center"/>
    </xf>
    <xf numFmtId="0" fontId="167" fillId="0" borderId="64" applyNumberFormat="0" applyAlignment="0" applyProtection="0">
      <alignment horizontal="left" vertical="center"/>
    </xf>
    <xf numFmtId="0" fontId="111" fillId="15" borderId="0" applyNumberFormat="0" applyBorder="0" applyAlignment="0" applyProtection="0">
      <alignment vertical="center"/>
    </xf>
    <xf numFmtId="0" fontId="167" fillId="0" borderId="14">
      <alignment horizontal="left" vertical="center"/>
    </xf>
    <xf numFmtId="0" fontId="120" fillId="0" borderId="119" applyNumberFormat="0" applyFill="0" applyAlignment="0" applyProtection="0">
      <alignment vertical="center"/>
    </xf>
    <xf numFmtId="0" fontId="172" fillId="62" borderId="120" applyNumberFormat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9" fillId="0" borderId="127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71" fillId="0" borderId="0" applyProtection="0"/>
    <xf numFmtId="0" fontId="128" fillId="0" borderId="0" applyNumberFormat="0" applyFill="0" applyBorder="0" applyAlignment="0" applyProtection="0">
      <alignment vertical="center"/>
    </xf>
    <xf numFmtId="0" fontId="167" fillId="0" borderId="0" applyProtection="0"/>
    <xf numFmtId="0" fontId="116" fillId="20" borderId="118" applyNumberFormat="0" applyAlignment="0" applyProtection="0">
      <alignment vertical="center"/>
    </xf>
    <xf numFmtId="0" fontId="197" fillId="10" borderId="1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190" fontId="163" fillId="75" borderId="0"/>
    <xf numFmtId="0" fontId="196" fillId="0" borderId="13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190" fontId="157" fillId="13" borderId="0"/>
    <xf numFmtId="0" fontId="0" fillId="0" borderId="0">
      <alignment vertical="center"/>
    </xf>
    <xf numFmtId="0" fontId="0" fillId="0" borderId="0">
      <alignment vertical="center"/>
    </xf>
    <xf numFmtId="3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0" fontId="0" fillId="0" borderId="0"/>
    <xf numFmtId="210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 applyFont="0" applyFill="0" applyBorder="0" applyAlignment="0" applyProtection="0"/>
    <xf numFmtId="199" fontId="0" fillId="0" borderId="0" applyFont="0" applyFill="0" applyBorder="0" applyAlignment="0" applyProtection="0"/>
    <xf numFmtId="211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210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94" fillId="0" borderId="0"/>
    <xf numFmtId="0" fontId="194" fillId="0" borderId="0"/>
    <xf numFmtId="0" fontId="0" fillId="0" borderId="0">
      <alignment vertical="center"/>
    </xf>
    <xf numFmtId="0" fontId="0" fillId="0" borderId="0">
      <alignment vertical="center"/>
    </xf>
    <xf numFmtId="0" fontId="194" fillId="0" borderId="0"/>
    <xf numFmtId="0" fontId="0" fillId="0" borderId="0">
      <alignment vertical="center"/>
    </xf>
    <xf numFmtId="0" fontId="0" fillId="0" borderId="0">
      <alignment vertical="center"/>
    </xf>
    <xf numFmtId="0" fontId="163" fillId="0" borderId="0"/>
    <xf numFmtId="0" fontId="127" fillId="0" borderId="0"/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177" fontId="0" fillId="0" borderId="0" applyFont="0" applyFill="0" applyProtection="0"/>
    <xf numFmtId="0" fontId="0" fillId="0" borderId="0"/>
    <xf numFmtId="0" fontId="170" fillId="8" borderId="1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0" fontId="0" fillId="0" borderId="0" applyFont="0" applyFill="0" applyBorder="0" applyAlignment="0" applyProtection="0"/>
    <xf numFmtId="10" fontId="0" fillId="0" borderId="0" applyFont="0" applyFill="0" applyBorder="0" applyAlignment="0" applyProtection="0"/>
    <xf numFmtId="15" fontId="0" fillId="0" borderId="0" applyFont="0" applyFill="0" applyBorder="0" applyAlignment="0" applyProtection="0"/>
    <xf numFmtId="15" fontId="0" fillId="0" borderId="0" applyFont="0" applyFill="0" applyBorder="0" applyAlignment="0" applyProtection="0"/>
    <xf numFmtId="4" fontId="0" fillId="0" borderId="0" applyFont="0" applyFill="0" applyBorder="0" applyAlignment="0" applyProtection="0"/>
    <xf numFmtId="0" fontId="169" fillId="0" borderId="77">
      <alignment horizontal="center"/>
    </xf>
    <xf numFmtId="0" fontId="0" fillId="0" borderId="0">
      <alignment vertical="center"/>
    </xf>
    <xf numFmtId="0" fontId="154" fillId="7" borderId="0" applyNumberFormat="0" applyBorder="0" applyAlignment="0" applyProtection="0"/>
    <xf numFmtId="3" fontId="0" fillId="0" borderId="0" applyFont="0" applyFill="0" applyBorder="0" applyAlignment="0" applyProtection="0"/>
    <xf numFmtId="3" fontId="0" fillId="0" borderId="0" applyFont="0" applyFill="0" applyBorder="0" applyAlignment="0" applyProtection="0"/>
    <xf numFmtId="0" fontId="0" fillId="93" borderId="0" applyNumberFormat="0" applyFont="0" applyBorder="0" applyAlignment="0" applyProtection="0"/>
    <xf numFmtId="3" fontId="179" fillId="0" borderId="0"/>
    <xf numFmtId="0" fontId="71" fillId="7" borderId="0" applyNumberFormat="0" applyBorder="0" applyAlignment="0" applyProtection="0">
      <alignment vertical="center"/>
    </xf>
    <xf numFmtId="0" fontId="169" fillId="0" borderId="0" applyNumberFormat="0" applyFill="0" applyBorder="0" applyAlignment="0" applyProtection="0"/>
    <xf numFmtId="0" fontId="115" fillId="7" borderId="0" applyNumberFormat="0" applyBorder="0" applyAlignment="0" applyProtection="0">
      <alignment vertical="center"/>
    </xf>
    <xf numFmtId="0" fontId="168" fillId="82" borderId="17">
      <protection locked="0"/>
    </xf>
    <xf numFmtId="0" fontId="168" fillId="82" borderId="17">
      <protection locked="0"/>
    </xf>
    <xf numFmtId="0" fontId="185" fillId="0" borderId="0"/>
    <xf numFmtId="44" fontId="0" fillId="0" borderId="0" applyFont="0" applyFill="0" applyBorder="0" applyAlignment="0" applyProtection="0">
      <alignment vertical="center"/>
    </xf>
    <xf numFmtId="0" fontId="168" fillId="82" borderId="17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168" fillId="82" borderId="17">
      <protection locked="0"/>
    </xf>
    <xf numFmtId="0" fontId="0" fillId="0" borderId="0"/>
    <xf numFmtId="0" fontId="115" fillId="7" borderId="0" applyNumberFormat="0" applyBorder="0" applyAlignment="0" applyProtection="0">
      <alignment vertical="center"/>
    </xf>
    <xf numFmtId="0" fontId="168" fillId="82" borderId="17">
      <protection locked="0"/>
    </xf>
    <xf numFmtId="0" fontId="0" fillId="0" borderId="0"/>
    <xf numFmtId="0" fontId="168" fillId="82" borderId="17">
      <protection locked="0"/>
    </xf>
    <xf numFmtId="0" fontId="71" fillId="7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192" fontId="0" fillId="0" borderId="0" applyFont="0" applyFill="0" applyBorder="0" applyAlignment="0" applyProtection="0"/>
    <xf numFmtId="0" fontId="71" fillId="7" borderId="0" applyNumberFormat="0" applyBorder="0" applyAlignment="0" applyProtection="0">
      <alignment vertical="center"/>
    </xf>
    <xf numFmtId="191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180" fontId="0" fillId="0" borderId="0" applyFont="0" applyFill="0" applyBorder="0" applyAlignment="0" applyProtection="0"/>
    <xf numFmtId="0" fontId="126" fillId="0" borderId="16" applyNumberFormat="0" applyFill="0" applyProtection="0">
      <alignment horizontal="right"/>
    </xf>
    <xf numFmtId="0" fontId="115" fillId="7" borderId="0" applyNumberFormat="0" applyBorder="0" applyAlignment="0" applyProtection="0">
      <alignment vertical="center"/>
    </xf>
    <xf numFmtId="0" fontId="118" fillId="0" borderId="119" applyNumberFormat="0" applyFill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20" fillId="0" borderId="119" applyNumberFormat="0" applyFill="0" applyAlignment="0" applyProtection="0">
      <alignment vertical="center"/>
    </xf>
    <xf numFmtId="0" fontId="139" fillId="0" borderId="134" applyNumberFormat="0" applyFill="0" applyAlignment="0" applyProtection="0">
      <alignment vertical="center"/>
    </xf>
    <xf numFmtId="0" fontId="0" fillId="0" borderId="0">
      <alignment vertical="center"/>
    </xf>
    <xf numFmtId="0" fontId="120" fillId="0" borderId="1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45" fillId="0" borderId="125" applyNumberFormat="0" applyFill="0" applyAlignment="0" applyProtection="0">
      <alignment vertical="center"/>
    </xf>
    <xf numFmtId="0" fontId="145" fillId="0" borderId="125" applyNumberFormat="0" applyFill="0" applyAlignment="0" applyProtection="0">
      <alignment vertical="center"/>
    </xf>
    <xf numFmtId="0" fontId="145" fillId="0" borderId="125" applyNumberFormat="0" applyFill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143" fillId="0" borderId="125" applyNumberFormat="0" applyFill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40" fillId="0" borderId="133" applyNumberFormat="0" applyFill="0" applyAlignment="0" applyProtection="0">
      <alignment vertical="center"/>
    </xf>
    <xf numFmtId="0" fontId="0" fillId="0" borderId="0">
      <alignment vertical="center"/>
    </xf>
    <xf numFmtId="0" fontId="143" fillId="0" borderId="125" applyNumberFormat="0" applyFill="0" applyAlignment="0" applyProtection="0">
      <alignment vertical="center"/>
    </xf>
    <xf numFmtId="0" fontId="0" fillId="0" borderId="0">
      <alignment vertical="center"/>
    </xf>
    <xf numFmtId="0" fontId="150" fillId="0" borderId="127" applyNumberFormat="0" applyFill="0" applyAlignment="0" applyProtection="0">
      <alignment vertical="center"/>
    </xf>
    <xf numFmtId="0" fontId="0" fillId="0" borderId="0">
      <alignment vertical="center"/>
    </xf>
    <xf numFmtId="0" fontId="149" fillId="0" borderId="127" applyNumberFormat="0" applyFill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0" fillId="0" borderId="127" applyNumberFormat="0" applyFill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0" fillId="0" borderId="127" applyNumberFormat="0" applyFill="0" applyAlignment="0" applyProtection="0">
      <alignment vertical="center"/>
    </xf>
    <xf numFmtId="0" fontId="182" fillId="70" borderId="0" applyNumberFormat="0" applyBorder="0" applyAlignment="0" applyProtection="0">
      <alignment vertical="center"/>
    </xf>
    <xf numFmtId="0" fontId="149" fillId="0" borderId="127" applyNumberFormat="0" applyFill="0" applyAlignment="0" applyProtection="0">
      <alignment vertical="center"/>
    </xf>
    <xf numFmtId="0" fontId="0" fillId="0" borderId="0">
      <alignment vertical="center"/>
    </xf>
    <xf numFmtId="0" fontId="149" fillId="0" borderId="127" applyNumberFormat="0" applyFill="0" applyAlignment="0" applyProtection="0">
      <alignment vertical="center"/>
    </xf>
    <xf numFmtId="0" fontId="0" fillId="0" borderId="0">
      <alignment vertical="center"/>
    </xf>
    <xf numFmtId="0" fontId="149" fillId="0" borderId="127" applyNumberFormat="0" applyFill="0" applyAlignment="0" applyProtection="0">
      <alignment vertical="center"/>
    </xf>
    <xf numFmtId="0" fontId="0" fillId="0" borderId="0">
      <alignment vertical="center"/>
    </xf>
    <xf numFmtId="0" fontId="149" fillId="0" borderId="127" applyNumberFormat="0" applyFill="0" applyAlignment="0" applyProtection="0">
      <alignment vertical="center"/>
    </xf>
    <xf numFmtId="0" fontId="0" fillId="0" borderId="0">
      <alignment vertical="center"/>
    </xf>
    <xf numFmtId="0" fontId="135" fillId="0" borderId="132" applyNumberFormat="0" applyFill="0" applyAlignment="0" applyProtection="0">
      <alignment vertical="center"/>
    </xf>
    <xf numFmtId="0" fontId="0" fillId="0" borderId="0">
      <alignment vertical="center"/>
    </xf>
    <xf numFmtId="0" fontId="149" fillId="0" borderId="127" applyNumberFormat="0" applyFill="0" applyAlignment="0" applyProtection="0">
      <alignment vertical="center"/>
    </xf>
    <xf numFmtId="0" fontId="135" fillId="0" borderId="132" applyNumberFormat="0" applyFill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88" fillId="0" borderId="16" applyNumberFormat="0" applyFill="0" applyProtection="0">
      <alignment horizontal="center"/>
    </xf>
    <xf numFmtId="0" fontId="156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1" fillId="0" borderId="23" applyNumberFormat="0" applyFill="0" applyProtection="0">
      <alignment horizontal="center"/>
    </xf>
    <xf numFmtId="0" fontId="165" fillId="5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5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4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4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3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189" fillId="0" borderId="0"/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4" fillId="0" borderId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71" borderId="0" applyNumberFormat="0" applyBorder="0" applyAlignment="0" applyProtection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/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8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62" fillId="46" borderId="130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30" fillId="5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5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4" fillId="7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0" fontId="13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98" fillId="46" borderId="130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54" fillId="68" borderId="0" applyNumberFormat="0" applyBorder="0" applyAlignment="0" applyProtection="0"/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81" fillId="0" borderId="0"/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93" fillId="8" borderId="131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93" fillId="8" borderId="131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/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04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3" fillId="0" borderId="12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2" fillId="46" borderId="1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8" fillId="46" borderId="1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8" fillId="46" borderId="1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5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0" fillId="0" borderId="0">
      <alignment vertical="center"/>
    </xf>
    <xf numFmtId="0" fontId="50" fillId="0" borderId="0">
      <alignment vertical="center"/>
    </xf>
    <xf numFmtId="0" fontId="0" fillId="0" borderId="0"/>
    <xf numFmtId="0" fontId="111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1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5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/>
    <xf numFmtId="0" fontId="75" fillId="0" borderId="0">
      <alignment vertical="center"/>
    </xf>
    <xf numFmtId="0" fontId="0" fillId="0" borderId="0">
      <alignment vertical="center"/>
    </xf>
    <xf numFmtId="0" fontId="104" fillId="0" borderId="0">
      <alignment vertical="center"/>
    </xf>
    <xf numFmtId="0" fontId="0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85" borderId="0" applyNumberFormat="0" applyBorder="0" applyAlignment="0" applyProtection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0" fillId="8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04" fillId="20" borderId="118" applyNumberFormat="0" applyAlignment="0" applyProtection="0">
      <alignment vertical="center"/>
    </xf>
    <xf numFmtId="0" fontId="0" fillId="0" borderId="0"/>
    <xf numFmtId="0" fontId="116" fillId="20" borderId="118" applyNumberFormat="0" applyAlignment="0" applyProtection="0">
      <alignment vertical="center"/>
    </xf>
    <xf numFmtId="0" fontId="0" fillId="0" borderId="0"/>
    <xf numFmtId="0" fontId="204" fillId="20" borderId="118" applyNumberFormat="0" applyAlignment="0" applyProtection="0">
      <alignment vertical="center"/>
    </xf>
    <xf numFmtId="0" fontId="0" fillId="0" borderId="0">
      <alignment vertical="center"/>
    </xf>
    <xf numFmtId="0" fontId="116" fillId="20" borderId="1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6" fillId="0" borderId="12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10" borderId="117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6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21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41" borderId="1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5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2" fillId="15" borderId="0" applyNumberFormat="0" applyBorder="0" applyAlignment="0" applyProtection="0">
      <alignment vertical="center"/>
    </xf>
    <xf numFmtId="0" fontId="0" fillId="0" borderId="0"/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8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0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75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3" fillId="7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41" fillId="94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41" fillId="69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117" applyNumberFormat="0" applyFon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2" fillId="15" borderId="0" applyNumberFormat="0" applyBorder="0" applyAlignment="0" applyProtection="0">
      <alignment vertical="center"/>
    </xf>
    <xf numFmtId="0" fontId="13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46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3" fillId="0" borderId="128" applyNumberFormat="0" applyFill="0" applyAlignment="0" applyProtection="0">
      <alignment vertical="center"/>
    </xf>
    <xf numFmtId="0" fontId="0" fillId="0" borderId="0">
      <alignment vertical="center"/>
    </xf>
    <xf numFmtId="0" fontId="196" fillId="0" borderId="1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3" fillId="0" borderId="121" applyNumberFormat="0" applyFill="0" applyAlignment="0" applyProtection="0">
      <alignment vertical="center"/>
    </xf>
    <xf numFmtId="0" fontId="0" fillId="0" borderId="0">
      <alignment vertical="center"/>
    </xf>
    <xf numFmtId="0" fontId="111" fillId="15" borderId="0" applyNumberFormat="0" applyBorder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0" fillId="0" borderId="0"/>
    <xf numFmtId="0" fontId="0" fillId="0" borderId="0" applyProtection="0">
      <alignment vertical="center"/>
    </xf>
    <xf numFmtId="0" fontId="0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83" fillId="0" borderId="0" applyNumberFormat="0" applyFill="0" applyBorder="0" applyAlignment="0" applyProtection="0"/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82" fillId="70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41" fillId="71" borderId="0" applyNumberFormat="0" applyBorder="0" applyAlignment="0" applyProtection="0"/>
    <xf numFmtId="0" fontId="156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56" fillId="15" borderId="0" applyNumberFormat="0" applyBorder="0" applyAlignment="0" applyProtection="0"/>
    <xf numFmtId="0" fontId="129" fillId="15" borderId="0" applyNumberFormat="0" applyBorder="0" applyAlignment="0" applyProtection="0">
      <alignment vertical="center"/>
    </xf>
    <xf numFmtId="0" fontId="129" fillId="15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29" fillId="15" borderId="0" applyNumberFormat="0" applyBorder="0" applyAlignment="0" applyProtection="0">
      <alignment vertical="center"/>
    </xf>
    <xf numFmtId="0" fontId="156" fillId="15" borderId="0" applyNumberFormat="0" applyBorder="0" applyAlignment="0" applyProtection="0">
      <alignment vertical="center"/>
    </xf>
    <xf numFmtId="0" fontId="156" fillId="15" borderId="0" applyNumberFormat="0" applyBorder="0" applyAlignment="0" applyProtection="0">
      <alignment vertical="center"/>
    </xf>
    <xf numFmtId="0" fontId="156" fillId="15" borderId="0" applyNumberFormat="0" applyBorder="0" applyAlignment="0" applyProtection="0">
      <alignment vertical="center"/>
    </xf>
    <xf numFmtId="0" fontId="156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46" fillId="43" borderId="0" applyNumberFormat="0" applyBorder="0" applyAlignment="0" applyProtection="0">
      <alignment vertical="center"/>
    </xf>
    <xf numFmtId="0" fontId="156" fillId="15" borderId="0" applyNumberFormat="0" applyBorder="0" applyAlignment="0" applyProtection="0"/>
    <xf numFmtId="0" fontId="156" fillId="91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46" fillId="43" borderId="0" applyNumberFormat="0" applyBorder="0" applyAlignment="0" applyProtection="0">
      <alignment vertical="center"/>
    </xf>
    <xf numFmtId="0" fontId="146" fillId="43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30" fillId="55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/>
    <xf numFmtId="0" fontId="156" fillId="43" borderId="0" applyNumberFormat="0" applyBorder="0" applyAlignment="0" applyProtection="0">
      <alignment vertical="center"/>
    </xf>
    <xf numFmtId="0" fontId="156" fillId="43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29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3" fillId="42" borderId="0" applyNumberFormat="0" applyBorder="0" applyAlignment="0" applyProtection="0">
      <alignment vertical="center"/>
    </xf>
    <xf numFmtId="0" fontId="156" fillId="15" borderId="0" applyNumberFormat="0" applyBorder="0" applyAlignment="0" applyProtection="0"/>
    <xf numFmtId="0" fontId="156" fillId="91" borderId="0" applyNumberFormat="0" applyBorder="0" applyAlignment="0" applyProtection="0"/>
    <xf numFmtId="0" fontId="111" fillId="1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4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12" fillId="15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84" fillId="0" borderId="0" applyNumberFormat="0" applyFill="0" applyBorder="0" applyAlignment="0" applyProtection="0">
      <alignment vertical="top"/>
      <protection locked="0"/>
    </xf>
    <xf numFmtId="0" fontId="76" fillId="0" borderId="129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205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5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205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0" fontId="133" fillId="0" borderId="121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1" fillId="0" borderId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5" fillId="8" borderId="118" applyNumberFormat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72" fillId="62" borderId="120" applyNumberFormat="0" applyAlignment="0" applyProtection="0">
      <alignment vertical="center"/>
    </xf>
    <xf numFmtId="0" fontId="124" fillId="8" borderId="118" applyNumberFormat="0" applyAlignment="0" applyProtection="0">
      <alignment vertical="center"/>
    </xf>
    <xf numFmtId="0" fontId="162" fillId="46" borderId="130" applyNumberFormat="0" applyAlignment="0" applyProtection="0">
      <alignment vertical="center"/>
    </xf>
    <xf numFmtId="0" fontId="162" fillId="46" borderId="130" applyNumberFormat="0" applyAlignment="0" applyProtection="0">
      <alignment vertical="center"/>
    </xf>
    <xf numFmtId="198" fontId="13" fillId="0" borderId="1">
      <alignment vertical="center"/>
      <protection locked="0"/>
    </xf>
    <xf numFmtId="0" fontId="162" fillId="46" borderId="130" applyNumberFormat="0" applyAlignment="0" applyProtection="0">
      <alignment vertical="center"/>
    </xf>
    <xf numFmtId="198" fontId="13" fillId="0" borderId="1">
      <alignment vertical="center"/>
      <protection locked="0"/>
    </xf>
    <xf numFmtId="0" fontId="162" fillId="46" borderId="130" applyNumberFormat="0" applyAlignment="0" applyProtection="0">
      <alignment vertical="center"/>
    </xf>
    <xf numFmtId="198" fontId="13" fillId="0" borderId="1">
      <alignment vertical="center"/>
      <protection locked="0"/>
    </xf>
    <xf numFmtId="0" fontId="208" fillId="64" borderId="126" applyNumberFormat="0" applyAlignment="0" applyProtection="0">
      <alignment vertical="center"/>
    </xf>
    <xf numFmtId="0" fontId="208" fillId="64" borderId="126" applyNumberFormat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201" fillId="0" borderId="23" applyNumberFormat="0" applyFill="0" applyProtection="0">
      <alignment horizontal="left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3" fillId="32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200" fillId="0" borderId="135" applyNumberFormat="0" applyFill="0" applyAlignment="0" applyProtection="0">
      <alignment vertical="center"/>
    </xf>
    <xf numFmtId="0" fontId="200" fillId="0" borderId="135" applyNumberFormat="0" applyFill="0" applyAlignment="0" applyProtection="0">
      <alignment vertical="center"/>
    </xf>
    <xf numFmtId="0" fontId="200" fillId="0" borderId="135" applyNumberFormat="0" applyFill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0" fontId="196" fillId="0" borderId="135" applyNumberFormat="0" applyFill="0" applyAlignment="0" applyProtection="0">
      <alignment vertical="center"/>
    </xf>
    <xf numFmtId="21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216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4" fillId="20" borderId="118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94" borderId="0" applyNumberFormat="0" applyBorder="0" applyAlignment="0" applyProtection="0"/>
    <xf numFmtId="0" fontId="41" fillId="94" borderId="0" applyNumberFormat="0" applyBorder="0" applyAlignment="0" applyProtection="0"/>
    <xf numFmtId="0" fontId="41" fillId="94" borderId="0" applyNumberFormat="0" applyBorder="0" applyAlignment="0" applyProtection="0"/>
    <xf numFmtId="0" fontId="41" fillId="94" borderId="0" applyNumberFormat="0" applyBorder="0" applyAlignment="0" applyProtection="0"/>
    <xf numFmtId="0" fontId="41" fillId="69" borderId="0" applyNumberFormat="0" applyBorder="0" applyAlignment="0" applyProtection="0"/>
    <xf numFmtId="0" fontId="41" fillId="69" borderId="0" applyNumberFormat="0" applyBorder="0" applyAlignment="0" applyProtection="0"/>
    <xf numFmtId="0" fontId="41" fillId="69" borderId="0" applyNumberFormat="0" applyBorder="0" applyAlignment="0" applyProtection="0"/>
    <xf numFmtId="0" fontId="41" fillId="69" borderId="0" applyNumberFormat="0" applyBorder="0" applyAlignment="0" applyProtection="0"/>
    <xf numFmtId="0" fontId="41" fillId="71" borderId="0" applyNumberFormat="0" applyBorder="0" applyAlignment="0" applyProtection="0"/>
    <xf numFmtId="0" fontId="41" fillId="71" borderId="0" applyNumberFormat="0" applyBorder="0" applyAlignment="0" applyProtection="0"/>
    <xf numFmtId="0" fontId="41" fillId="71" borderId="0" applyNumberFormat="0" applyBorder="0" applyAlignment="0" applyProtection="0"/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30" fillId="85" borderId="0" applyNumberFormat="0" applyBorder="0" applyAlignment="0" applyProtection="0">
      <alignment vertical="center"/>
    </xf>
    <xf numFmtId="0" fontId="130" fillId="85" borderId="0" applyNumberFormat="0" applyBorder="0" applyAlignment="0" applyProtection="0">
      <alignment vertical="center"/>
    </xf>
    <xf numFmtId="0" fontId="13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10" fillId="85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10" fillId="36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30" fillId="55" borderId="0" applyNumberFormat="0" applyBorder="0" applyAlignment="0" applyProtection="0">
      <alignment vertical="center"/>
    </xf>
    <xf numFmtId="0" fontId="13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10" fillId="55" borderId="0" applyNumberFormat="0" applyBorder="0" applyAlignment="0" applyProtection="0">
      <alignment vertical="center"/>
    </xf>
    <xf numFmtId="0" fontId="126" fillId="0" borderId="16" applyNumberFormat="0" applyFill="0" applyProtection="0">
      <alignment horizontal="left"/>
    </xf>
    <xf numFmtId="0" fontId="209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209" fillId="6" borderId="0" applyNumberFormat="0" applyBorder="0" applyAlignment="0" applyProtection="0">
      <alignment vertical="center"/>
    </xf>
    <xf numFmtId="0" fontId="209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210" fillId="72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210" fillId="72" borderId="0" applyNumberFormat="0" applyBorder="0" applyAlignment="0" applyProtection="0">
      <alignment vertical="center"/>
    </xf>
    <xf numFmtId="0" fontId="193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70" fillId="8" borderId="131" applyNumberFormat="0" applyAlignment="0" applyProtection="0">
      <alignment vertical="center"/>
    </xf>
    <xf numFmtId="0" fontId="152" fillId="62" borderId="124" applyNumberFormat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116" fillId="20" borderId="118" applyNumberFormat="0" applyAlignment="0" applyProtection="0">
      <alignment vertical="center"/>
    </xf>
    <xf numFmtId="0" fontId="207" fillId="45" borderId="120" applyNumberFormat="0" applyAlignment="0" applyProtection="0">
      <alignment vertical="center"/>
    </xf>
    <xf numFmtId="0" fontId="207" fillId="45" borderId="120" applyNumberFormat="0" applyAlignment="0" applyProtection="0">
      <alignment vertical="center"/>
    </xf>
    <xf numFmtId="1" fontId="126" fillId="0" borderId="23" applyFill="0" applyProtection="0">
      <alignment horizontal="center"/>
    </xf>
    <xf numFmtId="1" fontId="13" fillId="0" borderId="1">
      <alignment vertical="center"/>
      <protection locked="0"/>
    </xf>
    <xf numFmtId="1" fontId="13" fillId="0" borderId="1">
      <alignment vertical="center"/>
      <protection locked="0"/>
    </xf>
    <xf numFmtId="1" fontId="13" fillId="0" borderId="1">
      <alignment vertical="center"/>
      <protection locked="0"/>
    </xf>
    <xf numFmtId="1" fontId="13" fillId="0" borderId="1">
      <alignment vertical="center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1" fillId="0" borderId="0"/>
    <xf numFmtId="198" fontId="13" fillId="0" borderId="1">
      <alignment vertical="center"/>
      <protection locked="0"/>
    </xf>
    <xf numFmtId="0" fontId="211" fillId="0" borderId="0"/>
    <xf numFmtId="0" fontId="113" fillId="74" borderId="0" applyNumberFormat="0" applyBorder="0" applyAlignment="0" applyProtection="0">
      <alignment vertical="center"/>
    </xf>
    <xf numFmtId="0" fontId="113" fillId="32" borderId="0" applyNumberFormat="0" applyBorder="0" applyAlignment="0" applyProtection="0">
      <alignment vertical="center"/>
    </xf>
    <xf numFmtId="0" fontId="113" fillId="78" borderId="0" applyNumberFormat="0" applyBorder="0" applyAlignment="0" applyProtection="0">
      <alignment vertical="center"/>
    </xf>
    <xf numFmtId="0" fontId="113" fillId="78" borderId="0" applyNumberFormat="0" applyBorder="0" applyAlignment="0" applyProtection="0">
      <alignment vertical="center"/>
    </xf>
    <xf numFmtId="0" fontId="113" fillId="79" borderId="0" applyNumberFormat="0" applyBorder="0" applyAlignment="0" applyProtection="0">
      <alignment vertical="center"/>
    </xf>
    <xf numFmtId="0" fontId="113" fillId="79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3" fillId="42" borderId="0" applyNumberFormat="0" applyBorder="0" applyAlignment="0" applyProtection="0">
      <alignment vertical="center"/>
    </xf>
    <xf numFmtId="0" fontId="113" fillId="8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0" fillId="10" borderId="117" applyNumberFormat="0" applyFont="0" applyAlignment="0" applyProtection="0">
      <alignment vertical="center"/>
    </xf>
    <xf numFmtId="0" fontId="50" fillId="10" borderId="117" applyNumberFormat="0" applyFont="0" applyAlignment="0" applyProtection="0">
      <alignment vertical="center"/>
    </xf>
    <xf numFmtId="38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195" fillId="0" borderId="0"/>
    <xf numFmtId="0" fontId="0" fillId="0" borderId="0"/>
    <xf numFmtId="41" fontId="212" fillId="70" borderId="0" applyBorder="0" applyAlignment="0" applyProtection="0">
      <alignment vertical="center"/>
    </xf>
    <xf numFmtId="0" fontId="0" fillId="0" borderId="0"/>
  </cellStyleXfs>
  <cellXfs count="1391">
    <xf numFmtId="0" fontId="0" fillId="0" borderId="0" xfId="0" applyAlignment="1">
      <alignment vertical="center"/>
    </xf>
    <xf numFmtId="0" fontId="0" fillId="0" borderId="0" xfId="2515" applyAlignment="1">
      <alignment vertical="center"/>
    </xf>
    <xf numFmtId="0" fontId="1" fillId="0" borderId="0" xfId="2515" applyFont="1" applyBorder="1" applyAlignment="1">
      <alignment horizontal="left" vertical="center"/>
    </xf>
    <xf numFmtId="0" fontId="1" fillId="0" borderId="0" xfId="2515" applyFont="1" applyAlignment="1">
      <alignment vertical="center"/>
    </xf>
    <xf numFmtId="0" fontId="1" fillId="0" borderId="1" xfId="2515" applyFont="1" applyBorder="1" applyAlignment="1">
      <alignment horizontal="center" vertical="center"/>
    </xf>
    <xf numFmtId="0" fontId="1" fillId="0" borderId="1" xfId="2515" applyFont="1" applyFill="1" applyBorder="1" applyAlignment="1">
      <alignment horizontal="center" vertical="center"/>
    </xf>
    <xf numFmtId="217" fontId="2" fillId="0" borderId="1" xfId="2515" applyNumberFormat="1" applyFont="1" applyBorder="1" applyAlignment="1">
      <alignment horizontal="center" vertical="center"/>
    </xf>
    <xf numFmtId="209" fontId="1" fillId="0" borderId="1" xfId="2515" applyNumberFormat="1" applyFont="1" applyBorder="1" applyAlignment="1">
      <alignment horizontal="center" vertical="center"/>
    </xf>
    <xf numFmtId="217" fontId="1" fillId="0" borderId="2" xfId="2515" applyNumberFormat="1" applyFont="1" applyBorder="1" applyAlignment="1">
      <alignment horizontal="center" vertical="center"/>
    </xf>
    <xf numFmtId="217" fontId="1" fillId="0" borderId="1" xfId="2515" applyNumberFormat="1" applyFont="1" applyBorder="1" applyAlignment="1">
      <alignment horizontal="center" vertical="center"/>
    </xf>
    <xf numFmtId="217" fontId="2" fillId="0" borderId="3" xfId="2515" applyNumberFormat="1" applyFont="1" applyBorder="1" applyAlignment="1">
      <alignment horizontal="center" vertical="center"/>
    </xf>
    <xf numFmtId="217" fontId="2" fillId="0" borderId="4" xfId="2515" applyNumberFormat="1" applyFont="1" applyBorder="1" applyAlignment="1">
      <alignment horizontal="center" vertical="center"/>
    </xf>
    <xf numFmtId="0" fontId="1" fillId="0" borderId="1" xfId="2515" applyFont="1" applyBorder="1" applyAlignment="1">
      <alignment horizontal="center" vertical="center" wrapText="1"/>
    </xf>
    <xf numFmtId="0" fontId="1" fillId="0" borderId="0" xfId="2515" applyFont="1" applyBorder="1" applyAlignment="1">
      <alignment vertical="center"/>
    </xf>
    <xf numFmtId="0" fontId="0" fillId="0" borderId="5" xfId="0" applyBorder="1"/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3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83" fontId="6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209" fontId="5" fillId="0" borderId="6" xfId="0" applyNumberFormat="1" applyFont="1" applyBorder="1" applyAlignment="1">
      <alignment horizontal="center" wrapText="1"/>
    </xf>
    <xf numFmtId="10" fontId="3" fillId="0" borderId="8" xfId="0" applyNumberFormat="1" applyFont="1" applyBorder="1" applyAlignment="1">
      <alignment horizontal="center" wrapText="1"/>
    </xf>
    <xf numFmtId="209" fontId="4" fillId="0" borderId="0" xfId="0" applyNumberFormat="1" applyFont="1" applyAlignment="1">
      <alignment vertical="center"/>
    </xf>
    <xf numFmtId="209" fontId="5" fillId="0" borderId="8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209" fontId="6" fillId="0" borderId="8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7" fillId="3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219" fontId="4" fillId="0" borderId="0" xfId="0" applyNumberFormat="1" applyFont="1" applyAlignment="1">
      <alignment vertic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209" fontId="8" fillId="0" borderId="12" xfId="0" applyNumberFormat="1" applyFont="1" applyBorder="1" applyAlignment="1">
      <alignment horizontal="center" vertical="center"/>
    </xf>
    <xf numFmtId="209" fontId="6" fillId="0" borderId="12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209" fontId="5" fillId="0" borderId="12" xfId="0" applyNumberFormat="1" applyFont="1" applyBorder="1" applyAlignment="1">
      <alignment horizontal="center"/>
    </xf>
    <xf numFmtId="209" fontId="0" fillId="0" borderId="12" xfId="0" applyNumberFormat="1" applyBorder="1"/>
    <xf numFmtId="0" fontId="0" fillId="0" borderId="1" xfId="0" applyBorder="1" applyAlignment="1">
      <alignment vertical="center"/>
    </xf>
    <xf numFmtId="221" fontId="0" fillId="0" borderId="1" xfId="0" applyNumberFormat="1" applyBorder="1" applyAlignme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center" vertical="center"/>
    </xf>
    <xf numFmtId="0" fontId="9" fillId="4" borderId="13" xfId="0" applyFont="1" applyFill="1" applyBorder="1" applyAlignment="1" applyProtection="1">
      <alignment horizontal="center" vertical="center"/>
    </xf>
    <xf numFmtId="0" fontId="10" fillId="0" borderId="13" xfId="0" applyFont="1" applyFill="1" applyBorder="1" applyAlignment="1" applyProtection="1">
      <alignment horizontal="center" vertical="center"/>
    </xf>
    <xf numFmtId="31" fontId="10" fillId="4" borderId="0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 applyProtection="1">
      <alignment horizontal="center" vertical="center" wrapText="1"/>
    </xf>
    <xf numFmtId="0" fontId="11" fillId="0" borderId="14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209" fontId="12" fillId="4" borderId="1" xfId="0" applyNumberFormat="1" applyFont="1" applyFill="1" applyBorder="1" applyAlignment="1">
      <alignment horizontal="center" vertical="center" wrapText="1"/>
    </xf>
    <xf numFmtId="209" fontId="12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209" fontId="13" fillId="4" borderId="1" xfId="0" applyNumberFormat="1" applyFont="1" applyFill="1" applyBorder="1" applyAlignment="1">
      <alignment horizontal="center" vertical="center" wrapText="1"/>
    </xf>
    <xf numFmtId="209" fontId="13" fillId="0" borderId="1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09" fontId="1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09" fontId="10" fillId="4" borderId="1" xfId="0" applyNumberFormat="1" applyFont="1" applyFill="1" applyBorder="1" applyAlignment="1">
      <alignment horizontal="center" vertical="center" shrinkToFit="1"/>
    </xf>
    <xf numFmtId="209" fontId="10" fillId="0" borderId="1" xfId="0" applyNumberFormat="1" applyFont="1" applyFill="1" applyBorder="1" applyAlignment="1">
      <alignment horizontal="center" vertical="center" shrinkToFit="1"/>
    </xf>
    <xf numFmtId="209" fontId="10" fillId="0" borderId="1" xfId="0" applyNumberFormat="1" applyFont="1" applyFill="1" applyBorder="1" applyAlignment="1">
      <alignment horizontal="center" vertical="center" wrapText="1"/>
    </xf>
    <xf numFmtId="209" fontId="10" fillId="4" borderId="1" xfId="0" applyNumberFormat="1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209" fontId="0" fillId="0" borderId="1" xfId="0" applyNumberFormat="1" applyFont="1" applyFill="1" applyBorder="1" applyAlignment="1">
      <alignment horizontal="center" vertical="center" wrapText="1"/>
    </xf>
    <xf numFmtId="209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209" fontId="0" fillId="0" borderId="1" xfId="0" applyNumberFormat="1" applyFont="1" applyFill="1" applyBorder="1" applyAlignment="1">
      <alignment horizontal="center" vertical="center"/>
    </xf>
    <xf numFmtId="209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21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05" fontId="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09" fontId="10" fillId="0" borderId="0" xfId="0" applyNumberFormat="1" applyFont="1" applyFill="1" applyBorder="1" applyAlignment="1">
      <alignment horizontal="center" vertical="center" shrinkToFit="1"/>
    </xf>
    <xf numFmtId="209" fontId="1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217" fontId="12" fillId="0" borderId="0" xfId="0" applyNumberFormat="1" applyFont="1" applyFill="1" applyBorder="1" applyAlignment="1">
      <alignment horizontal="center" vertical="center" wrapText="1"/>
    </xf>
    <xf numFmtId="209" fontId="10" fillId="0" borderId="0" xfId="0" applyNumberFormat="1" applyFont="1" applyFill="1" applyBorder="1" applyAlignment="1">
      <alignment horizontal="center" vertical="center" wrapText="1"/>
    </xf>
    <xf numFmtId="209" fontId="0" fillId="0" borderId="0" xfId="0" applyNumberFormat="1" applyFont="1" applyFill="1" applyBorder="1" applyAlignment="1">
      <alignment horizontal="center" vertical="center" wrapText="1"/>
    </xf>
    <xf numFmtId="209" fontId="0" fillId="0" borderId="0" xfId="0" applyNumberFormat="1" applyFont="1" applyFill="1" applyBorder="1" applyAlignment="1">
      <alignment horizontal="center" vertical="center"/>
    </xf>
    <xf numFmtId="18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31" fontId="4" fillId="0" borderId="18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209" fontId="17" fillId="0" borderId="1" xfId="0" applyNumberFormat="1" applyFont="1" applyFill="1" applyBorder="1" applyAlignment="1">
      <alignment horizontal="center" vertical="center" wrapText="1"/>
    </xf>
    <xf numFmtId="209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209" fontId="16" fillId="4" borderId="4" xfId="0" applyNumberFormat="1" applyFont="1" applyFill="1" applyBorder="1" applyAlignment="1">
      <alignment horizontal="center" vertical="center"/>
    </xf>
    <xf numFmtId="209" fontId="16" fillId="4" borderId="16" xfId="0" applyNumberFormat="1" applyFont="1" applyFill="1" applyBorder="1" applyAlignment="1">
      <alignment horizontal="center" vertical="center"/>
    </xf>
    <xf numFmtId="209" fontId="16" fillId="4" borderId="17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vertical="center"/>
    </xf>
    <xf numFmtId="209" fontId="0" fillId="0" borderId="0" xfId="0" applyNumberFormat="1" applyAlignment="1">
      <alignment vertical="center"/>
    </xf>
    <xf numFmtId="209" fontId="13" fillId="0" borderId="1" xfId="0" applyNumberFormat="1" applyFont="1" applyFill="1" applyBorder="1" applyAlignment="1">
      <alignment horizontal="center" vertical="center"/>
    </xf>
    <xf numFmtId="209" fontId="0" fillId="0" borderId="1" xfId="0" applyNumberFormat="1" applyBorder="1"/>
    <xf numFmtId="209" fontId="13" fillId="0" borderId="0" xfId="0" applyNumberFormat="1" applyFont="1" applyFill="1" applyBorder="1" applyAlignment="1">
      <alignment horizontal="center" vertical="center"/>
    </xf>
    <xf numFmtId="209" fontId="13" fillId="0" borderId="1" xfId="0" applyNumberFormat="1" applyFont="1" applyBorder="1" applyAlignment="1">
      <alignment horizontal="center" vertical="center"/>
    </xf>
    <xf numFmtId="209" fontId="13" fillId="0" borderId="0" xfId="0" applyNumberFormat="1" applyFont="1" applyAlignment="1">
      <alignment horizontal="center" vertical="center"/>
    </xf>
    <xf numFmtId="209" fontId="18" fillId="0" borderId="0" xfId="0" applyNumberFormat="1" applyFont="1" applyBorder="1" applyAlignment="1">
      <alignment vertical="center"/>
    </xf>
    <xf numFmtId="209" fontId="0" fillId="0" borderId="0" xfId="0" applyNumberFormat="1" applyBorder="1" applyAlignment="1">
      <alignment horizontal="center" vertical="center"/>
    </xf>
    <xf numFmtId="209" fontId="0" fillId="0" borderId="0" xfId="0" applyNumberFormat="1" applyAlignment="1">
      <alignment horizontal="center" vertical="center"/>
    </xf>
    <xf numFmtId="209" fontId="13" fillId="0" borderId="0" xfId="0" applyNumberFormat="1" applyFont="1" applyAlignment="1">
      <alignment vertical="center"/>
    </xf>
    <xf numFmtId="209" fontId="13" fillId="0" borderId="1" xfId="0" applyNumberFormat="1" applyFont="1" applyFill="1" applyBorder="1" applyAlignment="1">
      <alignment vertical="center"/>
    </xf>
    <xf numFmtId="209" fontId="13" fillId="0" borderId="1" xfId="0" applyNumberFormat="1" applyFont="1" applyBorder="1" applyAlignment="1">
      <alignment vertical="center"/>
    </xf>
    <xf numFmtId="209" fontId="13" fillId="0" borderId="1" xfId="0" applyNumberFormat="1" applyFont="1" applyFill="1" applyBorder="1" applyAlignment="1">
      <alignment horizontal="right" vertical="center"/>
    </xf>
    <xf numFmtId="209" fontId="0" fillId="0" borderId="1" xfId="0" applyNumberFormat="1" applyFont="1" applyFill="1" applyBorder="1" applyAlignment="1">
      <alignment vertical="center"/>
    </xf>
    <xf numFmtId="209" fontId="13" fillId="0" borderId="0" xfId="0" applyNumberFormat="1" applyFont="1" applyFill="1" applyAlignment="1">
      <alignment horizontal="center" vertical="center"/>
    </xf>
    <xf numFmtId="221" fontId="19" fillId="0" borderId="13" xfId="3786" applyNumberFormat="1" applyFont="1" applyFill="1" applyBorder="1" applyAlignment="1">
      <alignment vertical="center"/>
    </xf>
    <xf numFmtId="221" fontId="19" fillId="0" borderId="0" xfId="3786" applyNumberFormat="1" applyFont="1" applyFill="1" applyBorder="1" applyAlignment="1">
      <alignment vertical="center"/>
    </xf>
    <xf numFmtId="217" fontId="20" fillId="0" borderId="0" xfId="3786" applyNumberFormat="1" applyFont="1" applyFill="1" applyAlignment="1">
      <alignment horizontal="center" vertical="center"/>
    </xf>
    <xf numFmtId="221" fontId="20" fillId="0" borderId="0" xfId="3786" applyNumberFormat="1" applyFont="1" applyFill="1" applyAlignment="1">
      <alignment horizontal="center" vertical="center"/>
    </xf>
    <xf numFmtId="0" fontId="0" fillId="0" borderId="16" xfId="0" applyBorder="1" applyAlignment="1">
      <alignment vertical="center"/>
    </xf>
    <xf numFmtId="221" fontId="21" fillId="0" borderId="15" xfId="3786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21" fontId="21" fillId="0" borderId="1" xfId="3786" applyNumberFormat="1" applyFont="1" applyFill="1" applyBorder="1" applyAlignment="1">
      <alignment horizontal="center" vertical="center" wrapText="1"/>
    </xf>
    <xf numFmtId="217" fontId="22" fillId="0" borderId="1" xfId="3786" applyNumberFormat="1" applyFont="1" applyFill="1" applyBorder="1" applyAlignment="1">
      <alignment horizontal="center" vertical="center" wrapText="1"/>
    </xf>
    <xf numFmtId="221" fontId="23" fillId="0" borderId="1" xfId="0" applyNumberFormat="1" applyFont="1" applyFill="1" applyBorder="1" applyAlignment="1">
      <alignment horizontal="center" vertical="center"/>
    </xf>
    <xf numFmtId="217" fontId="23" fillId="0" borderId="1" xfId="0" applyNumberFormat="1" applyFont="1" applyFill="1" applyBorder="1" applyAlignment="1">
      <alignment horizontal="center" vertical="center"/>
    </xf>
    <xf numFmtId="221" fontId="24" fillId="0" borderId="1" xfId="2560" applyNumberFormat="1" applyFont="1" applyFill="1" applyBorder="1" applyAlignment="1">
      <alignment horizontal="center" vertical="center"/>
    </xf>
    <xf numFmtId="221" fontId="24" fillId="0" borderId="15" xfId="2560" applyNumberFormat="1" applyFont="1" applyFill="1" applyBorder="1" applyAlignment="1">
      <alignment horizontal="center" vertical="center"/>
    </xf>
    <xf numFmtId="221" fontId="24" fillId="0" borderId="1" xfId="3786" applyNumberFormat="1" applyFont="1" applyFill="1" applyBorder="1" applyAlignment="1">
      <alignment horizontal="center" vertical="center" wrapText="1"/>
    </xf>
    <xf numFmtId="221" fontId="24" fillId="0" borderId="15" xfId="378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9" fontId="23" fillId="0" borderId="15" xfId="0" applyNumberFormat="1" applyFont="1" applyFill="1" applyBorder="1" applyAlignment="1">
      <alignment horizontal="center" vertical="center"/>
    </xf>
    <xf numFmtId="209" fontId="23" fillId="0" borderId="1" xfId="0" applyNumberFormat="1" applyFont="1" applyFill="1" applyBorder="1" applyAlignment="1">
      <alignment horizontal="center" vertical="center"/>
    </xf>
    <xf numFmtId="217" fontId="0" fillId="0" borderId="0" xfId="0" applyNumberFormat="1" applyAlignment="1">
      <alignment vertical="center"/>
    </xf>
    <xf numFmtId="217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221" fontId="26" fillId="4" borderId="1" xfId="3786" applyNumberFormat="1" applyFont="1" applyFill="1" applyBorder="1" applyAlignment="1">
      <alignment vertical="center" wrapText="1"/>
    </xf>
    <xf numFmtId="217" fontId="27" fillId="4" borderId="1" xfId="3786" applyNumberFormat="1" applyFont="1" applyFill="1" applyBorder="1" applyAlignment="1">
      <alignment horizontal="center" vertical="center" wrapText="1"/>
    </xf>
    <xf numFmtId="221" fontId="27" fillId="4" borderId="1" xfId="3786" applyNumberFormat="1" applyFont="1" applyFill="1" applyBorder="1" applyAlignment="1">
      <alignment horizontal="center" vertical="center" wrapText="1"/>
    </xf>
    <xf numFmtId="217" fontId="26" fillId="4" borderId="1" xfId="3786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209" fontId="4" fillId="0" borderId="15" xfId="0" applyNumberFormat="1" applyFont="1" applyBorder="1" applyAlignment="1">
      <alignment horizontal="center" vertical="center"/>
    </xf>
    <xf numFmtId="209" fontId="4" fillId="0" borderId="1" xfId="0" applyNumberFormat="1" applyFont="1" applyBorder="1" applyAlignment="1">
      <alignment horizontal="center" vertical="center"/>
    </xf>
    <xf numFmtId="209" fontId="4" fillId="0" borderId="15" xfId="0" applyNumberFormat="1" applyFont="1" applyBorder="1" applyAlignment="1">
      <alignment vertical="center"/>
    </xf>
    <xf numFmtId="209" fontId="0" fillId="0" borderId="1" xfId="0" applyNumberFormat="1" applyBorder="1" applyAlignment="1">
      <alignment vertical="center"/>
    </xf>
    <xf numFmtId="209" fontId="4" fillId="0" borderId="1" xfId="0" applyNumberFormat="1" applyFont="1" applyBorder="1" applyAlignment="1">
      <alignment vertical="center"/>
    </xf>
    <xf numFmtId="217" fontId="25" fillId="0" borderId="4" xfId="0" applyNumberFormat="1" applyFont="1" applyFill="1" applyBorder="1" applyAlignment="1" applyProtection="1">
      <alignment horizontal="center" vertical="center" wrapText="1"/>
      <protection locked="0"/>
    </xf>
    <xf numFmtId="217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217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217" fontId="25" fillId="0" borderId="1" xfId="0" applyNumberFormat="1" applyFont="1" applyFill="1" applyBorder="1" applyAlignment="1" applyProtection="1">
      <alignment horizontal="center" vertical="center"/>
      <protection locked="0"/>
    </xf>
    <xf numFmtId="217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217" fontId="28" fillId="0" borderId="4" xfId="0" applyNumberFormat="1" applyFont="1" applyFill="1" applyBorder="1" applyAlignment="1" applyProtection="1">
      <alignment horizontal="center" vertical="center" wrapText="1"/>
      <protection locked="0"/>
    </xf>
    <xf numFmtId="217" fontId="28" fillId="0" borderId="16" xfId="0" applyNumberFormat="1" applyFont="1" applyFill="1" applyBorder="1" applyAlignment="1" applyProtection="1">
      <alignment horizontal="center" vertical="center" wrapText="1"/>
      <protection locked="0"/>
    </xf>
    <xf numFmtId="217" fontId="10" fillId="0" borderId="1" xfId="0" applyNumberFormat="1" applyFont="1" applyFill="1" applyBorder="1" applyAlignment="1" applyProtection="1">
      <alignment horizontal="center" vertical="center"/>
      <protection locked="0"/>
    </xf>
    <xf numFmtId="217" fontId="10" fillId="0" borderId="0" xfId="0" applyNumberFormat="1" applyFont="1" applyFill="1" applyBorder="1" applyAlignment="1" applyProtection="1">
      <alignment horizontal="center" vertical="center"/>
      <protection locked="0"/>
    </xf>
    <xf numFmtId="217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217" fontId="25" fillId="0" borderId="2" xfId="0" applyNumberFormat="1" applyFont="1" applyFill="1" applyBorder="1" applyAlignment="1" applyProtection="1">
      <alignment horizontal="center" vertical="center"/>
      <protection locked="0"/>
    </xf>
    <xf numFmtId="217" fontId="25" fillId="0" borderId="15" xfId="0" applyNumberFormat="1" applyFont="1" applyFill="1" applyBorder="1" applyAlignment="1" applyProtection="1">
      <alignment horizontal="center" vertical="center"/>
      <protection locked="0"/>
    </xf>
    <xf numFmtId="217" fontId="28" fillId="0" borderId="2" xfId="0" applyNumberFormat="1" applyFont="1" applyFill="1" applyBorder="1" applyAlignment="1" applyProtection="1">
      <alignment horizontal="center" vertical="center"/>
      <protection locked="0"/>
    </xf>
    <xf numFmtId="217" fontId="28" fillId="0" borderId="15" xfId="0" applyNumberFormat="1" applyFont="1" applyFill="1" applyBorder="1" applyAlignment="1" applyProtection="1">
      <alignment horizontal="center" vertical="center"/>
      <protection locked="0"/>
    </xf>
    <xf numFmtId="209" fontId="0" fillId="0" borderId="1" xfId="0" applyNumberFormat="1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209" fontId="10" fillId="0" borderId="1" xfId="0" applyNumberFormat="1" applyFont="1" applyFill="1" applyBorder="1" applyAlignment="1">
      <alignment horizontal="center" vertical="center"/>
    </xf>
    <xf numFmtId="209" fontId="30" fillId="0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17" fontId="10" fillId="0" borderId="1" xfId="0" applyNumberFormat="1" applyFont="1" applyFill="1" applyBorder="1" applyAlignment="1">
      <alignment horizontal="center" vertical="center"/>
    </xf>
    <xf numFmtId="217" fontId="31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217" fontId="30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209" fontId="30" fillId="0" borderId="1" xfId="0" applyNumberFormat="1" applyFont="1" applyBorder="1" applyAlignment="1">
      <alignment horizontal="center" vertical="center"/>
    </xf>
    <xf numFmtId="209" fontId="10" fillId="0" borderId="1" xfId="0" applyNumberFormat="1" applyFont="1" applyBorder="1" applyAlignment="1">
      <alignment horizontal="center" vertical="center"/>
    </xf>
    <xf numFmtId="217" fontId="33" fillId="8" borderId="1" xfId="0" applyNumberFormat="1" applyFont="1" applyFill="1" applyBorder="1" applyAlignment="1">
      <alignment horizontal="center" vertical="center"/>
    </xf>
    <xf numFmtId="209" fontId="0" fillId="0" borderId="1" xfId="0" applyNumberFormat="1" applyBorder="1" applyAlignment="1">
      <alignment horizontal="center" vertical="center"/>
    </xf>
    <xf numFmtId="209" fontId="29" fillId="0" borderId="1" xfId="0" applyNumberFormat="1" applyFont="1" applyBorder="1" applyAlignment="1">
      <alignment horizontal="center" vertical="center"/>
    </xf>
    <xf numFmtId="217" fontId="30" fillId="0" borderId="1" xfId="0" applyNumberFormat="1" applyFont="1" applyBorder="1" applyAlignment="1">
      <alignment horizontal="center" vertical="center"/>
    </xf>
    <xf numFmtId="217" fontId="10" fillId="0" borderId="1" xfId="0" applyNumberFormat="1" applyFont="1" applyBorder="1" applyAlignment="1">
      <alignment horizontal="center" vertical="center"/>
    </xf>
    <xf numFmtId="217" fontId="0" fillId="0" borderId="1" xfId="0" applyNumberFormat="1" applyBorder="1" applyAlignment="1">
      <alignment horizontal="center" vertical="center"/>
    </xf>
    <xf numFmtId="217" fontId="29" fillId="0" borderId="1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09" fontId="31" fillId="0" borderId="1" xfId="0" applyNumberFormat="1" applyFont="1" applyFill="1" applyBorder="1" applyAlignment="1">
      <alignment horizontal="center" vertical="center"/>
    </xf>
    <xf numFmtId="209" fontId="10" fillId="4" borderId="1" xfId="0" applyNumberFormat="1" applyFont="1" applyFill="1" applyBorder="1" applyAlignment="1">
      <alignment horizontal="center" vertical="center"/>
    </xf>
    <xf numFmtId="209" fontId="34" fillId="0" borderId="1" xfId="0" applyNumberFormat="1" applyFont="1" applyBorder="1" applyAlignment="1">
      <alignment horizontal="center" vertical="center"/>
    </xf>
    <xf numFmtId="209" fontId="10" fillId="9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217" fontId="35" fillId="8" borderId="1" xfId="0" applyNumberFormat="1" applyFont="1" applyFill="1" applyBorder="1" applyAlignment="1">
      <alignment horizontal="center" vertical="center"/>
    </xf>
    <xf numFmtId="209" fontId="29" fillId="9" borderId="1" xfId="0" applyNumberFormat="1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217" fontId="29" fillId="9" borderId="1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217" fontId="35" fillId="8" borderId="0" xfId="0" applyNumberFormat="1" applyFont="1" applyFill="1" applyAlignment="1">
      <alignment horizontal="center" vertical="center"/>
    </xf>
    <xf numFmtId="209" fontId="29" fillId="0" borderId="1" xfId="0" applyNumberFormat="1" applyFont="1" applyFill="1" applyBorder="1" applyAlignment="1">
      <alignment horizontal="center" vertical="center"/>
    </xf>
    <xf numFmtId="209" fontId="29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31" fontId="1" fillId="0" borderId="0" xfId="0" applyNumberFormat="1" applyFont="1" applyAlignment="1">
      <alignment horizontal="center" vertical="center"/>
    </xf>
    <xf numFmtId="0" fontId="0" fillId="0" borderId="13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217" fontId="13" fillId="0" borderId="1" xfId="3954" applyNumberFormat="1" applyFont="1" applyFill="1" applyBorder="1" applyAlignment="1">
      <alignment horizontal="center" vertical="center"/>
    </xf>
    <xf numFmtId="209" fontId="13" fillId="0" borderId="1" xfId="3954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37" fillId="0" borderId="21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217" fontId="2" fillId="0" borderId="1" xfId="0" applyNumberFormat="1" applyFont="1" applyBorder="1" applyAlignment="1">
      <alignment horizontal="center" vertical="center"/>
    </xf>
    <xf numFmtId="217" fontId="1" fillId="0" borderId="1" xfId="0" applyNumberFormat="1" applyFont="1" applyBorder="1" applyAlignment="1">
      <alignment horizontal="center" vertical="center"/>
    </xf>
    <xf numFmtId="20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217" fontId="15" fillId="0" borderId="0" xfId="0" applyNumberFormat="1" applyFont="1" applyFill="1" applyBorder="1" applyAlignment="1" applyProtection="1">
      <alignment horizontal="center" vertical="center"/>
      <protection locked="0"/>
    </xf>
    <xf numFmtId="217" fontId="15" fillId="0" borderId="13" xfId="0" applyNumberFormat="1" applyFont="1" applyFill="1" applyBorder="1" applyAlignment="1" applyProtection="1">
      <alignment horizontal="center" vertical="center"/>
      <protection locked="0"/>
    </xf>
    <xf numFmtId="9" fontId="15" fillId="0" borderId="13" xfId="0" applyNumberFormat="1" applyFont="1" applyFill="1" applyBorder="1" applyAlignment="1" applyProtection="1">
      <alignment horizontal="center" vertical="center"/>
      <protection locked="0"/>
    </xf>
    <xf numFmtId="217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0" fillId="0" borderId="4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17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217" fontId="33" fillId="0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16" xfId="0" applyNumberFormat="1" applyFont="1" applyFill="1" applyBorder="1" applyAlignment="1" applyProtection="1">
      <alignment horizontal="center" vertical="center" wrapText="1"/>
      <protection locked="0"/>
    </xf>
    <xf numFmtId="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217" fontId="33" fillId="0" borderId="1" xfId="0" applyNumberFormat="1" applyFont="1" applyFill="1" applyBorder="1" applyAlignment="1" applyProtection="1">
      <alignment horizontal="center" vertical="center" wrapText="1"/>
    </xf>
    <xf numFmtId="217" fontId="33" fillId="9" borderId="1" xfId="0" applyNumberFormat="1" applyFont="1" applyFill="1" applyBorder="1" applyAlignment="1" applyProtection="1">
      <alignment horizontal="center" vertical="center" wrapText="1"/>
      <protection locked="0"/>
    </xf>
    <xf numFmtId="217" fontId="10" fillId="9" borderId="1" xfId="0" applyNumberFormat="1" applyFont="1" applyFill="1" applyBorder="1" applyAlignment="1" applyProtection="1">
      <alignment horizontal="center" vertical="center" wrapText="1"/>
      <protection locked="0"/>
    </xf>
    <xf numFmtId="217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217" fontId="33" fillId="0" borderId="4" xfId="0" applyNumberFormat="1" applyFont="1" applyFill="1" applyBorder="1" applyAlignment="1" applyProtection="1">
      <alignment horizontal="center" vertical="center"/>
      <protection locked="0"/>
    </xf>
    <xf numFmtId="217" fontId="10" fillId="9" borderId="1" xfId="0" applyNumberFormat="1" applyFont="1" applyFill="1" applyBorder="1" applyAlignment="1" applyProtection="1">
      <alignment horizontal="center" vertical="center"/>
      <protection locked="0"/>
    </xf>
    <xf numFmtId="217" fontId="33" fillId="0" borderId="17" xfId="0" applyNumberFormat="1" applyFont="1" applyFill="1" applyBorder="1" applyAlignment="1" applyProtection="1">
      <alignment horizontal="center" vertical="center"/>
      <protection locked="0"/>
    </xf>
    <xf numFmtId="217" fontId="33" fillId="0" borderId="16" xfId="0" applyNumberFormat="1" applyFont="1" applyFill="1" applyBorder="1" applyAlignment="1" applyProtection="1">
      <alignment horizontal="center" vertical="center"/>
      <protection locked="0"/>
    </xf>
    <xf numFmtId="217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217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217" fontId="10" fillId="9" borderId="2" xfId="0" applyNumberFormat="1" applyFont="1" applyFill="1" applyBorder="1" applyAlignment="1" applyProtection="1">
      <alignment horizontal="center" vertical="center" wrapText="1"/>
      <protection locked="0"/>
    </xf>
    <xf numFmtId="217" fontId="38" fillId="0" borderId="22" xfId="0" applyNumberFormat="1" applyFont="1" applyFill="1" applyBorder="1" applyAlignment="1" applyProtection="1">
      <alignment horizontal="center" vertical="center"/>
      <protection locked="0"/>
    </xf>
    <xf numFmtId="217" fontId="38" fillId="0" borderId="13" xfId="0" applyNumberFormat="1" applyFont="1" applyFill="1" applyBorder="1" applyAlignment="1" applyProtection="1">
      <alignment horizontal="center" vertical="center"/>
      <protection locked="0"/>
    </xf>
    <xf numFmtId="217" fontId="1" fillId="0" borderId="0" xfId="0" applyNumberFormat="1" applyFont="1" applyFill="1" applyAlignment="1">
      <alignment horizontal="center" vertical="center"/>
    </xf>
    <xf numFmtId="217" fontId="0" fillId="0" borderId="13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23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16" xfId="0" applyNumberFormat="1" applyFont="1" applyFill="1" applyBorder="1" applyAlignment="1" applyProtection="1">
      <alignment horizontal="center" vertical="center" wrapText="1"/>
      <protection locked="0"/>
    </xf>
    <xf numFmtId="217" fontId="33" fillId="9" borderId="2" xfId="0" applyNumberFormat="1" applyFont="1" applyFill="1" applyBorder="1" applyAlignment="1" applyProtection="1">
      <alignment horizontal="center" vertical="center" wrapText="1"/>
      <protection locked="0"/>
    </xf>
    <xf numFmtId="217" fontId="33" fillId="9" borderId="1" xfId="0" applyNumberFormat="1" applyFont="1" applyFill="1" applyBorder="1" applyAlignment="1" applyProtection="1">
      <alignment horizontal="center" vertical="center"/>
      <protection locked="0"/>
    </xf>
    <xf numFmtId="217" fontId="33" fillId="9" borderId="1" xfId="0" applyNumberFormat="1" applyFont="1" applyFill="1" applyBorder="1" applyAlignment="1" applyProtection="1">
      <alignment horizontal="center" vertical="center" wrapText="1"/>
    </xf>
    <xf numFmtId="217" fontId="10" fillId="9" borderId="1" xfId="2764" applyNumberFormat="1" applyFont="1" applyFill="1" applyBorder="1" applyAlignment="1" applyProtection="1">
      <alignment horizontal="center" vertical="center" wrapText="1"/>
      <protection locked="0"/>
    </xf>
    <xf numFmtId="217" fontId="10" fillId="9" borderId="2" xfId="0" applyNumberFormat="1" applyFont="1" applyFill="1" applyBorder="1" applyAlignment="1" applyProtection="1">
      <alignment horizontal="center" vertical="center"/>
      <protection locked="0"/>
    </xf>
    <xf numFmtId="209" fontId="10" fillId="9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9" borderId="1" xfId="0" applyFont="1" applyFill="1" applyBorder="1" applyAlignment="1" applyProtection="1">
      <alignment horizontal="center" vertical="center" wrapText="1"/>
      <protection locked="0"/>
    </xf>
    <xf numFmtId="217" fontId="33" fillId="9" borderId="2" xfId="0" applyNumberFormat="1" applyFont="1" applyFill="1" applyBorder="1" applyAlignment="1" applyProtection="1">
      <alignment horizontal="center" vertical="center"/>
      <protection locked="0"/>
    </xf>
    <xf numFmtId="217" fontId="10" fillId="9" borderId="1" xfId="0" applyNumberFormat="1" applyFont="1" applyFill="1" applyBorder="1" applyAlignment="1">
      <alignment horizontal="center" vertical="center"/>
    </xf>
    <xf numFmtId="217" fontId="10" fillId="9" borderId="1" xfId="0" applyNumberFormat="1" applyFont="1" applyFill="1" applyBorder="1" applyAlignment="1">
      <alignment horizontal="center" vertical="center" wrapText="1"/>
    </xf>
    <xf numFmtId="217" fontId="10" fillId="9" borderId="2" xfId="0" applyNumberFormat="1" applyFont="1" applyFill="1" applyBorder="1" applyAlignment="1">
      <alignment horizontal="center" vertical="center" wrapText="1"/>
    </xf>
    <xf numFmtId="217" fontId="10" fillId="9" borderId="16" xfId="0" applyNumberFormat="1" applyFont="1" applyFill="1" applyBorder="1" applyAlignment="1" applyProtection="1">
      <alignment horizontal="center" vertical="center"/>
      <protection locked="0"/>
    </xf>
    <xf numFmtId="217" fontId="0" fillId="9" borderId="0" xfId="0" applyNumberFormat="1" applyFont="1" applyFill="1" applyAlignment="1" applyProtection="1">
      <alignment horizontal="center" vertical="center"/>
      <protection locked="0"/>
    </xf>
    <xf numFmtId="209" fontId="10" fillId="9" borderId="1" xfId="0" applyNumberFormat="1" applyFont="1" applyFill="1" applyBorder="1" applyAlignment="1">
      <alignment horizontal="center" vertical="center" wrapText="1"/>
    </xf>
    <xf numFmtId="217" fontId="15" fillId="0" borderId="22" xfId="0" applyNumberFormat="1" applyFont="1" applyFill="1" applyBorder="1" applyAlignment="1" applyProtection="1">
      <alignment horizontal="center" vertical="center"/>
      <protection locked="0"/>
    </xf>
    <xf numFmtId="217" fontId="10" fillId="0" borderId="13" xfId="0" applyNumberFormat="1" applyFont="1" applyFill="1" applyBorder="1" applyAlignment="1" applyProtection="1">
      <alignment horizontal="right" vertical="center"/>
      <protection locked="0"/>
    </xf>
    <xf numFmtId="14" fontId="10" fillId="0" borderId="13" xfId="0" applyNumberFormat="1" applyFont="1" applyFill="1" applyBorder="1" applyAlignment="1" applyProtection="1">
      <alignment horizontal="center" vertical="center"/>
      <protection locked="0"/>
    </xf>
    <xf numFmtId="217" fontId="0" fillId="0" borderId="4" xfId="0" applyNumberFormat="1" applyFont="1" applyFill="1" applyBorder="1" applyAlignment="1" applyProtection="1">
      <alignment horizontal="center" vertical="center" wrapText="1"/>
      <protection locked="0"/>
    </xf>
    <xf numFmtId="217" fontId="0" fillId="0" borderId="17" xfId="0" applyNumberFormat="1" applyFont="1" applyFill="1" applyBorder="1" applyAlignment="1" applyProtection="1">
      <alignment horizontal="center" vertical="center" wrapText="1"/>
      <protection locked="0"/>
    </xf>
    <xf numFmtId="221" fontId="10" fillId="0" borderId="1" xfId="0" applyNumberFormat="1" applyFont="1" applyFill="1" applyBorder="1" applyAlignment="1">
      <alignment horizontal="center" vertical="center"/>
    </xf>
    <xf numFmtId="209" fontId="33" fillId="0" borderId="1" xfId="0" applyNumberFormat="1" applyFont="1" applyFill="1" applyBorder="1" applyAlignment="1" applyProtection="1">
      <alignment horizontal="center" vertical="center" wrapText="1"/>
    </xf>
    <xf numFmtId="209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221" fontId="1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221" fontId="0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39" fillId="4" borderId="0" xfId="3332" applyFont="1" applyFill="1" applyAlignment="1">
      <alignment horizontal="center" vertical="center" wrapText="1"/>
    </xf>
    <xf numFmtId="0" fontId="40" fillId="4" borderId="13" xfId="3332" applyFont="1" applyFill="1" applyBorder="1" applyAlignment="1">
      <alignment horizontal="right" wrapText="1"/>
    </xf>
    <xf numFmtId="0" fontId="41" fillId="4" borderId="13" xfId="3332" applyFont="1" applyFill="1" applyBorder="1" applyAlignment="1">
      <alignment horizontal="left"/>
    </xf>
    <xf numFmtId="31" fontId="40" fillId="4" borderId="13" xfId="3332" applyNumberFormat="1" applyFont="1" applyFill="1" applyBorder="1" applyAlignment="1">
      <alignment horizontal="right" wrapText="1"/>
    </xf>
    <xf numFmtId="0" fontId="41" fillId="8" borderId="2" xfId="3332" applyFont="1" applyFill="1" applyBorder="1" applyAlignment="1">
      <alignment horizontal="center" vertical="center" wrapText="1"/>
    </xf>
    <xf numFmtId="0" fontId="41" fillId="8" borderId="15" xfId="3332" applyFont="1" applyFill="1" applyBorder="1" applyAlignment="1">
      <alignment horizontal="center" vertical="center" wrapText="1"/>
    </xf>
    <xf numFmtId="0" fontId="41" fillId="8" borderId="1" xfId="3332" applyFont="1" applyFill="1" applyBorder="1" applyAlignment="1">
      <alignment horizontal="center" vertical="center" wrapText="1"/>
    </xf>
    <xf numFmtId="0" fontId="41" fillId="8" borderId="14" xfId="3332" applyFont="1" applyFill="1" applyBorder="1" applyAlignment="1">
      <alignment horizontal="center" vertical="center" wrapText="1"/>
    </xf>
    <xf numFmtId="0" fontId="40" fillId="8" borderId="1" xfId="3332" applyFont="1" applyFill="1" applyBorder="1" applyAlignment="1">
      <alignment horizontal="center" vertical="center" wrapText="1"/>
    </xf>
    <xf numFmtId="209" fontId="40" fillId="4" borderId="1" xfId="3332" applyNumberFormat="1" applyFont="1" applyFill="1" applyBorder="1" applyAlignment="1">
      <alignment horizontal="center" vertical="center" wrapText="1"/>
    </xf>
    <xf numFmtId="0" fontId="41" fillId="8" borderId="21" xfId="3332" applyFont="1" applyFill="1" applyBorder="1" applyAlignment="1">
      <alignment horizontal="center" vertical="center" wrapText="1"/>
    </xf>
    <xf numFmtId="0" fontId="41" fillId="8" borderId="19" xfId="3332" applyFont="1" applyFill="1" applyBorder="1" applyAlignment="1">
      <alignment horizontal="center" vertical="center"/>
    </xf>
    <xf numFmtId="0" fontId="40" fillId="8" borderId="4" xfId="3332" applyFont="1" applyFill="1" applyBorder="1" applyAlignment="1">
      <alignment horizontal="center" vertical="center"/>
    </xf>
    <xf numFmtId="209" fontId="40" fillId="8" borderId="1" xfId="3332" applyNumberFormat="1" applyFont="1" applyFill="1" applyBorder="1" applyAlignment="1">
      <alignment horizontal="center" vertical="center"/>
    </xf>
    <xf numFmtId="0" fontId="41" fillId="8" borderId="24" xfId="3332" applyFont="1" applyFill="1" applyBorder="1" applyAlignment="1">
      <alignment horizontal="center" vertical="center" wrapText="1"/>
    </xf>
    <xf numFmtId="209" fontId="40" fillId="4" borderId="1" xfId="3332" applyNumberFormat="1" applyFont="1" applyFill="1" applyBorder="1" applyAlignment="1">
      <alignment horizontal="center" vertical="center"/>
    </xf>
    <xf numFmtId="0" fontId="41" fillId="8" borderId="23" xfId="3332" applyFont="1" applyFill="1" applyBorder="1" applyAlignment="1">
      <alignment horizontal="center" vertical="center"/>
    </xf>
    <xf numFmtId="0" fontId="40" fillId="8" borderId="16" xfId="3332" applyFont="1" applyFill="1" applyBorder="1" applyAlignment="1">
      <alignment horizontal="center" vertical="center"/>
    </xf>
    <xf numFmtId="0" fontId="41" fillId="8" borderId="15" xfId="3332" applyFont="1" applyFill="1" applyBorder="1" applyAlignment="1">
      <alignment vertical="center"/>
    </xf>
    <xf numFmtId="0" fontId="40" fillId="8" borderId="1" xfId="3332" applyFont="1" applyFill="1" applyBorder="1" applyAlignment="1">
      <alignment horizontal="center" vertical="center"/>
    </xf>
    <xf numFmtId="0" fontId="41" fillId="8" borderId="19" xfId="3332" applyFont="1" applyFill="1" applyBorder="1" applyAlignment="1">
      <alignment horizontal="center" vertical="center" wrapText="1"/>
    </xf>
    <xf numFmtId="0" fontId="41" fillId="8" borderId="4" xfId="3332" applyFont="1" applyFill="1" applyBorder="1" applyAlignment="1">
      <alignment horizontal="center" vertical="center" wrapText="1"/>
    </xf>
    <xf numFmtId="0" fontId="41" fillId="8" borderId="16" xfId="3332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209" fontId="10" fillId="0" borderId="25" xfId="0" applyNumberFormat="1" applyFont="1" applyBorder="1" applyAlignment="1">
      <alignment horizontal="center" vertical="center"/>
    </xf>
    <xf numFmtId="209" fontId="10" fillId="0" borderId="26" xfId="0" applyNumberFormat="1" applyFont="1" applyBorder="1" applyAlignment="1">
      <alignment horizontal="center" vertical="center"/>
    </xf>
    <xf numFmtId="209" fontId="10" fillId="0" borderId="27" xfId="0" applyNumberFormat="1" applyFont="1" applyBorder="1" applyAlignment="1">
      <alignment horizontal="center" vertical="center"/>
    </xf>
    <xf numFmtId="209" fontId="10" fillId="0" borderId="28" xfId="0" applyNumberFormat="1" applyFont="1" applyBorder="1" applyAlignment="1">
      <alignment horizontal="center" vertical="center"/>
    </xf>
    <xf numFmtId="209" fontId="10" fillId="0" borderId="29" xfId="0" applyNumberFormat="1" applyFont="1" applyBorder="1" applyAlignment="1">
      <alignment horizontal="center" vertical="center" wrapText="1"/>
    </xf>
    <xf numFmtId="209" fontId="10" fillId="0" borderId="28" xfId="0" applyNumberFormat="1" applyFont="1" applyBorder="1" applyAlignment="1">
      <alignment horizontal="center" vertical="center" wrapText="1"/>
    </xf>
    <xf numFmtId="209" fontId="10" fillId="0" borderId="7" xfId="0" applyNumberFormat="1" applyFont="1" applyBorder="1" applyAlignment="1">
      <alignment horizontal="center" vertical="center"/>
    </xf>
    <xf numFmtId="209" fontId="10" fillId="0" borderId="30" xfId="0" applyNumberFormat="1" applyFont="1" applyBorder="1" applyAlignment="1">
      <alignment horizontal="center" vertical="center"/>
    </xf>
    <xf numFmtId="209" fontId="10" fillId="0" borderId="31" xfId="0" applyNumberFormat="1" applyFont="1" applyBorder="1" applyAlignment="1">
      <alignment horizontal="center" vertical="center" wrapText="1"/>
    </xf>
    <xf numFmtId="209" fontId="10" fillId="0" borderId="32" xfId="0" applyNumberFormat="1" applyFont="1" applyBorder="1" applyAlignment="1">
      <alignment horizontal="center" vertical="center"/>
    </xf>
    <xf numFmtId="209" fontId="10" fillId="0" borderId="33" xfId="0" applyNumberFormat="1" applyFont="1" applyBorder="1" applyAlignment="1">
      <alignment horizontal="center" vertical="center" wrapText="1"/>
    </xf>
    <xf numFmtId="209" fontId="10" fillId="0" borderId="32" xfId="0" applyNumberFormat="1" applyFont="1" applyBorder="1" applyAlignment="1">
      <alignment horizontal="center" vertical="center" wrapText="1"/>
    </xf>
    <xf numFmtId="209" fontId="10" fillId="0" borderId="34" xfId="0" applyNumberFormat="1" applyFont="1" applyBorder="1" applyAlignment="1">
      <alignment horizontal="center" vertical="center"/>
    </xf>
    <xf numFmtId="209" fontId="10" fillId="0" borderId="35" xfId="0" applyNumberFormat="1" applyFont="1" applyBorder="1" applyAlignment="1">
      <alignment horizontal="center" vertical="center"/>
    </xf>
    <xf numFmtId="209" fontId="10" fillId="0" borderId="23" xfId="0" applyNumberFormat="1" applyFont="1" applyBorder="1" applyAlignment="1">
      <alignment horizontal="center" vertical="center"/>
    </xf>
    <xf numFmtId="209" fontId="10" fillId="0" borderId="16" xfId="0" applyNumberFormat="1" applyFont="1" applyBorder="1" applyAlignment="1">
      <alignment horizontal="center" vertical="center"/>
    </xf>
    <xf numFmtId="209" fontId="10" fillId="0" borderId="36" xfId="0" applyNumberFormat="1" applyFont="1" applyBorder="1" applyAlignment="1">
      <alignment horizontal="center" vertical="center"/>
    </xf>
    <xf numFmtId="209" fontId="10" fillId="0" borderId="37" xfId="0" applyNumberFormat="1" applyFont="1" applyBorder="1" applyAlignment="1">
      <alignment horizontal="center" vertical="center"/>
    </xf>
    <xf numFmtId="209" fontId="10" fillId="0" borderId="38" xfId="0" applyNumberFormat="1" applyFont="1" applyBorder="1" applyAlignment="1">
      <alignment horizontal="center" vertical="center"/>
    </xf>
    <xf numFmtId="209" fontId="10" fillId="0" borderId="39" xfId="0" applyNumberFormat="1" applyFont="1" applyBorder="1" applyAlignment="1">
      <alignment horizontal="center" vertical="center"/>
    </xf>
    <xf numFmtId="209" fontId="10" fillId="0" borderId="40" xfId="0" applyNumberFormat="1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209" fontId="10" fillId="0" borderId="26" xfId="0" applyNumberFormat="1" applyFont="1" applyBorder="1" applyAlignment="1">
      <alignment horizontal="center" vertical="center" wrapText="1"/>
    </xf>
    <xf numFmtId="209" fontId="10" fillId="0" borderId="27" xfId="0" applyNumberFormat="1" applyFont="1" applyBorder="1" applyAlignment="1">
      <alignment horizontal="center" vertical="center" wrapText="1"/>
    </xf>
    <xf numFmtId="209" fontId="10" fillId="0" borderId="35" xfId="0" applyNumberFormat="1" applyFont="1" applyBorder="1" applyAlignment="1">
      <alignment horizontal="center" vertical="center" wrapText="1"/>
    </xf>
    <xf numFmtId="209" fontId="10" fillId="0" borderId="23" xfId="0" applyNumberFormat="1" applyFont="1" applyBorder="1" applyAlignment="1">
      <alignment horizontal="center" vertical="center" wrapText="1"/>
    </xf>
    <xf numFmtId="209" fontId="10" fillId="0" borderId="16" xfId="0" applyNumberFormat="1" applyFont="1" applyBorder="1" applyAlignment="1">
      <alignment horizontal="center" vertical="center" wrapText="1"/>
    </xf>
    <xf numFmtId="209" fontId="10" fillId="0" borderId="29" xfId="0" applyNumberFormat="1" applyFont="1" applyBorder="1" applyAlignment="1">
      <alignment horizontal="center" vertical="center"/>
    </xf>
    <xf numFmtId="209" fontId="10" fillId="0" borderId="33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0" fillId="4" borderId="1" xfId="0" applyFont="1" applyFill="1" applyBorder="1" applyAlignment="1" applyProtection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indent="1"/>
    </xf>
    <xf numFmtId="0" fontId="10" fillId="4" borderId="13" xfId="0" applyFont="1" applyFill="1" applyBorder="1" applyAlignment="1" applyProtection="1">
      <alignment vertical="center"/>
    </xf>
    <xf numFmtId="0" fontId="10" fillId="0" borderId="13" xfId="0" applyFont="1" applyFill="1" applyBorder="1" applyAlignment="1" applyProtection="1">
      <alignment vertical="center"/>
    </xf>
    <xf numFmtId="0" fontId="10" fillId="4" borderId="13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209" fontId="14" fillId="4" borderId="1" xfId="0" applyNumberFormat="1" applyFont="1" applyFill="1" applyBorder="1" applyAlignment="1">
      <alignment horizontal="center" vertical="center" wrapText="1"/>
    </xf>
    <xf numFmtId="209" fontId="0" fillId="4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9" fillId="4" borderId="0" xfId="0" applyFont="1" applyFill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0" fillId="4" borderId="0" xfId="0" applyFont="1" applyFill="1" applyAlignment="1" applyProtection="1">
      <alignment horizontal="center" vertical="center"/>
    </xf>
    <xf numFmtId="0" fontId="0" fillId="4" borderId="4" xfId="0" applyFont="1" applyFill="1" applyBorder="1" applyAlignment="1" applyProtection="1">
      <alignment horizontal="center" vertical="center" wrapText="1"/>
    </xf>
    <xf numFmtId="0" fontId="0" fillId="4" borderId="16" xfId="0" applyFont="1" applyFill="1" applyBorder="1" applyAlignment="1" applyProtection="1">
      <alignment horizontal="center" vertical="center" wrapText="1"/>
    </xf>
    <xf numFmtId="209" fontId="13" fillId="4" borderId="1" xfId="0" applyNumberFormat="1" applyFont="1" applyFill="1" applyBorder="1" applyAlignment="1">
      <alignment horizontal="center" vertical="center"/>
    </xf>
    <xf numFmtId="221" fontId="0" fillId="0" borderId="0" xfId="0" applyNumberFormat="1" applyAlignment="1">
      <alignment vertical="center"/>
    </xf>
    <xf numFmtId="209" fontId="11" fillId="4" borderId="1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205" fontId="0" fillId="0" borderId="1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center" vertical="center" wrapText="1"/>
    </xf>
    <xf numFmtId="217" fontId="12" fillId="4" borderId="1" xfId="0" applyNumberFormat="1" applyFont="1" applyFill="1" applyBorder="1" applyAlignment="1">
      <alignment horizontal="center" vertical="center" wrapText="1"/>
    </xf>
    <xf numFmtId="209" fontId="12" fillId="4" borderId="15" xfId="0" applyNumberFormat="1" applyFont="1" applyFill="1" applyBorder="1" applyAlignment="1">
      <alignment horizontal="center" vertical="center" wrapText="1"/>
    </xf>
    <xf numFmtId="209" fontId="0" fillId="5" borderId="1" xfId="0" applyNumberFormat="1" applyFon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left" vertical="center"/>
    </xf>
    <xf numFmtId="0" fontId="0" fillId="0" borderId="41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/>
    </xf>
    <xf numFmtId="217" fontId="10" fillId="0" borderId="1" xfId="0" applyNumberFormat="1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/>
    </xf>
    <xf numFmtId="217" fontId="10" fillId="0" borderId="4" xfId="0" applyNumberFormat="1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left" vertical="center" wrapText="1"/>
    </xf>
    <xf numFmtId="0" fontId="10" fillId="0" borderId="52" xfId="0" applyFont="1" applyFill="1" applyBorder="1" applyAlignment="1">
      <alignment horizontal="left" vertical="center" wrapText="1"/>
    </xf>
    <xf numFmtId="58" fontId="0" fillId="0" borderId="0" xfId="0" applyNumberForma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53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221" fontId="10" fillId="0" borderId="1" xfId="0" applyNumberFormat="1" applyFont="1" applyFill="1" applyBorder="1" applyAlignment="1">
      <alignment horizontal="center" vertical="center" wrapText="1"/>
    </xf>
    <xf numFmtId="221" fontId="10" fillId="0" borderId="54" xfId="0" applyNumberFormat="1" applyFont="1" applyFill="1" applyBorder="1" applyAlignment="1">
      <alignment horizontal="center" vertical="center" wrapText="1"/>
    </xf>
    <xf numFmtId="209" fontId="10" fillId="0" borderId="54" xfId="0" applyNumberFormat="1" applyFont="1" applyFill="1" applyBorder="1" applyAlignment="1">
      <alignment horizontal="center" vertical="center"/>
    </xf>
    <xf numFmtId="209" fontId="10" fillId="0" borderId="44" xfId="0" applyNumberFormat="1" applyFont="1" applyFill="1" applyBorder="1" applyAlignment="1">
      <alignment horizontal="center" vertical="center"/>
    </xf>
    <xf numFmtId="217" fontId="10" fillId="0" borderId="54" xfId="0" applyNumberFormat="1" applyFont="1" applyFill="1" applyBorder="1" applyAlignment="1">
      <alignment horizontal="center" vertical="center" wrapText="1"/>
    </xf>
    <xf numFmtId="217" fontId="10" fillId="0" borderId="54" xfId="0" applyNumberFormat="1" applyFont="1" applyFill="1" applyBorder="1" applyAlignment="1">
      <alignment horizontal="center" vertical="center"/>
    </xf>
    <xf numFmtId="209" fontId="10" fillId="0" borderId="44" xfId="0" applyNumberFormat="1" applyFont="1" applyFill="1" applyBorder="1" applyAlignment="1">
      <alignment horizontal="center" vertical="center" wrapText="1"/>
    </xf>
    <xf numFmtId="217" fontId="10" fillId="0" borderId="55" xfId="0" applyNumberFormat="1" applyFont="1" applyFill="1" applyBorder="1" applyAlignment="1">
      <alignment horizontal="center" vertical="center"/>
    </xf>
    <xf numFmtId="217" fontId="10" fillId="0" borderId="44" xfId="0" applyNumberFormat="1" applyFont="1" applyFill="1" applyBorder="1" applyAlignment="1">
      <alignment horizontal="center" vertical="center"/>
    </xf>
    <xf numFmtId="209" fontId="10" fillId="0" borderId="15" xfId="0" applyNumberFormat="1" applyFont="1" applyFill="1" applyBorder="1" applyAlignment="1">
      <alignment horizontal="center" vertical="center"/>
    </xf>
    <xf numFmtId="217" fontId="10" fillId="0" borderId="3" xfId="0" applyNumberFormat="1" applyFont="1" applyFill="1" applyBorder="1" applyAlignment="1">
      <alignment horizontal="center" vertical="center"/>
    </xf>
    <xf numFmtId="217" fontId="10" fillId="0" borderId="19" xfId="0" applyNumberFormat="1" applyFont="1" applyFill="1" applyBorder="1" applyAlignment="1">
      <alignment horizontal="center" vertical="center"/>
    </xf>
    <xf numFmtId="217" fontId="0" fillId="0" borderId="0" xfId="0" applyNumberFormat="1" applyFont="1" applyFill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Alignment="1">
      <alignment vertical="center"/>
    </xf>
    <xf numFmtId="31" fontId="0" fillId="0" borderId="41" xfId="0" applyNumberFormat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209" fontId="0" fillId="0" borderId="0" xfId="0" applyNumberFormat="1" applyFont="1" applyFill="1" applyAlignment="1">
      <alignment vertical="center"/>
    </xf>
    <xf numFmtId="209" fontId="10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209" fontId="10" fillId="0" borderId="54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209" fontId="10" fillId="0" borderId="45" xfId="0" applyNumberFormat="1" applyFont="1" applyFill="1" applyBorder="1" applyAlignment="1">
      <alignment horizontal="center" vertical="center"/>
    </xf>
    <xf numFmtId="209" fontId="10" fillId="0" borderId="56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58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89" fontId="0" fillId="0" borderId="0" xfId="0" applyNumberFormat="1" applyFont="1" applyFill="1" applyBorder="1" applyAlignment="1">
      <alignment horizontal="center" vertical="center"/>
    </xf>
    <xf numFmtId="209" fontId="10" fillId="0" borderId="0" xfId="0" applyNumberFormat="1" applyFont="1" applyFill="1" applyAlignment="1">
      <alignment vertical="center"/>
    </xf>
    <xf numFmtId="209" fontId="0" fillId="0" borderId="0" xfId="0" applyNumberFormat="1" applyFont="1" applyFill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209" fontId="33" fillId="0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31" fontId="0" fillId="0" borderId="13" xfId="0" applyNumberFormat="1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10" fontId="10" fillId="0" borderId="15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10" fontId="10" fillId="0" borderId="15" xfId="0" applyNumberFormat="1" applyFont="1" applyFill="1" applyBorder="1" applyAlignment="1">
      <alignment horizontal="center" vertical="center"/>
    </xf>
    <xf numFmtId="209" fontId="10" fillId="0" borderId="2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 wrapText="1"/>
    </xf>
    <xf numFmtId="0" fontId="46" fillId="0" borderId="1" xfId="0" applyFont="1" applyFill="1" applyBorder="1" applyAlignment="1">
      <alignment horizontal="left" vertical="center" wrapText="1" shrinkToFit="1"/>
    </xf>
    <xf numFmtId="0" fontId="0" fillId="10" borderId="0" xfId="0" applyFont="1" applyFill="1" applyAlignment="1">
      <alignment horizontal="center" vertical="center"/>
    </xf>
    <xf numFmtId="209" fontId="0" fillId="0" borderId="0" xfId="0" applyNumberFormat="1" applyFont="1" applyFill="1" applyBorder="1" applyAlignment="1">
      <alignment vertical="center"/>
    </xf>
    <xf numFmtId="187" fontId="0" fillId="0" borderId="0" xfId="0" applyNumberFormat="1" applyFont="1" applyFill="1" applyAlignment="1">
      <alignment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0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47" fillId="12" borderId="60" xfId="0" applyFont="1" applyFill="1" applyBorder="1" applyAlignment="1">
      <alignment horizontal="center" vertical="center"/>
    </xf>
    <xf numFmtId="0" fontId="47" fillId="12" borderId="61" xfId="0" applyFont="1" applyFill="1" applyBorder="1" applyAlignment="1">
      <alignment horizontal="center" vertical="center"/>
    </xf>
    <xf numFmtId="0" fontId="47" fillId="12" borderId="62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217" fontId="10" fillId="6" borderId="1" xfId="0" applyNumberFormat="1" applyFont="1" applyFill="1" applyBorder="1" applyAlignment="1">
      <alignment horizontal="center" vertical="center"/>
    </xf>
    <xf numFmtId="217" fontId="48" fillId="0" borderId="1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222" fontId="10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217" fontId="0" fillId="0" borderId="1" xfId="0" applyNumberFormat="1" applyBorder="1" applyAlignment="1">
      <alignment horizontal="center" vertical="center" wrapText="1"/>
    </xf>
    <xf numFmtId="217" fontId="13" fillId="0" borderId="1" xfId="0" applyNumberFormat="1" applyFont="1" applyFill="1" applyBorder="1" applyAlignment="1">
      <alignment horizontal="center" vertical="center"/>
    </xf>
    <xf numFmtId="217" fontId="0" fillId="6" borderId="1" xfId="0" applyNumberFormat="1" applyFill="1" applyBorder="1" applyAlignment="1">
      <alignment horizontal="center" vertical="center"/>
    </xf>
    <xf numFmtId="217" fontId="0" fillId="13" borderId="21" xfId="0" applyNumberFormat="1" applyFill="1" applyBorder="1" applyAlignment="1">
      <alignment horizontal="center" vertical="center"/>
    </xf>
    <xf numFmtId="14" fontId="0" fillId="0" borderId="62" xfId="0" applyNumberFormat="1" applyFon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217" fontId="0" fillId="6" borderId="1" xfId="0" applyNumberFormat="1" applyFont="1" applyFill="1" applyBorder="1" applyAlignment="1">
      <alignment horizontal="center" vertical="center"/>
    </xf>
    <xf numFmtId="217" fontId="35" fillId="8" borderId="0" xfId="0" applyNumberFormat="1" applyFont="1" applyFill="1" applyBorder="1" applyAlignment="1">
      <alignment horizontal="center" vertical="center"/>
    </xf>
    <xf numFmtId="0" fontId="0" fillId="0" borderId="63" xfId="0" applyFont="1" applyBorder="1" applyAlignment="1">
      <alignment horizontal="left" vertical="center"/>
    </xf>
    <xf numFmtId="0" fontId="0" fillId="0" borderId="6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217" fontId="10" fillId="0" borderId="0" xfId="0" applyNumberFormat="1" applyFont="1" applyAlignment="1">
      <alignment horizontal="center" vertical="center"/>
    </xf>
    <xf numFmtId="217" fontId="10" fillId="0" borderId="0" xfId="0" applyNumberFormat="1" applyFont="1" applyFill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209" fontId="0" fillId="0" borderId="16" xfId="0" applyNumberFormat="1" applyFont="1" applyFill="1" applyBorder="1" applyAlignment="1">
      <alignment horizontal="center" vertical="center"/>
    </xf>
    <xf numFmtId="217" fontId="4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22" fontId="10" fillId="4" borderId="1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3" borderId="15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217" fontId="0" fillId="6" borderId="0" xfId="0" applyNumberFormat="1" applyFill="1" applyAlignment="1">
      <alignment horizontal="center" vertical="center"/>
    </xf>
    <xf numFmtId="217" fontId="0" fillId="8" borderId="0" xfId="0" applyNumberFormat="1" applyFill="1" applyAlignment="1">
      <alignment horizontal="center" vertical="center"/>
    </xf>
    <xf numFmtId="217" fontId="0" fillId="0" borderId="0" xfId="0" applyNumberFormat="1" applyAlignment="1">
      <alignment horizontal="center" vertical="center"/>
    </xf>
    <xf numFmtId="217" fontId="0" fillId="13" borderId="19" xfId="0" applyNumberFormat="1" applyFill="1" applyBorder="1" applyAlignment="1">
      <alignment horizontal="center" vertical="center"/>
    </xf>
    <xf numFmtId="217" fontId="0" fillId="13" borderId="0" xfId="0" applyNumberFormat="1" applyFill="1" applyAlignment="1">
      <alignment horizontal="center" vertical="center"/>
    </xf>
    <xf numFmtId="0" fontId="0" fillId="4" borderId="65" xfId="0" applyFont="1" applyFill="1" applyBorder="1" applyAlignment="1">
      <alignment horizontal="center" vertical="center"/>
    </xf>
    <xf numFmtId="0" fontId="47" fillId="0" borderId="60" xfId="0" applyFont="1" applyFill="1" applyBorder="1" applyAlignment="1">
      <alignment horizontal="center" vertical="center"/>
    </xf>
    <xf numFmtId="0" fontId="47" fillId="0" borderId="6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217" fontId="10" fillId="14" borderId="1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217" fontId="48" fillId="0" borderId="0" xfId="0" applyNumberFormat="1" applyFont="1" applyFill="1" applyAlignment="1">
      <alignment horizontal="center" vertical="center"/>
    </xf>
    <xf numFmtId="217" fontId="48" fillId="0" borderId="16" xfId="0" applyNumberFormat="1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217" fontId="13" fillId="6" borderId="1" xfId="0" applyNumberFormat="1" applyFont="1" applyFill="1" applyBorder="1" applyAlignment="1">
      <alignment horizontal="center" vertical="center"/>
    </xf>
    <xf numFmtId="217" fontId="13" fillId="8" borderId="1" xfId="0" applyNumberFormat="1" applyFont="1" applyFill="1" applyBorder="1" applyAlignment="1">
      <alignment horizontal="center" vertical="center"/>
    </xf>
    <xf numFmtId="217" fontId="10" fillId="8" borderId="1" xfId="0" applyNumberFormat="1" applyFont="1" applyFill="1" applyBorder="1" applyAlignment="1">
      <alignment horizontal="center" vertical="center"/>
    </xf>
    <xf numFmtId="217" fontId="0" fillId="8" borderId="1" xfId="0" applyNumberFormat="1" applyFill="1" applyBorder="1" applyAlignment="1">
      <alignment horizontal="center" vertical="center"/>
    </xf>
    <xf numFmtId="217" fontId="33" fillId="0" borderId="0" xfId="0" applyNumberFormat="1" applyFont="1" applyAlignment="1">
      <alignment horizontal="center" vertical="center"/>
    </xf>
    <xf numFmtId="217" fontId="33" fillId="13" borderId="0" xfId="0" applyNumberFormat="1" applyFont="1" applyFill="1" applyAlignment="1">
      <alignment horizontal="center" vertical="center"/>
    </xf>
    <xf numFmtId="217" fontId="33" fillId="6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47" fillId="12" borderId="18" xfId="0" applyFont="1" applyFill="1" applyBorder="1" applyAlignment="1">
      <alignment horizontal="center" vertical="center"/>
    </xf>
    <xf numFmtId="0" fontId="47" fillId="12" borderId="20" xfId="0" applyFont="1" applyFill="1" applyBorder="1" applyAlignment="1">
      <alignment horizontal="center" vertical="center"/>
    </xf>
    <xf numFmtId="0" fontId="33" fillId="11" borderId="0" xfId="0" applyFont="1" applyFill="1" applyAlignment="1">
      <alignment vertical="center" wrapText="1"/>
    </xf>
    <xf numFmtId="0" fontId="0" fillId="4" borderId="0" xfId="0" applyFill="1" applyAlignment="1">
      <alignment horizontal="right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12" borderId="1" xfId="0" applyFont="1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10" fillId="14" borderId="16" xfId="0" applyFont="1" applyFill="1" applyBorder="1" applyAlignment="1">
      <alignment vertical="center"/>
    </xf>
    <xf numFmtId="209" fontId="10" fillId="14" borderId="18" xfId="0" applyNumberFormat="1" applyFont="1" applyFill="1" applyBorder="1" applyAlignment="1">
      <alignment horizontal="center" vertical="center"/>
    </xf>
    <xf numFmtId="209" fontId="10" fillId="14" borderId="0" xfId="0" applyNumberFormat="1" applyFont="1" applyFill="1" applyBorder="1" applyAlignment="1">
      <alignment horizontal="center" vertical="center"/>
    </xf>
    <xf numFmtId="209" fontId="10" fillId="14" borderId="4" xfId="0" applyNumberFormat="1" applyFont="1" applyFill="1" applyBorder="1" applyAlignment="1">
      <alignment horizontal="center" vertical="center"/>
    </xf>
    <xf numFmtId="209" fontId="35" fillId="12" borderId="1" xfId="0" applyNumberFormat="1" applyFont="1" applyFill="1" applyBorder="1" applyAlignment="1">
      <alignment horizontal="center" vertical="center"/>
    </xf>
    <xf numFmtId="0" fontId="10" fillId="13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0" fillId="6" borderId="13" xfId="0" applyFont="1" applyFill="1" applyBorder="1" applyAlignment="1">
      <alignment horizontal="center" vertical="center"/>
    </xf>
    <xf numFmtId="0" fontId="49" fillId="16" borderId="0" xfId="0" applyFont="1" applyFill="1" applyAlignment="1">
      <alignment horizontal="center" vertical="center" wrapText="1"/>
    </xf>
    <xf numFmtId="0" fontId="49" fillId="16" borderId="0" xfId="0" applyFont="1" applyFill="1" applyAlignment="1">
      <alignment horizontal="center" vertical="center"/>
    </xf>
    <xf numFmtId="209" fontId="10" fillId="8" borderId="1" xfId="0" applyNumberFormat="1" applyFont="1" applyFill="1" applyBorder="1" applyAlignment="1">
      <alignment horizontal="center" vertical="center"/>
    </xf>
    <xf numFmtId="209" fontId="14" fillId="8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NumberFormat="1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209" fontId="14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209" fontId="14" fillId="13" borderId="0" xfId="0" applyNumberFormat="1" applyFont="1" applyFill="1" applyAlignment="1">
      <alignment horizontal="center" vertical="center"/>
    </xf>
    <xf numFmtId="209" fontId="10" fillId="6" borderId="13" xfId="0" applyNumberFormat="1" applyFont="1" applyFill="1" applyBorder="1" applyAlignment="1">
      <alignment horizontal="center" vertical="center"/>
    </xf>
    <xf numFmtId="209" fontId="14" fillId="6" borderId="13" xfId="0" applyNumberFormat="1" applyFont="1" applyFill="1" applyBorder="1" applyAlignment="1">
      <alignment horizontal="center" vertical="center"/>
    </xf>
    <xf numFmtId="209" fontId="10" fillId="0" borderId="0" xfId="0" applyNumberFormat="1" applyFont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0" fillId="7" borderId="66" xfId="0" applyFont="1" applyFill="1" applyBorder="1" applyAlignment="1">
      <alignment horizontal="center" vertical="center"/>
    </xf>
    <xf numFmtId="0" fontId="10" fillId="7" borderId="67" xfId="0" applyFont="1" applyFill="1" applyBorder="1" applyAlignment="1">
      <alignment horizontal="center" vertical="center"/>
    </xf>
    <xf numFmtId="0" fontId="10" fillId="7" borderId="6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69" xfId="0" applyFont="1" applyFill="1" applyBorder="1" applyAlignment="1">
      <alignment horizontal="center" vertical="center"/>
    </xf>
    <xf numFmtId="217" fontId="10" fillId="0" borderId="2" xfId="0" applyNumberFormat="1" applyFont="1" applyBorder="1" applyAlignment="1">
      <alignment horizontal="center" vertical="center"/>
    </xf>
    <xf numFmtId="217" fontId="10" fillId="7" borderId="70" xfId="0" applyNumberFormat="1" applyFont="1" applyFill="1" applyBorder="1" applyAlignment="1">
      <alignment horizontal="center" vertical="center"/>
    </xf>
    <xf numFmtId="217" fontId="10" fillId="7" borderId="1" xfId="0" applyNumberFormat="1" applyFont="1" applyFill="1" applyBorder="1" applyAlignment="1">
      <alignment horizontal="center" vertical="center"/>
    </xf>
    <xf numFmtId="217" fontId="10" fillId="7" borderId="71" xfId="0" applyNumberFormat="1" applyFont="1" applyFill="1" applyBorder="1" applyAlignment="1">
      <alignment horizontal="center" vertical="center"/>
    </xf>
    <xf numFmtId="217" fontId="10" fillId="7" borderId="15" xfId="0" applyNumberFormat="1" applyFont="1" applyFill="1" applyBorder="1" applyAlignment="1">
      <alignment horizontal="center" vertical="center"/>
    </xf>
    <xf numFmtId="217" fontId="10" fillId="7" borderId="2" xfId="0" applyNumberFormat="1" applyFont="1" applyFill="1" applyBorder="1" applyAlignment="1">
      <alignment horizontal="center" vertical="center"/>
    </xf>
    <xf numFmtId="217" fontId="48" fillId="0" borderId="2" xfId="0" applyNumberFormat="1" applyFont="1" applyFill="1" applyBorder="1" applyAlignment="1">
      <alignment horizontal="center" vertical="center"/>
    </xf>
    <xf numFmtId="217" fontId="48" fillId="0" borderId="70" xfId="0" applyNumberFormat="1" applyFont="1" applyFill="1" applyBorder="1" applyAlignment="1">
      <alignment horizontal="center" vertical="center"/>
    </xf>
    <xf numFmtId="217" fontId="48" fillId="0" borderId="15" xfId="0" applyNumberFormat="1" applyFont="1" applyFill="1" applyBorder="1" applyAlignment="1">
      <alignment horizontal="center" vertical="center"/>
    </xf>
    <xf numFmtId="217" fontId="10" fillId="0" borderId="70" xfId="0" applyNumberFormat="1" applyFont="1" applyFill="1" applyBorder="1" applyAlignment="1">
      <alignment horizontal="center" vertical="center"/>
    </xf>
    <xf numFmtId="209" fontId="10" fillId="0" borderId="71" xfId="0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209" fontId="10" fillId="0" borderId="2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 vertical="center"/>
    </xf>
    <xf numFmtId="209" fontId="10" fillId="7" borderId="16" xfId="0" applyNumberFormat="1" applyFont="1" applyFill="1" applyBorder="1" applyAlignment="1">
      <alignment horizontal="center" vertical="center"/>
    </xf>
    <xf numFmtId="209" fontId="10" fillId="14" borderId="3" xfId="0" applyNumberFormat="1" applyFont="1" applyFill="1" applyBorder="1" applyAlignment="1">
      <alignment horizontal="center" vertical="center"/>
    </xf>
    <xf numFmtId="209" fontId="10" fillId="7" borderId="1" xfId="0" applyNumberFormat="1" applyFont="1" applyFill="1" applyBorder="1" applyAlignment="1">
      <alignment horizontal="center" vertical="center"/>
    </xf>
    <xf numFmtId="209" fontId="13" fillId="12" borderId="4" xfId="0" applyNumberFormat="1" applyFont="1" applyFill="1" applyBorder="1" applyAlignment="1">
      <alignment horizontal="center" vertical="center"/>
    </xf>
    <xf numFmtId="209" fontId="10" fillId="14" borderId="2" xfId="0" applyNumberFormat="1" applyFont="1" applyFill="1" applyBorder="1" applyAlignment="1">
      <alignment horizontal="center" vertical="center"/>
    </xf>
    <xf numFmtId="209" fontId="10" fillId="14" borderId="15" xfId="0" applyNumberFormat="1" applyFont="1" applyFill="1" applyBorder="1" applyAlignment="1">
      <alignment horizontal="center" vertical="center"/>
    </xf>
    <xf numFmtId="209" fontId="10" fillId="14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10" fillId="9" borderId="72" xfId="0" applyFont="1" applyFill="1" applyBorder="1" applyAlignment="1">
      <alignment horizontal="center" vertical="center"/>
    </xf>
    <xf numFmtId="217" fontId="10" fillId="6" borderId="70" xfId="0" applyNumberFormat="1" applyFont="1" applyFill="1" applyBorder="1" applyAlignment="1">
      <alignment horizontal="center" vertical="center"/>
    </xf>
    <xf numFmtId="217" fontId="10" fillId="9" borderId="71" xfId="0" applyNumberFormat="1" applyFon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48" fillId="0" borderId="73" xfId="0" applyFont="1" applyBorder="1" applyAlignment="1">
      <alignment horizontal="center" vertical="center" wrapText="1"/>
    </xf>
    <xf numFmtId="217" fontId="10" fillId="0" borderId="70" xfId="0" applyNumberFormat="1" applyFont="1" applyBorder="1" applyAlignment="1">
      <alignment horizontal="center" vertical="center" wrapText="1"/>
    </xf>
    <xf numFmtId="217" fontId="10" fillId="0" borderId="71" xfId="0" applyNumberFormat="1" applyFont="1" applyFill="1" applyBorder="1" applyAlignment="1">
      <alignment horizontal="center" vertical="center"/>
    </xf>
    <xf numFmtId="217" fontId="10" fillId="0" borderId="15" xfId="0" applyNumberFormat="1" applyFont="1" applyFill="1" applyBorder="1" applyAlignment="1">
      <alignment horizontal="center" vertical="center"/>
    </xf>
    <xf numFmtId="217" fontId="10" fillId="0" borderId="71" xfId="0" applyNumberFormat="1" applyFont="1" applyBorder="1" applyAlignment="1">
      <alignment horizontal="center" vertical="center"/>
    </xf>
    <xf numFmtId="217" fontId="10" fillId="0" borderId="70" xfId="0" applyNumberFormat="1" applyFont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209" fontId="10" fillId="0" borderId="70" xfId="0" applyNumberFormat="1" applyFont="1" applyFill="1" applyBorder="1" applyAlignment="1">
      <alignment horizontal="center" vertical="center"/>
    </xf>
    <xf numFmtId="217" fontId="48" fillId="0" borderId="75" xfId="0" applyNumberFormat="1" applyFont="1" applyFill="1" applyBorder="1" applyAlignment="1">
      <alignment horizontal="center" vertical="center"/>
    </xf>
    <xf numFmtId="217" fontId="48" fillId="0" borderId="18" xfId="0" applyNumberFormat="1" applyFont="1" applyFill="1" applyBorder="1" applyAlignment="1">
      <alignment horizontal="center" vertical="center"/>
    </xf>
    <xf numFmtId="217" fontId="48" fillId="0" borderId="0" xfId="0" applyNumberFormat="1" applyFont="1" applyFill="1" applyBorder="1" applyAlignment="1">
      <alignment horizontal="center" vertical="center"/>
    </xf>
    <xf numFmtId="209" fontId="10" fillId="0" borderId="18" xfId="0" applyNumberFormat="1" applyFont="1" applyBorder="1" applyAlignment="1">
      <alignment horizontal="center" vertical="center"/>
    </xf>
    <xf numFmtId="209" fontId="10" fillId="0" borderId="0" xfId="0" applyNumberFormat="1" applyFont="1" applyBorder="1" applyAlignment="1">
      <alignment horizontal="center" vertical="center"/>
    </xf>
    <xf numFmtId="209" fontId="0" fillId="12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09" fontId="10" fillId="0" borderId="1" xfId="0" applyNumberFormat="1" applyFont="1" applyFill="1" applyBorder="1" applyAlignment="1">
      <alignment vertical="center"/>
    </xf>
    <xf numFmtId="209" fontId="10" fillId="14" borderId="1" xfId="0" applyNumberFormat="1" applyFont="1" applyFill="1" applyBorder="1" applyAlignment="1">
      <alignment vertical="center"/>
    </xf>
    <xf numFmtId="222" fontId="10" fillId="0" borderId="1" xfId="0" applyNumberFormat="1" applyFont="1" applyFill="1" applyBorder="1" applyAlignment="1">
      <alignment horizontal="center" vertical="center"/>
    </xf>
    <xf numFmtId="222" fontId="10" fillId="0" borderId="1" xfId="0" applyNumberFormat="1" applyFont="1" applyFill="1" applyBorder="1" applyAlignment="1">
      <alignment vertical="center"/>
    </xf>
    <xf numFmtId="0" fontId="0" fillId="17" borderId="0" xfId="0" applyFont="1" applyFill="1" applyAlignment="1">
      <alignment vertical="center"/>
    </xf>
    <xf numFmtId="217" fontId="50" fillId="0" borderId="0" xfId="0" applyNumberFormat="1" applyFont="1" applyFill="1" applyBorder="1" applyAlignment="1">
      <alignment horizontal="center" vertical="center" wrapText="1"/>
    </xf>
    <xf numFmtId="217" fontId="10" fillId="0" borderId="76" xfId="0" applyNumberFormat="1" applyFont="1" applyBorder="1" applyAlignment="1">
      <alignment horizontal="center" vertical="center" wrapText="1"/>
    </xf>
    <xf numFmtId="224" fontId="0" fillId="0" borderId="0" xfId="0" applyNumberFormat="1" applyAlignment="1">
      <alignment vertical="center"/>
    </xf>
    <xf numFmtId="0" fontId="13" fillId="0" borderId="0" xfId="0" applyFont="1" applyFill="1" applyAlignment="1">
      <alignment horizontal="center" vertical="center"/>
    </xf>
    <xf numFmtId="217" fontId="0" fillId="8" borderId="1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vertical="center"/>
    </xf>
    <xf numFmtId="0" fontId="0" fillId="0" borderId="77" xfId="0" applyFill="1" applyBorder="1" applyAlignment="1">
      <alignment horizontal="center" vertical="center"/>
    </xf>
    <xf numFmtId="0" fontId="51" fillId="19" borderId="77" xfId="0" applyFont="1" applyFill="1" applyBorder="1" applyAlignment="1">
      <alignment horizontal="center" vertical="center"/>
    </xf>
    <xf numFmtId="0" fontId="51" fillId="0" borderId="77" xfId="0" applyFont="1" applyFill="1" applyBorder="1" applyAlignment="1">
      <alignment horizontal="center" vertical="center"/>
    </xf>
    <xf numFmtId="217" fontId="0" fillId="0" borderId="78" xfId="0" applyNumberFormat="1" applyFill="1" applyBorder="1" applyAlignment="1">
      <alignment horizontal="center" vertical="center"/>
    </xf>
    <xf numFmtId="217" fontId="4" fillId="20" borderId="27" xfId="0" applyNumberFormat="1" applyFont="1" applyFill="1" applyBorder="1" applyAlignment="1">
      <alignment horizontal="center" vertical="center" wrapText="1"/>
    </xf>
    <xf numFmtId="217" fontId="4" fillId="20" borderId="67" xfId="0" applyNumberFormat="1" applyFont="1" applyFill="1" applyBorder="1" applyAlignment="1">
      <alignment horizontal="center" vertical="center" wrapText="1"/>
    </xf>
    <xf numFmtId="217" fontId="4" fillId="20" borderId="68" xfId="0" applyNumberFormat="1" applyFont="1" applyFill="1" applyBorder="1" applyAlignment="1">
      <alignment horizontal="center" vertical="center" wrapText="1"/>
    </xf>
    <xf numFmtId="217" fontId="4" fillId="6" borderId="66" xfId="0" applyNumberFormat="1" applyFont="1" applyFill="1" applyBorder="1" applyAlignment="1">
      <alignment horizontal="center" vertical="center" wrapText="1"/>
    </xf>
    <xf numFmtId="217" fontId="4" fillId="6" borderId="67" xfId="0" applyNumberFormat="1" applyFont="1" applyFill="1" applyBorder="1" applyAlignment="1">
      <alignment horizontal="center" vertical="center" wrapText="1"/>
    </xf>
    <xf numFmtId="217" fontId="0" fillId="21" borderId="79" xfId="0" applyNumberFormat="1" applyFont="1" applyFill="1" applyBorder="1" applyAlignment="1">
      <alignment horizontal="center" vertical="center"/>
    </xf>
    <xf numFmtId="217" fontId="0" fillId="21" borderId="19" xfId="0" applyNumberFormat="1" applyFont="1" applyFill="1" applyBorder="1" applyAlignment="1">
      <alignment horizontal="center" vertical="center"/>
    </xf>
    <xf numFmtId="217" fontId="0" fillId="0" borderId="4" xfId="0" applyNumberFormat="1" applyFont="1" applyFill="1" applyBorder="1" applyAlignment="1">
      <alignment horizontal="center" vertical="center" wrapText="1"/>
    </xf>
    <xf numFmtId="217" fontId="0" fillId="0" borderId="76" xfId="0" applyNumberFormat="1" applyFont="1" applyFill="1" applyBorder="1" applyAlignment="1">
      <alignment horizontal="center" vertical="center" wrapText="1"/>
    </xf>
    <xf numFmtId="217" fontId="0" fillId="0" borderId="80" xfId="0" applyNumberFormat="1" applyFont="1" applyFill="1" applyBorder="1" applyAlignment="1">
      <alignment horizontal="center" vertical="center"/>
    </xf>
    <xf numFmtId="217" fontId="34" fillId="0" borderId="4" xfId="0" applyNumberFormat="1" applyFont="1" applyFill="1" applyBorder="1" applyAlignment="1">
      <alignment horizontal="center" vertical="center" wrapText="1"/>
    </xf>
    <xf numFmtId="217" fontId="52" fillId="6" borderId="1" xfId="0" applyNumberFormat="1" applyFont="1" applyFill="1" applyBorder="1" applyAlignment="1">
      <alignment horizontal="center" vertical="center"/>
    </xf>
    <xf numFmtId="217" fontId="52" fillId="0" borderId="1" xfId="0" applyNumberFormat="1" applyFont="1" applyFill="1" applyBorder="1" applyAlignment="1">
      <alignment horizontal="center" vertical="center" wrapText="1"/>
    </xf>
    <xf numFmtId="217" fontId="52" fillId="0" borderId="16" xfId="0" applyNumberFormat="1" applyFont="1" applyFill="1" applyBorder="1" applyAlignment="1">
      <alignment horizontal="center" vertical="center" wrapText="1"/>
    </xf>
    <xf numFmtId="217" fontId="53" fillId="6" borderId="1" xfId="0" applyNumberFormat="1" applyFont="1" applyFill="1" applyBorder="1" applyAlignment="1">
      <alignment horizontal="center" vertical="center"/>
    </xf>
    <xf numFmtId="217" fontId="53" fillId="0" borderId="16" xfId="0" applyNumberFormat="1" applyFont="1" applyFill="1" applyBorder="1" applyAlignment="1">
      <alignment horizontal="center" vertical="center" wrapText="1"/>
    </xf>
    <xf numFmtId="0" fontId="51" fillId="0" borderId="1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 wrapText="1"/>
    </xf>
    <xf numFmtId="0" fontId="13" fillId="2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/>
    </xf>
    <xf numFmtId="217" fontId="52" fillId="6" borderId="1" xfId="0" applyNumberFormat="1" applyFont="1" applyFill="1" applyBorder="1" applyAlignment="1">
      <alignment horizontal="center" vertical="center" wrapText="1"/>
    </xf>
    <xf numFmtId="217" fontId="53" fillId="6" borderId="1" xfId="0" applyNumberFormat="1" applyFont="1" applyFill="1" applyBorder="1" applyAlignment="1">
      <alignment horizontal="center" vertical="center" wrapText="1"/>
    </xf>
    <xf numFmtId="217" fontId="53" fillId="0" borderId="1" xfId="0" applyNumberFormat="1" applyFont="1" applyFill="1" applyBorder="1" applyAlignment="1">
      <alignment horizontal="center" vertical="center" wrapText="1"/>
    </xf>
    <xf numFmtId="217" fontId="52" fillId="6" borderId="4" xfId="0" applyNumberFormat="1" applyFont="1" applyFill="1" applyBorder="1" applyAlignment="1">
      <alignment horizontal="center" vertical="center"/>
    </xf>
    <xf numFmtId="0" fontId="0" fillId="0" borderId="77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horizontal="center" vertical="center"/>
    </xf>
    <xf numFmtId="0" fontId="0" fillId="19" borderId="8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209" fontId="54" fillId="22" borderId="1" xfId="0" applyNumberFormat="1" applyFont="1" applyFill="1" applyBorder="1" applyAlignment="1">
      <alignment horizontal="center" vertical="center"/>
    </xf>
    <xf numFmtId="209" fontId="54" fillId="5" borderId="1" xfId="0" applyNumberFormat="1" applyFont="1" applyFill="1" applyBorder="1" applyAlignment="1">
      <alignment horizontal="center" vertical="center"/>
    </xf>
    <xf numFmtId="209" fontId="0" fillId="9" borderId="16" xfId="0" applyNumberFormat="1" applyFont="1" applyFill="1" applyBorder="1" applyAlignment="1">
      <alignment horizontal="center" vertical="center"/>
    </xf>
    <xf numFmtId="209" fontId="0" fillId="0" borderId="16" xfId="0" applyNumberFormat="1" applyFont="1" applyFill="1" applyBorder="1" applyAlignment="1">
      <alignment vertical="center"/>
    </xf>
    <xf numFmtId="209" fontId="0" fillId="9" borderId="16" xfId="0" applyNumberFormat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209" fontId="13" fillId="9" borderId="1" xfId="0" applyNumberFormat="1" applyFont="1" applyFill="1" applyBorder="1" applyAlignment="1">
      <alignment horizontal="center" vertical="center"/>
    </xf>
    <xf numFmtId="209" fontId="0" fillId="0" borderId="16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0" fontId="13" fillId="20" borderId="13" xfId="0" applyFont="1" applyFill="1" applyBorder="1" applyAlignment="1">
      <alignment horizontal="center"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3" fillId="19" borderId="16" xfId="0" applyFont="1" applyFill="1" applyBorder="1" applyAlignment="1">
      <alignment horizontal="center" vertical="center"/>
    </xf>
    <xf numFmtId="209" fontId="10" fillId="22" borderId="1" xfId="0" applyNumberFormat="1" applyFont="1" applyFill="1" applyBorder="1" applyAlignment="1">
      <alignment horizontal="center" vertical="center"/>
    </xf>
    <xf numFmtId="209" fontId="54" fillId="5" borderId="1" xfId="0" applyNumberFormat="1" applyFont="1" applyFill="1" applyBorder="1" applyAlignment="1">
      <alignment vertical="center"/>
    </xf>
    <xf numFmtId="209" fontId="13" fillId="23" borderId="1" xfId="0" applyNumberFormat="1" applyFont="1" applyFill="1" applyBorder="1" applyAlignment="1">
      <alignment horizontal="center" vertical="center"/>
    </xf>
    <xf numFmtId="209" fontId="13" fillId="22" borderId="1" xfId="0" applyNumberFormat="1" applyFont="1" applyFill="1" applyBorder="1" applyAlignment="1">
      <alignment horizontal="center" vertical="center"/>
    </xf>
    <xf numFmtId="209" fontId="13" fillId="5" borderId="1" xfId="0" applyNumberFormat="1" applyFont="1" applyFill="1" applyBorder="1" applyAlignment="1">
      <alignment horizontal="center" vertical="center"/>
    </xf>
    <xf numFmtId="217" fontId="13" fillId="9" borderId="1" xfId="0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217" fontId="55" fillId="9" borderId="1" xfId="0" applyNumberFormat="1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vertical="center"/>
    </xf>
    <xf numFmtId="0" fontId="51" fillId="0" borderId="77" xfId="0" applyFont="1" applyFill="1" applyBorder="1" applyAlignment="1">
      <alignment vertical="center"/>
    </xf>
    <xf numFmtId="0" fontId="51" fillId="19" borderId="77" xfId="0" applyFont="1" applyFill="1" applyBorder="1" applyAlignment="1">
      <alignment vertical="center"/>
    </xf>
    <xf numFmtId="0" fontId="0" fillId="0" borderId="77" xfId="0" applyFont="1" applyFill="1" applyBorder="1" applyAlignment="1">
      <alignment vertical="center"/>
    </xf>
    <xf numFmtId="0" fontId="0" fillId="0" borderId="78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 vertical="center" wrapText="1"/>
    </xf>
    <xf numFmtId="0" fontId="4" fillId="20" borderId="67" xfId="0" applyFont="1" applyFill="1" applyBorder="1" applyAlignment="1">
      <alignment horizontal="center" vertical="center" wrapText="1"/>
    </xf>
    <xf numFmtId="0" fontId="4" fillId="20" borderId="68" xfId="0" applyFont="1" applyFill="1" applyBorder="1" applyAlignment="1">
      <alignment horizontal="center" vertical="center" wrapText="1"/>
    </xf>
    <xf numFmtId="0" fontId="4" fillId="6" borderId="66" xfId="0" applyFont="1" applyFill="1" applyBorder="1" applyAlignment="1">
      <alignment horizontal="center" vertical="center" wrapText="1"/>
    </xf>
    <xf numFmtId="0" fontId="4" fillId="6" borderId="67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209" fontId="48" fillId="0" borderId="1" xfId="0" applyNumberFormat="1" applyFont="1" applyFill="1" applyBorder="1" applyAlignment="1">
      <alignment horizontal="center" vertical="center"/>
    </xf>
    <xf numFmtId="209" fontId="33" fillId="4" borderId="1" xfId="0" applyNumberFormat="1" applyFont="1" applyFill="1" applyBorder="1" applyAlignment="1">
      <alignment horizontal="center" vertical="center"/>
    </xf>
    <xf numFmtId="217" fontId="13" fillId="0" borderId="1" xfId="0" applyNumberFormat="1" applyFont="1" applyFill="1" applyBorder="1" applyAlignment="1">
      <alignment horizontal="center" vertical="center" wrapText="1"/>
    </xf>
    <xf numFmtId="0" fontId="51" fillId="19" borderId="13" xfId="0" applyFont="1" applyFill="1" applyBorder="1" applyAlignment="1">
      <alignment vertical="center"/>
    </xf>
    <xf numFmtId="0" fontId="51" fillId="0" borderId="1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0" fillId="4" borderId="1" xfId="1464" applyFont="1" applyFill="1" applyBorder="1" applyAlignment="1">
      <alignment horizontal="center" vertical="center"/>
    </xf>
    <xf numFmtId="209" fontId="10" fillId="0" borderId="1" xfId="1464" applyNumberFormat="1" applyFont="1" applyFill="1" applyBorder="1" applyAlignment="1">
      <alignment horizontal="center" vertical="center"/>
    </xf>
    <xf numFmtId="224" fontId="10" fillId="4" borderId="1" xfId="1464" applyNumberFormat="1" applyFont="1" applyFill="1" applyBorder="1" applyAlignment="1">
      <alignment horizontal="center" vertical="center" wrapText="1"/>
    </xf>
    <xf numFmtId="0" fontId="10" fillId="0" borderId="1" xfId="1464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 wrapText="1"/>
    </xf>
    <xf numFmtId="0" fontId="10" fillId="6" borderId="1" xfId="1464" applyFont="1" applyFill="1" applyBorder="1" applyAlignment="1">
      <alignment horizontal="center" vertical="center"/>
    </xf>
    <xf numFmtId="209" fontId="48" fillId="0" borderId="1" xfId="1464" applyNumberFormat="1" applyFont="1" applyFill="1" applyBorder="1" applyAlignment="1">
      <alignment horizontal="center" vertical="center" wrapText="1"/>
    </xf>
    <xf numFmtId="209" fontId="10" fillId="0" borderId="1" xfId="1464" applyNumberFormat="1" applyFont="1" applyFill="1" applyBorder="1" applyAlignment="1">
      <alignment horizontal="center" vertical="center" wrapText="1"/>
    </xf>
    <xf numFmtId="220" fontId="10" fillId="6" borderId="1" xfId="1464" applyNumberFormat="1" applyFont="1" applyFill="1" applyBorder="1" applyAlignment="1">
      <alignment horizontal="center" vertical="center"/>
    </xf>
    <xf numFmtId="223" fontId="10" fillId="6" borderId="1" xfId="1464" applyNumberFormat="1" applyFont="1" applyFill="1" applyBorder="1" applyAlignment="1">
      <alignment horizontal="center" vertical="center"/>
    </xf>
    <xf numFmtId="209" fontId="10" fillId="6" borderId="1" xfId="1464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19" borderId="77" xfId="0" applyFont="1" applyFill="1" applyBorder="1" applyAlignment="1">
      <alignment horizontal="center" vertical="center"/>
    </xf>
    <xf numFmtId="0" fontId="57" fillId="19" borderId="77" xfId="0" applyFont="1" applyFill="1" applyBorder="1" applyAlignment="1">
      <alignment horizontal="left" vertical="center"/>
    </xf>
    <xf numFmtId="0" fontId="0" fillId="0" borderId="66" xfId="0" applyFont="1" applyFill="1" applyBorder="1" applyAlignment="1">
      <alignment horizontal="center" vertical="center"/>
    </xf>
    <xf numFmtId="217" fontId="4" fillId="6" borderId="68" xfId="0" applyNumberFormat="1" applyFont="1" applyFill="1" applyBorder="1" applyAlignment="1">
      <alignment horizontal="center" vertical="center" wrapText="1"/>
    </xf>
    <xf numFmtId="217" fontId="4" fillId="15" borderId="66" xfId="0" applyNumberFormat="1" applyFont="1" applyFill="1" applyBorder="1" applyAlignment="1">
      <alignment horizontal="center" vertical="center" wrapText="1"/>
    </xf>
    <xf numFmtId="217" fontId="4" fillId="15" borderId="67" xfId="0" applyNumberFormat="1" applyFont="1" applyFill="1" applyBorder="1" applyAlignment="1">
      <alignment horizontal="center" vertical="center" wrapText="1"/>
    </xf>
    <xf numFmtId="217" fontId="4" fillId="15" borderId="68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3" fillId="20" borderId="15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vertical="center"/>
    </xf>
    <xf numFmtId="0" fontId="0" fillId="20" borderId="14" xfId="0" applyFont="1" applyFill="1" applyBorder="1" applyAlignment="1">
      <alignment horizontal="center" vertical="center"/>
    </xf>
    <xf numFmtId="209" fontId="54" fillId="0" borderId="0" xfId="0" applyNumberFormat="1" applyFont="1" applyFill="1" applyBorder="1" applyAlignment="1">
      <alignment horizontal="center" vertical="center"/>
    </xf>
    <xf numFmtId="209" fontId="31" fillId="5" borderId="1" xfId="0" applyNumberFormat="1" applyFont="1" applyFill="1" applyBorder="1" applyAlignment="1">
      <alignment horizontal="center" vertical="center" shrinkToFit="1"/>
    </xf>
    <xf numFmtId="0" fontId="13" fillId="20" borderId="23" xfId="0" applyFont="1" applyFill="1" applyBorder="1" applyAlignment="1">
      <alignment horizontal="center" vertical="center" wrapText="1"/>
    </xf>
    <xf numFmtId="0" fontId="0" fillId="20" borderId="24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23" xfId="0" applyFont="1" applyFill="1" applyBorder="1" applyAlignment="1">
      <alignment horizontal="center" vertical="center"/>
    </xf>
    <xf numFmtId="209" fontId="31" fillId="5" borderId="1" xfId="0" applyNumberFormat="1" applyFont="1" applyFill="1" applyBorder="1" applyAlignment="1">
      <alignment horizontal="center" vertical="center"/>
    </xf>
    <xf numFmtId="0" fontId="4" fillId="6" borderId="68" xfId="0" applyFont="1" applyFill="1" applyBorder="1" applyAlignment="1">
      <alignment horizontal="center" vertical="center" wrapText="1"/>
    </xf>
    <xf numFmtId="0" fontId="4" fillId="15" borderId="66" xfId="0" applyFont="1" applyFill="1" applyBorder="1" applyAlignment="1">
      <alignment horizontal="center" vertical="center" wrapText="1"/>
    </xf>
    <xf numFmtId="0" fontId="4" fillId="15" borderId="67" xfId="0" applyFont="1" applyFill="1" applyBorder="1" applyAlignment="1">
      <alignment horizontal="center" vertical="center" wrapText="1"/>
    </xf>
    <xf numFmtId="0" fontId="4" fillId="15" borderId="68" xfId="0" applyFont="1" applyFill="1" applyBorder="1" applyAlignment="1">
      <alignment horizontal="center" vertical="center" wrapText="1"/>
    </xf>
    <xf numFmtId="0" fontId="0" fillId="20" borderId="15" xfId="0" applyFont="1" applyFill="1" applyBorder="1" applyAlignment="1">
      <alignment horizontal="center" vertical="center"/>
    </xf>
    <xf numFmtId="209" fontId="10" fillId="4" borderId="1" xfId="1464" applyNumberFormat="1" applyFont="1" applyFill="1" applyBorder="1" applyAlignment="1">
      <alignment horizontal="center" vertical="center" wrapText="1"/>
    </xf>
    <xf numFmtId="225" fontId="10" fillId="0" borderId="1" xfId="1464" applyNumberFormat="1" applyFont="1" applyBorder="1" applyAlignment="1">
      <alignment horizontal="center" vertical="center"/>
    </xf>
    <xf numFmtId="226" fontId="10" fillId="4" borderId="1" xfId="1464" applyNumberFormat="1" applyFont="1" applyFill="1" applyBorder="1" applyAlignment="1">
      <alignment horizontal="center" vertical="center"/>
    </xf>
    <xf numFmtId="197" fontId="0" fillId="0" borderId="77" xfId="0" applyNumberFormat="1" applyFont="1" applyFill="1" applyBorder="1" applyAlignment="1">
      <alignment vertical="center"/>
    </xf>
    <xf numFmtId="217" fontId="4" fillId="24" borderId="66" xfId="0" applyNumberFormat="1" applyFont="1" applyFill="1" applyBorder="1" applyAlignment="1">
      <alignment horizontal="center" vertical="center"/>
    </xf>
    <xf numFmtId="217" fontId="4" fillId="24" borderId="67" xfId="0" applyNumberFormat="1" applyFont="1" applyFill="1" applyBorder="1" applyAlignment="1">
      <alignment horizontal="center" vertical="center"/>
    </xf>
    <xf numFmtId="217" fontId="4" fillId="24" borderId="68" xfId="0" applyNumberFormat="1" applyFont="1" applyFill="1" applyBorder="1" applyAlignment="1">
      <alignment horizontal="center" vertical="center"/>
    </xf>
    <xf numFmtId="217" fontId="4" fillId="16" borderId="66" xfId="0" applyNumberFormat="1" applyFont="1" applyFill="1" applyBorder="1" applyAlignment="1">
      <alignment horizontal="center" vertical="center"/>
    </xf>
    <xf numFmtId="217" fontId="4" fillId="16" borderId="67" xfId="0" applyNumberFormat="1" applyFont="1" applyFill="1" applyBorder="1" applyAlignment="1">
      <alignment horizontal="center" vertical="center"/>
    </xf>
    <xf numFmtId="217" fontId="52" fillId="6" borderId="16" xfId="0" applyNumberFormat="1" applyFont="1" applyFill="1" applyBorder="1" applyAlignment="1">
      <alignment horizontal="center" vertical="center"/>
    </xf>
    <xf numFmtId="217" fontId="52" fillId="0" borderId="16" xfId="0" applyNumberFormat="1" applyFont="1" applyFill="1" applyBorder="1" applyAlignment="1">
      <alignment horizontal="center" vertical="center"/>
    </xf>
    <xf numFmtId="217" fontId="52" fillId="24" borderId="1" xfId="0" applyNumberFormat="1" applyFont="1" applyFill="1" applyBorder="1" applyAlignment="1">
      <alignment horizontal="center" vertical="center" wrapText="1"/>
    </xf>
    <xf numFmtId="217" fontId="53" fillId="24" borderId="1" xfId="0" applyNumberFormat="1" applyFont="1" applyFill="1" applyBorder="1" applyAlignment="1">
      <alignment horizontal="center" vertical="center" wrapText="1"/>
    </xf>
    <xf numFmtId="221" fontId="10" fillId="0" borderId="0" xfId="0" applyNumberFormat="1" applyFont="1" applyFill="1" applyBorder="1" applyAlignment="1">
      <alignment horizontal="center" vertical="center" wrapText="1"/>
    </xf>
    <xf numFmtId="221" fontId="10" fillId="5" borderId="1" xfId="0" applyNumberFormat="1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vertical="center"/>
    </xf>
    <xf numFmtId="0" fontId="13" fillId="14" borderId="16" xfId="0" applyFont="1" applyFill="1" applyBorder="1" applyAlignment="1">
      <alignment horizontal="center" vertical="center"/>
    </xf>
    <xf numFmtId="217" fontId="13" fillId="24" borderId="1" xfId="0" applyNumberFormat="1" applyFont="1" applyFill="1" applyBorder="1" applyAlignment="1">
      <alignment horizontal="center" vertical="center" shrinkToFit="1"/>
    </xf>
    <xf numFmtId="217" fontId="13" fillId="0" borderId="1" xfId="0" applyNumberFormat="1" applyFont="1" applyFill="1" applyBorder="1" applyAlignment="1">
      <alignment horizontal="center" vertical="center" shrinkToFit="1"/>
    </xf>
    <xf numFmtId="0" fontId="4" fillId="24" borderId="66" xfId="0" applyFont="1" applyFill="1" applyBorder="1" applyAlignment="1">
      <alignment horizontal="center" vertical="center"/>
    </xf>
    <xf numFmtId="0" fontId="4" fillId="24" borderId="67" xfId="0" applyFont="1" applyFill="1" applyBorder="1" applyAlignment="1">
      <alignment horizontal="center" vertical="center"/>
    </xf>
    <xf numFmtId="0" fontId="4" fillId="24" borderId="68" xfId="0" applyFont="1" applyFill="1" applyBorder="1" applyAlignment="1">
      <alignment horizontal="center" vertical="center"/>
    </xf>
    <xf numFmtId="0" fontId="4" fillId="16" borderId="66" xfId="0" applyFont="1" applyFill="1" applyBorder="1" applyAlignment="1">
      <alignment horizontal="center" vertical="center"/>
    </xf>
    <xf numFmtId="0" fontId="4" fillId="16" borderId="6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12" fontId="10" fillId="4" borderId="1" xfId="1464" applyNumberFormat="1" applyFont="1" applyFill="1" applyBorder="1" applyAlignment="1">
      <alignment horizontal="center" vertical="center"/>
    </xf>
    <xf numFmtId="209" fontId="48" fillId="4" borderId="1" xfId="1464" applyNumberFormat="1" applyFont="1" applyFill="1" applyBorder="1" applyAlignment="1">
      <alignment horizontal="center" vertical="center"/>
    </xf>
    <xf numFmtId="209" fontId="48" fillId="0" borderId="1" xfId="1464" applyNumberFormat="1" applyFont="1" applyFill="1" applyBorder="1" applyAlignment="1">
      <alignment horizontal="center" vertical="center"/>
    </xf>
    <xf numFmtId="0" fontId="10" fillId="6" borderId="1" xfId="1464" applyFont="1" applyFill="1" applyBorder="1">
      <alignment vertical="center"/>
    </xf>
    <xf numFmtId="0" fontId="10" fillId="0" borderId="1" xfId="1464" applyFont="1" applyFill="1" applyBorder="1" applyAlignment="1">
      <alignment horizontal="center" vertical="center"/>
    </xf>
    <xf numFmtId="209" fontId="10" fillId="24" borderId="1" xfId="1464" applyNumberFormat="1" applyFont="1" applyFill="1" applyBorder="1" applyAlignment="1">
      <alignment horizontal="center" vertical="center"/>
    </xf>
    <xf numFmtId="0" fontId="10" fillId="24" borderId="1" xfId="1464" applyFont="1" applyFill="1" applyBorder="1" applyAlignment="1">
      <alignment horizontal="center" vertical="center"/>
    </xf>
    <xf numFmtId="0" fontId="13" fillId="9" borderId="1" xfId="1464" applyFont="1" applyFill="1" applyBorder="1">
      <alignment vertical="center"/>
    </xf>
    <xf numFmtId="197" fontId="51" fillId="0" borderId="77" xfId="0" applyNumberFormat="1" applyFont="1" applyFill="1" applyBorder="1" applyAlignment="1">
      <alignment horizontal="center" vertical="center"/>
    </xf>
    <xf numFmtId="197" fontId="0" fillId="0" borderId="77" xfId="0" applyNumberFormat="1" applyFill="1" applyBorder="1" applyAlignment="1">
      <alignment horizontal="center" vertical="center"/>
    </xf>
    <xf numFmtId="197" fontId="0" fillId="0" borderId="77" xfId="0" applyNumberFormat="1" applyFont="1" applyFill="1" applyBorder="1" applyAlignment="1">
      <alignment horizontal="center" vertical="center"/>
    </xf>
    <xf numFmtId="217" fontId="4" fillId="16" borderId="68" xfId="0" applyNumberFormat="1" applyFont="1" applyFill="1" applyBorder="1" applyAlignment="1">
      <alignment horizontal="center" vertical="center"/>
    </xf>
    <xf numFmtId="217" fontId="4" fillId="14" borderId="66" xfId="0" applyNumberFormat="1" applyFont="1" applyFill="1" applyBorder="1" applyAlignment="1">
      <alignment horizontal="center" vertical="center"/>
    </xf>
    <xf numFmtId="217" fontId="4" fillId="14" borderId="67" xfId="0" applyNumberFormat="1" applyFont="1" applyFill="1" applyBorder="1" applyAlignment="1">
      <alignment horizontal="center" vertical="center"/>
    </xf>
    <xf numFmtId="217" fontId="4" fillId="14" borderId="68" xfId="0" applyNumberFormat="1" applyFont="1" applyFill="1" applyBorder="1" applyAlignment="1">
      <alignment horizontal="center" vertical="center"/>
    </xf>
    <xf numFmtId="217" fontId="52" fillId="0" borderId="15" xfId="0" applyNumberFormat="1" applyFont="1" applyFill="1" applyBorder="1" applyAlignment="1">
      <alignment horizontal="center" vertical="center" wrapText="1"/>
    </xf>
    <xf numFmtId="217" fontId="13" fillId="0" borderId="0" xfId="0" applyNumberFormat="1" applyFont="1" applyFill="1" applyBorder="1" applyAlignment="1">
      <alignment horizontal="center" vertical="center" shrinkToFit="1"/>
    </xf>
    <xf numFmtId="217" fontId="13" fillId="4" borderId="1" xfId="0" applyNumberFormat="1" applyFont="1" applyFill="1" applyBorder="1" applyAlignment="1">
      <alignment horizontal="center" vertical="center" shrinkToFit="1"/>
    </xf>
    <xf numFmtId="209" fontId="10" fillId="9" borderId="1" xfId="0" applyNumberFormat="1" applyFont="1" applyFill="1" applyBorder="1" applyAlignment="1">
      <alignment horizontal="center" vertical="center" shrinkToFit="1"/>
    </xf>
    <xf numFmtId="217" fontId="10" fillId="0" borderId="0" xfId="0" applyNumberFormat="1" applyFont="1" applyFill="1" applyBorder="1" applyAlignment="1">
      <alignment horizontal="center" vertical="center"/>
    </xf>
    <xf numFmtId="0" fontId="4" fillId="16" borderId="68" xfId="0" applyFont="1" applyFill="1" applyBorder="1" applyAlignment="1">
      <alignment horizontal="center" vertical="center"/>
    </xf>
    <xf numFmtId="0" fontId="4" fillId="14" borderId="66" xfId="0" applyFont="1" applyFill="1" applyBorder="1" applyAlignment="1">
      <alignment horizontal="center" vertical="center"/>
    </xf>
    <xf numFmtId="0" fontId="4" fillId="14" borderId="67" xfId="0" applyFont="1" applyFill="1" applyBorder="1" applyAlignment="1">
      <alignment horizontal="center" vertical="center"/>
    </xf>
    <xf numFmtId="0" fontId="4" fillId="14" borderId="68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13" fillId="0" borderId="0" xfId="1464" applyFont="1" applyFill="1">
      <alignment vertical="center"/>
    </xf>
    <xf numFmtId="197" fontId="58" fillId="0" borderId="77" xfId="0" applyNumberFormat="1" applyFont="1" applyFill="1" applyBorder="1" applyAlignment="1">
      <alignment horizontal="center" vertical="center"/>
    </xf>
    <xf numFmtId="217" fontId="59" fillId="0" borderId="0" xfId="0" applyNumberFormat="1" applyFont="1" applyFill="1" applyBorder="1" applyAlignment="1">
      <alignment horizontal="center" vertical="center" wrapText="1"/>
    </xf>
    <xf numFmtId="197" fontId="0" fillId="0" borderId="0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217" fontId="10" fillId="0" borderId="0" xfId="0" applyNumberFormat="1" applyFont="1" applyFill="1" applyBorder="1" applyAlignment="1">
      <alignment horizontal="center" vertical="center" shrinkToFit="1"/>
    </xf>
    <xf numFmtId="217" fontId="31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217" fontId="13" fillId="0" borderId="0" xfId="0" applyNumberFormat="1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221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/>
    </xf>
    <xf numFmtId="217" fontId="10" fillId="15" borderId="1" xfId="0" applyNumberFormat="1" applyFont="1" applyFill="1" applyBorder="1" applyAlignment="1">
      <alignment horizontal="center" vertical="center" shrinkToFit="1"/>
    </xf>
    <xf numFmtId="217" fontId="10" fillId="0" borderId="1" xfId="0" applyNumberFormat="1" applyFont="1" applyFill="1" applyBorder="1" applyAlignment="1">
      <alignment horizontal="center" vertical="center" shrinkToFit="1"/>
    </xf>
    <xf numFmtId="217" fontId="31" fillId="0" borderId="1" xfId="0" applyNumberFormat="1" applyFont="1" applyFill="1" applyBorder="1" applyAlignment="1">
      <alignment horizontal="center" vertical="center" shrinkToFit="1"/>
    </xf>
    <xf numFmtId="209" fontId="10" fillId="19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shrinkToFit="1"/>
    </xf>
    <xf numFmtId="221" fontId="13" fillId="0" borderId="0" xfId="0" applyNumberFormat="1" applyFont="1" applyFill="1" applyBorder="1" applyAlignment="1">
      <alignment horizontal="center" vertical="center" wrapText="1"/>
    </xf>
    <xf numFmtId="197" fontId="0" fillId="0" borderId="13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48" fillId="0" borderId="1" xfId="1464" applyFont="1" applyFill="1" applyBorder="1" applyAlignment="1">
      <alignment horizontal="center" vertical="center"/>
    </xf>
    <xf numFmtId="221" fontId="10" fillId="0" borderId="1" xfId="1464" applyNumberFormat="1" applyFont="1" applyFill="1" applyBorder="1" applyAlignment="1">
      <alignment horizontal="center" vertical="center" wrapText="1"/>
    </xf>
    <xf numFmtId="209" fontId="13" fillId="0" borderId="0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shrinkToFit="1"/>
    </xf>
    <xf numFmtId="209" fontId="10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217" fontId="10" fillId="24" borderId="1" xfId="0" applyNumberFormat="1" applyFont="1" applyFill="1" applyBorder="1" applyAlignment="1">
      <alignment horizontal="center" vertical="center" shrinkToFit="1"/>
    </xf>
    <xf numFmtId="217" fontId="10" fillId="9" borderId="1" xfId="0" applyNumberFormat="1" applyFont="1" applyFill="1" applyBorder="1" applyAlignment="1">
      <alignment horizontal="center" vertical="center" shrinkToFit="1"/>
    </xf>
    <xf numFmtId="221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/>
    </xf>
    <xf numFmtId="0" fontId="0" fillId="0" borderId="70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0" fontId="61" fillId="0" borderId="70" xfId="0" applyFont="1" applyFill="1" applyBorder="1" applyAlignment="1">
      <alignment horizontal="center" vertical="center"/>
    </xf>
    <xf numFmtId="0" fontId="13" fillId="0" borderId="70" xfId="0" applyFont="1" applyFill="1" applyBorder="1" applyAlignment="1"/>
    <xf numFmtId="0" fontId="13" fillId="0" borderId="4" xfId="0" applyFont="1" applyFill="1" applyBorder="1" applyAlignment="1">
      <alignment vertical="center"/>
    </xf>
    <xf numFmtId="0" fontId="13" fillId="20" borderId="2" xfId="0" applyFont="1" applyFill="1" applyBorder="1" applyAlignment="1">
      <alignment vertical="center" wrapText="1"/>
    </xf>
    <xf numFmtId="0" fontId="13" fillId="20" borderId="14" xfId="0" applyFont="1" applyFill="1" applyBorder="1" applyAlignment="1">
      <alignment vertical="center" wrapText="1"/>
    </xf>
    <xf numFmtId="0" fontId="13" fillId="20" borderId="15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vertical="center"/>
    </xf>
    <xf numFmtId="0" fontId="10" fillId="6" borderId="1" xfId="2515" applyFont="1" applyFill="1" applyBorder="1" applyAlignment="1">
      <alignment horizontal="center" vertical="center"/>
    </xf>
    <xf numFmtId="0" fontId="10" fillId="0" borderId="1" xfId="2515" applyFont="1" applyFill="1" applyBorder="1" applyAlignment="1">
      <alignment horizontal="center" vertical="center"/>
    </xf>
    <xf numFmtId="0" fontId="10" fillId="0" borderId="1" xfId="2515" applyFont="1" applyFill="1" applyBorder="1" applyAlignment="1">
      <alignment horizontal="center" vertical="center" wrapText="1"/>
    </xf>
    <xf numFmtId="0" fontId="57" fillId="0" borderId="77" xfId="0" applyFont="1" applyFill="1" applyBorder="1" applyAlignment="1">
      <alignment horizontal="left" vertical="center"/>
    </xf>
    <xf numFmtId="0" fontId="62" fillId="25" borderId="78" xfId="0" applyFont="1" applyFill="1" applyBorder="1" applyAlignment="1">
      <alignment horizontal="center" vertical="center"/>
    </xf>
    <xf numFmtId="215" fontId="0" fillId="6" borderId="16" xfId="0" applyNumberFormat="1" applyFont="1" applyFill="1" applyBorder="1" applyAlignment="1" applyProtection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227" fontId="0" fillId="6" borderId="16" xfId="0" applyNumberFormat="1" applyFont="1" applyFill="1" applyBorder="1" applyAlignment="1">
      <alignment horizontal="center" vertical="center"/>
    </xf>
    <xf numFmtId="227" fontId="13" fillId="6" borderId="1" xfId="0" applyNumberFormat="1" applyFont="1" applyFill="1" applyBorder="1" applyAlignment="1">
      <alignment horizontal="center" vertical="center"/>
    </xf>
    <xf numFmtId="209" fontId="10" fillId="0" borderId="16" xfId="0" applyNumberFormat="1" applyFont="1" applyFill="1" applyBorder="1" applyAlignment="1">
      <alignment horizontal="center" vertical="center"/>
    </xf>
    <xf numFmtId="209" fontId="10" fillId="19" borderId="16" xfId="0" applyNumberFormat="1" applyFont="1" applyFill="1" applyBorder="1" applyAlignment="1">
      <alignment horizontal="center" vertical="center"/>
    </xf>
    <xf numFmtId="0" fontId="63" fillId="0" borderId="1" xfId="140" applyFont="1" applyFill="1" applyBorder="1" applyAlignment="1">
      <alignment horizontal="center" vertical="center"/>
    </xf>
    <xf numFmtId="228" fontId="63" fillId="0" borderId="1" xfId="140" applyNumberFormat="1" applyFont="1" applyFill="1" applyBorder="1" applyAlignment="1">
      <alignment horizontal="center" vertical="center"/>
    </xf>
    <xf numFmtId="209" fontId="63" fillId="0" borderId="1" xfId="140" applyNumberFormat="1" applyFont="1" applyFill="1" applyBorder="1" applyAlignment="1">
      <alignment horizontal="center" vertical="center"/>
    </xf>
    <xf numFmtId="0" fontId="63" fillId="0" borderId="1" xfId="140" applyFont="1" applyFill="1" applyBorder="1" applyAlignment="1">
      <alignment horizontal="center" vertical="center" wrapText="1"/>
    </xf>
    <xf numFmtId="229" fontId="64" fillId="0" borderId="1" xfId="140" applyNumberFormat="1" applyFont="1" applyFill="1" applyBorder="1" applyAlignment="1">
      <alignment horizontal="center" vertical="center"/>
    </xf>
    <xf numFmtId="209" fontId="64" fillId="0" borderId="1" xfId="140" applyNumberFormat="1" applyFont="1" applyFill="1" applyBorder="1" applyAlignment="1">
      <alignment horizontal="center" vertical="center"/>
    </xf>
    <xf numFmtId="0" fontId="51" fillId="0" borderId="77" xfId="0" applyFont="1" applyFill="1" applyBorder="1" applyAlignment="1">
      <alignment horizontal="left" vertical="center"/>
    </xf>
    <xf numFmtId="0" fontId="0" fillId="0" borderId="7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 vertical="center" wrapText="1"/>
    </xf>
    <xf numFmtId="0" fontId="0" fillId="0" borderId="8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217" fontId="0" fillId="6" borderId="16" xfId="0" applyNumberFormat="1" applyFont="1" applyFill="1" applyBorder="1" applyAlignment="1">
      <alignment horizontal="center" vertical="center"/>
    </xf>
    <xf numFmtId="217" fontId="0" fillId="0" borderId="16" xfId="0" applyNumberFormat="1" applyFont="1" applyFill="1" applyBorder="1" applyAlignment="1">
      <alignment horizontal="center" vertical="center" wrapText="1"/>
    </xf>
    <xf numFmtId="217" fontId="0" fillId="7" borderId="16" xfId="0" applyNumberFormat="1" applyFont="1" applyFill="1" applyBorder="1" applyAlignment="1">
      <alignment horizontal="center" vertical="center"/>
    </xf>
    <xf numFmtId="217" fontId="0" fillId="0" borderId="1" xfId="0" applyNumberFormat="1" applyFont="1" applyFill="1" applyBorder="1" applyAlignment="1">
      <alignment vertical="center"/>
    </xf>
    <xf numFmtId="0" fontId="65" fillId="20" borderId="2" xfId="0" applyFont="1" applyFill="1" applyBorder="1" applyAlignment="1">
      <alignment horizontal="center" vertical="center" wrapText="1"/>
    </xf>
    <xf numFmtId="0" fontId="65" fillId="20" borderId="14" xfId="0" applyFont="1" applyFill="1" applyBorder="1" applyAlignment="1">
      <alignment horizontal="center" vertical="center" wrapText="1"/>
    </xf>
    <xf numFmtId="217" fontId="0" fillId="0" borderId="16" xfId="0" applyNumberFormat="1" applyFill="1" applyBorder="1" applyAlignment="1">
      <alignment horizontal="center" vertical="center"/>
    </xf>
    <xf numFmtId="217" fontId="0" fillId="0" borderId="16" xfId="0" applyNumberFormat="1" applyFont="1" applyFill="1" applyBorder="1" applyAlignment="1">
      <alignment horizontal="center" vertical="center"/>
    </xf>
    <xf numFmtId="217" fontId="13" fillId="6" borderId="4" xfId="0" applyNumberFormat="1" applyFont="1" applyFill="1" applyBorder="1" applyAlignment="1">
      <alignment horizontal="center" vertical="center"/>
    </xf>
    <xf numFmtId="217" fontId="13" fillId="0" borderId="4" xfId="0" applyNumberFormat="1" applyFont="1" applyFill="1" applyBorder="1" applyAlignment="1">
      <alignment horizontal="center" vertical="center"/>
    </xf>
    <xf numFmtId="0" fontId="66" fillId="0" borderId="77" xfId="0" applyFont="1" applyFill="1" applyBorder="1" applyAlignment="1">
      <alignment horizontal="center" vertical="center"/>
    </xf>
    <xf numFmtId="0" fontId="67" fillId="0" borderId="82" xfId="0" applyFont="1" applyFill="1" applyBorder="1" applyAlignment="1">
      <alignment horizontal="center" vertical="center" wrapText="1"/>
    </xf>
    <xf numFmtId="0" fontId="67" fillId="0" borderId="83" xfId="0" applyFont="1" applyFill="1" applyBorder="1" applyAlignment="1">
      <alignment horizontal="center" vertical="center" wrapText="1"/>
    </xf>
    <xf numFmtId="0" fontId="67" fillId="0" borderId="25" xfId="0" applyFont="1" applyFill="1" applyBorder="1" applyAlignment="1">
      <alignment horizontal="center" vertical="center" wrapText="1"/>
    </xf>
    <xf numFmtId="0" fontId="67" fillId="0" borderId="84" xfId="0" applyFont="1" applyFill="1" applyBorder="1" applyAlignment="1">
      <alignment horizontal="center" vertical="center" wrapText="1"/>
    </xf>
    <xf numFmtId="0" fontId="67" fillId="0" borderId="64" xfId="0" applyFont="1" applyFill="1" applyBorder="1" applyAlignment="1">
      <alignment horizontal="center" vertical="center" wrapText="1"/>
    </xf>
    <xf numFmtId="0" fontId="67" fillId="0" borderId="85" xfId="0" applyFont="1" applyFill="1" applyBorder="1" applyAlignment="1">
      <alignment horizontal="center" vertical="center" wrapText="1"/>
    </xf>
    <xf numFmtId="0" fontId="67" fillId="0" borderId="8" xfId="0" applyFont="1" applyFill="1" applyBorder="1" applyAlignment="1">
      <alignment horizontal="center" vertical="center" wrapText="1"/>
    </xf>
    <xf numFmtId="0" fontId="67" fillId="0" borderId="86" xfId="0" applyFont="1" applyFill="1" applyBorder="1" applyAlignment="1">
      <alignment horizontal="center" vertical="center" wrapText="1"/>
    </xf>
    <xf numFmtId="0" fontId="67" fillId="0" borderId="6" xfId="0" applyFont="1" applyFill="1" applyBorder="1" applyAlignment="1">
      <alignment horizontal="center" vertical="center" wrapText="1"/>
    </xf>
    <xf numFmtId="0" fontId="67" fillId="0" borderId="7" xfId="0" applyFont="1" applyFill="1" applyBorder="1" applyAlignment="1">
      <alignment horizontal="center" vertical="center" wrapText="1"/>
    </xf>
    <xf numFmtId="0" fontId="67" fillId="0" borderId="87" xfId="0" applyFont="1" applyFill="1" applyBorder="1" applyAlignment="1">
      <alignment horizontal="center" vertical="center" wrapText="1"/>
    </xf>
    <xf numFmtId="0" fontId="68" fillId="9" borderId="25" xfId="0" applyFont="1" applyFill="1" applyBorder="1" applyAlignment="1">
      <alignment horizontal="center" vertical="center" wrapText="1"/>
    </xf>
    <xf numFmtId="209" fontId="68" fillId="0" borderId="1" xfId="0" applyNumberFormat="1" applyFont="1" applyFill="1" applyBorder="1" applyAlignment="1">
      <alignment horizontal="center" vertical="center" wrapText="1"/>
    </xf>
    <xf numFmtId="0" fontId="68" fillId="0" borderId="83" xfId="0" applyFont="1" applyFill="1" applyBorder="1" applyAlignment="1">
      <alignment horizontal="center" vertical="center" wrapText="1"/>
    </xf>
    <xf numFmtId="0" fontId="68" fillId="0" borderId="25" xfId="0" applyFont="1" applyFill="1" applyBorder="1" applyAlignment="1">
      <alignment horizontal="center" vertical="center" wrapText="1"/>
    </xf>
    <xf numFmtId="0" fontId="68" fillId="9" borderId="86" xfId="0" applyFont="1" applyFill="1" applyBorder="1" applyAlignment="1">
      <alignment horizontal="center" vertical="center" wrapText="1"/>
    </xf>
    <xf numFmtId="209" fontId="68" fillId="0" borderId="4" xfId="0" applyNumberFormat="1" applyFont="1" applyFill="1" applyBorder="1" applyAlignment="1">
      <alignment horizontal="center" vertical="center" wrapText="1"/>
    </xf>
    <xf numFmtId="0" fontId="68" fillId="0" borderId="87" xfId="0" applyFont="1" applyFill="1" applyBorder="1" applyAlignment="1">
      <alignment horizontal="center" vertical="center" wrapText="1"/>
    </xf>
    <xf numFmtId="0" fontId="68" fillId="0" borderId="86" xfId="0" applyFont="1" applyFill="1" applyBorder="1" applyAlignment="1">
      <alignment horizontal="center" vertical="center" wrapText="1"/>
    </xf>
    <xf numFmtId="217" fontId="68" fillId="0" borderId="1" xfId="0" applyNumberFormat="1" applyFont="1" applyFill="1" applyBorder="1" applyAlignment="1">
      <alignment horizontal="center" vertical="center" wrapText="1"/>
    </xf>
    <xf numFmtId="209" fontId="68" fillId="5" borderId="1" xfId="0" applyNumberFormat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8" xfId="0" applyFont="1" applyFill="1" applyBorder="1" applyAlignment="1">
      <alignment horizontal="center" vertical="center" wrapText="1"/>
    </xf>
    <xf numFmtId="217" fontId="68" fillId="0" borderId="8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/>
    <xf numFmtId="0" fontId="0" fillId="20" borderId="2" xfId="0" applyFont="1" applyFill="1" applyBorder="1" applyAlignment="1">
      <alignment vertical="center"/>
    </xf>
    <xf numFmtId="0" fontId="0" fillId="20" borderId="14" xfId="0" applyFont="1" applyFill="1" applyBorder="1" applyAlignment="1">
      <alignment vertical="center"/>
    </xf>
    <xf numFmtId="0" fontId="0" fillId="20" borderId="15" xfId="0" applyFont="1" applyFill="1" applyBorder="1" applyAlignment="1">
      <alignment vertical="center"/>
    </xf>
    <xf numFmtId="221" fontId="10" fillId="0" borderId="1" xfId="2515" applyNumberFormat="1" applyFont="1" applyFill="1" applyBorder="1" applyAlignment="1">
      <alignment horizontal="center" vertical="center" wrapText="1"/>
    </xf>
    <xf numFmtId="209" fontId="0" fillId="6" borderId="16" xfId="0" applyNumberFormat="1" applyFont="1" applyFill="1" applyBorder="1" applyAlignment="1">
      <alignment horizontal="center" vertical="center" wrapText="1"/>
    </xf>
    <xf numFmtId="179" fontId="0" fillId="6" borderId="16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horizontal="center" vertical="center" wrapText="1"/>
    </xf>
    <xf numFmtId="230" fontId="0" fillId="6" borderId="1" xfId="0" applyNumberFormat="1" applyFont="1" applyFill="1" applyBorder="1" applyAlignment="1">
      <alignment vertical="center"/>
    </xf>
    <xf numFmtId="212" fontId="0" fillId="6" borderId="1" xfId="0" applyNumberFormat="1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horizontal="center" vertical="center"/>
    </xf>
    <xf numFmtId="209" fontId="64" fillId="0" borderId="1" xfId="140" applyNumberFormat="1" applyFont="1" applyFill="1" applyBorder="1" applyAlignment="1">
      <alignment horizontal="center" vertical="center" wrapText="1"/>
    </xf>
    <xf numFmtId="226" fontId="64" fillId="0" borderId="1" xfId="140" applyNumberFormat="1" applyFont="1" applyFill="1" applyBorder="1" applyAlignment="1">
      <alignment horizontal="center" vertical="center"/>
    </xf>
    <xf numFmtId="209" fontId="64" fillId="0" borderId="1" xfId="140" applyNumberFormat="1" applyFont="1" applyFill="1" applyBorder="1">
      <alignment vertical="center"/>
    </xf>
    <xf numFmtId="0" fontId="10" fillId="0" borderId="1" xfId="0" applyFont="1" applyFill="1" applyBorder="1" applyAlignment="1">
      <alignment vertical="center"/>
    </xf>
    <xf numFmtId="224" fontId="1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217" fontId="13" fillId="0" borderId="1" xfId="0" applyNumberFormat="1" applyFont="1" applyFill="1" applyBorder="1" applyAlignment="1">
      <alignment vertical="center"/>
    </xf>
    <xf numFmtId="0" fontId="65" fillId="20" borderId="15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/>
    </xf>
    <xf numFmtId="0" fontId="4" fillId="20" borderId="14" xfId="0" applyFont="1" applyFill="1" applyBorder="1" applyAlignment="1">
      <alignment horizontal="center" vertical="center"/>
    </xf>
    <xf numFmtId="0" fontId="4" fillId="20" borderId="15" xfId="0" applyFont="1" applyFill="1" applyBorder="1" applyAlignment="1">
      <alignment horizontal="center" vertical="center"/>
    </xf>
    <xf numFmtId="209" fontId="68" fillId="0" borderId="25" xfId="0" applyNumberFormat="1" applyFont="1" applyFill="1" applyBorder="1" applyAlignment="1">
      <alignment horizontal="center" vertical="center" wrapText="1"/>
    </xf>
    <xf numFmtId="209" fontId="68" fillId="0" borderId="86" xfId="0" applyNumberFormat="1" applyFont="1" applyFill="1" applyBorder="1" applyAlignment="1">
      <alignment horizontal="center" vertical="center" wrapText="1"/>
    </xf>
    <xf numFmtId="209" fontId="68" fillId="0" borderId="8" xfId="0" applyNumberFormat="1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vertical="center"/>
    </xf>
    <xf numFmtId="0" fontId="13" fillId="14" borderId="14" xfId="0" applyFont="1" applyFill="1" applyBorder="1" applyAlignment="1">
      <alignment vertical="center"/>
    </xf>
    <xf numFmtId="0" fontId="13" fillId="14" borderId="15" xfId="0" applyFont="1" applyFill="1" applyBorder="1" applyAlignment="1">
      <alignment vertical="center"/>
    </xf>
    <xf numFmtId="0" fontId="10" fillId="6" borderId="0" xfId="2515" applyFont="1" applyFill="1" applyAlignment="1">
      <alignment vertical="center"/>
    </xf>
    <xf numFmtId="0" fontId="10" fillId="24" borderId="1" xfId="2515" applyFont="1" applyFill="1" applyBorder="1" applyAlignment="1">
      <alignment horizontal="center" vertical="center"/>
    </xf>
    <xf numFmtId="209" fontId="0" fillId="6" borderId="16" xfId="0" applyNumberFormat="1" applyFont="1" applyFill="1" applyBorder="1" applyAlignment="1">
      <alignment horizontal="center" vertical="center"/>
    </xf>
    <xf numFmtId="231" fontId="0" fillId="6" borderId="16" xfId="0" applyNumberFormat="1" applyFont="1" applyFill="1" applyBorder="1" applyAlignment="1">
      <alignment horizontal="center" vertical="center"/>
    </xf>
    <xf numFmtId="209" fontId="40" fillId="6" borderId="16" xfId="0" applyNumberFormat="1" applyFont="1" applyFill="1" applyBorder="1" applyAlignment="1">
      <alignment horizontal="center" vertical="center"/>
    </xf>
    <xf numFmtId="0" fontId="64" fillId="22" borderId="16" xfId="140" applyFont="1" applyFill="1" applyBorder="1" applyAlignment="1">
      <alignment horizontal="center" vertical="center"/>
    </xf>
    <xf numFmtId="0" fontId="64" fillId="22" borderId="0" xfId="140" applyFont="1" applyFill="1" applyBorder="1">
      <alignment vertical="center"/>
    </xf>
    <xf numFmtId="0" fontId="64" fillId="22" borderId="16" xfId="140" applyFont="1" applyFill="1" applyBorder="1" applyAlignment="1">
      <alignment horizontal="center" vertical="center" wrapText="1"/>
    </xf>
    <xf numFmtId="232" fontId="0" fillId="9" borderId="0" xfId="0" applyNumberFormat="1" applyFont="1" applyFill="1" applyBorder="1" applyAlignment="1">
      <alignment vertical="center"/>
    </xf>
    <xf numFmtId="233" fontId="13" fillId="0" borderId="1" xfId="0" applyNumberFormat="1" applyFont="1" applyFill="1" applyBorder="1" applyAlignment="1">
      <alignment vertical="center"/>
    </xf>
    <xf numFmtId="234" fontId="64" fillId="0" borderId="1" xfId="14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17" fontId="0" fillId="0" borderId="1" xfId="0" applyNumberFormat="1" applyFont="1" applyFill="1" applyBorder="1" applyAlignment="1">
      <alignment horizontal="center"/>
    </xf>
    <xf numFmtId="217" fontId="65" fillId="14" borderId="1" xfId="0" applyNumberFormat="1" applyFont="1" applyFill="1" applyBorder="1" applyAlignment="1">
      <alignment horizontal="center" vertical="center"/>
    </xf>
    <xf numFmtId="217" fontId="10" fillId="6" borderId="1" xfId="0" applyNumberFormat="1" applyFont="1" applyFill="1" applyBorder="1" applyAlignment="1">
      <alignment vertical="center"/>
    </xf>
    <xf numFmtId="0" fontId="0" fillId="0" borderId="71" xfId="0" applyFont="1" applyFill="1" applyBorder="1" applyAlignment="1">
      <alignment horizontal="center" vertical="center" wrapText="1"/>
    </xf>
    <xf numFmtId="0" fontId="13" fillId="0" borderId="71" xfId="0" applyFont="1" applyFill="1" applyBorder="1" applyAlignment="1">
      <alignment horizontal="center" vertical="center"/>
    </xf>
    <xf numFmtId="31" fontId="69" fillId="0" borderId="2" xfId="0" applyNumberFormat="1" applyFont="1" applyFill="1" applyBorder="1" applyAlignment="1">
      <alignment horizontal="center" vertical="center"/>
    </xf>
    <xf numFmtId="31" fontId="69" fillId="0" borderId="14" xfId="0" applyNumberFormat="1" applyFont="1" applyFill="1" applyBorder="1" applyAlignment="1">
      <alignment horizontal="center" vertical="center"/>
    </xf>
    <xf numFmtId="0" fontId="41" fillId="0" borderId="66" xfId="0" applyFont="1" applyFill="1" applyBorder="1" applyAlignment="1">
      <alignment horizontal="center" vertical="center"/>
    </xf>
    <xf numFmtId="0" fontId="41" fillId="0" borderId="67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horizontal="center" vertical="center"/>
    </xf>
    <xf numFmtId="232" fontId="13" fillId="0" borderId="1" xfId="0" applyNumberFormat="1" applyFont="1" applyFill="1" applyBorder="1" applyAlignment="1">
      <alignment horizontal="center" vertical="center"/>
    </xf>
    <xf numFmtId="233" fontId="13" fillId="19" borderId="1" xfId="0" applyNumberFormat="1" applyFont="1" applyFill="1" applyBorder="1" applyAlignment="1">
      <alignment vertical="center"/>
    </xf>
    <xf numFmtId="0" fontId="0" fillId="9" borderId="88" xfId="0" applyFont="1" applyFill="1" applyBorder="1" applyAlignment="1">
      <alignment horizontal="center" vertical="center"/>
    </xf>
    <xf numFmtId="209" fontId="0" fillId="19" borderId="0" xfId="0" applyNumberFormat="1" applyFont="1" applyFill="1" applyBorder="1" applyAlignment="1">
      <alignment vertical="center"/>
    </xf>
    <xf numFmtId="209" fontId="13" fillId="19" borderId="1" xfId="0" applyNumberFormat="1" applyFont="1" applyFill="1" applyBorder="1" applyAlignment="1">
      <alignment horizontal="center" vertical="center"/>
    </xf>
    <xf numFmtId="236" fontId="10" fillId="0" borderId="1" xfId="0" applyNumberFormat="1" applyFont="1" applyFill="1" applyBorder="1" applyAlignment="1">
      <alignment horizontal="center" vertical="center"/>
    </xf>
    <xf numFmtId="237" fontId="10" fillId="0" borderId="1" xfId="0" applyNumberFormat="1" applyFont="1" applyFill="1" applyBorder="1" applyAlignment="1">
      <alignment horizontal="center" vertical="center"/>
    </xf>
    <xf numFmtId="223" fontId="10" fillId="0" borderId="1" xfId="0" applyNumberFormat="1" applyFont="1" applyFill="1" applyBorder="1" applyAlignment="1">
      <alignment horizontal="center" vertical="center"/>
    </xf>
    <xf numFmtId="238" fontId="1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9" fontId="0" fillId="0" borderId="0" xfId="0" applyNumberFormat="1" applyFont="1" applyFill="1" applyBorder="1" applyAlignment="1">
      <alignment horizontal="center"/>
    </xf>
    <xf numFmtId="217" fontId="0" fillId="0" borderId="1" xfId="0" applyNumberFormat="1" applyFont="1" applyFill="1" applyBorder="1" applyAlignment="1">
      <alignment horizontal="center" vertical="center" wrapText="1"/>
    </xf>
    <xf numFmtId="31" fontId="69" fillId="0" borderId="15" xfId="0" applyNumberFormat="1" applyFont="1" applyFill="1" applyBorder="1" applyAlignment="1">
      <alignment horizontal="center" vertical="center"/>
    </xf>
    <xf numFmtId="197" fontId="0" fillId="0" borderId="24" xfId="0" applyNumberFormat="1" applyFont="1" applyFill="1" applyBorder="1" applyAlignment="1">
      <alignment vertical="center"/>
    </xf>
    <xf numFmtId="197" fontId="0" fillId="0" borderId="13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/>
    </xf>
    <xf numFmtId="217" fontId="65" fillId="7" borderId="2" xfId="0" applyNumberFormat="1" applyFont="1" applyFill="1" applyBorder="1" applyAlignment="1">
      <alignment horizontal="center" vertical="center" wrapText="1"/>
    </xf>
    <xf numFmtId="217" fontId="65" fillId="7" borderId="14" xfId="0" applyNumberFormat="1" applyFont="1" applyFill="1" applyBorder="1" applyAlignment="1">
      <alignment horizontal="center" vertical="center" wrapText="1"/>
    </xf>
    <xf numFmtId="217" fontId="65" fillId="7" borderId="15" xfId="0" applyNumberFormat="1" applyFont="1" applyFill="1" applyBorder="1" applyAlignment="1">
      <alignment horizontal="center" vertical="center" wrapText="1"/>
    </xf>
    <xf numFmtId="217" fontId="10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4" fillId="0" borderId="77" xfId="0" applyFont="1" applyFill="1" applyBorder="1" applyAlignment="1">
      <alignment horizontal="left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8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0" fillId="0" borderId="1" xfId="0" applyFont="1" applyFill="1" applyBorder="1" applyAlignment="1">
      <alignment horizontal="left" vertical="center"/>
    </xf>
    <xf numFmtId="20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4" fillId="0" borderId="13" xfId="0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center" vertical="center"/>
    </xf>
    <xf numFmtId="209" fontId="13" fillId="0" borderId="16" xfId="0" applyNumberFormat="1" applyFont="1" applyFill="1" applyBorder="1" applyAlignment="1">
      <alignment horizontal="center" vertical="center"/>
    </xf>
    <xf numFmtId="239" fontId="13" fillId="6" borderId="16" xfId="0" applyNumberFormat="1" applyFont="1" applyFill="1" applyBorder="1" applyAlignment="1">
      <alignment horizontal="center" vertical="center"/>
    </xf>
    <xf numFmtId="240" fontId="0" fillId="0" borderId="1" xfId="0" applyNumberFormat="1" applyFill="1" applyBorder="1" applyAlignment="1">
      <alignment horizontal="center" vertical="center"/>
    </xf>
    <xf numFmtId="209" fontId="71" fillId="0" borderId="1" xfId="0" applyNumberFormat="1" applyFont="1" applyFill="1" applyBorder="1" applyAlignment="1">
      <alignment horizontal="center" vertical="center"/>
    </xf>
    <xf numFmtId="240" fontId="0" fillId="0" borderId="1" xfId="0" applyNumberFormat="1" applyFont="1" applyFill="1" applyBorder="1" applyAlignment="1">
      <alignment horizontal="center" vertical="center"/>
    </xf>
    <xf numFmtId="218" fontId="13" fillId="0" borderId="1" xfId="0" applyNumberFormat="1" applyFont="1" applyFill="1" applyBorder="1" applyAlignment="1">
      <alignment horizontal="center" vertical="center"/>
    </xf>
    <xf numFmtId="240" fontId="0" fillId="0" borderId="1" xfId="0" applyNumberFormat="1" applyFont="1" applyFill="1" applyBorder="1" applyAlignment="1"/>
    <xf numFmtId="240" fontId="51" fillId="0" borderId="1" xfId="0" applyNumberFormat="1" applyFont="1" applyFill="1" applyBorder="1" applyAlignment="1">
      <alignment horizontal="left" vertical="center"/>
    </xf>
    <xf numFmtId="0" fontId="33" fillId="4" borderId="89" xfId="0" applyFont="1" applyFill="1" applyBorder="1" applyAlignment="1">
      <alignment vertical="center" wrapText="1"/>
    </xf>
    <xf numFmtId="0" fontId="72" fillId="4" borderId="90" xfId="0" applyFont="1" applyFill="1" applyBorder="1" applyAlignment="1">
      <alignment vertical="center" wrapText="1"/>
    </xf>
    <xf numFmtId="0" fontId="72" fillId="4" borderId="91" xfId="0" applyFont="1" applyFill="1" applyBorder="1" applyAlignment="1">
      <alignment vertical="center" wrapText="1"/>
    </xf>
    <xf numFmtId="0" fontId="72" fillId="4" borderId="92" xfId="0" applyFont="1" applyFill="1" applyBorder="1" applyAlignment="1">
      <alignment vertical="center" wrapText="1"/>
    </xf>
    <xf numFmtId="0" fontId="72" fillId="4" borderId="93" xfId="0" applyFont="1" applyFill="1" applyBorder="1" applyAlignment="1">
      <alignment vertical="center" wrapText="1"/>
    </xf>
    <xf numFmtId="0" fontId="72" fillId="4" borderId="89" xfId="0" applyFont="1" applyFill="1" applyBorder="1" applyAlignment="1">
      <alignment vertical="center" wrapText="1"/>
    </xf>
    <xf numFmtId="0" fontId="72" fillId="4" borderId="94" xfId="0" applyFont="1" applyFill="1" applyBorder="1" applyAlignment="1">
      <alignment vertical="center" wrapText="1"/>
    </xf>
    <xf numFmtId="0" fontId="72" fillId="4" borderId="95" xfId="0" applyFont="1" applyFill="1" applyBorder="1" applyAlignment="1">
      <alignment vertical="center" wrapText="1"/>
    </xf>
    <xf numFmtId="0" fontId="72" fillId="4" borderId="96" xfId="0" applyFont="1" applyFill="1" applyBorder="1" applyAlignment="1">
      <alignment vertical="center" wrapText="1"/>
    </xf>
    <xf numFmtId="0" fontId="72" fillId="4" borderId="97" xfId="0" applyFont="1" applyFill="1" applyBorder="1" applyAlignment="1">
      <alignment vertical="center" wrapText="1"/>
    </xf>
    <xf numFmtId="0" fontId="72" fillId="4" borderId="98" xfId="0" applyFont="1" applyFill="1" applyBorder="1" applyAlignment="1">
      <alignment vertical="center" wrapText="1"/>
    </xf>
    <xf numFmtId="0" fontId="72" fillId="19" borderId="99" xfId="0" applyFont="1" applyFill="1" applyBorder="1" applyAlignment="1">
      <alignment vertical="center" wrapText="1"/>
    </xf>
    <xf numFmtId="0" fontId="72" fillId="4" borderId="99" xfId="0" applyFont="1" applyFill="1" applyBorder="1" applyAlignment="1">
      <alignment vertical="center" wrapText="1"/>
    </xf>
    <xf numFmtId="0" fontId="72" fillId="19" borderId="2" xfId="0" applyFont="1" applyFill="1" applyBorder="1" applyAlignment="1">
      <alignment horizontal="center" vertical="center" wrapText="1"/>
    </xf>
    <xf numFmtId="0" fontId="72" fillId="4" borderId="100" xfId="0" applyFont="1" applyFill="1" applyBorder="1" applyAlignment="1">
      <alignment vertical="center" wrapText="1"/>
    </xf>
    <xf numFmtId="0" fontId="73" fillId="4" borderId="100" xfId="0" applyFont="1" applyFill="1" applyBorder="1" applyAlignment="1">
      <alignment vertical="center" wrapText="1"/>
    </xf>
    <xf numFmtId="209" fontId="74" fillId="4" borderId="100" xfId="0" applyNumberFormat="1" applyFont="1" applyFill="1" applyBorder="1" applyAlignment="1">
      <alignment vertical="center" wrapText="1"/>
    </xf>
    <xf numFmtId="0" fontId="33" fillId="4" borderId="100" xfId="0" applyFont="1" applyFill="1" applyBorder="1" applyAlignment="1">
      <alignment vertical="center" wrapText="1"/>
    </xf>
    <xf numFmtId="209" fontId="73" fillId="4" borderId="100" xfId="0" applyNumberFormat="1" applyFont="1" applyFill="1" applyBorder="1" applyAlignment="1">
      <alignment vertical="center" wrapText="1"/>
    </xf>
    <xf numFmtId="0" fontId="75" fillId="0" borderId="0" xfId="0" applyFont="1" applyFill="1" applyAlignment="1">
      <alignment vertical="center"/>
    </xf>
    <xf numFmtId="0" fontId="76" fillId="0" borderId="77" xfId="0" applyFont="1" applyFill="1" applyBorder="1" applyAlignment="1">
      <alignment vertical="center"/>
    </xf>
    <xf numFmtId="0" fontId="75" fillId="0" borderId="77" xfId="0" applyFont="1" applyFill="1" applyBorder="1" applyAlignment="1">
      <alignment vertical="center"/>
    </xf>
    <xf numFmtId="0" fontId="75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101" xfId="0" applyFont="1" applyFill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center" vertical="center" wrapText="1"/>
    </xf>
    <xf numFmtId="0" fontId="75" fillId="0" borderId="7" xfId="0" applyFont="1" applyFill="1" applyBorder="1" applyAlignment="1">
      <alignment horizontal="center" vertical="center"/>
    </xf>
    <xf numFmtId="0" fontId="75" fillId="0" borderId="19" xfId="0" applyFont="1" applyFill="1" applyBorder="1" applyAlignment="1">
      <alignment horizontal="center" vertical="center"/>
    </xf>
    <xf numFmtId="0" fontId="75" fillId="0" borderId="4" xfId="0" applyFont="1" applyFill="1" applyBorder="1" applyAlignment="1">
      <alignment horizontal="center" vertical="center" wrapText="1"/>
    </xf>
    <xf numFmtId="0" fontId="75" fillId="0" borderId="76" xfId="0" applyFont="1" applyFill="1" applyBorder="1" applyAlignment="1">
      <alignment horizontal="center" vertical="center" wrapText="1"/>
    </xf>
    <xf numFmtId="0" fontId="75" fillId="0" borderId="80" xfId="0" applyFont="1" applyFill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/>
    </xf>
    <xf numFmtId="209" fontId="75" fillId="0" borderId="1" xfId="0" applyNumberFormat="1" applyFont="1" applyFill="1" applyBorder="1" applyAlignment="1">
      <alignment horizontal="center" vertical="center"/>
    </xf>
    <xf numFmtId="209" fontId="75" fillId="0" borderId="1" xfId="0" applyNumberFormat="1" applyFont="1" applyFill="1" applyBorder="1" applyAlignment="1">
      <alignment horizontal="center" vertical="center" wrapText="1"/>
    </xf>
    <xf numFmtId="0" fontId="75" fillId="0" borderId="13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217" fontId="75" fillId="0" borderId="1" xfId="0" applyNumberFormat="1" applyFont="1" applyFill="1" applyBorder="1" applyAlignment="1">
      <alignment horizontal="center" vertical="center"/>
    </xf>
    <xf numFmtId="217" fontId="0" fillId="0" borderId="1" xfId="0" applyNumberFormat="1" applyFont="1" applyFill="1" applyBorder="1" applyAlignment="1">
      <alignment horizontal="center" vertical="center"/>
    </xf>
    <xf numFmtId="217" fontId="13" fillId="0" borderId="16" xfId="0" applyNumberFormat="1" applyFont="1" applyFill="1" applyBorder="1" applyAlignment="1">
      <alignment horizontal="center" vertical="center"/>
    </xf>
    <xf numFmtId="0" fontId="77" fillId="0" borderId="13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78" fillId="0" borderId="4" xfId="0" applyFont="1" applyFill="1" applyBorder="1" applyAlignment="1">
      <alignment horizontal="center" vertical="center" wrapText="1"/>
    </xf>
    <xf numFmtId="0" fontId="78" fillId="0" borderId="1" xfId="0" applyFont="1" applyFill="1" applyBorder="1" applyAlignment="1">
      <alignment horizontal="center" vertical="center" wrapText="1"/>
    </xf>
    <xf numFmtId="0" fontId="78" fillId="0" borderId="16" xfId="0" applyFont="1" applyFill="1" applyBorder="1" applyAlignment="1">
      <alignment horizontal="center" vertical="center" wrapText="1"/>
    </xf>
    <xf numFmtId="0" fontId="79" fillId="0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/>
    </xf>
    <xf numFmtId="209" fontId="40" fillId="0" borderId="1" xfId="0" applyNumberFormat="1" applyFont="1" applyFill="1" applyBorder="1" applyAlignment="1">
      <alignment horizontal="center" vertical="center" wrapText="1"/>
    </xf>
    <xf numFmtId="209" fontId="40" fillId="0" borderId="1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49" fontId="80" fillId="26" borderId="0" xfId="0" applyNumberFormat="1" applyFont="1" applyFill="1" applyAlignment="1">
      <alignment horizontal="left" vertical="center"/>
    </xf>
    <xf numFmtId="49" fontId="81" fillId="26" borderId="0" xfId="0" applyNumberFormat="1" applyFont="1" applyFill="1" applyAlignment="1">
      <alignment horizontal="left" vertical="center"/>
    </xf>
    <xf numFmtId="0" fontId="82" fillId="26" borderId="0" xfId="0" applyFont="1" applyFill="1" applyAlignment="1">
      <alignment horizontal="left"/>
    </xf>
    <xf numFmtId="49" fontId="83" fillId="26" borderId="102" xfId="0" applyNumberFormat="1" applyFont="1" applyFill="1" applyBorder="1" applyAlignment="1">
      <alignment horizontal="center" vertical="center"/>
    </xf>
    <xf numFmtId="49" fontId="84" fillId="26" borderId="102" xfId="0" applyNumberFormat="1" applyFont="1" applyFill="1" applyBorder="1" applyAlignment="1">
      <alignment horizontal="center" vertical="center"/>
    </xf>
    <xf numFmtId="0" fontId="85" fillId="27" borderId="102" xfId="0" applyFont="1" applyFill="1" applyBorder="1" applyAlignment="1">
      <alignment horizontal="left" vertical="center"/>
    </xf>
    <xf numFmtId="49" fontId="86" fillId="28" borderId="102" xfId="0" applyNumberFormat="1" applyFont="1" applyFill="1" applyBorder="1" applyAlignment="1">
      <alignment horizontal="center" vertical="center"/>
    </xf>
    <xf numFmtId="49" fontId="83" fillId="27" borderId="102" xfId="0" applyNumberFormat="1" applyFont="1" applyFill="1" applyBorder="1" applyAlignment="1">
      <alignment horizontal="left" vertical="center"/>
    </xf>
    <xf numFmtId="0" fontId="87" fillId="29" borderId="102" xfId="0" applyFont="1" applyFill="1" applyBorder="1" applyAlignment="1">
      <alignment horizontal="right" vertical="center"/>
    </xf>
    <xf numFmtId="49" fontId="81" fillId="26" borderId="0" xfId="0" applyNumberFormat="1" applyFont="1" applyFill="1" applyAlignment="1">
      <alignment horizontal="left" vertical="top"/>
    </xf>
    <xf numFmtId="49" fontId="87" fillId="26" borderId="102" xfId="0" applyNumberFormat="1" applyFont="1" applyFill="1" applyBorder="1" applyAlignment="1">
      <alignment horizontal="center" vertical="center"/>
    </xf>
    <xf numFmtId="49" fontId="83" fillId="27" borderId="0" xfId="0" applyNumberFormat="1" applyFont="1" applyFill="1" applyBorder="1" applyAlignment="1">
      <alignment horizontal="left" vertical="center"/>
    </xf>
    <xf numFmtId="0" fontId="87" fillId="29" borderId="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88" fillId="0" borderId="7" xfId="0" applyFont="1" applyBorder="1" applyAlignment="1">
      <alignment horizontal="center" wrapText="1"/>
    </xf>
    <xf numFmtId="241" fontId="10" fillId="0" borderId="1" xfId="0" applyNumberFormat="1" applyFont="1" applyFill="1" applyBorder="1" applyAlignment="1">
      <alignment horizontal="center" vertical="center"/>
    </xf>
    <xf numFmtId="242" fontId="10" fillId="0" borderId="1" xfId="0" applyNumberFormat="1" applyFont="1" applyFill="1" applyBorder="1" applyAlignment="1">
      <alignment horizontal="center" vertical="center"/>
    </xf>
    <xf numFmtId="209" fontId="89" fillId="0" borderId="1" xfId="0" applyNumberFormat="1" applyFont="1" applyFill="1" applyBorder="1" applyAlignment="1">
      <alignment horizontal="center" vertical="center"/>
    </xf>
    <xf numFmtId="209" fontId="25" fillId="0" borderId="1" xfId="0" applyNumberFormat="1" applyFont="1" applyFill="1" applyBorder="1" applyAlignment="1">
      <alignment horizontal="left" vertical="center"/>
    </xf>
    <xf numFmtId="209" fontId="90" fillId="0" borderId="1" xfId="0" applyNumberFormat="1" applyFont="1" applyFill="1" applyBorder="1" applyAlignment="1">
      <alignment horizontal="center" vertical="center"/>
    </xf>
    <xf numFmtId="209" fontId="25" fillId="0" borderId="1" xfId="0" applyNumberFormat="1" applyFont="1" applyFill="1" applyBorder="1" applyAlignment="1">
      <alignment horizontal="center" vertical="center"/>
    </xf>
    <xf numFmtId="209" fontId="70" fillId="0" borderId="1" xfId="0" applyNumberFormat="1" applyFont="1" applyFill="1" applyBorder="1" applyAlignment="1">
      <alignment vertical="center"/>
    </xf>
    <xf numFmtId="209" fontId="91" fillId="0" borderId="1" xfId="0" applyNumberFormat="1" applyFont="1" applyFill="1" applyBorder="1" applyAlignment="1">
      <alignment vertical="center"/>
    </xf>
    <xf numFmtId="209" fontId="4" fillId="0" borderId="1" xfId="0" applyNumberFormat="1" applyFont="1" applyFill="1" applyBorder="1" applyAlignment="1"/>
    <xf numFmtId="240" fontId="13" fillId="0" borderId="16" xfId="0" applyNumberFormat="1" applyFont="1" applyFill="1" applyBorder="1" applyAlignment="1">
      <alignment horizontal="center" vertical="center"/>
    </xf>
    <xf numFmtId="209" fontId="13" fillId="6" borderId="16" xfId="0" applyNumberFormat="1" applyFont="1" applyFill="1" applyBorder="1" applyAlignment="1">
      <alignment horizontal="center" vertical="center"/>
    </xf>
    <xf numFmtId="0" fontId="72" fillId="4" borderId="103" xfId="0" applyFont="1" applyFill="1" applyBorder="1" applyAlignment="1">
      <alignment vertical="center" wrapText="1"/>
    </xf>
    <xf numFmtId="209" fontId="74" fillId="4" borderId="104" xfId="0" applyNumberFormat="1" applyFont="1" applyFill="1" applyBorder="1" applyAlignment="1">
      <alignment vertical="center" wrapText="1"/>
    </xf>
    <xf numFmtId="0" fontId="75" fillId="0" borderId="77" xfId="0" applyFont="1" applyFill="1" applyBorder="1" applyAlignment="1">
      <alignment horizontal="center" vertical="center"/>
    </xf>
    <xf numFmtId="0" fontId="75" fillId="0" borderId="13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14" xfId="0" applyFont="1" applyFill="1" applyBorder="1" applyAlignment="1">
      <alignment horizontal="center" vertical="center"/>
    </xf>
    <xf numFmtId="0" fontId="75" fillId="0" borderId="15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16" xfId="0" applyFont="1" applyFill="1" applyBorder="1" applyAlignment="1">
      <alignment horizontal="center" vertical="center"/>
    </xf>
    <xf numFmtId="0" fontId="87" fillId="29" borderId="0" xfId="0" applyFont="1" applyFill="1" applyAlignment="1">
      <alignment horizontal="right" vertical="center"/>
    </xf>
    <xf numFmtId="0" fontId="11" fillId="0" borderId="8" xfId="0" applyFont="1" applyBorder="1" applyAlignment="1">
      <alignment horizontal="justify" wrapText="1"/>
    </xf>
    <xf numFmtId="0" fontId="0" fillId="0" borderId="8" xfId="0" applyBorder="1"/>
    <xf numFmtId="243" fontId="10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209" fontId="90" fillId="0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20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221" fontId="10" fillId="6" borderId="1" xfId="0" applyNumberFormat="1" applyFont="1" applyFill="1" applyBorder="1" applyAlignment="1">
      <alignment horizontal="center" vertical="center" wrapText="1"/>
    </xf>
    <xf numFmtId="0" fontId="10" fillId="24" borderId="1" xfId="0" applyFont="1" applyFill="1" applyBorder="1" applyAlignment="1">
      <alignment horizontal="center" vertical="center"/>
    </xf>
    <xf numFmtId="244" fontId="13" fillId="0" borderId="16" xfId="0" applyNumberFormat="1" applyFont="1" applyFill="1" applyBorder="1" applyAlignment="1">
      <alignment horizontal="center" vertical="center"/>
    </xf>
    <xf numFmtId="209" fontId="13" fillId="24" borderId="16" xfId="0" applyNumberFormat="1" applyFont="1" applyFill="1" applyBorder="1" applyAlignment="1">
      <alignment horizontal="center" vertical="center"/>
    </xf>
    <xf numFmtId="245" fontId="13" fillId="0" borderId="1" xfId="0" applyNumberFormat="1" applyFont="1" applyFill="1" applyBorder="1" applyAlignment="1">
      <alignment horizontal="center" vertical="center"/>
    </xf>
    <xf numFmtId="221" fontId="46" fillId="0" borderId="1" xfId="0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/>
    <xf numFmtId="0" fontId="0" fillId="6" borderId="1" xfId="0" applyFont="1" applyFill="1" applyBorder="1" applyAlignment="1"/>
    <xf numFmtId="197" fontId="75" fillId="0" borderId="0" xfId="0" applyNumberFormat="1" applyFont="1" applyFill="1" applyBorder="1" applyAlignment="1">
      <alignment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0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5" fillId="0" borderId="3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209" fontId="75" fillId="0" borderId="2" xfId="0" applyNumberFormat="1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6" borderId="1" xfId="0" applyFill="1" applyBorder="1" applyAlignment="1"/>
    <xf numFmtId="209" fontId="0" fillId="0" borderId="1" xfId="0" applyNumberFormat="1" applyFill="1" applyBorder="1" applyAlignment="1"/>
    <xf numFmtId="0" fontId="0" fillId="24" borderId="0" xfId="0" applyFont="1" applyFill="1"/>
    <xf numFmtId="0" fontId="13" fillId="24" borderId="16" xfId="0" applyFont="1" applyFill="1" applyBorder="1" applyAlignment="1">
      <alignment horizontal="center" vertical="center"/>
    </xf>
    <xf numFmtId="0" fontId="0" fillId="24" borderId="1" xfId="0" applyFill="1" applyBorder="1" applyAlignment="1"/>
    <xf numFmtId="197" fontId="75" fillId="0" borderId="13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49" fontId="86" fillId="28" borderId="105" xfId="0" applyNumberFormat="1" applyFont="1" applyFill="1" applyBorder="1" applyAlignment="1">
      <alignment horizontal="center" vertical="center"/>
    </xf>
    <xf numFmtId="49" fontId="86" fillId="28" borderId="1" xfId="0" applyNumberFormat="1" applyFont="1" applyFill="1" applyBorder="1" applyAlignment="1">
      <alignment horizontal="center" vertical="center"/>
    </xf>
    <xf numFmtId="49" fontId="92" fillId="28" borderId="106" xfId="0" applyNumberFormat="1" applyFont="1" applyFill="1" applyBorder="1" applyAlignment="1">
      <alignment horizontal="center" vertical="center"/>
    </xf>
    <xf numFmtId="209" fontId="0" fillId="0" borderId="1" xfId="0" applyNumberFormat="1" applyFill="1" applyBorder="1" applyAlignment="1">
      <alignment horizontal="center"/>
    </xf>
    <xf numFmtId="217" fontId="10" fillId="0" borderId="4" xfId="0" applyNumberFormat="1" applyFont="1" applyFill="1" applyBorder="1" applyAlignment="1">
      <alignment horizontal="center" vertical="center" wrapText="1"/>
    </xf>
    <xf numFmtId="217" fontId="10" fillId="0" borderId="16" xfId="0" applyNumberFormat="1" applyFont="1" applyFill="1" applyBorder="1" applyAlignment="1">
      <alignment horizontal="center" vertical="center" wrapText="1"/>
    </xf>
    <xf numFmtId="0" fontId="82" fillId="26" borderId="0" xfId="0" applyFont="1" applyFill="1" applyBorder="1" applyAlignment="1">
      <alignment horizontal="left"/>
    </xf>
    <xf numFmtId="49" fontId="87" fillId="26" borderId="0" xfId="0" applyNumberFormat="1" applyFont="1" applyFill="1" applyBorder="1" applyAlignment="1">
      <alignment horizontal="center" vertical="center"/>
    </xf>
    <xf numFmtId="49" fontId="86" fillId="28" borderId="2" xfId="0" applyNumberFormat="1" applyFont="1" applyFill="1" applyBorder="1" applyAlignment="1">
      <alignment horizontal="center" vertical="center"/>
    </xf>
    <xf numFmtId="49" fontId="86" fillId="28" borderId="14" xfId="0" applyNumberFormat="1" applyFont="1" applyFill="1" applyBorder="1" applyAlignment="1">
      <alignment horizontal="center" vertical="center"/>
    </xf>
    <xf numFmtId="49" fontId="86" fillId="28" borderId="106" xfId="0" applyNumberFormat="1" applyFont="1" applyFill="1" applyBorder="1" applyAlignment="1">
      <alignment horizontal="center" vertical="center"/>
    </xf>
    <xf numFmtId="0" fontId="82" fillId="26" borderId="0" xfId="0" applyFont="1" applyFill="1" applyAlignment="1"/>
    <xf numFmtId="0" fontId="82" fillId="26" borderId="0" xfId="0" applyFont="1" applyFill="1" applyBorder="1" applyAlignment="1"/>
    <xf numFmtId="49" fontId="87" fillId="26" borderId="0" xfId="0" applyNumberFormat="1" applyFont="1" applyFill="1" applyBorder="1" applyAlignment="1">
      <alignment vertical="center"/>
    </xf>
    <xf numFmtId="49" fontId="86" fillId="28" borderId="15" xfId="0" applyNumberFormat="1" applyFont="1" applyFill="1" applyBorder="1" applyAlignment="1">
      <alignment horizontal="center" vertical="center"/>
    </xf>
    <xf numFmtId="49" fontId="86" fillId="30" borderId="0" xfId="0" applyNumberFormat="1" applyFont="1" applyFill="1" applyBorder="1" applyAlignment="1">
      <alignment vertical="center"/>
    </xf>
    <xf numFmtId="49" fontId="92" fillId="28" borderId="107" xfId="0" applyNumberFormat="1" applyFont="1" applyFill="1" applyBorder="1" applyAlignment="1">
      <alignment horizontal="center" vertical="center"/>
    </xf>
    <xf numFmtId="49" fontId="92" fillId="28" borderId="1" xfId="0" applyNumberFormat="1" applyFont="1" applyFill="1" applyBorder="1" applyAlignment="1">
      <alignment horizontal="center" vertical="center"/>
    </xf>
    <xf numFmtId="49" fontId="86" fillId="30" borderId="0" xfId="0" applyNumberFormat="1" applyFont="1" applyFill="1" applyBorder="1" applyAlignment="1">
      <alignment horizontal="center" vertical="center"/>
    </xf>
    <xf numFmtId="49" fontId="87" fillId="29" borderId="102" xfId="0" applyNumberFormat="1" applyFont="1" applyFill="1" applyBorder="1" applyAlignment="1">
      <alignment horizontal="left" vertical="center"/>
    </xf>
    <xf numFmtId="0" fontId="87" fillId="29" borderId="102" xfId="0" applyFont="1" applyFill="1" applyBorder="1" applyAlignment="1">
      <alignment horizontal="left" vertical="center"/>
    </xf>
    <xf numFmtId="49" fontId="87" fillId="29" borderId="0" xfId="0" applyNumberFormat="1" applyFont="1" applyFill="1" applyAlignment="1">
      <alignment horizontal="left" vertical="center"/>
    </xf>
    <xf numFmtId="0" fontId="87" fillId="29" borderId="0" xfId="0" applyFont="1" applyFill="1" applyAlignment="1">
      <alignment horizontal="left" vertical="center"/>
    </xf>
    <xf numFmtId="0" fontId="0" fillId="0" borderId="77" xfId="0" applyFill="1" applyBorder="1" applyAlignment="1">
      <alignment horizontal="left" vertical="center"/>
    </xf>
    <xf numFmtId="0" fontId="0" fillId="25" borderId="78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209" fontId="0" fillId="6" borderId="16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08" xfId="0" applyFill="1" applyBorder="1" applyAlignment="1">
      <alignment horizontal="center" vertical="center" wrapText="1"/>
    </xf>
    <xf numFmtId="0" fontId="13" fillId="0" borderId="10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6" borderId="110" xfId="0" applyFont="1" applyFill="1" applyBorder="1" applyAlignment="1">
      <alignment horizontal="center" vertical="center"/>
    </xf>
    <xf numFmtId="0" fontId="10" fillId="6" borderId="111" xfId="0" applyFont="1" applyFill="1" applyBorder="1" applyAlignment="1">
      <alignment horizontal="center" vertical="center"/>
    </xf>
    <xf numFmtId="0" fontId="10" fillId="6" borderId="112" xfId="0" applyFont="1" applyFill="1" applyBorder="1" applyAlignment="1">
      <alignment horizontal="center" vertical="center"/>
    </xf>
    <xf numFmtId="0" fontId="10" fillId="6" borderId="113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209" fontId="0" fillId="4" borderId="16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14" borderId="2" xfId="0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15" xfId="0" applyFont="1" applyFill="1" applyBorder="1" applyAlignment="1">
      <alignment horizontal="center" vertical="center"/>
    </xf>
    <xf numFmtId="209" fontId="0" fillId="0" borderId="1" xfId="0" applyNumberFormat="1" applyFill="1" applyBorder="1" applyAlignment="1">
      <alignment horizontal="center" vertical="center"/>
    </xf>
    <xf numFmtId="209" fontId="93" fillId="0" borderId="1" xfId="0" applyNumberFormat="1" applyFont="1" applyFill="1" applyBorder="1" applyAlignment="1">
      <alignment horizontal="center" vertical="center"/>
    </xf>
    <xf numFmtId="0" fontId="88" fillId="0" borderId="6" xfId="0" applyFont="1" applyBorder="1" applyAlignment="1">
      <alignment horizontal="justify" wrapText="1"/>
    </xf>
    <xf numFmtId="0" fontId="88" fillId="0" borderId="6" xfId="0" applyFont="1" applyBorder="1" applyAlignment="1">
      <alignment horizontal="center" wrapText="1"/>
    </xf>
    <xf numFmtId="0" fontId="88" fillId="0" borderId="5" xfId="0" applyFont="1" applyBorder="1" applyAlignment="1">
      <alignment horizontal="justify" wrapText="1" indent="1"/>
    </xf>
    <xf numFmtId="0" fontId="88" fillId="0" borderId="6" xfId="0" applyFont="1" applyBorder="1" applyAlignment="1">
      <alignment horizontal="justify" wrapText="1" indent="1"/>
    </xf>
    <xf numFmtId="0" fontId="13" fillId="6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94" fillId="0" borderId="5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justify" wrapText="1" indent="1"/>
    </xf>
    <xf numFmtId="0" fontId="0" fillId="0" borderId="77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4" fillId="20" borderId="26" xfId="0" applyFont="1" applyFill="1" applyBorder="1" applyAlignment="1">
      <alignment horizontal="center" vertical="center" wrapText="1"/>
    </xf>
    <xf numFmtId="0" fontId="4" fillId="20" borderId="101" xfId="0" applyFont="1" applyFill="1" applyBorder="1" applyAlignment="1">
      <alignment horizontal="center" vertical="center" wrapText="1"/>
    </xf>
    <xf numFmtId="0" fontId="4" fillId="20" borderId="72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10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235" fontId="75" fillId="19" borderId="16" xfId="0" applyNumberFormat="1" applyFont="1" applyFill="1" applyBorder="1" applyAlignment="1">
      <alignment horizontal="center" vertical="center" wrapText="1"/>
    </xf>
    <xf numFmtId="235" fontId="75" fillId="0" borderId="16" xfId="0" applyNumberFormat="1" applyFont="1" applyFill="1" applyBorder="1" applyAlignment="1">
      <alignment horizontal="center" vertical="center" wrapText="1"/>
    </xf>
    <xf numFmtId="235" fontId="75" fillId="9" borderId="16" xfId="0" applyNumberFormat="1" applyFont="1" applyFill="1" applyBorder="1" applyAlignment="1">
      <alignment horizontal="center" vertical="center" wrapText="1"/>
    </xf>
    <xf numFmtId="222" fontId="10" fillId="6" borderId="1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20" borderId="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87" xfId="0" applyFont="1" applyBorder="1" applyAlignment="1">
      <alignment horizontal="center" wrapText="1"/>
    </xf>
    <xf numFmtId="0" fontId="11" fillId="0" borderId="114" xfId="0" applyFont="1" applyBorder="1" applyAlignment="1">
      <alignment horizontal="center" wrapText="1"/>
    </xf>
    <xf numFmtId="0" fontId="11" fillId="0" borderId="83" xfId="0" applyFont="1" applyBorder="1" applyAlignment="1">
      <alignment horizontal="center" wrapText="1"/>
    </xf>
    <xf numFmtId="0" fontId="11" fillId="0" borderId="77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 vertical="center" wrapText="1"/>
    </xf>
    <xf numFmtId="0" fontId="4" fillId="15" borderId="26" xfId="0" applyFont="1" applyFill="1" applyBorder="1" applyAlignment="1">
      <alignment horizontal="center" vertical="center" wrapText="1"/>
    </xf>
    <xf numFmtId="0" fontId="4" fillId="15" borderId="101" xfId="0" applyFont="1" applyFill="1" applyBorder="1" applyAlignment="1">
      <alignment horizontal="center" vertical="center" wrapText="1"/>
    </xf>
    <xf numFmtId="0" fontId="4" fillId="15" borderId="72" xfId="0" applyFont="1" applyFill="1" applyBorder="1" applyAlignment="1">
      <alignment horizontal="center" vertical="center" wrapText="1"/>
    </xf>
    <xf numFmtId="235" fontId="75" fillId="19" borderId="16" xfId="0" applyNumberFormat="1" applyFont="1" applyFill="1" applyBorder="1" applyAlignment="1">
      <alignment horizontal="center" vertical="center"/>
    </xf>
    <xf numFmtId="222" fontId="10" fillId="0" borderId="1" xfId="0" applyNumberFormat="1" applyFont="1" applyFill="1" applyBorder="1" applyAlignment="1">
      <alignment horizontal="center" vertical="center" wrapText="1"/>
    </xf>
    <xf numFmtId="197" fontId="0" fillId="0" borderId="77" xfId="0" applyNumberFormat="1" applyFill="1" applyBorder="1" applyAlignment="1">
      <alignment vertical="center"/>
    </xf>
    <xf numFmtId="0" fontId="0" fillId="0" borderId="16" xfId="0" applyFill="1" applyBorder="1" applyAlignment="1">
      <alignment vertical="center" wrapText="1"/>
    </xf>
    <xf numFmtId="0" fontId="13" fillId="6" borderId="4" xfId="0" applyFont="1" applyFill="1" applyBorder="1" applyAlignment="1">
      <alignment horizontal="center" vertical="center"/>
    </xf>
    <xf numFmtId="217" fontId="10" fillId="24" borderId="1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217" fontId="10" fillId="24" borderId="0" xfId="0" applyNumberFormat="1" applyFont="1" applyFill="1" applyBorder="1" applyAlignment="1">
      <alignment horizontal="center" vertical="center"/>
    </xf>
    <xf numFmtId="209" fontId="0" fillId="4" borderId="16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21" fontId="0" fillId="0" borderId="1" xfId="0" applyNumberFormat="1" applyFill="1" applyBorder="1" applyAlignment="1">
      <alignment horizontal="center" vertical="center"/>
    </xf>
    <xf numFmtId="0" fontId="10" fillId="31" borderId="1" xfId="0" applyFont="1" applyFill="1" applyBorder="1" applyAlignment="1">
      <alignment horizontal="center" vertical="center" wrapText="1"/>
    </xf>
    <xf numFmtId="0" fontId="4" fillId="24" borderId="26" xfId="0" applyFont="1" applyFill="1" applyBorder="1" applyAlignment="1">
      <alignment horizontal="center" vertical="center"/>
    </xf>
    <xf numFmtId="0" fontId="4" fillId="24" borderId="101" xfId="0" applyFont="1" applyFill="1" applyBorder="1" applyAlignment="1">
      <alignment horizontal="center" vertical="center"/>
    </xf>
    <xf numFmtId="0" fontId="4" fillId="24" borderId="72" xfId="0" applyFont="1" applyFill="1" applyBorder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101" xfId="0" applyFont="1" applyFill="1" applyBorder="1" applyAlignment="1">
      <alignment horizontal="center" vertical="center"/>
    </xf>
    <xf numFmtId="0" fontId="75" fillId="19" borderId="16" xfId="0" applyFont="1" applyFill="1" applyBorder="1" applyAlignment="1">
      <alignment horizontal="center" vertical="center"/>
    </xf>
    <xf numFmtId="0" fontId="75" fillId="0" borderId="16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vertical="center"/>
    </xf>
    <xf numFmtId="235" fontId="10" fillId="0" borderId="1" xfId="0" applyNumberFormat="1" applyFont="1" applyFill="1" applyBorder="1" applyAlignment="1">
      <alignment horizontal="center" vertical="center"/>
    </xf>
    <xf numFmtId="235" fontId="10" fillId="24" borderId="1" xfId="0" applyNumberFormat="1" applyFont="1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 wrapText="1"/>
    </xf>
    <xf numFmtId="0" fontId="10" fillId="24" borderId="1" xfId="0" applyNumberFormat="1" applyFont="1" applyFill="1" applyBorder="1" applyAlignment="1">
      <alignment horizontal="center" vertical="center"/>
    </xf>
    <xf numFmtId="0" fontId="0" fillId="7" borderId="88" xfId="0" applyFont="1" applyFill="1" applyBorder="1" applyAlignment="1">
      <alignment horizontal="center" vertical="center"/>
    </xf>
    <xf numFmtId="31" fontId="0" fillId="0" borderId="13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97" fontId="0" fillId="0" borderId="77" xfId="0" applyNumberFormat="1" applyFont="1" applyFill="1" applyBorder="1" applyAlignment="1">
      <alignment horizontal="right" vertical="center"/>
    </xf>
    <xf numFmtId="0" fontId="4" fillId="16" borderId="72" xfId="0" applyFont="1" applyFill="1" applyBorder="1" applyAlignment="1">
      <alignment horizontal="center" vertical="center"/>
    </xf>
    <xf numFmtId="0" fontId="4" fillId="14" borderId="26" xfId="0" applyFont="1" applyFill="1" applyBorder="1" applyAlignment="1">
      <alignment horizontal="center" vertical="center"/>
    </xf>
    <xf numFmtId="0" fontId="4" fillId="14" borderId="101" xfId="0" applyFont="1" applyFill="1" applyBorder="1" applyAlignment="1">
      <alignment horizontal="center" vertical="center"/>
    </xf>
    <xf numFmtId="0" fontId="4" fillId="14" borderId="72" xfId="0" applyFont="1" applyFill="1" applyBorder="1" applyAlignment="1">
      <alignment horizontal="center" vertical="center"/>
    </xf>
    <xf numFmtId="209" fontId="10" fillId="24" borderId="1" xfId="0" applyNumberFormat="1" applyFont="1" applyFill="1" applyBorder="1" applyAlignment="1">
      <alignment horizontal="center" vertical="center"/>
    </xf>
    <xf numFmtId="197" fontId="0" fillId="0" borderId="13" xfId="0" applyNumberFormat="1" applyFill="1" applyBorder="1" applyAlignment="1">
      <alignment horizontal="center" vertical="center"/>
    </xf>
    <xf numFmtId="31" fontId="0" fillId="0" borderId="0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82" xfId="0" applyFont="1" applyFill="1" applyBorder="1" applyAlignment="1">
      <alignment horizontal="center" vertical="center"/>
    </xf>
    <xf numFmtId="0" fontId="0" fillId="7" borderId="114" xfId="0" applyFont="1" applyFill="1" applyBorder="1" applyAlignment="1">
      <alignment horizontal="center" vertical="center"/>
    </xf>
    <xf numFmtId="246" fontId="0" fillId="0" borderId="16" xfId="0" applyNumberForma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235" fontId="10" fillId="0" borderId="1" xfId="0" applyNumberFormat="1" applyFont="1" applyFill="1" applyBorder="1" applyAlignment="1">
      <alignment horizontal="center" vertical="center" wrapText="1"/>
    </xf>
    <xf numFmtId="0" fontId="0" fillId="7" borderId="83" xfId="0" applyFont="1" applyFill="1" applyBorder="1" applyAlignment="1">
      <alignment horizontal="center" vertical="center"/>
    </xf>
    <xf numFmtId="0" fontId="95" fillId="0" borderId="9" xfId="0" applyFont="1" applyBorder="1" applyAlignment="1">
      <alignment horizontal="justify" wrapText="1"/>
    </xf>
    <xf numFmtId="0" fontId="95" fillId="0" borderId="10" xfId="0" applyFont="1" applyBorder="1" applyAlignment="1">
      <alignment horizontal="center" wrapText="1"/>
    </xf>
    <xf numFmtId="0" fontId="95" fillId="0" borderId="11" xfId="0" applyFont="1" applyBorder="1" applyAlignment="1">
      <alignment horizontal="left" wrapText="1"/>
    </xf>
    <xf numFmtId="0" fontId="95" fillId="0" borderId="12" xfId="0" applyFont="1" applyBorder="1" applyAlignment="1">
      <alignment horizontal="left" wrapText="1"/>
    </xf>
    <xf numFmtId="0" fontId="95" fillId="0" borderId="12" xfId="0" applyFont="1" applyBorder="1" applyAlignment="1">
      <alignment horizontal="center" wrapText="1"/>
    </xf>
    <xf numFmtId="0" fontId="95" fillId="0" borderId="11" xfId="0" applyFont="1" applyBorder="1" applyAlignment="1">
      <alignment horizontal="center" wrapText="1"/>
    </xf>
    <xf numFmtId="0" fontId="95" fillId="0" borderId="9" xfId="0" applyFont="1" applyBorder="1" applyAlignment="1">
      <alignment horizontal="center" wrapText="1"/>
    </xf>
    <xf numFmtId="0" fontId="95" fillId="0" borderId="12" xfId="0" applyFont="1" applyBorder="1" applyAlignment="1">
      <alignment horizontal="justify" wrapText="1"/>
    </xf>
    <xf numFmtId="21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209" fontId="96" fillId="5" borderId="1" xfId="3174" applyNumberFormat="1" applyFont="1" applyFill="1" applyBorder="1" applyAlignment="1">
      <alignment horizontal="center" vertical="center"/>
    </xf>
    <xf numFmtId="209" fontId="97" fillId="5" borderId="1" xfId="0" applyNumberFormat="1" applyFont="1" applyFill="1" applyBorder="1" applyAlignment="1" applyProtection="1">
      <alignment horizontal="center" vertical="center"/>
    </xf>
    <xf numFmtId="0" fontId="97" fillId="5" borderId="1" xfId="0" applyNumberFormat="1" applyFont="1" applyFill="1" applyBorder="1" applyAlignment="1" applyProtection="1">
      <alignment horizontal="center" vertical="center"/>
    </xf>
    <xf numFmtId="209" fontId="11" fillId="0" borderId="1" xfId="2515" applyNumberFormat="1" applyFont="1" applyFill="1" applyBorder="1" applyAlignment="1" applyProtection="1">
      <alignment horizontal="center" vertical="center"/>
    </xf>
    <xf numFmtId="183" fontId="0" fillId="5" borderId="16" xfId="3786" applyNumberFormat="1" applyFont="1" applyFill="1" applyBorder="1" applyAlignment="1" applyProtection="1">
      <alignment horizontal="center" vertical="center"/>
    </xf>
    <xf numFmtId="0" fontId="4" fillId="0" borderId="77" xfId="0" applyNumberFormat="1" applyFont="1" applyFill="1" applyBorder="1" applyAlignment="1">
      <alignment vertical="center"/>
    </xf>
    <xf numFmtId="0" fontId="0" fillId="0" borderId="77" xfId="0" applyNumberFormat="1" applyFont="1" applyFill="1" applyBorder="1" applyAlignment="1">
      <alignment vertical="center"/>
    </xf>
    <xf numFmtId="209" fontId="98" fillId="0" borderId="1" xfId="0" applyNumberFormat="1" applyFont="1" applyFill="1" applyBorder="1" applyAlignment="1">
      <alignment horizontal="center" vertical="center"/>
    </xf>
    <xf numFmtId="209" fontId="98" fillId="0" borderId="1" xfId="0" applyNumberFormat="1" applyFont="1" applyFill="1" applyBorder="1" applyAlignment="1" applyProtection="1">
      <alignment horizontal="center" vertical="center"/>
      <protection locked="0"/>
    </xf>
    <xf numFmtId="217" fontId="45" fillId="0" borderId="1" xfId="515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Fill="1" applyBorder="1" applyAlignment="1">
      <alignment horizontal="left" vertical="center"/>
    </xf>
    <xf numFmtId="0" fontId="13" fillId="20" borderId="1" xfId="0" applyFont="1" applyFill="1" applyBorder="1" applyAlignment="1">
      <alignment horizontal="center" vertical="center" wrapText="1"/>
    </xf>
    <xf numFmtId="209" fontId="99" fillId="0" borderId="1" xfId="0" applyNumberFormat="1" applyFont="1" applyFill="1" applyBorder="1" applyAlignment="1">
      <alignment horizontal="center" vertical="center"/>
    </xf>
    <xf numFmtId="209" fontId="28" fillId="0" borderId="1" xfId="0" applyNumberFormat="1" applyFont="1" applyFill="1" applyBorder="1" applyAlignment="1">
      <alignment horizontal="center" vertical="center"/>
    </xf>
    <xf numFmtId="209" fontId="100" fillId="19" borderId="1" xfId="0" applyNumberFormat="1" applyFont="1" applyFill="1" applyBorder="1" applyAlignment="1">
      <alignment horizontal="center" vertical="center"/>
    </xf>
    <xf numFmtId="187" fontId="0" fillId="4" borderId="16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87" fontId="101" fillId="19" borderId="1" xfId="0" applyNumberFormat="1" applyFont="1" applyFill="1" applyBorder="1" applyAlignment="1" applyProtection="1">
      <alignment horizontal="center" vertical="center"/>
      <protection locked="0"/>
    </xf>
    <xf numFmtId="209" fontId="0" fillId="19" borderId="1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20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102" fillId="8" borderId="2" xfId="0" applyFont="1" applyFill="1" applyBorder="1" applyAlignment="1">
      <alignment horizontal="center" vertical="center"/>
    </xf>
    <xf numFmtId="0" fontId="102" fillId="8" borderId="14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03" fillId="0" borderId="1" xfId="0" applyFont="1" applyFill="1" applyBorder="1" applyAlignment="1">
      <alignment horizontal="center" vertical="center"/>
    </xf>
    <xf numFmtId="209" fontId="29" fillId="0" borderId="1" xfId="0" applyNumberFormat="1" applyFont="1" applyFill="1" applyBorder="1" applyAlignment="1">
      <alignment horizontal="center" vertical="center" wrapText="1"/>
    </xf>
    <xf numFmtId="209" fontId="51" fillId="0" borderId="1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221" fontId="13" fillId="0" borderId="1" xfId="0" applyNumberFormat="1" applyFont="1" applyFill="1" applyBorder="1" applyAlignment="1">
      <alignment horizontal="center" vertical="center" wrapText="1"/>
    </xf>
    <xf numFmtId="209" fontId="51" fillId="0" borderId="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217" fontId="40" fillId="0" borderId="1" xfId="1913" applyNumberFormat="1" applyFont="1" applyFill="1" applyBorder="1" applyAlignment="1">
      <alignment horizontal="center" vertical="center"/>
    </xf>
    <xf numFmtId="183" fontId="0" fillId="5" borderId="1" xfId="0" applyNumberFormat="1" applyFont="1" applyFill="1" applyBorder="1" applyAlignment="1">
      <alignment horizontal="center" vertical="center"/>
    </xf>
    <xf numFmtId="209" fontId="104" fillId="0" borderId="1" xfId="0" applyNumberFormat="1" applyFont="1" applyFill="1" applyBorder="1" applyAlignment="1">
      <alignment vertical="center"/>
    </xf>
    <xf numFmtId="247" fontId="45" fillId="0" borderId="1" xfId="515" applyNumberFormat="1" applyFont="1" applyFill="1" applyBorder="1" applyAlignment="1" applyProtection="1">
      <alignment horizontal="center" vertical="center"/>
      <protection locked="0"/>
    </xf>
    <xf numFmtId="209" fontId="6" fillId="22" borderId="1" xfId="0" applyNumberFormat="1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42" fillId="32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245" fontId="105" fillId="0" borderId="1" xfId="0" applyNumberFormat="1" applyFont="1" applyFill="1" applyBorder="1" applyAlignment="1">
      <alignment horizontal="center" vertical="center"/>
    </xf>
    <xf numFmtId="209" fontId="105" fillId="0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2" fillId="8" borderId="15" xfId="0" applyFont="1" applyFill="1" applyBorder="1" applyAlignment="1">
      <alignment horizontal="center" vertical="center"/>
    </xf>
    <xf numFmtId="217" fontId="40" fillId="0" borderId="115" xfId="1918" applyNumberFormat="1" applyFont="1" applyFill="1" applyBorder="1" applyAlignment="1">
      <alignment horizontal="center" vertical="center"/>
    </xf>
    <xf numFmtId="217" fontId="40" fillId="0" borderId="16" xfId="0" applyNumberFormat="1" applyFont="1" applyFill="1" applyBorder="1" applyAlignment="1">
      <alignment horizontal="center" vertical="center" wrapText="1"/>
    </xf>
    <xf numFmtId="217" fontId="40" fillId="0" borderId="1" xfId="2566" applyNumberFormat="1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209" fontId="6" fillId="0" borderId="1" xfId="0" applyNumberFormat="1" applyFont="1" applyFill="1" applyBorder="1" applyAlignment="1">
      <alignment horizontal="center" vertical="center" wrapText="1"/>
    </xf>
    <xf numFmtId="0" fontId="100" fillId="19" borderId="1" xfId="0" applyFont="1" applyFill="1" applyBorder="1" applyAlignment="1" applyProtection="1">
      <alignment horizontal="center" vertical="center"/>
      <protection locked="0"/>
    </xf>
    <xf numFmtId="209" fontId="0" fillId="0" borderId="1" xfId="0" applyNumberFormat="1" applyFont="1" applyFill="1" applyBorder="1" applyAlignment="1">
      <alignment horizontal="left" vertical="center"/>
    </xf>
    <xf numFmtId="209" fontId="100" fillId="0" borderId="1" xfId="0" applyNumberFormat="1" applyFont="1" applyFill="1" applyBorder="1" applyAlignment="1" applyProtection="1">
      <alignment horizontal="center" vertical="center"/>
      <protection locked="0"/>
    </xf>
    <xf numFmtId="209" fontId="106" fillId="19" borderId="1" xfId="0" applyNumberFormat="1" applyFont="1" applyFill="1" applyBorder="1" applyAlignment="1">
      <alignment horizontal="center" vertical="center" wrapText="1"/>
    </xf>
    <xf numFmtId="0" fontId="107" fillId="5" borderId="1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87" fontId="105" fillId="19" borderId="1" xfId="0" applyNumberFormat="1" applyFont="1" applyFill="1" applyBorder="1" applyAlignment="1" applyProtection="1">
      <alignment horizontal="center" vertical="center"/>
      <protection locked="0"/>
    </xf>
    <xf numFmtId="0" fontId="105" fillId="19" borderId="39" xfId="0" applyFont="1" applyFill="1" applyBorder="1" applyAlignment="1" applyProtection="1">
      <alignment horizontal="center" vertical="center"/>
      <protection locked="0"/>
    </xf>
    <xf numFmtId="0" fontId="105" fillId="19" borderId="1" xfId="0" applyFont="1" applyFill="1" applyBorder="1" applyAlignment="1" applyProtection="1">
      <alignment horizontal="center" vertical="center"/>
      <protection locked="0"/>
    </xf>
    <xf numFmtId="0" fontId="108" fillId="0" borderId="1" xfId="0" applyFont="1" applyFill="1" applyBorder="1" applyAlignment="1">
      <alignment horizontal="center" vertical="center"/>
    </xf>
    <xf numFmtId="197" fontId="0" fillId="0" borderId="77" xfId="0" applyNumberFormat="1" applyFill="1" applyBorder="1" applyAlignment="1">
      <alignment horizontal="left" vertical="center"/>
    </xf>
    <xf numFmtId="197" fontId="0" fillId="0" borderId="77" xfId="0" applyNumberFormat="1" applyFont="1" applyFill="1" applyBorder="1" applyAlignment="1">
      <alignment horizontal="left" vertical="center"/>
    </xf>
    <xf numFmtId="205" fontId="4" fillId="0" borderId="77" xfId="0" applyNumberFormat="1" applyFont="1" applyFill="1" applyBorder="1" applyAlignment="1">
      <alignment horizontal="center" vertical="center"/>
    </xf>
    <xf numFmtId="209" fontId="104" fillId="22" borderId="1" xfId="0" applyNumberFormat="1" applyFont="1" applyFill="1" applyBorder="1" applyAlignment="1">
      <alignment horizontal="center" vertical="center"/>
    </xf>
    <xf numFmtId="209" fontId="104" fillId="0" borderId="1" xfId="0" applyNumberFormat="1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0" fillId="34" borderId="1" xfId="0" applyFont="1" applyFill="1" applyBorder="1" applyAlignment="1">
      <alignment horizontal="center" vertical="center"/>
    </xf>
    <xf numFmtId="217" fontId="10" fillId="0" borderId="1" xfId="2539" applyNumberFormat="1" applyFont="1" applyFill="1" applyBorder="1" applyAlignment="1">
      <alignment horizontal="center" vertical="center" wrapText="1"/>
    </xf>
    <xf numFmtId="217" fontId="10" fillId="0" borderId="15" xfId="2628" applyNumberFormat="1" applyFont="1" applyFill="1" applyBorder="1" applyAlignment="1">
      <alignment horizontal="center" vertical="center"/>
    </xf>
    <xf numFmtId="205" fontId="4" fillId="0" borderId="0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246" fontId="0" fillId="0" borderId="16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39" fillId="4" borderId="0" xfId="3332" applyFont="1" applyFill="1" applyAlignment="1" quotePrefix="1">
      <alignment horizontal="center" vertical="center" wrapText="1"/>
    </xf>
    <xf numFmtId="0" fontId="40" fillId="4" borderId="13" xfId="3332" applyFont="1" applyFill="1" applyBorder="1" applyAlignment="1" quotePrefix="1">
      <alignment horizontal="right" wrapText="1"/>
    </xf>
    <xf numFmtId="0" fontId="41" fillId="8" borderId="2" xfId="3332" applyFont="1" applyFill="1" applyBorder="1" applyAlignment="1" quotePrefix="1">
      <alignment horizontal="center" vertical="center" wrapText="1"/>
    </xf>
    <xf numFmtId="0" fontId="41" fillId="8" borderId="1" xfId="3332" applyFont="1" applyFill="1" applyBorder="1" applyAlignment="1" quotePrefix="1">
      <alignment horizontal="center" vertical="center" wrapText="1"/>
    </xf>
    <xf numFmtId="0" fontId="40" fillId="8" borderId="1" xfId="3332" applyFont="1" applyFill="1" applyBorder="1" applyAlignment="1" quotePrefix="1">
      <alignment horizontal="center" vertical="center" wrapText="1"/>
    </xf>
    <xf numFmtId="0" fontId="41" fillId="8" borderId="21" xfId="3332" applyFont="1" applyFill="1" applyBorder="1" applyAlignment="1" quotePrefix="1">
      <alignment horizontal="center" vertical="center" wrapText="1"/>
    </xf>
    <xf numFmtId="0" fontId="41" fillId="8" borderId="19" xfId="3332" applyFont="1" applyFill="1" applyBorder="1" applyAlignment="1" quotePrefix="1">
      <alignment horizontal="center" vertical="center" wrapText="1"/>
    </xf>
    <xf numFmtId="0" fontId="41" fillId="8" borderId="4" xfId="3332" applyFont="1" applyFill="1" applyBorder="1" applyAlignment="1" quotePrefix="1">
      <alignment horizontal="center" vertical="center" wrapText="1"/>
    </xf>
  </cellXfs>
  <cellStyles count="4493">
    <cellStyle name="常规" xfId="0" builtinId="0"/>
    <cellStyle name="货币[0]" xfId="1" builtinId="7"/>
    <cellStyle name="货币" xfId="2" builtinId="4"/>
    <cellStyle name="常规 77 11" xfId="3"/>
    <cellStyle name="常规 82 11" xfId="4"/>
    <cellStyle name="常规 39" xfId="5"/>
    <cellStyle name="常规 44" xfId="6"/>
    <cellStyle name="货币 18 12" xfId="7"/>
    <cellStyle name="货币 23 12" xfId="8"/>
    <cellStyle name="强调文字颜色 2 3 2" xfId="9"/>
    <cellStyle name="差_2009年一般性转移支付标准工资_奖励补助测算5.23新 3" xfId="10"/>
    <cellStyle name="货币 5 2 9" xfId="11"/>
    <cellStyle name="输入" xfId="12" builtinId="20"/>
    <cellStyle name="20% - 强调文字颜色 3" xfId="13" builtinId="38"/>
    <cellStyle name="40% - 强调文字颜色 1 3 5" xfId="14"/>
    <cellStyle name="差_2006年在职人员情况 3" xfId="15"/>
    <cellStyle name="_Book1_3_Book1" xfId="16"/>
    <cellStyle name="千位分隔[0]" xfId="17" builtinId="6"/>
    <cellStyle name="Accent2 - 40%" xfId="18"/>
    <cellStyle name="常规 3 4 3" xfId="19"/>
    <cellStyle name="常规 47 2 5" xfId="20"/>
    <cellStyle name="40% - 强调文字颜色 3" xfId="21" builtinId="39"/>
    <cellStyle name="常规 31 2" xfId="22"/>
    <cellStyle name="常规 26 2" xfId="23"/>
    <cellStyle name="MS Sans Serif" xfId="24"/>
    <cellStyle name="40% - 强调文字颜色 4 3 4" xfId="25"/>
    <cellStyle name="常规 38 2 10" xfId="26"/>
    <cellStyle name="差" xfId="27" builtinId="27"/>
    <cellStyle name="40% - 强调文字颜色 2 5 2 2" xfId="28"/>
    <cellStyle name="货币 23 5" xfId="29"/>
    <cellStyle name="货币 18 5" xfId="30"/>
    <cellStyle name="40% - 强调文字颜色 3 5 3" xfId="31"/>
    <cellStyle name="千位分隔" xfId="32" builtinId="3"/>
    <cellStyle name="60% - 强调文字颜色 3" xfId="33" builtinId="40"/>
    <cellStyle name="超链接" xfId="34" builtinId="8"/>
    <cellStyle name="百分比" xfId="35" builtinId="5"/>
    <cellStyle name="已访问的超链接" xfId="36" builtinId="9"/>
    <cellStyle name="差_地方配套按人均增幅控制8.30xl 2" xfId="37"/>
    <cellStyle name="60% - 强调文字颜色 4 2 2 2" xfId="38"/>
    <cellStyle name="40% - 强调文字颜色 6 4 2" xfId="39"/>
    <cellStyle name="注释" xfId="40" builtinId="10"/>
    <cellStyle name="60% - 强调文字颜色 2 3" xfId="41"/>
    <cellStyle name="货币 27 5" xfId="42"/>
    <cellStyle name="_ET_STYLE_NoName_00__Sheet3" xfId="43"/>
    <cellStyle name="20% - Accent4 4" xfId="44"/>
    <cellStyle name="20% - 强调文字颜色 4 5" xfId="45"/>
    <cellStyle name="货币 7 4" xfId="46"/>
    <cellStyle name="40% - 着色 3 4" xfId="47"/>
    <cellStyle name="60% - 强调文字颜色 2" xfId="48" builtinId="36"/>
    <cellStyle name="差_2007年政法部门业务指标" xfId="49"/>
    <cellStyle name="差_教师绩效工资测算表（离退休按各地上报数测算）2009年1月1日" xfId="50"/>
    <cellStyle name="差_奖励补助测算5.22测试 4" xfId="51"/>
    <cellStyle name="标题 4" xfId="52" builtinId="19"/>
    <cellStyle name="常规 6 5" xfId="53"/>
    <cellStyle name="差_Book2_Book1 2" xfId="54"/>
    <cellStyle name="警告文本" xfId="55" builtinId="11"/>
    <cellStyle name="标题" xfId="56" builtinId="15"/>
    <cellStyle name="差_2009年一般性转移支付标准工资_地方配套按人均增幅控制8.30一般预算平均增幅、人均可用财力平均增幅两次控制、社会治安系数调整、案件数调整xl_Book1" xfId="57"/>
    <cellStyle name="20% - 强调文字颜色 4 4 2" xfId="58"/>
    <cellStyle name="解释性文本" xfId="59" builtinId="53"/>
    <cellStyle name="标题 1 5 2" xfId="60"/>
    <cellStyle name="标题 1" xfId="61" builtinId="16"/>
    <cellStyle name="差_2006年全省财力计算表（中央、决算）_Book1 3" xfId="62"/>
    <cellStyle name="20% - 强调文字颜色 5 3 3" xfId="63"/>
    <cellStyle name="百分比 4" xfId="64"/>
    <cellStyle name="常规 49 2 9" xfId="65"/>
    <cellStyle name="常规 72 2 11" xfId="66"/>
    <cellStyle name="60% - 强调文字颜色 2 2 2 2" xfId="67"/>
    <cellStyle name="差 7" xfId="68"/>
    <cellStyle name="0,0_x000d__x000a_NA_x000d__x000a_" xfId="69"/>
    <cellStyle name="差 2 10" xfId="70"/>
    <cellStyle name="标题 2" xfId="71" builtinId="17"/>
    <cellStyle name="差_2009年一般性转移支付标准工资_地方配套按人均增幅控制8.30一般预算平均增幅、人均可用财力平均增幅两次控制、社会治安系数调整、案件数调整xl_Book1 2" xfId="72"/>
    <cellStyle name="20% - 强调文字颜色 5 3 4" xfId="73"/>
    <cellStyle name="百分比 5" xfId="74"/>
    <cellStyle name="好_云南省2008年中小学教师人数统计表_Book1 2" xfId="75"/>
    <cellStyle name="货币 7 3" xfId="76"/>
    <cellStyle name="40% - 着色 3 3" xfId="77"/>
    <cellStyle name="60% - 强调文字颜色 1" xfId="78" builtinId="32"/>
    <cellStyle name="标题 3" xfId="79" builtinId="18"/>
    <cellStyle name="差_2009年一般性转移支付标准工资_地方配套按人均增幅控制8.30一般预算平均增幅、人均可用财力平均增幅两次控制、社会治安系数调整、案件数调整xl_Book1 3" xfId="80"/>
    <cellStyle name="20% - 强调文字颜色 5 3 5" xfId="81"/>
    <cellStyle name="60% - 强调文字颜色 4" xfId="82" builtinId="44"/>
    <cellStyle name="20% - 强调文字颜色 2 4 2" xfId="83"/>
    <cellStyle name="40% - Accent1 4" xfId="84"/>
    <cellStyle name="输出" xfId="85" builtinId="21"/>
    <cellStyle name="货币 22 9" xfId="86"/>
    <cellStyle name="货币 17 9" xfId="87"/>
    <cellStyle name="常规 90" xfId="88"/>
    <cellStyle name="常规 85" xfId="89"/>
    <cellStyle name="差_2009年一般性转移支付标准工资 2" xfId="90"/>
    <cellStyle name="货币 21 5" xfId="91"/>
    <cellStyle name="货币 16 5" xfId="92"/>
    <cellStyle name="好_2009年一般性转移支付标准工资_~5676413_Book1 2" xfId="93"/>
    <cellStyle name="常规 31" xfId="94"/>
    <cellStyle name="常规 26" xfId="95"/>
    <cellStyle name="注释 4 6" xfId="96"/>
    <cellStyle name="40% - 强调文字颜色 3 3 3" xfId="97"/>
    <cellStyle name="计算" xfId="98" builtinId="22"/>
    <cellStyle name="检查单元格" xfId="99" builtinId="23"/>
    <cellStyle name="常规 13 5" xfId="100"/>
    <cellStyle name="常规 94 4" xfId="101"/>
    <cellStyle name="常规 89 4" xfId="102"/>
    <cellStyle name="_ET_STYLE_NoName_00__县公司" xfId="103"/>
    <cellStyle name="20% - 强调文字颜色 1 4 3" xfId="104"/>
    <cellStyle name="20% - 着色 1 2" xfId="105"/>
    <cellStyle name="40% - 强调文字颜色 4 2" xfId="106"/>
    <cellStyle name="差 2 9" xfId="107"/>
    <cellStyle name="60% - 强调文字颜色 2 5 3" xfId="108"/>
    <cellStyle name="20% - 强调文字颜色 6" xfId="109" builtinId="50"/>
    <cellStyle name="常规 2 2 2 5" xfId="110"/>
    <cellStyle name="强调文字颜色 2" xfId="111" builtinId="33"/>
    <cellStyle name="货币 7 2 11" xfId="112"/>
    <cellStyle name="常规 42 5" xfId="113"/>
    <cellStyle name="常规 37 5" xfId="114"/>
    <cellStyle name="Currency [0]" xfId="115"/>
    <cellStyle name="40% - 强调文字颜色 1 2 9" xfId="116"/>
    <cellStyle name="差_00省级(打印)_Book1 3" xfId="117"/>
    <cellStyle name="20% - 强调文字颜色 6 3 5" xfId="118"/>
    <cellStyle name="链接单元格" xfId="119" builtinId="24"/>
    <cellStyle name="20% - 强调文字颜色 4 5 2 3" xfId="120"/>
    <cellStyle name="货币 9 2" xfId="121"/>
    <cellStyle name="40% - 着色 5 2" xfId="122"/>
    <cellStyle name="差_Book2" xfId="123"/>
    <cellStyle name="汇总" xfId="124" builtinId="25"/>
    <cellStyle name="常规 96 7" xfId="125"/>
    <cellStyle name="常规 20 8" xfId="126"/>
    <cellStyle name="常规 15 8" xfId="127"/>
    <cellStyle name="20% - 强调文字颜色 6 4 3" xfId="128"/>
    <cellStyle name="60% - 强调文字颜色 4 2 3" xfId="129"/>
    <cellStyle name="40% - 强调文字颜色 6 5" xfId="130"/>
    <cellStyle name="差_2009年一般性转移支付标准工资_奖励补助测算7.25 4" xfId="131"/>
    <cellStyle name="好" xfId="132" builtinId="26"/>
    <cellStyle name="差 12" xfId="133"/>
    <cellStyle name="差_衢州市附件2：全省质监系统检验检测项目 2" xfId="134"/>
    <cellStyle name="40% - 强调文字颜色 2 5 3" xfId="135"/>
    <cellStyle name="常规 3 2 6" xfId="136"/>
    <cellStyle name="20% - Accent3 2" xfId="137"/>
    <cellStyle name="20% - 强调文字颜色 3 3" xfId="138"/>
    <cellStyle name="差_2009年一般性转移支付标准工资_不用软件计算9.1不考虑经费管理评价xl 4" xfId="139"/>
    <cellStyle name="适中" xfId="140" builtinId="28"/>
    <cellStyle name="60% - 强调文字颜色 2 5 2" xfId="141"/>
    <cellStyle name="20% - 强调文字颜色 5" xfId="142" builtinId="46"/>
    <cellStyle name="差_2009年一般性转移支付标准工资_奖励补助测算7.23_Book1" xfId="143"/>
    <cellStyle name="常规 2 2 2 4" xfId="144"/>
    <cellStyle name="强调文字颜色 1" xfId="145" builtinId="29"/>
    <cellStyle name="货币 7 2 10" xfId="146"/>
    <cellStyle name="常规 42 4" xfId="147"/>
    <cellStyle name="常规 37 4" xfId="148"/>
    <cellStyle name="40% - 强调文字颜色 1 2 8" xfId="149"/>
    <cellStyle name="差_00省级(打印)_Book1 2" xfId="150"/>
    <cellStyle name="20% - 强调文字颜色 1" xfId="151" builtinId="30"/>
    <cellStyle name="常规 47 2 10" xfId="152"/>
    <cellStyle name="常规 47 2 3" xfId="153"/>
    <cellStyle name="40% - 强调文字颜色 1" xfId="154" builtinId="31"/>
    <cellStyle name="40% - 强调文字颜色 4 3 2" xfId="155"/>
    <cellStyle name="20% - 强调文字颜色 2" xfId="156" builtinId="34"/>
    <cellStyle name="常规 47 2 11" xfId="157"/>
    <cellStyle name="常规 47 2 4" xfId="158"/>
    <cellStyle name="40% - 强调文字颜色 2" xfId="159" builtinId="35"/>
    <cellStyle name="40% - 强调文字颜色 4 3 3" xfId="160"/>
    <cellStyle name="常规 2 2 2 6" xfId="161"/>
    <cellStyle name="强调文字颜色 3" xfId="162" builtinId="37"/>
    <cellStyle name="PSChar" xfId="163"/>
    <cellStyle name="常规 3 8 2" xfId="164"/>
    <cellStyle name="强调文字颜色 4" xfId="165" builtinId="41"/>
    <cellStyle name="20% - 强调文字颜色 4" xfId="166" builtinId="42"/>
    <cellStyle name="常规 47 2 6" xfId="167"/>
    <cellStyle name="40% - 强调文字颜色 4" xfId="168" builtinId="43"/>
    <cellStyle name="常规 31 3" xfId="169"/>
    <cellStyle name="常规 26 3" xfId="170"/>
    <cellStyle name="常规 38 2 11" xfId="171"/>
    <cellStyle name="差_不用软件计算9.1不考虑经费管理评价xl_Book1 2" xfId="172"/>
    <cellStyle name="40% - 强调文字颜色 4 3 5" xfId="173"/>
    <cellStyle name="强调文字颜色 5" xfId="174" builtinId="45"/>
    <cellStyle name="60% - 强调文字颜色 6 5 2" xfId="175"/>
    <cellStyle name="常规 47 2 7" xfId="176"/>
    <cellStyle name="40% - 强调文字颜色 5" xfId="177" builtinId="47"/>
    <cellStyle name="常规 31 4" xfId="178"/>
    <cellStyle name="常规 26 4" xfId="179"/>
    <cellStyle name="差_不用软件计算9.1不考虑经费管理评价xl_Book1 3" xfId="180"/>
    <cellStyle name="60% - 着色 6 2" xfId="181"/>
    <cellStyle name="60% - 强调文字颜色 5" xfId="182" builtinId="48"/>
    <cellStyle name="强调文字颜色 6" xfId="183" builtinId="49"/>
    <cellStyle name="60% - 强调文字颜色 6 5 3" xfId="184"/>
    <cellStyle name="常规 47 2 8" xfId="185"/>
    <cellStyle name="40% - 强调文字颜色 6" xfId="186" builtinId="51"/>
    <cellStyle name="常规 31 5" xfId="187"/>
    <cellStyle name="常规 26 5" xfId="188"/>
    <cellStyle name="好_银行账户情况表_2010年12月_Book1" xfId="189"/>
    <cellStyle name="好_高中教师人数（教育厅1.6日提供）_Book1" xfId="190"/>
    <cellStyle name="好_~5676413_Book1" xfId="191"/>
    <cellStyle name="20% - 强调文字颜色 3 3 2" xfId="192"/>
    <cellStyle name="_弱电系统设备配置报价清单" xfId="193"/>
    <cellStyle name="60% - 着色 6 3" xfId="194"/>
    <cellStyle name="60% - 强调文字颜色 6" xfId="195" builtinId="52"/>
    <cellStyle name="差_2009年一般性转移支付标准工资_奖励补助测算7.25 (version 1) (version 1) 2" xfId="196"/>
    <cellStyle name="_Book1_4 2" xfId="197"/>
    <cellStyle name="常规 24 11" xfId="198"/>
    <cellStyle name="常规 19 11" xfId="199"/>
    <cellStyle name="20% - 强调文字颜色 3 2 2" xfId="200"/>
    <cellStyle name="40% - 强调文字颜色 4 2 7" xfId="201"/>
    <cellStyle name="_ET_STYLE_NoName_00__Book1" xfId="202"/>
    <cellStyle name="?鹎%U龡&amp;H?_x0008__x001c__x001c_?_x0007__x0001__x0001_ 2" xfId="203"/>
    <cellStyle name="常规 34 4" xfId="204"/>
    <cellStyle name="常规 29 4" xfId="205"/>
    <cellStyle name="_ET_STYLE_NoName_00_" xfId="206"/>
    <cellStyle name="_Book1_1" xfId="207"/>
    <cellStyle name="20% - 强调文字颜色 3 3 4" xfId="208"/>
    <cellStyle name="_20100326高清市院遂宁检察院1080P配置清单26日改" xfId="209"/>
    <cellStyle name="40% - 强调文字颜色 4 2 5" xfId="210"/>
    <cellStyle name="_Book1_1_Book1" xfId="211"/>
    <cellStyle name="Warning Text 3" xfId="212"/>
    <cellStyle name="输出 9" xfId="213"/>
    <cellStyle name="常规 85 9" xfId="214"/>
    <cellStyle name="常规 90 9" xfId="215"/>
    <cellStyle name="好_Book1_1_Book1 3" xfId="216"/>
    <cellStyle name="40% - 强调文字颜色 5 5 2 3" xfId="217"/>
    <cellStyle name="货币 20 12" xfId="218"/>
    <cellStyle name="货币 15 12" xfId="219"/>
    <cellStyle name="?鹎%U龡&amp;H?_x0008__x001c__x001c_?_x0007__x0001__x0001_" xfId="220"/>
    <cellStyle name="常规 74 11" xfId="221"/>
    <cellStyle name="常规 69 11" xfId="222"/>
    <cellStyle name="Accent6 - 40% 3" xfId="223"/>
    <cellStyle name="20% - 强调文字颜色 3 4 5" xfId="224"/>
    <cellStyle name="常规 2 7 2" xfId="225"/>
    <cellStyle name="_Book1" xfId="226"/>
    <cellStyle name="货币 6 5" xfId="227"/>
    <cellStyle name="好_2006年水利统计指标统计表" xfId="228"/>
    <cellStyle name="_2012调度日报表（晋巨公司）" xfId="229"/>
    <cellStyle name="常规 92 10" xfId="230"/>
    <cellStyle name="常规 87 10" xfId="231"/>
    <cellStyle name="20% - 强调文字颜色 3 3 5" xfId="232"/>
    <cellStyle name="_Book1_2" xfId="233"/>
    <cellStyle name="_Book1_2_Book1" xfId="234"/>
    <cellStyle name="40% - 强调文字颜色 4 2 2" xfId="235"/>
    <cellStyle name="差_2007年政法部门业务指标 4" xfId="236"/>
    <cellStyle name="40% - 强调文字颜色 6 5 2 3" xfId="237"/>
    <cellStyle name="标题 4 4" xfId="238"/>
    <cellStyle name="千位分隔 5" xfId="239"/>
    <cellStyle name="常规 92 11" xfId="240"/>
    <cellStyle name="常规 87 11" xfId="241"/>
    <cellStyle name="_Book1_3" xfId="242"/>
    <cellStyle name="_Book1_Book1" xfId="243"/>
    <cellStyle name="_Book1_4" xfId="244"/>
    <cellStyle name="常规 3 2 5" xfId="245"/>
    <cellStyle name="20% - 强调文字颜色 3 2" xfId="246"/>
    <cellStyle name="差_2009年一般性转移支付标准工资_不用软件计算9.1不考虑经费管理评价xl 3" xfId="247"/>
    <cellStyle name="_ET_STYLE_NoName_00__Book1_1" xfId="248"/>
    <cellStyle name="_ET_STYLE_NoName_00__Book1_1_县公司" xfId="249"/>
    <cellStyle name="20% - 强调文字颜色 4 2 5" xfId="250"/>
    <cellStyle name="常规 133" xfId="251"/>
    <cellStyle name="常规 128" xfId="252"/>
    <cellStyle name="_ET_STYLE_NoName_00__Book1_1_银行账户情况表_2010年12月" xfId="253"/>
    <cellStyle name="40% - 强调文字颜色 5 4 3" xfId="254"/>
    <cellStyle name="_ET_STYLE_NoName_00__Book1_2" xfId="255"/>
    <cellStyle name="常规 93 3" xfId="256"/>
    <cellStyle name="常规 88 3" xfId="257"/>
    <cellStyle name="差_~4190974_Book1 3" xfId="258"/>
    <cellStyle name="20% - 强调文字颜色 1 3 2" xfId="259"/>
    <cellStyle name="20% - 强调文字颜色 4 2 9" xfId="260"/>
    <cellStyle name="货币 13 2 2" xfId="261"/>
    <cellStyle name="_ET_STYLE_NoName_00__Book1_县公司" xfId="262"/>
    <cellStyle name="货币 8 2 2" xfId="263"/>
    <cellStyle name="20% - 强调文字颜色 5 5 2 3" xfId="264"/>
    <cellStyle name="Dezimal [0]_laroux" xfId="265"/>
    <cellStyle name="常规 3 9" xfId="266"/>
    <cellStyle name="货币 4 3" xfId="267"/>
    <cellStyle name="_ET_STYLE_NoName_00__Book1_银行账户情况表_2010年12月" xfId="268"/>
    <cellStyle name="40% - 强调文字颜色 1 5 2" xfId="269"/>
    <cellStyle name="60% - 强调文字颜色 4 3" xfId="270"/>
    <cellStyle name="差_奖励补助测算7.25 (version 1) (version 1)" xfId="271"/>
    <cellStyle name="_ET_STYLE_NoName_00__建行" xfId="272"/>
    <cellStyle name="20% - Accent6 4" xfId="273"/>
    <cellStyle name="20% - 强调文字颜色 6 5" xfId="274"/>
    <cellStyle name="好_2006年分析表 2" xfId="275"/>
    <cellStyle name="40% - 强调文字颜色 5 2 2" xfId="276"/>
    <cellStyle name="_ET_STYLE_NoName_00__银行账户情况表_2010年12月" xfId="277"/>
    <cellStyle name="常规 14 7" xfId="278"/>
    <cellStyle name="差_业务工作量指标 2" xfId="279"/>
    <cellStyle name="20% - 强调文字颜色 6 3 2" xfId="280"/>
    <cellStyle name="常规 41 12" xfId="281"/>
    <cellStyle name="常规 36 12" xfId="282"/>
    <cellStyle name="_ET_STYLE_NoName_00__云南水利电力有限公司" xfId="283"/>
    <cellStyle name="20% - 着色 2 4" xfId="284"/>
    <cellStyle name="差_2006年基础数据_Book1" xfId="285"/>
    <cellStyle name="差_卫生部门_Book1 2" xfId="286"/>
    <cellStyle name="常规 95 6" xfId="287"/>
    <cellStyle name="好_县级基础数据 2" xfId="288"/>
    <cellStyle name="40% - 强调文字颜色 5 4" xfId="289"/>
    <cellStyle name="差_2007年可用财力 2" xfId="290"/>
    <cellStyle name="货币 11 2 5" xfId="291"/>
    <cellStyle name="好_2009年一般性转移支付标准工资_不用软件计算9.1不考虑经费管理评价xl_Book1" xfId="292"/>
    <cellStyle name="_Sheet1" xfId="293"/>
    <cellStyle name="差_Book1_2_Book1" xfId="294"/>
    <cellStyle name="_本部汇总" xfId="295"/>
    <cellStyle name="60% - 强调文字颜色 6 4 2" xfId="296"/>
    <cellStyle name="差_2007年人员分部门统计表 3" xfId="297"/>
    <cellStyle name="表标题" xfId="298"/>
    <cellStyle name="_杭长项目部职工花名册——架子九队" xfId="299"/>
    <cellStyle name="_南方电网" xfId="300"/>
    <cellStyle name="货币 22 5" xfId="301"/>
    <cellStyle name="货币 17 5" xfId="302"/>
    <cellStyle name="常规 81" xfId="303"/>
    <cellStyle name="常规 76" xfId="304"/>
    <cellStyle name="注释 5 6" xfId="305"/>
    <cellStyle name="差_0605石屏县" xfId="306"/>
    <cellStyle name="40% - 强调文字颜色 3 4 3" xfId="307"/>
    <cellStyle name="常规 13 12" xfId="308"/>
    <cellStyle name="20% - Accent1" xfId="309"/>
    <cellStyle name="强调文字颜色 2 2 2" xfId="310"/>
    <cellStyle name="Accent1 - 20%" xfId="311"/>
    <cellStyle name="Accent1 - 20% 2" xfId="312"/>
    <cellStyle name="20% - Accent1 2" xfId="313"/>
    <cellStyle name="20% - 强调文字颜色 1 3" xfId="314"/>
    <cellStyle name="强调文字颜色 2 2 2 2" xfId="315"/>
    <cellStyle name="Accent1 - 20% 3" xfId="316"/>
    <cellStyle name="20% - Accent1 3" xfId="317"/>
    <cellStyle name="20% - 强调文字颜色 1 4" xfId="318"/>
    <cellStyle name="Accent1 - 20% 4" xfId="319"/>
    <cellStyle name="20% - Accent1 4" xfId="320"/>
    <cellStyle name="20% - 强调文字颜色 1 5" xfId="321"/>
    <cellStyle name="20% - Accent2" xfId="322"/>
    <cellStyle name="强调文字颜色 2 2 3" xfId="323"/>
    <cellStyle name="20% - 强调文字颜色 5 4 2" xfId="324"/>
    <cellStyle name="20% - Accent2 2" xfId="325"/>
    <cellStyle name="20% - 强调文字颜色 2 3" xfId="326"/>
    <cellStyle name="常规 77 2 11" xfId="327"/>
    <cellStyle name="60% - 强调文字颜色 3 2 2 2" xfId="328"/>
    <cellStyle name="20% - 强调文字颜色 3 2 8" xfId="329"/>
    <cellStyle name="差_2009年一般性转移支付标准工资" xfId="330"/>
    <cellStyle name="20% - Accent2 3" xfId="331"/>
    <cellStyle name="20% - 强调文字颜色 2 4" xfId="332"/>
    <cellStyle name="20% - 强调文字颜色 3 2 9" xfId="333"/>
    <cellStyle name="差_2009年一般性转移支付标准工资_奖励补助测算5.23新_Book1" xfId="334"/>
    <cellStyle name="20% - Accent2 4" xfId="335"/>
    <cellStyle name="20% - 强调文字颜色 2 5" xfId="336"/>
    <cellStyle name="40% - 强调文字颜色 2 2 10" xfId="337"/>
    <cellStyle name="20% - Accent3" xfId="338"/>
    <cellStyle name="强调文字颜色 2 2 4" xfId="339"/>
    <cellStyle name="20% - 强调文字颜色 5 4 3" xfId="340"/>
    <cellStyle name="常规 3 2 7" xfId="341"/>
    <cellStyle name="20% - Accent3 3" xfId="342"/>
    <cellStyle name="20% - 强调文字颜色 3 4" xfId="343"/>
    <cellStyle name="60% - 强调文字颜色 1 2" xfId="344"/>
    <cellStyle name="差_2006年在职人员情况_Book1" xfId="345"/>
    <cellStyle name="差_M03" xfId="346"/>
    <cellStyle name="20% - Accent3 4" xfId="347"/>
    <cellStyle name="20% - 强调文字颜色 3 5" xfId="348"/>
    <cellStyle name="20% - 强调文字颜色 1 2 10" xfId="349"/>
    <cellStyle name="60% - 强调文字颜色 1 3" xfId="350"/>
    <cellStyle name="20% - Accent4" xfId="351"/>
    <cellStyle name="20% - 强调文字颜色 5 4 4" xfId="352"/>
    <cellStyle name="常规 3 3 6" xfId="353"/>
    <cellStyle name="20% - Accent4 2" xfId="354"/>
    <cellStyle name="20% - 强调文字颜色 4 3" xfId="355"/>
    <cellStyle name="20% - Accent4 3" xfId="356"/>
    <cellStyle name="20% - 强调文字颜色 4 4" xfId="357"/>
    <cellStyle name="20% - Accent5" xfId="358"/>
    <cellStyle name="20% - 强调文字颜色 5 4 5" xfId="359"/>
    <cellStyle name="差_2006年全省财力计算表（中央、决算）_Book1" xfId="360"/>
    <cellStyle name="20% - Accent5 2" xfId="361"/>
    <cellStyle name="20% - 强调文字颜色 5 3" xfId="362"/>
    <cellStyle name="20% - Accent5 3" xfId="363"/>
    <cellStyle name="20% - 强调文字颜色 5 4" xfId="364"/>
    <cellStyle name="60% - 强调文字颜色 3 3" xfId="365"/>
    <cellStyle name="20% - 强调文字颜色 1 5 2 2" xfId="366"/>
    <cellStyle name="20% - Accent5 4" xfId="367"/>
    <cellStyle name="20% - 强调文字颜色 5 5" xfId="368"/>
    <cellStyle name="20% - Accent6" xfId="369"/>
    <cellStyle name="差_业务工作量指标" xfId="370"/>
    <cellStyle name="20% - Accent6 2" xfId="371"/>
    <cellStyle name="20% - 强调文字颜色 6 3" xfId="372"/>
    <cellStyle name="20% - Accent6 3" xfId="373"/>
    <cellStyle name="20% - 强调文字颜色 6 4" xfId="374"/>
    <cellStyle name="20% - 强调文字颜色 1 2" xfId="375"/>
    <cellStyle name="常规 92 3" xfId="376"/>
    <cellStyle name="常规 87 3" xfId="377"/>
    <cellStyle name="20% - 强调文字颜色 1 2 2" xfId="378"/>
    <cellStyle name="40% - 强调文字颜色 2 2 7" xfId="379"/>
    <cellStyle name="40% - 强调文字颜色 2 2" xfId="380"/>
    <cellStyle name="好_奖励补助测算7.25" xfId="381"/>
    <cellStyle name="20% - 强调文字颜色 1 2 3" xfId="382"/>
    <cellStyle name="40% - 强调文字颜色 2 2 8" xfId="383"/>
    <cellStyle name="常规 92 4" xfId="384"/>
    <cellStyle name="常规 87 4" xfId="385"/>
    <cellStyle name="常规 92 5" xfId="386"/>
    <cellStyle name="常规 87 5" xfId="387"/>
    <cellStyle name="20% - 强调文字颜色 1 2 4" xfId="388"/>
    <cellStyle name="40% - 强调文字颜色 2 2 9" xfId="389"/>
    <cellStyle name="40% - 强调文字颜色 2 3" xfId="390"/>
    <cellStyle name="常规 92 6" xfId="391"/>
    <cellStyle name="常规 87 6" xfId="392"/>
    <cellStyle name="20% - 强调文字颜色 1 2 5" xfId="393"/>
    <cellStyle name="40% - 强调文字颜色 2 4" xfId="394"/>
    <cellStyle name="差_2009年一般性转移支付标准工资_奖励补助测算5.22测试_Book1 2" xfId="395"/>
    <cellStyle name="常规 92 7" xfId="396"/>
    <cellStyle name="常规 87 7" xfId="397"/>
    <cellStyle name="20% - 强调文字颜色 1 2 6" xfId="398"/>
    <cellStyle name="40% - 强调文字颜色 2 5" xfId="399"/>
    <cellStyle name="差_2009年一般性转移支付标准工资_奖励补助测算5.22测试_Book1 3" xfId="400"/>
    <cellStyle name="好_县级基础数据_Book1 2" xfId="401"/>
    <cellStyle name="常规 92 8" xfId="402"/>
    <cellStyle name="常规 87 8" xfId="403"/>
    <cellStyle name="20% - 强调文字颜色 1 2 7" xfId="404"/>
    <cellStyle name="40% - 强调文字颜色 2 6" xfId="405"/>
    <cellStyle name="差_2007年可用财力_Book1 2" xfId="406"/>
    <cellStyle name="好_县级基础数据_Book1 3" xfId="407"/>
    <cellStyle name="常规 92 9" xfId="408"/>
    <cellStyle name="常规 87 9" xfId="409"/>
    <cellStyle name="20% - 强调文字颜色 1 2 8" xfId="410"/>
    <cellStyle name="货币 6 2" xfId="411"/>
    <cellStyle name="40% - 着色 2 2" xfId="412"/>
    <cellStyle name="20% - 强调文字颜色 1 2 9" xfId="413"/>
    <cellStyle name="Accent5 2" xfId="414"/>
    <cellStyle name="货币 6 3" xfId="415"/>
    <cellStyle name="40% - 着色 2 3" xfId="416"/>
    <cellStyle name="好_指标四" xfId="417"/>
    <cellStyle name="差_2007年人员分部门统计表_Book1" xfId="418"/>
    <cellStyle name="货币 10 2 2" xfId="419"/>
    <cellStyle name="常规 93 4" xfId="420"/>
    <cellStyle name="常规 88 4" xfId="421"/>
    <cellStyle name="20% - 强调文字颜色 1 3 3" xfId="422"/>
    <cellStyle name="MS Sans Serif 2" xfId="423"/>
    <cellStyle name="40% - 强调文字颜色 3 2" xfId="424"/>
    <cellStyle name="货币 13 10" xfId="425"/>
    <cellStyle name="常规 93 5" xfId="426"/>
    <cellStyle name="常规 88 5" xfId="427"/>
    <cellStyle name="20% - 强调文字颜色 1 3 4" xfId="428"/>
    <cellStyle name="差_2008云南省分县市中小学教职工统计表（教育厅提供） 2" xfId="429"/>
    <cellStyle name="计算 2 3" xfId="430"/>
    <cellStyle name="40% - 强调文字颜色 3 3" xfId="431"/>
    <cellStyle name="货币 13 11" xfId="432"/>
    <cellStyle name="好_2009年一般性转移支付标准工资_地方配套按人均增幅控制8.30xl_Book1 2" xfId="433"/>
    <cellStyle name="常规 93 6" xfId="434"/>
    <cellStyle name="常规 88 6" xfId="435"/>
    <cellStyle name="常规 72 10" xfId="436"/>
    <cellStyle name="常规 67 10" xfId="437"/>
    <cellStyle name="20% - 强调文字颜色 1 3 5" xfId="438"/>
    <cellStyle name="差_2008云南省分县市中小学教职工统计表（教育厅提供） 3" xfId="439"/>
    <cellStyle name="计算 2 4" xfId="440"/>
    <cellStyle name="40% - 强调文字颜色 3 4" xfId="441"/>
    <cellStyle name="常规 94 3" xfId="442"/>
    <cellStyle name="常规 89 3" xfId="443"/>
    <cellStyle name="20% - 强调文字颜色 1 4 2" xfId="444"/>
    <cellStyle name="常规 94 5" xfId="445"/>
    <cellStyle name="常规 89 5" xfId="446"/>
    <cellStyle name="20% - 强调文字颜色 1 4 4" xfId="447"/>
    <cellStyle name="强调文字颜色 4 5 2 2" xfId="448"/>
    <cellStyle name="20% - 着色 1 3" xfId="449"/>
    <cellStyle name="40% - 强调文字颜色 4 3" xfId="450"/>
    <cellStyle name="常规 94 6" xfId="451"/>
    <cellStyle name="常规 89 6" xfId="452"/>
    <cellStyle name="20% - 强调文字颜色 1 4 5" xfId="453"/>
    <cellStyle name="20% - 着色 1 4" xfId="454"/>
    <cellStyle name="好_历年教师人数_Book1 3" xfId="455"/>
    <cellStyle name="常规 13 7" xfId="456"/>
    <cellStyle name="20% - 强调文字颜色 6 2 2" xfId="457"/>
    <cellStyle name="常规 54 11" xfId="458"/>
    <cellStyle name="常规 49 11" xfId="459"/>
    <cellStyle name="Accent6 - 20% 3" xfId="460"/>
    <cellStyle name="好_云南农村义务教育统计表_Book1 2" xfId="461"/>
    <cellStyle name="40% - 强调文字颜色 4 4" xfId="462"/>
    <cellStyle name="差_2009年一般性转移支付标准工资_~5676413_Book1" xfId="463"/>
    <cellStyle name="常规 95 3" xfId="464"/>
    <cellStyle name="20% - 强调文字颜色 1 5 2" xfId="465"/>
    <cellStyle name="60% - 强调文字颜色 3 4" xfId="466"/>
    <cellStyle name="20% - 强调文字颜色 1 5 2 3" xfId="467"/>
    <cellStyle name="20% - 强调文字颜色 5 6" xfId="468"/>
    <cellStyle name="常规 95 4" xfId="469"/>
    <cellStyle name="20% - 强调文字颜色 1 5 3" xfId="470"/>
    <cellStyle name="计算 4 2" xfId="471"/>
    <cellStyle name="20% - 着色 2 2" xfId="472"/>
    <cellStyle name="常规 41 10" xfId="473"/>
    <cellStyle name="常规 36 10" xfId="474"/>
    <cellStyle name="好_Book1_县公司" xfId="475"/>
    <cellStyle name="好_2006年分析表" xfId="476"/>
    <cellStyle name="好 2 3" xfId="477"/>
    <cellStyle name="40% - 强调文字颜色 5 2" xfId="478"/>
    <cellStyle name="常规 95 5" xfId="479"/>
    <cellStyle name="20% - 强调文字颜色 1 5 4" xfId="480"/>
    <cellStyle name="常规 41 11" xfId="481"/>
    <cellStyle name="常规 36 11" xfId="482"/>
    <cellStyle name="差_5334_2006年迪庆县级财政报表附表" xfId="483"/>
    <cellStyle name="20% - 着色 2 3" xfId="484"/>
    <cellStyle name="好 2 4" xfId="485"/>
    <cellStyle name="40% - 强调文字颜色 5 3" xfId="486"/>
    <cellStyle name="一般_SGV" xfId="487"/>
    <cellStyle name="好_检验表（调整后） 2" xfId="488"/>
    <cellStyle name="20% - 强调文字颜色 1 6" xfId="489"/>
    <cellStyle name="20% - 强调文字颜色 2 2" xfId="490"/>
    <cellStyle name="20% - 强调文字颜色 3 2 7" xfId="491"/>
    <cellStyle name="60% - 强调文字颜色 3 6" xfId="492"/>
    <cellStyle name="20% - 强调文字颜色 2 2 10" xfId="493"/>
    <cellStyle name="货币 20 9" xfId="494"/>
    <cellStyle name="货币 15 9" xfId="495"/>
    <cellStyle name="常规 14 11" xfId="496"/>
    <cellStyle name="20% - 强调文字颜色 2 2 2" xfId="497"/>
    <cellStyle name="40% - 强调文字颜色 3 2 7" xfId="498"/>
    <cellStyle name="常规 14 12" xfId="499"/>
    <cellStyle name="20% - 强调文字颜色 2 2 3" xfId="500"/>
    <cellStyle name="40% - 强调文字颜色 3 2 8" xfId="501"/>
    <cellStyle name="20% - 强调文字颜色 2 2 4" xfId="502"/>
    <cellStyle name="40% - 强调文字颜色 3 2 9" xfId="503"/>
    <cellStyle name="差_1003牟定县" xfId="504"/>
    <cellStyle name="60% - Accent1 2" xfId="505"/>
    <cellStyle name="20% - 强调文字颜色 2 2 5" xfId="506"/>
    <cellStyle name="20% - 强调文字颜色 2 2 6" xfId="507"/>
    <cellStyle name="20% - 强调文字颜色 2 2 7" xfId="508"/>
    <cellStyle name="20% - 强调文字颜色 2 2 8" xfId="509"/>
    <cellStyle name="差 5 2" xfId="510"/>
    <cellStyle name="差 5 3" xfId="511"/>
    <cellStyle name="20% - 强调文字颜色 2 2 9" xfId="512"/>
    <cellStyle name="20% - 强调文字颜色 2 3 2" xfId="513"/>
    <cellStyle name="常规 35" xfId="514"/>
    <cellStyle name="常规 40" xfId="515"/>
    <cellStyle name="货币 16 9" xfId="516"/>
    <cellStyle name="货币 21 9" xfId="517"/>
    <cellStyle name="20% - 强调文字颜色 2 3 3" xfId="518"/>
    <cellStyle name="常规 36" xfId="519"/>
    <cellStyle name="常规 41" xfId="520"/>
    <cellStyle name="60% - Accent2 2" xfId="521"/>
    <cellStyle name="20% - 强调文字颜色 2 3 4" xfId="522"/>
    <cellStyle name="常规 37" xfId="523"/>
    <cellStyle name="常规 42" xfId="524"/>
    <cellStyle name="货币 18 10" xfId="525"/>
    <cellStyle name="货币 23 10" xfId="526"/>
    <cellStyle name="20% - 强调文字颜色 2 3 5" xfId="527"/>
    <cellStyle name="常规 77 10" xfId="528"/>
    <cellStyle name="常规 82 10" xfId="529"/>
    <cellStyle name="常规 38" xfId="530"/>
    <cellStyle name="常规 43" xfId="531"/>
    <cellStyle name="货币 18 11" xfId="532"/>
    <cellStyle name="货币 23 11" xfId="533"/>
    <cellStyle name="20% - 强调文字颜色 2 4 3" xfId="534"/>
    <cellStyle name="差_2009年一般性转移支付标准工资 3" xfId="535"/>
    <cellStyle name="常规 86" xfId="536"/>
    <cellStyle name="常规 91" xfId="537"/>
    <cellStyle name="货币 5 10" xfId="538"/>
    <cellStyle name="常规 64 10" xfId="539"/>
    <cellStyle name="常规 59 10" xfId="540"/>
    <cellStyle name="货币 10 11" xfId="541"/>
    <cellStyle name="常规 63 6" xfId="542"/>
    <cellStyle name="常规 58 6" xfId="543"/>
    <cellStyle name="Bad" xfId="544"/>
    <cellStyle name="60% - Accent3 2" xfId="545"/>
    <cellStyle name="Input_Book1" xfId="546"/>
    <cellStyle name="20% - 强调文字颜色 2 4 4" xfId="547"/>
    <cellStyle name="差_2009年一般性转移支付标准工资 4" xfId="548"/>
    <cellStyle name="常规 87" xfId="549"/>
    <cellStyle name="常规 92" xfId="550"/>
    <cellStyle name="货币 5 11" xfId="551"/>
    <cellStyle name="20% - 强调文字颜色 2 4 5" xfId="552"/>
    <cellStyle name="差_~4190974_Book1" xfId="553"/>
    <cellStyle name="常规 88" xfId="554"/>
    <cellStyle name="常规 93" xfId="555"/>
    <cellStyle name="货币 5 12" xfId="556"/>
    <cellStyle name="40% - Accent2 4" xfId="557"/>
    <cellStyle name="20% - 强调文字颜色 2 5 2" xfId="558"/>
    <cellStyle name="差_2009年一般性转移支付标准工资_奖励补助测算5.23新_Book1 2" xfId="559"/>
    <cellStyle name="货币 18 9" xfId="560"/>
    <cellStyle name="货币 23 9" xfId="561"/>
    <cellStyle name="20% - 强调文字颜色 2 5 2 2" xfId="562"/>
    <cellStyle name="货币 13 8" xfId="563"/>
    <cellStyle name="货币 20 2 5" xfId="564"/>
    <cellStyle name="货币 15 2 5" xfId="565"/>
    <cellStyle name="差_汇总 2" xfId="566"/>
    <cellStyle name="20% - 强调文字颜色 2 5 2 3" xfId="567"/>
    <cellStyle name="好_530629_2006年县级财政报表附表_Book1 2" xfId="568"/>
    <cellStyle name="货币 13 9" xfId="569"/>
    <cellStyle name="20% - 强调文字颜色 2 5 3" xfId="570"/>
    <cellStyle name="差_2009年一般性转移支付标准工资_奖励补助测算5.23新_Book1 3" xfId="571"/>
    <cellStyle name="60% - Accent4 2" xfId="572"/>
    <cellStyle name="20% - 强调文字颜色 2 5 4" xfId="573"/>
    <cellStyle name="差_汇总-县级财政报表附表" xfId="574"/>
    <cellStyle name="货币 7 2 4" xfId="575"/>
    <cellStyle name="差_530629_2006年县级财政报表附表" xfId="576"/>
    <cellStyle name="20% - 强调文字颜色 2 6" xfId="577"/>
    <cellStyle name="20% - 强调文字颜色 4 3 3" xfId="578"/>
    <cellStyle name="输入 5 2" xfId="579"/>
    <cellStyle name="20% - 强调文字颜色 3 2 10" xfId="580"/>
    <cellStyle name="40% - 强调文字颜色 4 2 8" xfId="581"/>
    <cellStyle name="20% - 强调文字颜色 3 2 3" xfId="582"/>
    <cellStyle name="常规 2 14 2" xfId="583"/>
    <cellStyle name="常规 24 12" xfId="584"/>
    <cellStyle name="40% - 强调文字颜色 4 2 9" xfId="585"/>
    <cellStyle name="20% - 强调文字颜色 3 2 4" xfId="586"/>
    <cellStyle name="20% - 强调文字颜色 3 2 5" xfId="587"/>
    <cellStyle name="20% - 强调文字颜色 3 2 6" xfId="588"/>
    <cellStyle name="好_奖励补助测算7.23_Book1" xfId="589"/>
    <cellStyle name="20% - 强调文字颜色 3 3 3" xfId="590"/>
    <cellStyle name="常规 2 15 2" xfId="591"/>
    <cellStyle name="常规 2 20 2" xfId="592"/>
    <cellStyle name="差_2006年在职人员情况_Book1 2" xfId="593"/>
    <cellStyle name="60% - 强调文字颜色 1 2 2" xfId="594"/>
    <cellStyle name="20% - 强调文字颜色 3 4 2" xfId="595"/>
    <cellStyle name="差_Book1_1 2" xfId="596"/>
    <cellStyle name="差_地方配套按人均增幅控制8.30一般预算平均增幅、人均可用财力平均增幅两次控制、社会治安系数调整、案件数调整xl" xfId="597"/>
    <cellStyle name="差_2006年在职人员情况_Book1 3" xfId="598"/>
    <cellStyle name="60% - 强调文字颜色 1 2 3" xfId="599"/>
    <cellStyle name="常规_Sheet1 2 2 2" xfId="600"/>
    <cellStyle name="20% - 强调文字颜色 3 4 3" xfId="601"/>
    <cellStyle name="差_Book1_1 3" xfId="602"/>
    <cellStyle name="60% - 强调文字颜色 1 2 4" xfId="603"/>
    <cellStyle name="20% - 强调文字颜色 3 4 4" xfId="604"/>
    <cellStyle name="60% - 强调文字颜色 1 3 2" xfId="605"/>
    <cellStyle name="常规 2 18" xfId="606"/>
    <cellStyle name="常规 2 23" xfId="607"/>
    <cellStyle name="20% - 强调文字颜色 3 5 2" xfId="608"/>
    <cellStyle name="20% - 强调文字颜色 3 5 2 2" xfId="609"/>
    <cellStyle name="20% - 强调文字颜色 3 5 2 3" xfId="610"/>
    <cellStyle name="20% - 强调文字颜色 3 5 3" xfId="611"/>
    <cellStyle name="20% - 强调文字颜色 3 5 4" xfId="612"/>
    <cellStyle name="60% - 强调文字颜色 1 4" xfId="613"/>
    <cellStyle name="20% - 强调文字颜色 3 6" xfId="614"/>
    <cellStyle name="20% - 强调文字颜色 4 2" xfId="615"/>
    <cellStyle name="常规 3 3 5" xfId="616"/>
    <cellStyle name="常规 6 6" xfId="617"/>
    <cellStyle name="差_Book2_Book1 3" xfId="618"/>
    <cellStyle name="差_2009年一般性转移支付标准工资_奖励补助测算7.25_Book1" xfId="619"/>
    <cellStyle name="20% - 强调文字颜色 4 2 10" xfId="620"/>
    <cellStyle name="常规 29 11" xfId="621"/>
    <cellStyle name="常规 34 11" xfId="622"/>
    <cellStyle name="40% - 强调文字颜色 5 2 7" xfId="623"/>
    <cellStyle name="20% - 强调文字颜色 4 2 2" xfId="624"/>
    <cellStyle name="好_0502通海县_Book1 3" xfId="625"/>
    <cellStyle name="40% - 强调文字颜色 5 2 8" xfId="626"/>
    <cellStyle name="20% - 强调文字颜色 4 2 3" xfId="627"/>
    <cellStyle name="常规 29 12" xfId="628"/>
    <cellStyle name="Accent4 - 40% 2" xfId="629"/>
    <cellStyle name="输入 4 2" xfId="630"/>
    <cellStyle name="40% - 强调文字颜色 4 2 10" xfId="631"/>
    <cellStyle name="40% - 强调文字颜色 5 2 9" xfId="632"/>
    <cellStyle name="20% - 强调文字颜色 4 2 4" xfId="633"/>
    <cellStyle name="20% - 强调文字颜色 4 2 6" xfId="634"/>
    <cellStyle name="差_第五部分(才淼、饶永宏）_Book1" xfId="635"/>
    <cellStyle name="20% - 强调文字颜色 4 2 7" xfId="636"/>
    <cellStyle name="20% - 强调文字颜色 5 5 2 2" xfId="637"/>
    <cellStyle name="20% - 强调文字颜色 4 2 8" xfId="638"/>
    <cellStyle name="20% - 强调文字颜色 4 3 2" xfId="639"/>
    <cellStyle name="20% - 强调文字颜色 4 3 4" xfId="640"/>
    <cellStyle name="20% - 强调文字颜色 4 3 5" xfId="641"/>
    <cellStyle name="常规 97 10" xfId="642"/>
    <cellStyle name="20% - 强调文字颜色 4 4 3" xfId="643"/>
    <cellStyle name="20% - 强调文字颜色 4 4 4" xfId="644"/>
    <cellStyle name="20% - 强调文字颜色 4 4 5" xfId="645"/>
    <cellStyle name="20% - 强调文字颜色 4 5 2" xfId="646"/>
    <cellStyle name="注释 2 2" xfId="647"/>
    <cellStyle name="40% - 强调文字颜色 5 6" xfId="648"/>
    <cellStyle name="20% - 强调文字颜色 4 5 2 2" xfId="649"/>
    <cellStyle name="20% - 强调文字颜色 6 3 4" xfId="650"/>
    <cellStyle name="差_业务工作量指标 4" xfId="651"/>
    <cellStyle name="常规 14 9" xfId="652"/>
    <cellStyle name="20% - 强调文字颜色 4 5 3" xfId="653"/>
    <cellStyle name="20% - 强调文字颜色 4 5 4" xfId="654"/>
    <cellStyle name="20% - 强调文字颜色 4 6" xfId="655"/>
    <cellStyle name="差_1003牟定县 2" xfId="656"/>
    <cellStyle name="20% - 强调文字颜色 5 2" xfId="657"/>
    <cellStyle name="差_530629_2006年县级财政报表附表_Book1" xfId="658"/>
    <cellStyle name="콤마_BOILER-CO1" xfId="659"/>
    <cellStyle name="60% - 强调文字颜色 2 5 2 2" xfId="660"/>
    <cellStyle name="sstot 3" xfId="661"/>
    <cellStyle name="40% - 强调文字颜色 1 5 4" xfId="662"/>
    <cellStyle name="好_2009年一般性转移支付标准工资_奖励补助测算5.23新_Book1 2" xfId="663"/>
    <cellStyle name="20% - 强调文字颜色 5 2 10" xfId="664"/>
    <cellStyle name="差_2009年一般性转移支付标准工资_~4190974 3" xfId="665"/>
    <cellStyle name="货币 4 5" xfId="666"/>
    <cellStyle name="常规 39 11" xfId="667"/>
    <cellStyle name="常规 44 11" xfId="668"/>
    <cellStyle name="好_云南省2008年转移支付测算——州市本级考核部分及政策性测算_Book1" xfId="669"/>
    <cellStyle name="40% - 强调文字颜色 6 2 7" xfId="670"/>
    <cellStyle name="20% - 强调文字颜色 5 2 2" xfId="671"/>
    <cellStyle name="差_530629_2006年县级财政报表附表_Book1 2" xfId="672"/>
    <cellStyle name="货币 11" xfId="673"/>
    <cellStyle name="40% - 强调文字颜色 6 2 8" xfId="674"/>
    <cellStyle name="20% - 强调文字颜色 5 2 3" xfId="675"/>
    <cellStyle name="差_530629_2006年县级财政报表附表_Book1 3" xfId="676"/>
    <cellStyle name="货币 12" xfId="677"/>
    <cellStyle name="40% - 强调文字颜色 6 2 9" xfId="678"/>
    <cellStyle name="20% - 强调文字颜色 5 2 4" xfId="679"/>
    <cellStyle name="货币 13" xfId="680"/>
    <cellStyle name="20% - 强调文字颜色 5 2 5" xfId="681"/>
    <cellStyle name="货币 14" xfId="682"/>
    <cellStyle name="20% - 强调文字颜色 5 2 6" xfId="683"/>
    <cellStyle name="货币 15" xfId="684"/>
    <cellStyle name="货币 20" xfId="685"/>
    <cellStyle name="20% - 强调文字颜色 5 2 7" xfId="686"/>
    <cellStyle name="货币 16" xfId="687"/>
    <cellStyle name="货币 21" xfId="688"/>
    <cellStyle name="20% - 强调文字颜色 5 2 8" xfId="689"/>
    <cellStyle name="货币 17" xfId="690"/>
    <cellStyle name="货币 22" xfId="691"/>
    <cellStyle name="20% - 强调文字颜色 5 2 9" xfId="692"/>
    <cellStyle name="差_教育厅提供义务教育及高中教师人数（2009年1月6日） 2" xfId="693"/>
    <cellStyle name="货币 18" xfId="694"/>
    <cellStyle name="货币 23" xfId="695"/>
    <cellStyle name="常规 49 2 8" xfId="696"/>
    <cellStyle name="百分比 3" xfId="697"/>
    <cellStyle name="20% - 强调文字颜色 5 3 2" xfId="698"/>
    <cellStyle name="差_2006年全省财力计算表（中央、决算）_Book1 2" xfId="699"/>
    <cellStyle name="货币 22 10" xfId="700"/>
    <cellStyle name="货币 17 10" xfId="701"/>
    <cellStyle name="差_2009年一般性转移支付标准工资_奖励补助测算5.23新 4" xfId="702"/>
    <cellStyle name="20% - 强调文字颜色 5 5 2" xfId="703"/>
    <cellStyle name="差_建行_Book1 3" xfId="704"/>
    <cellStyle name="20% - 强调文字颜色 5 5 3" xfId="705"/>
    <cellStyle name="差_地方配套按人均增幅控制8.31（调整结案率后）xl" xfId="706"/>
    <cellStyle name="20% - 强调文字颜色 5 5 4" xfId="707"/>
    <cellStyle name="60% - 强调文字颜色 6 2 4" xfId="708"/>
    <cellStyle name="20% - 强调文字颜色 6 2" xfId="709"/>
    <cellStyle name="40% - 强调文字颜色 6 5 4" xfId="710"/>
    <cellStyle name="差_530623_2006年县级财政报表附表_Book1" xfId="711"/>
    <cellStyle name="20% - 强调文字颜色 6 2 10" xfId="712"/>
    <cellStyle name="货币 11 8" xfId="713"/>
    <cellStyle name="货币 5 2 7" xfId="714"/>
    <cellStyle name="40% - 强调文字颜色 4 5" xfId="715"/>
    <cellStyle name="㼿㼿㼿㼿㼿㼿㼿㼿㼿㼿㼿?" xfId="716"/>
    <cellStyle name="好_云南农村义务教育统计表_Book1 3" xfId="717"/>
    <cellStyle name="20% - 强调文字颜色 6 2 3" xfId="718"/>
    <cellStyle name="常规 13 8" xfId="719"/>
    <cellStyle name="Accent6 - 20% 4" xfId="720"/>
    <cellStyle name="常规 49 12" xfId="721"/>
    <cellStyle name="常规 54 12" xfId="722"/>
    <cellStyle name="PSSpacer" xfId="723"/>
    <cellStyle name="40% - 强调文字颜色 4 6" xfId="724"/>
    <cellStyle name="差_M01-2(州市补助收入)_Book1 2" xfId="725"/>
    <cellStyle name="差_00省级(打印)" xfId="726"/>
    <cellStyle name="常规 13 9" xfId="727"/>
    <cellStyle name="20% - 强调文字颜色 6 2 4" xfId="728"/>
    <cellStyle name="好_2007年政法部门业务指标_Book1" xfId="729"/>
    <cellStyle name="40% - 着色 4 2" xfId="730"/>
    <cellStyle name="货币 8 2" xfId="731"/>
    <cellStyle name="20% - 强调文字颜色 6 2 5" xfId="732"/>
    <cellStyle name="40% - 着色 4 3" xfId="733"/>
    <cellStyle name="货币 8 3" xfId="734"/>
    <cellStyle name="20% - 强调文字颜色 6 2 6" xfId="735"/>
    <cellStyle name="Accent3 - 40%" xfId="736"/>
    <cellStyle name="40% - 着色 4 4" xfId="737"/>
    <cellStyle name="货币 8 4" xfId="738"/>
    <cellStyle name="20% - 强调文字颜色 6 2 7" xfId="739"/>
    <cellStyle name="20% - 强调文字颜色 6 2 8" xfId="740"/>
    <cellStyle name="60% - 强调文字颜色 3 5 2 2" xfId="741"/>
    <cellStyle name="20% - 强调文字颜色 6 2 9" xfId="742"/>
    <cellStyle name="差_2007年可用财力 3" xfId="743"/>
    <cellStyle name="40% - 强调文字颜色 5 5" xfId="744"/>
    <cellStyle name="20% - 强调文字颜色 6 3 3" xfId="745"/>
    <cellStyle name="no dec" xfId="746"/>
    <cellStyle name="差_业务工作量指标 3" xfId="747"/>
    <cellStyle name="常规 14 8" xfId="748"/>
    <cellStyle name="40% - 强调文字颜色 6 4" xfId="749"/>
    <cellStyle name="60% - 强调文字颜色 4 2 2" xfId="750"/>
    <cellStyle name="常规 96 6" xfId="751"/>
    <cellStyle name="好_地方配套按人均增幅控制8.31（调整结案率后）xl" xfId="752"/>
    <cellStyle name="差_Book1" xfId="753"/>
    <cellStyle name="20% - 着色 3 4" xfId="754"/>
    <cellStyle name="20% - 强调文字颜色 6 4 2" xfId="755"/>
    <cellStyle name="差_地方配套按人均增幅控制8.30xl" xfId="756"/>
    <cellStyle name="常规 15 7" xfId="757"/>
    <cellStyle name="常规 20 7" xfId="758"/>
    <cellStyle name="差_2、土地面积、人口、粮食产量基本情况_Book1 2" xfId="759"/>
    <cellStyle name="注释 3 2" xfId="760"/>
    <cellStyle name="40% - 强调文字颜色 6 6" xfId="761"/>
    <cellStyle name="60% - 强调文字颜色 4 2 4" xfId="762"/>
    <cellStyle name="20% - 强调文字颜色 6 4 4" xfId="763"/>
    <cellStyle name="常规 15 9" xfId="764"/>
    <cellStyle name="常规 20 9" xfId="765"/>
    <cellStyle name="40% - 着色 6 2" xfId="766"/>
    <cellStyle name="Dezimal_laroux" xfId="767"/>
    <cellStyle name="20% - 强调文字颜色 6 4 5" xfId="768"/>
    <cellStyle name="20% - 着色 4 4" xfId="769"/>
    <cellStyle name="20% - 强调文字颜色 6 5 2" xfId="770"/>
    <cellStyle name="常规 16 7" xfId="771"/>
    <cellStyle name="常规 21 7" xfId="772"/>
    <cellStyle name="20% - 强调文字颜色 6 5 2 2" xfId="773"/>
    <cellStyle name="好_不用软件计算9.1不考虑经费管理评价xl_Book1" xfId="774"/>
    <cellStyle name="标题 2 2 2" xfId="775"/>
    <cellStyle name="20% - 强调文字颜色 6 5 2 3" xfId="776"/>
    <cellStyle name="常规 91 10" xfId="777"/>
    <cellStyle name="常规 86 10" xfId="778"/>
    <cellStyle name="货币 27 11" xfId="779"/>
    <cellStyle name="差_第一部分：综合全 2" xfId="780"/>
    <cellStyle name="20% - 强调文字颜色 6 5 3" xfId="781"/>
    <cellStyle name="常规 16 8" xfId="782"/>
    <cellStyle name="常规 21 8" xfId="783"/>
    <cellStyle name="常规 91 11" xfId="784"/>
    <cellStyle name="常规 86 11" xfId="785"/>
    <cellStyle name="货币 27 12" xfId="786"/>
    <cellStyle name="差_第一部分：综合全 3" xfId="787"/>
    <cellStyle name="20% - 强调文字颜色 6 5 4" xfId="788"/>
    <cellStyle name="常规 16 9" xfId="789"/>
    <cellStyle name="常规 21 9" xfId="790"/>
    <cellStyle name="40% - 强调文字颜色 5 2 3" xfId="791"/>
    <cellStyle name="好_2006年分析表 3" xfId="792"/>
    <cellStyle name="20% - 强调文字颜色 6 6" xfId="793"/>
    <cellStyle name="差_高中教师人数（教育厅1.6日提供） 2" xfId="794"/>
    <cellStyle name="40% - 强调文字颜色 6 2" xfId="795"/>
    <cellStyle name="好_下半年禁毒办案经费分配2544.3万元" xfId="796"/>
    <cellStyle name="常规 96 4" xfId="797"/>
    <cellStyle name="差_03昭通" xfId="798"/>
    <cellStyle name="20% - 着色 3 2" xfId="799"/>
    <cellStyle name="计算 5 2" xfId="800"/>
    <cellStyle name="40% - 强调文字颜色 6 3" xfId="801"/>
    <cellStyle name="20% - 着色 3 3" xfId="802"/>
    <cellStyle name="20% - 着色 4 2" xfId="803"/>
    <cellStyle name="Currency1" xfId="804"/>
    <cellStyle name="20% - 着色 4 3" xfId="805"/>
    <cellStyle name="40% - Accent1" xfId="806"/>
    <cellStyle name="常规 98 4" xfId="807"/>
    <cellStyle name="着色 1 2" xfId="808"/>
    <cellStyle name="标题 1 9" xfId="809"/>
    <cellStyle name="20% - 着色 5 2" xfId="810"/>
    <cellStyle name="40% - Accent2" xfId="811"/>
    <cellStyle name="差_银行账户情况表_2010年12月_Book1" xfId="812"/>
    <cellStyle name="20% - 着色 5 3" xfId="813"/>
    <cellStyle name="好_1110洱源县_Book1" xfId="814"/>
    <cellStyle name="40% - Accent3" xfId="815"/>
    <cellStyle name="20% - 着色 5 4" xfId="816"/>
    <cellStyle name="常规 99 4" xfId="817"/>
    <cellStyle name="着色 2 2" xfId="818"/>
    <cellStyle name="标题 2 9" xfId="819"/>
    <cellStyle name="20% - 着色 6 2" xfId="820"/>
    <cellStyle name="20% - 着色 6 3" xfId="821"/>
    <cellStyle name="20% - 着色 6 4" xfId="822"/>
    <cellStyle name="40% - 强调文字颜色 3 4 5" xfId="823"/>
    <cellStyle name="40% - Accent1 2" xfId="824"/>
    <cellStyle name="注释 5 8" xfId="825"/>
    <cellStyle name="常规 78" xfId="826"/>
    <cellStyle name="常规 83" xfId="827"/>
    <cellStyle name="差_银行账户情况表_2010年12月" xfId="828"/>
    <cellStyle name="货币 17 7" xfId="829"/>
    <cellStyle name="货币 22 7" xfId="830"/>
    <cellStyle name="40% - Accent1 3" xfId="831"/>
    <cellStyle name="常规 79" xfId="832"/>
    <cellStyle name="常规 84" xfId="833"/>
    <cellStyle name="货币 17 8" xfId="834"/>
    <cellStyle name="货币 22 8" xfId="835"/>
    <cellStyle name="40% - Accent2 2" xfId="836"/>
    <cellStyle name="差_银行账户情况表_2010年12月_Book1 2" xfId="837"/>
    <cellStyle name="货币 18 7" xfId="838"/>
    <cellStyle name="货币 23 7" xfId="839"/>
    <cellStyle name="40% - Accent2 3" xfId="840"/>
    <cellStyle name="差_银行账户情况表_2010年12月_Book1 3" xfId="841"/>
    <cellStyle name="货币 18 8" xfId="842"/>
    <cellStyle name="货币 23 8" xfId="843"/>
    <cellStyle name="40% - Accent3 2" xfId="844"/>
    <cellStyle name="货币 19 7" xfId="845"/>
    <cellStyle name="货币 24 7" xfId="846"/>
    <cellStyle name="40% - Accent3 3" xfId="847"/>
    <cellStyle name="货币 19 8" xfId="848"/>
    <cellStyle name="货币 24 8" xfId="849"/>
    <cellStyle name="40% - Accent3 4" xfId="850"/>
    <cellStyle name="货币 19 9" xfId="851"/>
    <cellStyle name="货币 24 9" xfId="852"/>
    <cellStyle name="40% - Accent4" xfId="853"/>
    <cellStyle name="Normal - Style1" xfId="854"/>
    <cellStyle name="40% - Accent4 2" xfId="855"/>
    <cellStyle name="货币 12 2 5" xfId="856"/>
    <cellStyle name="货币 25 7" xfId="857"/>
    <cellStyle name="40% - Accent4 3" xfId="858"/>
    <cellStyle name="货币 12 2 6" xfId="859"/>
    <cellStyle name="常规 15 10" xfId="860"/>
    <cellStyle name="常规 20 10" xfId="861"/>
    <cellStyle name="货币 25 8" xfId="862"/>
    <cellStyle name="40% - Accent4 4" xfId="863"/>
    <cellStyle name="货币 12 2 7" xfId="864"/>
    <cellStyle name="常规 15 11" xfId="865"/>
    <cellStyle name="常规 20 11" xfId="866"/>
    <cellStyle name="常规 66 2 2" xfId="867"/>
    <cellStyle name="货币 25 9" xfId="868"/>
    <cellStyle name="40% - Accent5" xfId="869"/>
    <cellStyle name="警告文本 2" xfId="870"/>
    <cellStyle name="差_Book1_银行账户情况表_2010年12月_Book1" xfId="871"/>
    <cellStyle name="60% - 强调文字颜色 1 5" xfId="872"/>
    <cellStyle name="40% - Accent5 2" xfId="873"/>
    <cellStyle name="警告文本 2 2" xfId="874"/>
    <cellStyle name="差_Book1_银行账户情况表_2010年12月_Book1 2" xfId="875"/>
    <cellStyle name="货币 26 7" xfId="876"/>
    <cellStyle name="40% - Accent5 3" xfId="877"/>
    <cellStyle name="警告文本 2 3" xfId="878"/>
    <cellStyle name="差_Book1_银行账户情况表_2010年12月_Book1 3" xfId="879"/>
    <cellStyle name="货币 26 8" xfId="880"/>
    <cellStyle name="40% - Accent5 4" xfId="881"/>
    <cellStyle name="样式 1 2" xfId="882"/>
    <cellStyle name="警告文本 2 4" xfId="883"/>
    <cellStyle name="货币 26 9" xfId="884"/>
    <cellStyle name="40% - Accent6" xfId="885"/>
    <cellStyle name="40% - Accent6 2" xfId="886"/>
    <cellStyle name="警告文本 3 2" xfId="887"/>
    <cellStyle name="货币 27 7" xfId="888"/>
    <cellStyle name="40% - 强调文字颜色 3 2 10" xfId="889"/>
    <cellStyle name="标题 3 5 2" xfId="890"/>
    <cellStyle name="60% - 强调文字颜色 2 6" xfId="891"/>
    <cellStyle name="40% - Accent6 3" xfId="892"/>
    <cellStyle name="警告文本 3 3" xfId="893"/>
    <cellStyle name="货币 27 8" xfId="894"/>
    <cellStyle name="40% - Accent6 4" xfId="895"/>
    <cellStyle name="警告文本 3 4" xfId="896"/>
    <cellStyle name="货币 27 9" xfId="897"/>
    <cellStyle name="40% - 强调文字颜色 1 2" xfId="898"/>
    <cellStyle name="常规 99 9" xfId="899"/>
    <cellStyle name="差_2009年一般性转移支付标准工资_地方配套按人均增幅控制8.31（调整结案率后）xl 4" xfId="900"/>
    <cellStyle name="40% - 强调文字颜色 1 2 10" xfId="901"/>
    <cellStyle name="40% - 强调文字颜色 1 2 2" xfId="902"/>
    <cellStyle name="40% - 强调文字颜色 1 2 3" xfId="903"/>
    <cellStyle name="40% - 强调文字颜色 1 2 4" xfId="904"/>
    <cellStyle name="40% - 强调文字颜色 1 2 5" xfId="905"/>
    <cellStyle name="40% - 强调文字颜色 1 2 6" xfId="906"/>
    <cellStyle name="常规 37 2" xfId="907"/>
    <cellStyle name="常规 42 2" xfId="908"/>
    <cellStyle name="40% - 强调文字颜色 1 2 7" xfId="909"/>
    <cellStyle name="Percent_!!!GO" xfId="910"/>
    <cellStyle name="常规 37 3" xfId="911"/>
    <cellStyle name="常规 42 3" xfId="912"/>
    <cellStyle name="40% - 强调文字颜色 1 3" xfId="913"/>
    <cellStyle name="常规 9 2" xfId="914"/>
    <cellStyle name="40% - 强调文字颜色 1 3 2" xfId="915"/>
    <cellStyle name="差_云南省2008年中小学教职工情况（教育厅提供20090101加工整理） 3" xfId="916"/>
    <cellStyle name="货币 2 4" xfId="917"/>
    <cellStyle name="差_5334_2006年迪庆县级财政报表附表_Book1" xfId="918"/>
    <cellStyle name="40% - 强调文字颜色 1 3 3" xfId="919"/>
    <cellStyle name="差_云南省2008年中小学教职工情况（教育厅提供20090101加工整理） 4" xfId="920"/>
    <cellStyle name="40% - 强调文字颜色 1 3 4" xfId="921"/>
    <cellStyle name="注释 9" xfId="922"/>
    <cellStyle name="差_2006年在职人员情况 2" xfId="923"/>
    <cellStyle name="40% - 强调文字颜色 1 4" xfId="924"/>
    <cellStyle name="常规 9 3" xfId="925"/>
    <cellStyle name="40% - 强调文字颜色 1 4 2" xfId="926"/>
    <cellStyle name="40% - 强调文字颜色 1 4 3" xfId="927"/>
    <cellStyle name="40% - 强调文字颜色 6 2 10" xfId="928"/>
    <cellStyle name="货币 3 5" xfId="929"/>
    <cellStyle name="40% - 强调文字颜色 1 4 4" xfId="930"/>
    <cellStyle name="40% - 强调文字颜色 6 2 2" xfId="931"/>
    <cellStyle name="好_530623_2006年县级财政报表附表_Book1" xfId="932"/>
    <cellStyle name="好_下半年禁毒办案经费分配2544.3万元 2" xfId="933"/>
    <cellStyle name="40% - 强调文字颜色 1 4 5" xfId="934"/>
    <cellStyle name="40% - 强调文字颜色 1 5" xfId="935"/>
    <cellStyle name="常规 102 2" xfId="936"/>
    <cellStyle name="常规 9 4" xfId="937"/>
    <cellStyle name="40% - 强调文字颜色 1 5 2 2" xfId="938"/>
    <cellStyle name="40% - 强调文字颜色 1 5 2 3" xfId="939"/>
    <cellStyle name="货币 4 4" xfId="940"/>
    <cellStyle name="差_2009年一般性转移支付标准工资_~4190974 2" xfId="941"/>
    <cellStyle name="差_城建部门_Book1" xfId="942"/>
    <cellStyle name="40% - 强调文字颜色 1 5 3" xfId="943"/>
    <cellStyle name="Border" xfId="944"/>
    <cellStyle name="40% - 强调文字颜色 1 6" xfId="945"/>
    <cellStyle name="常规 102 3" xfId="946"/>
    <cellStyle name="常规 9 5" xfId="947"/>
    <cellStyle name="差_2006年分析表_Book1 3" xfId="948"/>
    <cellStyle name="40% - 强调文字颜色 2 2 2" xfId="949"/>
    <cellStyle name="货币 9 2 11" xfId="950"/>
    <cellStyle name="40% - 强调文字颜色 2 2 3" xfId="951"/>
    <cellStyle name="40% - 强调文字颜色 2 2 4" xfId="952"/>
    <cellStyle name="40% - 强调文字颜色 2 2 5" xfId="953"/>
    <cellStyle name="差_03昭通_Book1 2" xfId="954"/>
    <cellStyle name="常规 87 2" xfId="955"/>
    <cellStyle name="常规 92 2" xfId="956"/>
    <cellStyle name="40% - 强调文字颜色 2 2 6" xfId="957"/>
    <cellStyle name="差_03昭通_Book1 3" xfId="958"/>
    <cellStyle name="好_奖励补助测算7.23" xfId="959"/>
    <cellStyle name="40% - 强调文字颜色 2 3 2" xfId="960"/>
    <cellStyle name="差_下半年禁吸戒毒经费1000万元" xfId="961"/>
    <cellStyle name="40% - 强调文字颜色 2 3 3" xfId="962"/>
    <cellStyle name="40% - 强调文字颜色 2 3 4" xfId="963"/>
    <cellStyle name="40% - 强调文字颜色 2 3 5" xfId="964"/>
    <cellStyle name="40% - 强调文字颜色 2 4 2" xfId="965"/>
    <cellStyle name="40% - 强调文字颜色 2 4 3" xfId="966"/>
    <cellStyle name="40% - 强调文字颜色 2 4 4" xfId="967"/>
    <cellStyle name="40% - 强调文字颜色 2 4 5" xfId="968"/>
    <cellStyle name="40% - 强调文字颜色 2 5 2" xfId="969"/>
    <cellStyle name="40% - 强调文字颜色 3 5 4" xfId="970"/>
    <cellStyle name="货币 18 6" xfId="971"/>
    <cellStyle name="货币 23 6" xfId="972"/>
    <cellStyle name="40% - 强调文字颜色 2 5 2 3" xfId="973"/>
    <cellStyle name="常规 2 4 10" xfId="974"/>
    <cellStyle name="40% - 强调文字颜色 2 5 4" xfId="975"/>
    <cellStyle name="差_衢州市附件2：全省质监系统检验检测项目 3" xfId="976"/>
    <cellStyle name="40% - 着色 6 4" xfId="977"/>
    <cellStyle name="40% - 强调文字颜色 3 2 2" xfId="978"/>
    <cellStyle name="注释 3 5" xfId="979"/>
    <cellStyle name="好_2009年一般性转移支付标准工资_地方配套按人均增幅控制8.31（调整结案率后）xl" xfId="980"/>
    <cellStyle name="货币 15 4" xfId="981"/>
    <cellStyle name="货币 20 4" xfId="982"/>
    <cellStyle name="40% - 强调文字颜色 3 2 3" xfId="983"/>
    <cellStyle name="注释 3 6" xfId="984"/>
    <cellStyle name="货币 15 5" xfId="985"/>
    <cellStyle name="货币 20 5" xfId="986"/>
    <cellStyle name="40% - 强调文字颜色 3 2 4" xfId="987"/>
    <cellStyle name="差_三季度－表二" xfId="988"/>
    <cellStyle name="注释 3 7" xfId="989"/>
    <cellStyle name="货币 15 6" xfId="990"/>
    <cellStyle name="货币 20 6" xfId="991"/>
    <cellStyle name="40% - 强调文字颜色 3 2 5" xfId="992"/>
    <cellStyle name="注释 3 8" xfId="993"/>
    <cellStyle name="货币 15 7" xfId="994"/>
    <cellStyle name="货币 20 7" xfId="995"/>
    <cellStyle name="40% - 强调文字颜色 3 2 6" xfId="996"/>
    <cellStyle name="常规 14 10" xfId="997"/>
    <cellStyle name="货币 15 8" xfId="998"/>
    <cellStyle name="货币 20 8" xfId="999"/>
    <cellStyle name="40% - 强调文字颜色 3 3 2" xfId="1000"/>
    <cellStyle name="注释 4 5" xfId="1001"/>
    <cellStyle name="常规 25" xfId="1002"/>
    <cellStyle name="常规 30" xfId="1003"/>
    <cellStyle name="货币 16 4" xfId="1004"/>
    <cellStyle name="货币 21 4" xfId="1005"/>
    <cellStyle name="40% - 强调文字颜色 3 3 4" xfId="1006"/>
    <cellStyle name="注释 4 7" xfId="1007"/>
    <cellStyle name="常规 27" xfId="1008"/>
    <cellStyle name="常规 32" xfId="1009"/>
    <cellStyle name="好_2009年一般性转移支付标准工资_~5676413_Book1 3" xfId="1010"/>
    <cellStyle name="货币 16 6" xfId="1011"/>
    <cellStyle name="货币 21 6" xfId="1012"/>
    <cellStyle name="40% - 强调文字颜色 3 3 5" xfId="1013"/>
    <cellStyle name="注释 4 8" xfId="1014"/>
    <cellStyle name="常规 28" xfId="1015"/>
    <cellStyle name="常规 33" xfId="1016"/>
    <cellStyle name="货币 16 7" xfId="1017"/>
    <cellStyle name="货币 21 7" xfId="1018"/>
    <cellStyle name="注释 5 5" xfId="1019"/>
    <cellStyle name="常规 75" xfId="1020"/>
    <cellStyle name="常规 80" xfId="1021"/>
    <cellStyle name="货币 17 4" xfId="1022"/>
    <cellStyle name="货币 22 4" xfId="1023"/>
    <cellStyle name="40% - 强调文字颜色 3 4 2" xfId="1024"/>
    <cellStyle name="货币 22 6" xfId="1025"/>
    <cellStyle name="货币 17 6" xfId="1026"/>
    <cellStyle name="常规 82" xfId="1027"/>
    <cellStyle name="常规 77" xfId="1028"/>
    <cellStyle name="注释 5 7" xfId="1029"/>
    <cellStyle name="40% - 强调文字颜色 3 4 4" xfId="1030"/>
    <cellStyle name="40% - 强调文字颜色 3 5" xfId="1031"/>
    <cellStyle name="货币 23 4" xfId="1032"/>
    <cellStyle name="货币 18 4" xfId="1033"/>
    <cellStyle name="40% - 强调文字颜色 3 5 2" xfId="1034"/>
    <cellStyle name="40% - 强调文字颜色 3 5 2 2" xfId="1035"/>
    <cellStyle name="40% - 强调文字颜色 6 2 4" xfId="1036"/>
    <cellStyle name="检查单元格 5 2" xfId="1037"/>
    <cellStyle name="40% - 强调文字颜色 3 5 2 3" xfId="1038"/>
    <cellStyle name="40% - 强调文字颜色 6 2 5" xfId="1039"/>
    <cellStyle name="40% - 强调文字颜色 3 6" xfId="1040"/>
    <cellStyle name="6mal" xfId="1041"/>
    <cellStyle name="40% - 强调文字颜色 4 2 3" xfId="1042"/>
    <cellStyle name="40% - 强调文字颜色 4 2 4" xfId="1043"/>
    <cellStyle name="常规 24 10" xfId="1044"/>
    <cellStyle name="常规 19 10" xfId="1045"/>
    <cellStyle name="千位分隔 2 12" xfId="1046"/>
    <cellStyle name="40% - 强调文字颜色 4 2 6" xfId="1047"/>
    <cellStyle name="40% - 强调文字颜色 4 4 2" xfId="1048"/>
    <cellStyle name="差_2009年一般性转移支付标准工资_~5676413_Book1 2" xfId="1049"/>
    <cellStyle name="40% - 强调文字颜色 4 4 3" xfId="1050"/>
    <cellStyle name="差_2009年一般性转移支付标准工资_~5676413_Book1 3" xfId="1051"/>
    <cellStyle name="40% - 强调文字颜色 4 4 4" xfId="1052"/>
    <cellStyle name="40% - 强调文字颜色 4 4 5" xfId="1053"/>
    <cellStyle name="40% - 强调文字颜色 4 5 2" xfId="1054"/>
    <cellStyle name="40% - 强调文字颜色 4 5 2 2" xfId="1055"/>
    <cellStyle name="40% - 强调文字颜色 4 5 2 3" xfId="1056"/>
    <cellStyle name="40% - 强调文字颜色 4 5 3" xfId="1057"/>
    <cellStyle name="差_2009年一般性转移支付标准工资_地方配套按人均增幅控制8.30xl_Book1 2" xfId="1058"/>
    <cellStyle name="货币 3 2 6" xfId="1059"/>
    <cellStyle name="千位分隔[0] 2 7" xfId="1060"/>
    <cellStyle name="40% - 强调文字颜色 4 5 4" xfId="1061"/>
    <cellStyle name="Fixed" xfId="1062"/>
    <cellStyle name="差_2009年一般性转移支付标准工资_地方配套按人均增幅控制8.30xl_Book1 3" xfId="1063"/>
    <cellStyle name="常规 28 2" xfId="1064"/>
    <cellStyle name="常规 33 2" xfId="1065"/>
    <cellStyle name="货币 3 2 7" xfId="1066"/>
    <cellStyle name="40% - 强调文字颜色 5 2 10" xfId="1067"/>
    <cellStyle name="差_2009年一般性转移支付标准工资_~5676413 3" xfId="1068"/>
    <cellStyle name="常规 146" xfId="1069"/>
    <cellStyle name="常规 151" xfId="1070"/>
    <cellStyle name="常规 5 6" xfId="1071"/>
    <cellStyle name="40% - 强调文字颜色 5 2 4" xfId="1072"/>
    <cellStyle name="差_高中教师人数（教育厅1.6日提供） 3" xfId="1073"/>
    <cellStyle name="常规 75 2" xfId="1074"/>
    <cellStyle name="常规 80 2" xfId="1075"/>
    <cellStyle name="注释 5 5 2" xfId="1076"/>
    <cellStyle name="40% - 强调文字颜色 5 2 5" xfId="1077"/>
    <cellStyle name="差_高中教师人数（教育厅1.6日提供） 4" xfId="1078"/>
    <cellStyle name="常规 75 3" xfId="1079"/>
    <cellStyle name="常规 80 3" xfId="1080"/>
    <cellStyle name="好_0502通海县_Book1 2" xfId="1081"/>
    <cellStyle name="40% - 强调文字颜色 5 2 6" xfId="1082"/>
    <cellStyle name="常规 34 10" xfId="1083"/>
    <cellStyle name="常规 29 10" xfId="1084"/>
    <cellStyle name="40% - 强调文字颜色 5 3 2" xfId="1085"/>
    <cellStyle name="差_2008年县级公安保障标准落实奖励经费分配测算_Book1" xfId="1086"/>
    <cellStyle name="40% - 强调文字颜色 5 3 3" xfId="1087"/>
    <cellStyle name="好_~4190974_Book1" xfId="1088"/>
    <cellStyle name="40% - 强调文字颜色 5 3 4" xfId="1089"/>
    <cellStyle name="差_0605石屏县 2" xfId="1090"/>
    <cellStyle name="常规 76 2" xfId="1091"/>
    <cellStyle name="常规 81 2" xfId="1092"/>
    <cellStyle name="好_2007年检察院案件数_Book1" xfId="1093"/>
    <cellStyle name="40% - 强调文字颜色 5 3 5" xfId="1094"/>
    <cellStyle name="差_0605石屏县 3" xfId="1095"/>
    <cellStyle name="差_云南省2008年转移支付测算——州市本级考核部分及政策性测算" xfId="1096"/>
    <cellStyle name="常规 76 3" xfId="1097"/>
    <cellStyle name="常规 81 3" xfId="1098"/>
    <cellStyle name="40% - 强调文字颜色 5 4 2" xfId="1099"/>
    <cellStyle name="40% - 强调文字颜色 5 4 4" xfId="1100"/>
    <cellStyle name="40% - 强调文字颜色 5 4 5" xfId="1101"/>
    <cellStyle name="差_0502通海县_Book1 2" xfId="1102"/>
    <cellStyle name="常规 77 3" xfId="1103"/>
    <cellStyle name="常规 82 3" xfId="1104"/>
    <cellStyle name="好_Book1_1_Book1" xfId="1105"/>
    <cellStyle name="40% - 强调文字颜色 5 5 2" xfId="1106"/>
    <cellStyle name="好_Book1_1_Book1 2" xfId="1107"/>
    <cellStyle name="40% - 强调文字颜色 5 5 2 2" xfId="1108"/>
    <cellStyle name="40% - 强调文字颜色 5 5 3" xfId="1109"/>
    <cellStyle name="差_业务工作量指标_Book1" xfId="1110"/>
    <cellStyle name="40% - 强调文字颜色 5 5 4" xfId="1111"/>
    <cellStyle name="好_下半年禁毒办案经费分配2544.3万元 3" xfId="1112"/>
    <cellStyle name="40% - 强调文字颜色 6 2 3" xfId="1113"/>
    <cellStyle name="货币 10" xfId="1114"/>
    <cellStyle name="40% - 强调文字颜色 6 2 6" xfId="1115"/>
    <cellStyle name="常规 44 10" xfId="1116"/>
    <cellStyle name="常规 39 10" xfId="1117"/>
    <cellStyle name="40% - 强调文字颜色 6 3 2" xfId="1118"/>
    <cellStyle name="40% - 强调文字颜色 6 3 3" xfId="1119"/>
    <cellStyle name="差_2009年一般性转移支付标准工资_奖励补助测算7.23" xfId="1120"/>
    <cellStyle name="常规 101 9" xfId="1121"/>
    <cellStyle name="常规 49 2 4" xfId="1122"/>
    <cellStyle name="40% - 强调文字颜色 6 3 4" xfId="1123"/>
    <cellStyle name="40% - 强调文字颜色 6 3 5" xfId="1124"/>
    <cellStyle name="差_2009年一般性转移支付标准工资_奖励补助测算7.25" xfId="1125"/>
    <cellStyle name="常规 49 2 6" xfId="1126"/>
    <cellStyle name="40% - 强调文字颜色 6 4 3" xfId="1127"/>
    <cellStyle name="40% - 强调文字颜色 6 4 4" xfId="1128"/>
    <cellStyle name="差_05玉溪" xfId="1129"/>
    <cellStyle name="常规 13 10" xfId="1130"/>
    <cellStyle name="货币 10 8" xfId="1131"/>
    <cellStyle name="40% - 强调文字颜色 6 4 5" xfId="1132"/>
    <cellStyle name="40% - 强调文字颜色 6 5 2" xfId="1133"/>
    <cellStyle name="差_教师绩效工资测算表（离退休按各地上报数测算）2009年1月1日 3" xfId="1134"/>
    <cellStyle name="40% - 强调文字颜色 6 5 2 2" xfId="1135"/>
    <cellStyle name="差_2007年政法部门业务指标 3" xfId="1136"/>
    <cellStyle name="标题 4 3" xfId="1137"/>
    <cellStyle name="千位分隔 4" xfId="1138"/>
    <cellStyle name="40% - 强调文字颜色 6 5 3" xfId="1139"/>
    <cellStyle name="货币 5 2" xfId="1140"/>
    <cellStyle name="40% - 着色 1 2" xfId="1141"/>
    <cellStyle name="货币 5 3" xfId="1142"/>
    <cellStyle name="40% - 着色 1 3" xfId="1143"/>
    <cellStyle name="货币 5 4" xfId="1144"/>
    <cellStyle name="40% - 着色 1 4" xfId="1145"/>
    <cellStyle name="货币 6 4" xfId="1146"/>
    <cellStyle name="40% - 着色 2 4" xfId="1147"/>
    <cellStyle name="货币 7 2" xfId="1148"/>
    <cellStyle name="40% - 着色 3 2" xfId="1149"/>
    <cellStyle name="货币 9 3" xfId="1150"/>
    <cellStyle name="40% - 着色 5 3" xfId="1151"/>
    <cellStyle name="货币 9 4" xfId="1152"/>
    <cellStyle name="Accent5 - 20% 2" xfId="1153"/>
    <cellStyle name="40% - 着色 5 4" xfId="1154"/>
    <cellStyle name="差_义务教育阶段教职工人数（教育厅提供最终）" xfId="1155"/>
    <cellStyle name="40% - 着色 6 3" xfId="1156"/>
    <cellStyle name="60% - Accent1" xfId="1157"/>
    <cellStyle name="常规 52 10" xfId="1158"/>
    <cellStyle name="常规 47 10" xfId="1159"/>
    <cellStyle name="60% - Accent2" xfId="1160"/>
    <cellStyle name="常规 52 11" xfId="1161"/>
    <cellStyle name="常规 47 11" xfId="1162"/>
    <cellStyle name="60% - Accent3" xfId="1163"/>
    <cellStyle name="差_~5676413 2" xfId="1164"/>
    <cellStyle name="常规 52 12" xfId="1165"/>
    <cellStyle name="常规 47 12" xfId="1166"/>
    <cellStyle name="60% - Accent4" xfId="1167"/>
    <cellStyle name="per.style" xfId="1168"/>
    <cellStyle name="Hyperlink_AheadBehind.xls Chart 23" xfId="1169"/>
    <cellStyle name="差_~5676413 3" xfId="1170"/>
    <cellStyle name="60% - Accent5" xfId="1171"/>
    <cellStyle name="PSChar 2" xfId="1172"/>
    <cellStyle name="差_~5676413 4" xfId="1173"/>
    <cellStyle name="常规 28 12" xfId="1174"/>
    <cellStyle name="强调文字颜色 4 2 2" xfId="1175"/>
    <cellStyle name="60% - Accent5 2" xfId="1176"/>
    <cellStyle name="60% - Accent6" xfId="1177"/>
    <cellStyle name="t" xfId="1178"/>
    <cellStyle name="好_检验表" xfId="1179"/>
    <cellStyle name="货币 7 2 9" xfId="1180"/>
    <cellStyle name="强调文字颜色 4 3 2" xfId="1181"/>
    <cellStyle name="60% - Accent6 2" xfId="1182"/>
    <cellStyle name="t 2" xfId="1183"/>
    <cellStyle name="常规 66 6" xfId="1184"/>
    <cellStyle name="常规 71 6" xfId="1185"/>
    <cellStyle name="好_检验表 2" xfId="1186"/>
    <cellStyle name="60% - 强调文字颜色 1 2 2 2" xfId="1187"/>
    <cellStyle name="60% - 强调文字颜色 1 4 2" xfId="1188"/>
    <cellStyle name="标题 4 2 3" xfId="1189"/>
    <cellStyle name="千位分隔 3 3" xfId="1190"/>
    <cellStyle name="好_衢州市附件2：全省质监系统检验检测项目_Book1 3" xfId="1191"/>
    <cellStyle name="60% - 强调文字颜色 1 5 2" xfId="1192"/>
    <cellStyle name="60% - 强调文字颜色 1 5 2 2" xfId="1193"/>
    <cellStyle name="烹拳 [0]_ +Foil &amp; -FOIL &amp; PAPER" xfId="1194"/>
    <cellStyle name="60% - 强调文字颜色 1 5 3" xfId="1195"/>
    <cellStyle name="60% - 强调文字颜色 1 6" xfId="1196"/>
    <cellStyle name="60% - 强调文字颜色 2 2" xfId="1197"/>
    <cellStyle name="60% - 强调文字颜色 2 2 2" xfId="1198"/>
    <cellStyle name="差_1110洱源县 3" xfId="1199"/>
    <cellStyle name="60% - 强调文字颜色 2 2 3" xfId="1200"/>
    <cellStyle name="差_1110洱源县 4" xfId="1201"/>
    <cellStyle name="60% - 强调文字颜色 2 2 4" xfId="1202"/>
    <cellStyle name="60% - 强调文字颜色 2 3 2" xfId="1203"/>
    <cellStyle name="好_检验表_Book1" xfId="1204"/>
    <cellStyle name="60% - 强调文字颜色 2 4" xfId="1205"/>
    <cellStyle name="好_检验表_Book1 2" xfId="1206"/>
    <cellStyle name="60% - 强调文字颜色 2 4 2" xfId="1207"/>
    <cellStyle name="60% - 强调文字颜色 2 5" xfId="1208"/>
    <cellStyle name="60% - 强调文字颜色 3 2" xfId="1209"/>
    <cellStyle name="60% - 强调文字颜色 3 2 2" xfId="1210"/>
    <cellStyle name="60% - 强调文字颜色 3 2 3" xfId="1211"/>
    <cellStyle name="60% - 强调文字颜色 3 2 4" xfId="1212"/>
    <cellStyle name="60% - 强调文字颜色 3 3 2" xfId="1213"/>
    <cellStyle name="60% - 强调文字颜色 3 4 2" xfId="1214"/>
    <cellStyle name="60% - 强调文字颜色 3 5" xfId="1215"/>
    <cellStyle name="60% - 强调文字颜色 3 5 2" xfId="1216"/>
    <cellStyle name="60% - 强调文字颜色 3 5 3" xfId="1217"/>
    <cellStyle name="60% - 强调文字颜色 4 2" xfId="1218"/>
    <cellStyle name="60% - 强调文字颜色 4 3 2" xfId="1219"/>
    <cellStyle name="常规 15" xfId="1220"/>
    <cellStyle name="常规 20" xfId="1221"/>
    <cellStyle name="Check Cell" xfId="1222"/>
    <cellStyle name="差_奖励补助测算7.25 (version 1) (version 1) 2" xfId="1223"/>
    <cellStyle name="60% - 强调文字颜色 4 4" xfId="1224"/>
    <cellStyle name="差_建行 2" xfId="1225"/>
    <cellStyle name="60% - 强调文字颜色 4 4 2" xfId="1226"/>
    <cellStyle name="常规 65" xfId="1227"/>
    <cellStyle name="常规 70" xfId="1228"/>
    <cellStyle name="60% - 强调文字颜色 4 5" xfId="1229"/>
    <cellStyle name="差_建行 3" xfId="1230"/>
    <cellStyle name="60% - 强调文字颜色 4 5 2" xfId="1231"/>
    <cellStyle name="60% - 强调文字颜色 4 5 2 2" xfId="1232"/>
    <cellStyle name="60% - 强调文字颜色 4 5 3" xfId="1233"/>
    <cellStyle name="60% - 强调文字颜色 4 6" xfId="1234"/>
    <cellStyle name="差_建行 4" xfId="1235"/>
    <cellStyle name="60% - 强调文字颜色 5 2" xfId="1236"/>
    <cellStyle name="常规 72 2 9" xfId="1237"/>
    <cellStyle name="60% - 强调文字颜色 5 2 2" xfId="1238"/>
    <cellStyle name="60% - 强调文字颜色 5 2 2 2" xfId="1239"/>
    <cellStyle name="60% - 强调文字颜色 5 2 3" xfId="1240"/>
    <cellStyle name="60% - 强调文字颜色 5 2 4" xfId="1241"/>
    <cellStyle name="60% - 强调文字颜色 5 3" xfId="1242"/>
    <cellStyle name="60% - 强调文字颜色 5 3 2" xfId="1243"/>
    <cellStyle name="60% - 强调文字颜色 5 4" xfId="1244"/>
    <cellStyle name="60% - 强调文字颜色 5 4 2" xfId="1245"/>
    <cellStyle name="60% - 强调文字颜色 5 5" xfId="1246"/>
    <cellStyle name="常规 20_2018年6月份月累计及单班" xfId="1247"/>
    <cellStyle name="60% - 强调文字颜色 5 5 2" xfId="1248"/>
    <cellStyle name="好_奖励补助测算5.24冯铸_Book1 3" xfId="1249"/>
    <cellStyle name="60% - 强调文字颜色 5 5 2 2" xfId="1250"/>
    <cellStyle name="60% - 强调文字颜色 5 5 3" xfId="1251"/>
    <cellStyle name="60% - 强调文字颜色 5 6" xfId="1252"/>
    <cellStyle name="60% - 强调文字颜色 6 2" xfId="1253"/>
    <cellStyle name="60% - 强调文字颜色 6 2 2" xfId="1254"/>
    <cellStyle name="60% - 强调文字颜色 6 2 2 2" xfId="1255"/>
    <cellStyle name="货币 19 2 5" xfId="1256"/>
    <cellStyle name="货币 26 10" xfId="1257"/>
    <cellStyle name="60% - 强调文字颜色 6 2 3" xfId="1258"/>
    <cellStyle name="60% - 强调文字颜色 6 3" xfId="1259"/>
    <cellStyle name="差_2006年基础数据_Book1 2" xfId="1260"/>
    <cellStyle name="60% - 强调文字颜色 6 3 2" xfId="1261"/>
    <cellStyle name="差_奖励补助测算5.23新" xfId="1262"/>
    <cellStyle name="日期" xfId="1263"/>
    <cellStyle name="Accent2 - 60%" xfId="1264"/>
    <cellStyle name="Comma [0] 3" xfId="1265"/>
    <cellStyle name="60% - 强调文字颜色 6 4" xfId="1266"/>
    <cellStyle name="差_2006年基础数据_Book1 3" xfId="1267"/>
    <cellStyle name="60% - 强调文字颜色 6 5" xfId="1268"/>
    <cellStyle name="60% - 强调文字颜色 6 5 2 2" xfId="1269"/>
    <cellStyle name="60% - 强调文字颜色 6 6" xfId="1270"/>
    <cellStyle name="60% - 着色 1 2" xfId="1271"/>
    <cellStyle name="60% - 着色 1 3" xfId="1272"/>
    <cellStyle name="60% - 着色 1 4" xfId="1273"/>
    <cellStyle name="常规 66 2 10" xfId="1274"/>
    <cellStyle name="60% - 着色 2 2" xfId="1275"/>
    <cellStyle name="常规 2 2 11" xfId="1276"/>
    <cellStyle name="60% - 着色 2 3" xfId="1277"/>
    <cellStyle name="60% - 着色 2 4" xfId="1278"/>
    <cellStyle name="60% - 着色 3 2" xfId="1279"/>
    <cellStyle name="Moneda_96 Risk" xfId="1280"/>
    <cellStyle name="好_云南省2008年中小学教师人数统计表 3" xfId="1281"/>
    <cellStyle name="差_2009年一般性转移支付标准工资_地方配套按人均增幅控制8.30一般预算平均增幅、人均可用财力平均增幅两次控制、社会治安系数调整、案件数调整xl 3" xfId="1282"/>
    <cellStyle name="60% - 着色 3 3" xfId="1283"/>
    <cellStyle name="差_2009年一般性转移支付标准工资_地方配套按人均增幅控制8.30一般预算平均增幅、人均可用财力平均增幅两次控制、社会治安系数调整、案件数调整xl 4" xfId="1284"/>
    <cellStyle name="差_2009年一般性转移支付标准工资_奖励补助测算5.24冯铸_Book1" xfId="1285"/>
    <cellStyle name="60% - 着色 3 4" xfId="1286"/>
    <cellStyle name="好_第一部分：综合全_Book1 2" xfId="1287"/>
    <cellStyle name="60% - 着色 4 2" xfId="1288"/>
    <cellStyle name="差_地方配套按人均增幅控制8.30xl 3" xfId="1289"/>
    <cellStyle name="标题 1 2 2" xfId="1290"/>
    <cellStyle name="60% - 着色 4 3" xfId="1291"/>
    <cellStyle name="差_地方配套按人均增幅控制8.30xl 4" xfId="1292"/>
    <cellStyle name="标题 1 2 3" xfId="1293"/>
    <cellStyle name="60% - 着色 4 4" xfId="1294"/>
    <cellStyle name="标题 1 2 4" xfId="1295"/>
    <cellStyle name="60% - 着色 5 2" xfId="1296"/>
    <cellStyle name="60% - 着色 5 3" xfId="1297"/>
    <cellStyle name="60% - 着色 5 4" xfId="1298"/>
    <cellStyle name="60% - 着色 6 4" xfId="1299"/>
    <cellStyle name="差_2009年一般性转移支付标准工资_奖励补助测算7.25 (version 1) (version 1) 3" xfId="1300"/>
    <cellStyle name="Accent1" xfId="1301"/>
    <cellStyle name="常规 10 6" xfId="1302"/>
    <cellStyle name="Accent1 - 40%" xfId="1303"/>
    <cellStyle name="差_2006年基础数据" xfId="1304"/>
    <cellStyle name="货币 4 10" xfId="1305"/>
    <cellStyle name="强调文字颜色 2 4 2" xfId="1306"/>
    <cellStyle name="Accent1 - 40% 2" xfId="1307"/>
    <cellStyle name="Accent1 - 40% 3" xfId="1308"/>
    <cellStyle name="Accent1 - 40% 4" xfId="1309"/>
    <cellStyle name="Accent1 - 60%" xfId="1310"/>
    <cellStyle name="Accent1 2" xfId="1311"/>
    <cellStyle name="Accent1 3" xfId="1312"/>
    <cellStyle name="Accent1_Book1" xfId="1313"/>
    <cellStyle name="货币 12 3" xfId="1314"/>
    <cellStyle name="Accent2" xfId="1315"/>
    <cellStyle name="常规 10 7" xfId="1316"/>
    <cellStyle name="Accent2 - 20%" xfId="1317"/>
    <cellStyle name="常规 3 2 3" xfId="1318"/>
    <cellStyle name="Accent2 - 20% 2" xfId="1319"/>
    <cellStyle name="Accent2 - 20% 3" xfId="1320"/>
    <cellStyle name="差_财政支出对上级的依赖程度 2" xfId="1321"/>
    <cellStyle name="常规 2 12 2" xfId="1322"/>
    <cellStyle name="强调文字颜色 3 5 2" xfId="1323"/>
    <cellStyle name="Accent2 - 20% 4" xfId="1324"/>
    <cellStyle name="差_财政支出对上级的依赖程度 3" xfId="1325"/>
    <cellStyle name="Accent2 - 40% 2" xfId="1326"/>
    <cellStyle name="千位分隔[0] 2" xfId="1327"/>
    <cellStyle name="Accent2 - 40% 3" xfId="1328"/>
    <cellStyle name="千位分隔[0] 3" xfId="1329"/>
    <cellStyle name="Accent2 - 40% 4" xfId="1330"/>
    <cellStyle name="Accent2 2" xfId="1331"/>
    <cellStyle name="Accent2 3" xfId="1332"/>
    <cellStyle name="Accent2_Book1" xfId="1333"/>
    <cellStyle name="Accent3" xfId="1334"/>
    <cellStyle name="差_2007年检察院案件数" xfId="1335"/>
    <cellStyle name="常规 10 8" xfId="1336"/>
    <cellStyle name="Accent3 - 20%" xfId="1337"/>
    <cellStyle name="Accent3 - 20% 2" xfId="1338"/>
    <cellStyle name="Accent3 - 20% 3" xfId="1339"/>
    <cellStyle name="Accent3 - 20% 4" xfId="1340"/>
    <cellStyle name="Accent3 - 40% 2" xfId="1341"/>
    <cellStyle name="Accent3 - 40% 3" xfId="1342"/>
    <cellStyle name="Accent3 - 40% 4" xfId="1343"/>
    <cellStyle name="Accent3 - 60%" xfId="1344"/>
    <cellStyle name="好_2009年一般性转移支付标准工资_~4190974" xfId="1345"/>
    <cellStyle name="Accent3 2" xfId="1346"/>
    <cellStyle name="差_2007年检察院案件数 2" xfId="1347"/>
    <cellStyle name="Warning Text 4" xfId="1348"/>
    <cellStyle name="Accent3 3" xfId="1349"/>
    <cellStyle name="差_2007年检察院案件数 3" xfId="1350"/>
    <cellStyle name="Accent3_Book1" xfId="1351"/>
    <cellStyle name="差_2007年检察院案件数_Book1" xfId="1352"/>
    <cellStyle name="常规 13 4" xfId="1353"/>
    <cellStyle name="Accent4" xfId="1354"/>
    <cellStyle name="常规 10 9" xfId="1355"/>
    <cellStyle name="Accent4 - 20%" xfId="1356"/>
    <cellStyle name="差_Book1_县公司 3" xfId="1357"/>
    <cellStyle name="Accent4 - 20% 2" xfId="1358"/>
    <cellStyle name="Accent4 - 20% 3" xfId="1359"/>
    <cellStyle name="Accent4 - 20% 4" xfId="1360"/>
    <cellStyle name="Accent4 - 40%" xfId="1361"/>
    <cellStyle name="Accent4 - 40% 3" xfId="1362"/>
    <cellStyle name="Accent4 - 40% 4" xfId="1363"/>
    <cellStyle name="Accent4 - 60%" xfId="1364"/>
    <cellStyle name="捠壿 [0.00]_Region Orders (2)" xfId="1365"/>
    <cellStyle name="差_地方配套按人均增幅控制8.31（调整结案率后）xl 4" xfId="1366"/>
    <cellStyle name="好_财政支出对上级的依赖程度 2" xfId="1367"/>
    <cellStyle name="Accent4 2" xfId="1368"/>
    <cellStyle name="Accent4 3" xfId="1369"/>
    <cellStyle name="New Times Roman" xfId="1370"/>
    <cellStyle name="Accent4_Book1" xfId="1371"/>
    <cellStyle name="Accent5" xfId="1372"/>
    <cellStyle name="Accent5 - 20%" xfId="1373"/>
    <cellStyle name="Accent5 - 20% 3" xfId="1374"/>
    <cellStyle name="货币 9 5" xfId="1375"/>
    <cellStyle name="Accent5 - 20% 4" xfId="1376"/>
    <cellStyle name="货币 9 6" xfId="1377"/>
    <cellStyle name="Accent5 - 40%" xfId="1378"/>
    <cellStyle name="Accent5 - 40% 2" xfId="1379"/>
    <cellStyle name="Accent5 - 40% 3" xfId="1380"/>
    <cellStyle name="Accent5 - 40% 4" xfId="1381"/>
    <cellStyle name="好_云南水利电力有限公司_Book1" xfId="1382"/>
    <cellStyle name="Accent5 - 60%" xfId="1383"/>
    <cellStyle name="Accent5 3" xfId="1384"/>
    <cellStyle name="Accent5_Book1" xfId="1385"/>
    <cellStyle name="Accent6" xfId="1386"/>
    <cellStyle name="警告文本 3 6" xfId="1387"/>
    <cellStyle name="Accent6 - 20%" xfId="1388"/>
    <cellStyle name="货币 6 11" xfId="1389"/>
    <cellStyle name="好_历年教师人数_Book1" xfId="1390"/>
    <cellStyle name="常规 13 6" xfId="1391"/>
    <cellStyle name="好_历年教师人数_Book1 2" xfId="1392"/>
    <cellStyle name="Accent6 - 20% 2" xfId="1393"/>
    <cellStyle name="常规 49 10" xfId="1394"/>
    <cellStyle name="常规 54 10" xfId="1395"/>
    <cellStyle name="Accent6 - 40%" xfId="1396"/>
    <cellStyle name="Accent6 - 40% 2" xfId="1397"/>
    <cellStyle name="常规 69 10" xfId="1398"/>
    <cellStyle name="常规 74 10" xfId="1399"/>
    <cellStyle name="着色 6 4" xfId="1400"/>
    <cellStyle name="货币 15 11" xfId="1401"/>
    <cellStyle name="货币 20 11" xfId="1402"/>
    <cellStyle name="Accent6 - 40% 4" xfId="1403"/>
    <cellStyle name="常规 69 12" xfId="1404"/>
    <cellStyle name="常规 74 12" xfId="1405"/>
    <cellStyle name="Accent6 - 60%" xfId="1406"/>
    <cellStyle name="好_财政供养人员_Book1" xfId="1407"/>
    <cellStyle name="货币 25 10" xfId="1408"/>
    <cellStyle name="Accent6 2" xfId="1409"/>
    <cellStyle name="Accent6 3" xfId="1410"/>
    <cellStyle name="Accent6_Book1" xfId="1411"/>
    <cellStyle name="args.style" xfId="1412"/>
    <cellStyle name="Bad 2" xfId="1413"/>
    <cellStyle name="差_义务教育阶段教职工人数（教育厅提供最终） 4" xfId="1414"/>
    <cellStyle name="常规 11 3" xfId="1415"/>
    <cellStyle name="差_财政供养人员 3" xfId="1416"/>
    <cellStyle name="Bad 3" xfId="1417"/>
    <cellStyle name="差_奖励补助测算5.24冯铸 2" xfId="1418"/>
    <cellStyle name="常规 11 4" xfId="1419"/>
    <cellStyle name="差_财政供养人员 4" xfId="1420"/>
    <cellStyle name="货币 19 2 2" xfId="1421"/>
    <cellStyle name="Bad 4" xfId="1422"/>
    <cellStyle name="差_奖励补助测算5.24冯铸 3" xfId="1423"/>
    <cellStyle name="常规 11 5" xfId="1424"/>
    <cellStyle name="常规 67" xfId="1425"/>
    <cellStyle name="常规 72" xfId="1426"/>
    <cellStyle name="Black" xfId="1427"/>
    <cellStyle name="好_Book1_县公司_Book1" xfId="1428"/>
    <cellStyle name="注释 5 2" xfId="1429"/>
    <cellStyle name="好_2006年分析表_Book1" xfId="1430"/>
    <cellStyle name="Calc Currency (0)" xfId="1431"/>
    <cellStyle name="Calculation" xfId="1432"/>
    <cellStyle name="好_财政支出对上级的依赖程度 3" xfId="1433"/>
    <cellStyle name="ColLevel_0" xfId="1434"/>
    <cellStyle name="差_Book1_1 4" xfId="1435"/>
    <cellStyle name="Comma [0]" xfId="1436"/>
    <cellStyle name="常规 3 6" xfId="1437"/>
    <cellStyle name="Comma [0] 2" xfId="1438"/>
    <cellStyle name="常规 3 6 2" xfId="1439"/>
    <cellStyle name="Comma [0] 2 2" xfId="1440"/>
    <cellStyle name="常规 55 7" xfId="1441"/>
    <cellStyle name="常规 60 7" xfId="1442"/>
    <cellStyle name="Comma [0] 4" xfId="1443"/>
    <cellStyle name="Comma [0] 5" xfId="1444"/>
    <cellStyle name="Comma [0] 6" xfId="1445"/>
    <cellStyle name="comma zerodec" xfId="1446"/>
    <cellStyle name="통화_BOILER-CO1" xfId="1447"/>
    <cellStyle name="Comma_!!!GO" xfId="1448"/>
    <cellStyle name="comma-d" xfId="1449"/>
    <cellStyle name="货币 14 5" xfId="1450"/>
    <cellStyle name="注释 2 6" xfId="1451"/>
    <cellStyle name="Currency [0] 2" xfId="1452"/>
    <cellStyle name="Currency_!!!GO" xfId="1453"/>
    <cellStyle name="Date" xfId="1454"/>
    <cellStyle name="差_地方配套按人均增幅控制8.30xl_Book1 2" xfId="1455"/>
    <cellStyle name="常规 2 2 4 2" xfId="1456"/>
    <cellStyle name="Dollar (zero dec)" xfId="1457"/>
    <cellStyle name="货币 13 2 5" xfId="1458"/>
    <cellStyle name="Explanatory Text" xfId="1459"/>
    <cellStyle name="常规 96 10" xfId="1460"/>
    <cellStyle name="Followed Hyperlink_AheadBehind.xls Chart 23" xfId="1461"/>
    <cellStyle name="Good" xfId="1462"/>
    <cellStyle name="PSDec 2" xfId="1463"/>
    <cellStyle name="常规 10" xfId="1464"/>
    <cellStyle name="Grey" xfId="1465"/>
    <cellStyle name="常规 96" xfId="1466"/>
    <cellStyle name="常规 38 12" xfId="1467"/>
    <cellStyle name="强调文字颜色 5 2 2" xfId="1468"/>
    <cellStyle name="Header1" xfId="1469"/>
    <cellStyle name="好_2009年一般性转移支付标准工资_地方配套按人均增幅控制8.30一般预算平均增幅、人均可用财力平均增幅两次控制、社会治安系数调整、案件数调整xl_Book1" xfId="1470"/>
    <cellStyle name="Header2" xfId="1471"/>
    <cellStyle name="Heading 1" xfId="1472"/>
    <cellStyle name="计算 9" xfId="1473"/>
    <cellStyle name="Heading 2" xfId="1474"/>
    <cellStyle name="货币 26 2" xfId="1475"/>
    <cellStyle name="Heading 3" xfId="1476"/>
    <cellStyle name="货币 26 3" xfId="1477"/>
    <cellStyle name="Heading 4" xfId="1478"/>
    <cellStyle name="货币 26 4" xfId="1479"/>
    <cellStyle name="警告文本 15" xfId="1480"/>
    <cellStyle name="HEADING1" xfId="1481"/>
    <cellStyle name="警告文本 16" xfId="1482"/>
    <cellStyle name="HEADING2" xfId="1483"/>
    <cellStyle name="Input" xfId="1484"/>
    <cellStyle name="Input [yellow]" xfId="1485"/>
    <cellStyle name="千位分隔 2 4" xfId="1486"/>
    <cellStyle name="好_指标四_Book1" xfId="1487"/>
    <cellStyle name="Input Cells" xfId="1488"/>
    <cellStyle name="Linked Cell" xfId="1489"/>
    <cellStyle name="归盒啦_95" xfId="1490"/>
    <cellStyle name="Linked Cells" xfId="1491"/>
    <cellStyle name="常规 58 2 3" xfId="1492"/>
    <cellStyle name="常规 63 2 3" xfId="1493"/>
    <cellStyle name="Millares [0]_96 Risk" xfId="1494"/>
    <cellStyle name="Valuta_pldt" xfId="1495"/>
    <cellStyle name="Millares_96 Risk" xfId="1496"/>
    <cellStyle name="常规 2 2 2 2" xfId="1497"/>
    <cellStyle name="Milliers [0]_!!!GO" xfId="1498"/>
    <cellStyle name="常规 29 6" xfId="1499"/>
    <cellStyle name="常规 34 6" xfId="1500"/>
    <cellStyle name="Milliers_!!!GO" xfId="1501"/>
    <cellStyle name="Moneda [0]_96 Risk" xfId="1502"/>
    <cellStyle name="Mon閠aire [0]_!!!GO" xfId="1503"/>
    <cellStyle name="货币 13 3" xfId="1504"/>
    <cellStyle name="Mon閠aire_!!!GO" xfId="1505"/>
    <cellStyle name="货币 27 2" xfId="1506"/>
    <cellStyle name="Neutral" xfId="1507"/>
    <cellStyle name="Non défini" xfId="1508"/>
    <cellStyle name="Non défini 2" xfId="1509"/>
    <cellStyle name="常规 49 7" xfId="1510"/>
    <cellStyle name="常规 54 7" xfId="1511"/>
    <cellStyle name="Non défini 3" xfId="1512"/>
    <cellStyle name="常规 49 8" xfId="1513"/>
    <cellStyle name="常规 54 8" xfId="1514"/>
    <cellStyle name="Norma,_laroux_4_营业在建 (2)_E21" xfId="1515"/>
    <cellStyle name="Normal_!!!GO" xfId="1516"/>
    <cellStyle name="好_历年教师人数" xfId="1517"/>
    <cellStyle name="货币 11 2 10" xfId="1518"/>
    <cellStyle name="Note" xfId="1519"/>
    <cellStyle name="Note 2" xfId="1520"/>
    <cellStyle name="Pourcentage_pldt" xfId="1521"/>
    <cellStyle name="常规 5 2 5" xfId="1522"/>
    <cellStyle name="Output" xfId="1523"/>
    <cellStyle name="常规 100 4" xfId="1524"/>
    <cellStyle name="常规 7 6" xfId="1525"/>
    <cellStyle name="Percent [2]" xfId="1526"/>
    <cellStyle name="Percent [2] 2" xfId="1527"/>
    <cellStyle name="PSDate" xfId="1528"/>
    <cellStyle name="PSDate 2" xfId="1529"/>
    <cellStyle name="PSDec" xfId="1530"/>
    <cellStyle name="PSHeading" xfId="1531"/>
    <cellStyle name="常规 20 2 3" xfId="1532"/>
    <cellStyle name="差_530623_2006年县级财政报表附表" xfId="1533"/>
    <cellStyle name="PSInt" xfId="1534"/>
    <cellStyle name="PSInt 2" xfId="1535"/>
    <cellStyle name="PSSpacer 2" xfId="1536"/>
    <cellStyle name="Red" xfId="1537"/>
    <cellStyle name="差_衢州市附件2：全省质监系统检验检测项目 4" xfId="1538"/>
    <cellStyle name="RowLevel_0" xfId="1539"/>
    <cellStyle name="差_2008年县级公安保障标准落实奖励经费分配测算" xfId="1540"/>
    <cellStyle name="sstot" xfId="1541"/>
    <cellStyle name="sstot 2" xfId="1542"/>
    <cellStyle name="Standard_AREAS" xfId="1543"/>
    <cellStyle name="货币 13 2 11" xfId="1544"/>
    <cellStyle name="t 3" xfId="1545"/>
    <cellStyle name="常规 66 7" xfId="1546"/>
    <cellStyle name="常规 71 7" xfId="1547"/>
    <cellStyle name="好_检验表 3" xfId="1548"/>
    <cellStyle name="t_HVAC Equipment (3)" xfId="1549"/>
    <cellStyle name="常规 2 3 4" xfId="1550"/>
    <cellStyle name="差 2 7" xfId="1551"/>
    <cellStyle name="t_HVAC Equipment (3) 2" xfId="1552"/>
    <cellStyle name="常规 2 3 4 2" xfId="1553"/>
    <cellStyle name="t_HVAC Equipment (3) 3" xfId="1554"/>
    <cellStyle name="差 2 8" xfId="1555"/>
    <cellStyle name="Title" xfId="1556"/>
    <cellStyle name="常规 3 3 4" xfId="1557"/>
    <cellStyle name="差_2008云南省分县市中小学教职工统计表（教育厅提供）_Book1" xfId="1558"/>
    <cellStyle name="Total" xfId="1559"/>
    <cellStyle name="差_云南农村义务教育统计表_Book1 2" xfId="1560"/>
    <cellStyle name="常规 101 6" xfId="1561"/>
    <cellStyle name="常规 8 8" xfId="1562"/>
    <cellStyle name="Total 2" xfId="1563"/>
    <cellStyle name="Total 3" xfId="1564"/>
    <cellStyle name="Total 4" xfId="1565"/>
    <cellStyle name="Tusental (0)_pldt" xfId="1566"/>
    <cellStyle name="差_Book1 3" xfId="1567"/>
    <cellStyle name="Tusental_pldt" xfId="1568"/>
    <cellStyle name="Valuta (0)_pldt" xfId="1569"/>
    <cellStyle name="Warning Text" xfId="1570"/>
    <cellStyle name="Warning Text 2" xfId="1571"/>
    <cellStyle name="输出 8" xfId="1572"/>
    <cellStyle name="常规 85 8" xfId="1573"/>
    <cellStyle name="常规 90 8" xfId="1574"/>
    <cellStyle name="百分比 2" xfId="1575"/>
    <cellStyle name="常规 49 2 7" xfId="1576"/>
    <cellStyle name="百分比 2 2" xfId="1577"/>
    <cellStyle name="百分比 3 2" xfId="1578"/>
    <cellStyle name="百分比 4 2" xfId="1579"/>
    <cellStyle name="常规 2 2 6" xfId="1580"/>
    <cellStyle name="常规 41 2 12" xfId="1581"/>
    <cellStyle name="捠壿_Region Orders (2)" xfId="1582"/>
    <cellStyle name="编号" xfId="1583"/>
    <cellStyle name="差 2 5" xfId="1584"/>
    <cellStyle name="标题 1 2" xfId="1585"/>
    <cellStyle name="标题 1 3" xfId="1586"/>
    <cellStyle name="标题 1 4" xfId="1587"/>
    <cellStyle name="标题 1 5" xfId="1588"/>
    <cellStyle name="标题 1 6" xfId="1589"/>
    <cellStyle name="标题 1 7" xfId="1590"/>
    <cellStyle name="常规 98 2" xfId="1591"/>
    <cellStyle name="标题 1 8" xfId="1592"/>
    <cellStyle name="常规 83_2018年6月份月累计及单班" xfId="1593"/>
    <cellStyle name="常规 98 3" xfId="1594"/>
    <cellStyle name="标题 10" xfId="1595"/>
    <cellStyle name="差 4 2" xfId="1596"/>
    <cellStyle name="标题 11" xfId="1597"/>
    <cellStyle name="差_检验表（调整后） 2" xfId="1598"/>
    <cellStyle name="好_县级公安机关公用经费标准奖励测算方案（定稿）" xfId="1599"/>
    <cellStyle name="差 4 3" xfId="1600"/>
    <cellStyle name="标题 12" xfId="1601"/>
    <cellStyle name="差_检验表（调整后） 3" xfId="1602"/>
    <cellStyle name="差 4 4" xfId="1603"/>
    <cellStyle name="标题 2 2" xfId="1604"/>
    <cellStyle name="标题 2 2 3" xfId="1605"/>
    <cellStyle name="标题 2 2 4" xfId="1606"/>
    <cellStyle name="标题 2 3" xfId="1607"/>
    <cellStyle name="标题 2 4" xfId="1608"/>
    <cellStyle name="标题 2 5" xfId="1609"/>
    <cellStyle name="标题 2 5 2" xfId="1610"/>
    <cellStyle name="标题 2 6" xfId="1611"/>
    <cellStyle name="好_0605石屏县_Book1" xfId="1612"/>
    <cellStyle name="标题 2 7" xfId="1613"/>
    <cellStyle name="常规 99 2" xfId="1614"/>
    <cellStyle name="标题 2 8" xfId="1615"/>
    <cellStyle name="常规 99 3" xfId="1616"/>
    <cellStyle name="标题 3 2" xfId="1617"/>
    <cellStyle name="常规 37 2 4" xfId="1618"/>
    <cellStyle name="标题 3 2 2" xfId="1619"/>
    <cellStyle name="好 5" xfId="1620"/>
    <cellStyle name="标题 3 2 3" xfId="1621"/>
    <cellStyle name="好 6" xfId="1622"/>
    <cellStyle name="标题 3 2 4" xfId="1623"/>
    <cellStyle name="好 7" xfId="1624"/>
    <cellStyle name="标题 3 3" xfId="1625"/>
    <cellStyle name="常规 37 2 5" xfId="1626"/>
    <cellStyle name="标题 3 4" xfId="1627"/>
    <cellStyle name="常规 37 2 6" xfId="1628"/>
    <cellStyle name="标题 3 5" xfId="1629"/>
    <cellStyle name="常规 37 2 7" xfId="1630"/>
    <cellStyle name="标题 3 6" xfId="1631"/>
    <cellStyle name="常规 37 2 8" xfId="1632"/>
    <cellStyle name="标题 3 7" xfId="1633"/>
    <cellStyle name="常规 37 2 9" xfId="1634"/>
    <cellStyle name="标题 3 8" xfId="1635"/>
    <cellStyle name="标题 3 9" xfId="1636"/>
    <cellStyle name="着色 3 2" xfId="1637"/>
    <cellStyle name="标题 4 2" xfId="1638"/>
    <cellStyle name="千位分隔 3" xfId="1639"/>
    <cellStyle name="好_衢州市附件2：全省质监系统检验检测项目_Book1" xfId="1640"/>
    <cellStyle name="差_2007年政法部门业务指标 2" xfId="1641"/>
    <cellStyle name="差_教师绩效工资测算表（离退休按各地上报数测算）2009年1月1日 2" xfId="1642"/>
    <cellStyle name="标题 4 2 2" xfId="1643"/>
    <cellStyle name="千位分隔 3 2" xfId="1644"/>
    <cellStyle name="好_衢州市附件2：全省质监系统检验检测项目_Book1 2" xfId="1645"/>
    <cellStyle name="标题 4 2 4" xfId="1646"/>
    <cellStyle name="千位分隔 3 4" xfId="1647"/>
    <cellStyle name="差_奖励补助测算5.24冯铸_Book1 2" xfId="1648"/>
    <cellStyle name="差_Book1_3 2" xfId="1649"/>
    <cellStyle name="标题 4 5" xfId="1650"/>
    <cellStyle name="标题 4 5 2" xfId="1651"/>
    <cellStyle name="货币 12 2 10" xfId="1652"/>
    <cellStyle name="标题 4 6" xfId="1653"/>
    <cellStyle name="标题 4 7" xfId="1654"/>
    <cellStyle name="标题 4 8" xfId="1655"/>
    <cellStyle name="好_第一部分：综合全_Book1" xfId="1656"/>
    <cellStyle name="标题 4 9" xfId="1657"/>
    <cellStyle name="着色 4 2" xfId="1658"/>
    <cellStyle name="标题 5" xfId="1659"/>
    <cellStyle name="好_第一部分：综合全" xfId="1660"/>
    <cellStyle name="标题 6" xfId="1661"/>
    <cellStyle name="标题 7" xfId="1662"/>
    <cellStyle name="标题 8" xfId="1663"/>
    <cellStyle name="标题 8 2" xfId="1664"/>
    <cellStyle name="常规 2 7" xfId="1665"/>
    <cellStyle name="差_2009年一般性转移支付标准工资_不用软件计算9.1不考虑经费管理评价xl_Book1 3" xfId="1666"/>
    <cellStyle name="标题 9" xfId="1667"/>
    <cellStyle name="标题1" xfId="1668"/>
    <cellStyle name="好_00省级(打印)" xfId="1669"/>
    <cellStyle name="差_不用软件计算9.1不考虑经费管理评价xl 2" xfId="1670"/>
    <cellStyle name="常规 58 3" xfId="1671"/>
    <cellStyle name="常规 63 3" xfId="1672"/>
    <cellStyle name="部门" xfId="1673"/>
    <cellStyle name="差 10" xfId="1674"/>
    <cellStyle name="差_2009年一般性转移支付标准工资_奖励补助测算7.25 2" xfId="1675"/>
    <cellStyle name="差 11" xfId="1676"/>
    <cellStyle name="差_2009年一般性转移支付标准工资_奖励补助测算7.25 3" xfId="1677"/>
    <cellStyle name="差 13" xfId="1678"/>
    <cellStyle name="常规 55 2 2" xfId="1679"/>
    <cellStyle name="常规 60 2 2" xfId="1680"/>
    <cellStyle name="好_丽江汇总" xfId="1681"/>
    <cellStyle name="差_2009年一般性转移支付标准工资_奖励补助测算7.25 5" xfId="1682"/>
    <cellStyle name="差 14" xfId="1683"/>
    <cellStyle name="常规 55 2 3" xfId="1684"/>
    <cellStyle name="常规 60 2 3" xfId="1685"/>
    <cellStyle name="差_2009年一般性转移支付标准工资_奖励补助测算7.25 6" xfId="1686"/>
    <cellStyle name="常规 14 2" xfId="1687"/>
    <cellStyle name="差 15" xfId="1688"/>
    <cellStyle name="常规 55 2 4" xfId="1689"/>
    <cellStyle name="常规 60 2 4" xfId="1690"/>
    <cellStyle name="差_00省级(定稿)_Book1 2" xfId="1691"/>
    <cellStyle name="差_2009年一般性转移支付标准工资_奖励补助测算7.25 7" xfId="1692"/>
    <cellStyle name="常规 14 3" xfId="1693"/>
    <cellStyle name="差 16" xfId="1694"/>
    <cellStyle name="常规 55 2 5" xfId="1695"/>
    <cellStyle name="常规 60 2 5" xfId="1696"/>
    <cellStyle name="差_00省级(定稿)_Book1 3" xfId="1697"/>
    <cellStyle name="差_财政供养人员_Book1" xfId="1698"/>
    <cellStyle name="常规 14 4" xfId="1699"/>
    <cellStyle name="差 17" xfId="1700"/>
    <cellStyle name="常规 55 2 6" xfId="1701"/>
    <cellStyle name="常规 60 2 6" xfId="1702"/>
    <cellStyle name="差 18" xfId="1703"/>
    <cellStyle name="常规 55 2 7" xfId="1704"/>
    <cellStyle name="常规 60 2 7" xfId="1705"/>
    <cellStyle name="差 2" xfId="1706"/>
    <cellStyle name="解释性文本 5" xfId="1707"/>
    <cellStyle name="差 2 2" xfId="1708"/>
    <cellStyle name="解释性文本 5 2" xfId="1709"/>
    <cellStyle name="差 2 3" xfId="1710"/>
    <cellStyle name="差 2 4" xfId="1711"/>
    <cellStyle name="差 2 6" xfId="1712"/>
    <cellStyle name="差_2、土地面积、人口、粮食产量基本情况" xfId="1713"/>
    <cellStyle name="差_2009年一般性转移支付标准工资_地方配套按人均增幅控制8.31（调整结案率后）xl_Book1" xfId="1714"/>
    <cellStyle name="差 3" xfId="1715"/>
    <cellStyle name="解释性文本 6" xfId="1716"/>
    <cellStyle name="差 3 2" xfId="1717"/>
    <cellStyle name="常规 69 2 6" xfId="1718"/>
    <cellStyle name="常规 74 2 6" xfId="1719"/>
    <cellStyle name="差 3 3" xfId="1720"/>
    <cellStyle name="好_县级公安机关公用经费标准奖励测算方案（定稿）_Book1" xfId="1721"/>
    <cellStyle name="常规 69 2 7" xfId="1722"/>
    <cellStyle name="常规 74 2 7" xfId="1723"/>
    <cellStyle name="强调文字颜色 6 5 2 2" xfId="1724"/>
    <cellStyle name="差 3 4" xfId="1725"/>
    <cellStyle name="常规 69 2 8" xfId="1726"/>
    <cellStyle name="常规 74 2 8" xfId="1727"/>
    <cellStyle name="差 3 5" xfId="1728"/>
    <cellStyle name="常规 69 2 9" xfId="1729"/>
    <cellStyle name="常规 74 2 9" xfId="1730"/>
    <cellStyle name="差 3 6" xfId="1731"/>
    <cellStyle name="差 4" xfId="1732"/>
    <cellStyle name="解释性文本 7" xfId="1733"/>
    <cellStyle name="差_2009年一般性转移支付标准工资_奖励补助测算5.22测试 2" xfId="1734"/>
    <cellStyle name="差 4 5" xfId="1735"/>
    <cellStyle name="差 4 6" xfId="1736"/>
    <cellStyle name="常规 69_2018年6月份月累计及单班" xfId="1737"/>
    <cellStyle name="常规 74_2018年6月份月累计及单班" xfId="1738"/>
    <cellStyle name="差 5" xfId="1739"/>
    <cellStyle name="解释性文本 8" xfId="1740"/>
    <cellStyle name="差_2009年一般性转移支付标准工资_奖励补助测算5.22测试 3" xfId="1741"/>
    <cellStyle name="差 5 2 2" xfId="1742"/>
    <cellStyle name="差 5 2 3" xfId="1743"/>
    <cellStyle name="差_2009年一般性转移支付标准工资_奖励补助测算7.25 (version 1) (version 1)_Book1" xfId="1744"/>
    <cellStyle name="差 5 4" xfId="1745"/>
    <cellStyle name="差 5 5" xfId="1746"/>
    <cellStyle name="差_05玉溪_Book1" xfId="1747"/>
    <cellStyle name="差 6" xfId="1748"/>
    <cellStyle name="常规 72 2 10" xfId="1749"/>
    <cellStyle name="解释性文本 9" xfId="1750"/>
    <cellStyle name="差_2009年一般性转移支付标准工资_奖励补助测算5.22测试 4" xfId="1751"/>
    <cellStyle name="差 8" xfId="1752"/>
    <cellStyle name="差 9" xfId="1753"/>
    <cellStyle name="差_2006年分析表" xfId="1754"/>
    <cellStyle name="差_~4190974" xfId="1755"/>
    <cellStyle name="好_卫生部门_Book1" xfId="1756"/>
    <cellStyle name="差_~4190974 2" xfId="1757"/>
    <cellStyle name="好_卫生部门_Book1 2" xfId="1758"/>
    <cellStyle name="差_~4190974 3" xfId="1759"/>
    <cellStyle name="好_卫生部门_Book1 3" xfId="1760"/>
    <cellStyle name="差_~4190974 4" xfId="1761"/>
    <cellStyle name="差_~4190974_Book1 2" xfId="1762"/>
    <cellStyle name="常规 88 2" xfId="1763"/>
    <cellStyle name="常规 93 2" xfId="1764"/>
    <cellStyle name="差_~5676413" xfId="1765"/>
    <cellStyle name="差_~5676413_Book1" xfId="1766"/>
    <cellStyle name="常规 89 9" xfId="1767"/>
    <cellStyle name="常规 94 9" xfId="1768"/>
    <cellStyle name="差_历年教师人数" xfId="1769"/>
    <cellStyle name="差_~5676413_Book1 2" xfId="1770"/>
    <cellStyle name="差_历年教师人数 2" xfId="1771"/>
    <cellStyle name="差_~5676413_Book1 3" xfId="1772"/>
    <cellStyle name="差_历年教师人数 3" xfId="1773"/>
    <cellStyle name="差_00省级(打印)_Book1" xfId="1774"/>
    <cellStyle name="差_00省级(定稿)" xfId="1775"/>
    <cellStyle name="差_00省级(定稿)_Book1" xfId="1776"/>
    <cellStyle name="常规 58 9" xfId="1777"/>
    <cellStyle name="常规 63 9" xfId="1778"/>
    <cellStyle name="差_03昭通_Book1" xfId="1779"/>
    <cellStyle name="差_0502通海县" xfId="1780"/>
    <cellStyle name="差_0502通海县_Book1" xfId="1781"/>
    <cellStyle name="差_0502通海县_Book1 3" xfId="1782"/>
    <cellStyle name="强调文字颜色 1 2 2" xfId="1783"/>
    <cellStyle name="常规 77 4" xfId="1784"/>
    <cellStyle name="常规 82 4" xfId="1785"/>
    <cellStyle name="差_05玉溪_Book1 2" xfId="1786"/>
    <cellStyle name="差_05玉溪_Book1 3" xfId="1787"/>
    <cellStyle name="差_下半年禁吸戒毒经费1000万元_Book1 2" xfId="1788"/>
    <cellStyle name="差_0605石屏县 4" xfId="1789"/>
    <cellStyle name="常规 76 4" xfId="1790"/>
    <cellStyle name="常规 81 4" xfId="1791"/>
    <cellStyle name="好_第五部分(才淼、饶永宏）_Book1" xfId="1792"/>
    <cellStyle name="差_0605石屏县_Book1" xfId="1793"/>
    <cellStyle name="差_0605石屏县_Book1 2" xfId="1794"/>
    <cellStyle name="差_0605石屏县_Book1 3" xfId="1795"/>
    <cellStyle name="差_1003牟定县 3" xfId="1796"/>
    <cellStyle name="常规 68 2" xfId="1797"/>
    <cellStyle name="常规 73 2" xfId="1798"/>
    <cellStyle name="货币 17 2 2" xfId="1799"/>
    <cellStyle name="注释 5 3 2" xfId="1800"/>
    <cellStyle name="差_1003牟定县 4" xfId="1801"/>
    <cellStyle name="常规 68 3" xfId="1802"/>
    <cellStyle name="常规 73 3" xfId="1803"/>
    <cellStyle name="货币 17 2 3" xfId="1804"/>
    <cellStyle name="注释 5 3 3" xfId="1805"/>
    <cellStyle name="差_1110洱源县" xfId="1806"/>
    <cellStyle name="差_1110洱源县 2" xfId="1807"/>
    <cellStyle name="差_1110洱源县_Book1" xfId="1808"/>
    <cellStyle name="差_1110洱源县_Book1 2" xfId="1809"/>
    <cellStyle name="差_1110洱源县_Book1 3" xfId="1810"/>
    <cellStyle name="差_11大理" xfId="1811"/>
    <cellStyle name="差_11大理 2" xfId="1812"/>
    <cellStyle name="差_11大理 3" xfId="1813"/>
    <cellStyle name="差_11大理 4" xfId="1814"/>
    <cellStyle name="差_11大理_Book1" xfId="1815"/>
    <cellStyle name="差_11大理_Book1 2" xfId="1816"/>
    <cellStyle name="差_11大理_Book1 3" xfId="1817"/>
    <cellStyle name="常规 89 10" xfId="1818"/>
    <cellStyle name="常规 94 10" xfId="1819"/>
    <cellStyle name="好_财政供养人员_Book1 2" xfId="1820"/>
    <cellStyle name="差_2、土地面积、人口、粮食产量基本情况 2" xfId="1821"/>
    <cellStyle name="差_2009年一般性转移支付标准工资_地方配套按人均增幅控制8.31（调整结案率后）xl_Book1 2" xfId="1822"/>
    <cellStyle name="差_2007年人员分部门统计表_Book1 3" xfId="1823"/>
    <cellStyle name="常规 2 2 8" xfId="1824"/>
    <cellStyle name="钎霖_4岿角利" xfId="1825"/>
    <cellStyle name="差_2、土地面积、人口、粮食产量基本情况 3" xfId="1826"/>
    <cellStyle name="差_2009年一般性转移支付标准工资_地方配套按人均增幅控制8.31（调整结案率后）xl_Book1 3" xfId="1827"/>
    <cellStyle name="差_2、土地面积、人口、粮食产量基本情况 4" xfId="1828"/>
    <cellStyle name="差_2、土地面积、人口、粮食产量基本情况_Book1" xfId="1829"/>
    <cellStyle name="差_2、土地面积、人口、粮食产量基本情况_Book1 3" xfId="1830"/>
    <cellStyle name="差_2006年分析表 2" xfId="1831"/>
    <cellStyle name="差_2006年分析表 3" xfId="1832"/>
    <cellStyle name="差_2006年分析表_Book1" xfId="1833"/>
    <cellStyle name="好_2009年一般性转移支付标准工资_奖励补助测算5.23新_Book1 3" xfId="1834"/>
    <cellStyle name="差_2009年一般性转移支付标准工资_~4190974 4" xfId="1835"/>
    <cellStyle name="好_2007年人员分部门统计表_Book1 2" xfId="1836"/>
    <cellStyle name="货币 4 6" xfId="1837"/>
    <cellStyle name="差_2006年分析表_Book1 2" xfId="1838"/>
    <cellStyle name="差_2006年全省财力计算表（中央、决算）" xfId="1839"/>
    <cellStyle name="输入 8" xfId="1840"/>
    <cellStyle name="差_2006年水利统计指标统计表" xfId="1841"/>
    <cellStyle name="差_2006年水利统计指标统计表 2" xfId="1842"/>
    <cellStyle name="好_检验表_Book1 3" xfId="1843"/>
    <cellStyle name="差_2006年水利统计指标统计表 3" xfId="1844"/>
    <cellStyle name="差_城建部门 2" xfId="1845"/>
    <cellStyle name="差_2006年水利统计指标统计表 4" xfId="1846"/>
    <cellStyle name="差_城建部门 3" xfId="1847"/>
    <cellStyle name="差_指标五_Book1 2" xfId="1848"/>
    <cellStyle name="好_奖励补助测算5.23新_Book1 2" xfId="1849"/>
    <cellStyle name="差_2006年水利统计指标统计表_Book1" xfId="1850"/>
    <cellStyle name="差_2006年水利统计指标统计表_Book1 2" xfId="1851"/>
    <cellStyle name="常规 51 12" xfId="1852"/>
    <cellStyle name="差_2006年水利统计指标统计表_Book1 3" xfId="1853"/>
    <cellStyle name="常规 2 2 2 2 2" xfId="1854"/>
    <cellStyle name="差_2006年在职人员情况" xfId="1855"/>
    <cellStyle name="差_2006年在职人员情况 4" xfId="1856"/>
    <cellStyle name="常规 38 2" xfId="1857"/>
    <cellStyle name="常规 43 2" xfId="1858"/>
    <cellStyle name="差_2007年检察院案件数 4" xfId="1859"/>
    <cellStyle name="差_2007年检察院案件数_Book1 2" xfId="1860"/>
    <cellStyle name="常规 5 2 3 4" xfId="1861"/>
    <cellStyle name="差_2007年检察院案件数_Book1 3" xfId="1862"/>
    <cellStyle name="差_2007年可用财力" xfId="1863"/>
    <cellStyle name="差_2007年可用财力_Book1" xfId="1864"/>
    <cellStyle name="差_2007年可用财力_Book1 3" xfId="1865"/>
    <cellStyle name="差_2007年人员分部门统计表" xfId="1866"/>
    <cellStyle name="差_2007年人员分部门统计表 2" xfId="1867"/>
    <cellStyle name="差_2007年人员分部门统计表 4" xfId="1868"/>
    <cellStyle name="差_2007年人员分部门统计表_Book1 2" xfId="1869"/>
    <cellStyle name="常规 2 2 7" xfId="1870"/>
    <cellStyle name="差_2007年政法部门业务指标_Book1" xfId="1871"/>
    <cellStyle name="强调文字颜色 3 2 2 2" xfId="1872"/>
    <cellStyle name="差_教师绩效工资测算表（离退休按各地上报数测算）2009年1月1日_Book1" xfId="1873"/>
    <cellStyle name="差_2009年一般性转移支付标准工资_地方配套按人均增幅控制8.30一般预算平均增幅、人均可用财力平均增幅两次控制、社会治安系数调整、案件数调整xl 2" xfId="1874"/>
    <cellStyle name="差_2007年政法部门业务指标_Book1 2" xfId="1875"/>
    <cellStyle name="差_教师绩效工资测算表（离退休按各地上报数测算）2009年1月1日_Book1 2" xfId="1876"/>
    <cellStyle name="常规 89 12" xfId="1877"/>
    <cellStyle name="差_2007年政法部门业务指标_Book1 3" xfId="1878"/>
    <cellStyle name="差_教师绩效工资测算表（离退休按各地上报数测算）2009年1月1日_Book1 3" xfId="1879"/>
    <cellStyle name="差_2008年县级公安保障标准落实奖励经费分配测算 2" xfId="1880"/>
    <cellStyle name="差_2008年县级公安保障标准落实奖励经费分配测算 3" xfId="1881"/>
    <cellStyle name="差_2008年县级公安保障标准落实奖励经费分配测算_Book1 2" xfId="1882"/>
    <cellStyle name="好_教育厅提供义务教育及高中教师人数（2009年1月6日）_Book1 3" xfId="1883"/>
    <cellStyle name="差_2008年县级公安保障标准落实奖励经费分配测算_Book1 3" xfId="1884"/>
    <cellStyle name="差_2008云南省分县市中小学教职工统计表（教育厅提供）" xfId="1885"/>
    <cellStyle name="常规 68 5" xfId="1886"/>
    <cellStyle name="常规 73 5" xfId="1887"/>
    <cellStyle name="货币 11 10" xfId="1888"/>
    <cellStyle name="差_指标四_Book1 2" xfId="1889"/>
    <cellStyle name="货币 17 2 5" xfId="1890"/>
    <cellStyle name="差_2008云南省分县市中小学教职工统计表（教育厅提供） 4" xfId="1891"/>
    <cellStyle name="好_2006年基础数据_Book1" xfId="1892"/>
    <cellStyle name="普通_ 白土" xfId="1893"/>
    <cellStyle name="差_2008云南省分县市中小学教职工统计表（教育厅提供）_Book1 2" xfId="1894"/>
    <cellStyle name="常规 69 5" xfId="1895"/>
    <cellStyle name="常规 74 5" xfId="1896"/>
    <cellStyle name="强调 3" xfId="1897"/>
    <cellStyle name="差_2008云南省分县市中小学教职工统计表（教育厅提供）_Book1 3" xfId="1898"/>
    <cellStyle name="常规 69 6" xfId="1899"/>
    <cellStyle name="常规 74 6" xfId="1900"/>
    <cellStyle name="差_2009年一般性转移支付标准工资_~4190974" xfId="1901"/>
    <cellStyle name="差_2009年一般性转移支付标准工资_~4190974_Book1" xfId="1902"/>
    <cellStyle name="差_2009年一般性转移支付标准工资_~4190974_Book1 2" xfId="1903"/>
    <cellStyle name="差_教育厅提供义务教育及高中教师人数（2009年1月6日） 4" xfId="1904"/>
    <cellStyle name="货币 25" xfId="1905"/>
    <cellStyle name="货币 30" xfId="1906"/>
    <cellStyle name="差_2009年一般性转移支付标准工资_~4190974_Book1 3" xfId="1907"/>
    <cellStyle name="货币 26" xfId="1908"/>
    <cellStyle name="货币 31" xfId="1909"/>
    <cellStyle name="差_2009年一般性转移支付标准工资_~5676413" xfId="1910"/>
    <cellStyle name="常规 7 10" xfId="1911"/>
    <cellStyle name="差_2009年一般性转移支付标准工资_~5676413 2" xfId="1912"/>
    <cellStyle name="常规 145" xfId="1913"/>
    <cellStyle name="常规 150" xfId="1914"/>
    <cellStyle name="常规 5 5" xfId="1915"/>
    <cellStyle name="差_2009年一般性转移支付标准工资_~5676413 4" xfId="1916"/>
    <cellStyle name="常规 147" xfId="1917"/>
    <cellStyle name="常规 152" xfId="1918"/>
    <cellStyle name="常规 5 7" xfId="1919"/>
    <cellStyle name="好_2009年一般性转移支付标准工资_奖励补助测算5.22测试_Book1 2" xfId="1920"/>
    <cellStyle name="差_2009年一般性转移支付标准工资_Book1" xfId="1921"/>
    <cellStyle name="差_2009年一般性转移支付标准工资_Book1 2" xfId="1922"/>
    <cellStyle name="差_2009年一般性转移支付标准工资_Book1 3" xfId="1923"/>
    <cellStyle name="差_2009年一般性转移支付标准工资_不用软件计算9.1不考虑经费管理评价xl" xfId="1924"/>
    <cellStyle name="常规 6 9" xfId="1925"/>
    <cellStyle name="差_2009年一般性转移支付标准工资_不用软件计算9.1不考虑经费管理评价xl 2" xfId="1926"/>
    <cellStyle name="差_2009年一般性转移支付标准工资_不用软件计算9.1不考虑经费管理评价xl_Book1" xfId="1927"/>
    <cellStyle name="常规 100 5" xfId="1928"/>
    <cellStyle name="常规 7 7" xfId="1929"/>
    <cellStyle name="差_2009年一般性转移支付标准工资_不用软件计算9.1不考虑经费管理评价xl_Book1 2" xfId="1930"/>
    <cellStyle name="好_地方配套按人均增幅控制8.30一般预算平均增幅、人均可用财力平均增幅两次控制、社会治安系数调整、案件数调整xl_Book1 3" xfId="1931"/>
    <cellStyle name="差_2009年一般性转移支付标准工资_地方配套按人均增幅控制8.30xl" xfId="1932"/>
    <cellStyle name="常规 2 6 2" xfId="1933"/>
    <cellStyle name="差_2009年一般性转移支付标准工资_地方配套按人均增幅控制8.30xl 2" xfId="1934"/>
    <cellStyle name="差_2009年一般性转移支付标准工资_地方配套按人均增幅控制8.30xl 3" xfId="1935"/>
    <cellStyle name="常规 3 2" xfId="1936"/>
    <cellStyle name="差_2009年一般性转移支付标准工资_地方配套按人均增幅控制8.30xl 4" xfId="1937"/>
    <cellStyle name="常规 3 3" xfId="1938"/>
    <cellStyle name="差_2009年一般性转移支付标准工资_地方配套按人均增幅控制8.30xl_Book1" xfId="1939"/>
    <cellStyle name="差_2009年一般性转移支付标准工资_地方配套按人均增幅控制8.30一般预算平均增幅、人均可用财力平均增幅两次控制、社会治安系数调整、案件数调整xl" xfId="1940"/>
    <cellStyle name="常规 23 12" xfId="1941"/>
    <cellStyle name="强调文字颜色 3 2 2" xfId="1942"/>
    <cellStyle name="差_2009年一般性转移支付标准工资_地方配套按人均增幅控制8.31（调整结案率后）xl" xfId="1943"/>
    <cellStyle name="差_检验表_Book1 3" xfId="1944"/>
    <cellStyle name="差_2009年一般性转移支付标准工资_地方配套按人均增幅控制8.31（调整结案率后）xl 2" xfId="1945"/>
    <cellStyle name="常规 99 7" xfId="1946"/>
    <cellStyle name="差_2009年一般性转移支付标准工资_地方配套按人均增幅控制8.31（调整结案率后）xl 3" xfId="1947"/>
    <cellStyle name="常规 99 8" xfId="1948"/>
    <cellStyle name="差_2009年一般性转移支付标准工资_奖励补助测算5.22测试" xfId="1949"/>
    <cellStyle name="常规 14 2 9" xfId="1950"/>
    <cellStyle name="差_2009年一般性转移支付标准工资_奖励补助测算5.22测试_Book1" xfId="1951"/>
    <cellStyle name="常规 29 8" xfId="1952"/>
    <cellStyle name="常规 34 8" xfId="1953"/>
    <cellStyle name="差_2009年一般性转移支付标准工资_奖励补助测算5.23新" xfId="1954"/>
    <cellStyle name="检查单元格 8" xfId="1955"/>
    <cellStyle name="差_2009年一般性转移支付标准工资_奖励补助测算5.23新 2" xfId="1956"/>
    <cellStyle name="货币 11 9" xfId="1957"/>
    <cellStyle name="货币 5 2 8" xfId="1958"/>
    <cellStyle name="差_2009年一般性转移支付标准工资_奖励补助测算5.24冯铸" xfId="1959"/>
    <cellStyle name="差_2009年一般性转移支付标准工资_奖励补助测算5.24冯铸 2" xfId="1960"/>
    <cellStyle name="差_2009年一般性转移支付标准工资_奖励补助测算5.24冯铸 3" xfId="1961"/>
    <cellStyle name="差_2009年一般性转移支付标准工资_奖励补助测算5.24冯铸 4" xfId="1962"/>
    <cellStyle name="差_2009年一般性转移支付标准工资_奖励补助测算5.24冯铸_Book1 2" xfId="1963"/>
    <cellStyle name="差_2009年一般性转移支付标准工资_奖励补助测算5.24冯铸_Book1 3" xfId="1964"/>
    <cellStyle name="差_2009年一般性转移支付标准工资_奖励补助测算7.23 2" xfId="1965"/>
    <cellStyle name="差_2009年一般性转移支付标准工资_奖励补助测算7.23 3" xfId="1966"/>
    <cellStyle name="差_2009年一般性转移支付标准工资_奖励补助测算7.23 4" xfId="1967"/>
    <cellStyle name="差_基础数据分析" xfId="1968"/>
    <cellStyle name="强调文字颜色 1 2" xfId="1969"/>
    <cellStyle name="差_2009年一般性转移支付标准工资_奖励补助测算7.23_Book1 2" xfId="1970"/>
    <cellStyle name="强调文字颜色 1 3" xfId="1971"/>
    <cellStyle name="差_2009年一般性转移支付标准工资_奖励补助测算7.23_Book1 3" xfId="1972"/>
    <cellStyle name="差_2009年一般性转移支付标准工资_奖励补助测算7.25 (version 1) (version 1)" xfId="1973"/>
    <cellStyle name="好_1110洱源县_Book1 3" xfId="1974"/>
    <cellStyle name="差_2009年一般性转移支付标准工资_奖励补助测算7.25 (version 1) (version 1) 4" xfId="1975"/>
    <cellStyle name="差_2009年一般性转移支付标准工资_奖励补助测算7.25 (version 1) (version 1)_Book1 2" xfId="1976"/>
    <cellStyle name="常规 37 8" xfId="1977"/>
    <cellStyle name="常规 42 8" xfId="1978"/>
    <cellStyle name="差_2009年一般性转移支付标准工资_奖励补助测算7.25 (version 1) (version 1)_Book1 3" xfId="1979"/>
    <cellStyle name="常规 37 9" xfId="1980"/>
    <cellStyle name="常规 42 9" xfId="1981"/>
    <cellStyle name="差_2009年一般性转移支付标准工资_奖励补助测算7.25_Book1 2" xfId="1982"/>
    <cellStyle name="差_2009年一般性转移支付标准工资_奖励补助测算7.25_Book1 3" xfId="1983"/>
    <cellStyle name="差_2017尿素来款结算帐" xfId="1984"/>
    <cellStyle name="常规 100 2" xfId="1985"/>
    <cellStyle name="常规 7 4" xfId="1986"/>
    <cellStyle name="差_5334_2006年迪庆县级财政报表附表_Book1 2" xfId="1987"/>
    <cellStyle name="货币 2 4 2" xfId="1988"/>
    <cellStyle name="差_5334_2006年迪庆县级财政报表附表_Book1 3" xfId="1989"/>
    <cellStyle name="差_Book1 2" xfId="1990"/>
    <cellStyle name="差_Book1 4" xfId="1991"/>
    <cellStyle name="差_Book1_1" xfId="1992"/>
    <cellStyle name="差_Book1_1_Book1" xfId="1993"/>
    <cellStyle name="差_Book1_1_Book1 2" xfId="1994"/>
    <cellStyle name="差_丽江汇总_Book1" xfId="1995"/>
    <cellStyle name="常规 85 10" xfId="1996"/>
    <cellStyle name="常规 90 10" xfId="1997"/>
    <cellStyle name="货币 19 2 6" xfId="1998"/>
    <cellStyle name="货币 26 11" xfId="1999"/>
    <cellStyle name="差_Book1_1_Book1 3" xfId="2000"/>
    <cellStyle name="差_检验表（调整后）" xfId="2001"/>
    <cellStyle name="常规 85 11" xfId="2002"/>
    <cellStyle name="常规 90 11" xfId="2003"/>
    <cellStyle name="货币 19 2 7" xfId="2004"/>
    <cellStyle name="货币 26 12" xfId="2005"/>
    <cellStyle name="差_Book1_2" xfId="2006"/>
    <cellStyle name="好_2009年一般性转移支付标准工资_不用软件计算9.1不考虑经费管理评价xl" xfId="2007"/>
    <cellStyle name="差_Book1_3" xfId="2008"/>
    <cellStyle name="差_奖励补助测算5.24冯铸_Book1" xfId="2009"/>
    <cellStyle name="差_Book1_3 3" xfId="2010"/>
    <cellStyle name="千位分隔 3 5" xfId="2011"/>
    <cellStyle name="差_奖励补助测算5.24冯铸_Book1 3" xfId="2012"/>
    <cellStyle name="差_Book1_县公司" xfId="2013"/>
    <cellStyle name="差_Book1_县公司 2" xfId="2014"/>
    <cellStyle name="差_Book1_县公司 4" xfId="2015"/>
    <cellStyle name="差_Book1_县公司_Book1" xfId="2016"/>
    <cellStyle name="差_Book1_县公司_Book1 2" xfId="2017"/>
    <cellStyle name="货币 9 2 5" xfId="2018"/>
    <cellStyle name="差_Book1_县公司_Book1 3" xfId="2019"/>
    <cellStyle name="货币 9 2 6" xfId="2020"/>
    <cellStyle name="差_Book1_银行账户情况表_2010年12月" xfId="2021"/>
    <cellStyle name="差_Book1_银行账户情况表_2010年12月 2" xfId="2022"/>
    <cellStyle name="差_Book1_银行账户情况表_2010年12月 3" xfId="2023"/>
    <cellStyle name="差_Book1_银行账户情况表_2010年12月 4" xfId="2024"/>
    <cellStyle name="差_Book2_Book1" xfId="2025"/>
    <cellStyle name="常规 7 11" xfId="2026"/>
    <cellStyle name="差_M01-2(州市补助收入)" xfId="2027"/>
    <cellStyle name="差_M01-2(州市补助收入)_Book1" xfId="2028"/>
    <cellStyle name="差_M01-2(州市补助收入)_Book1 3" xfId="2029"/>
    <cellStyle name="货币 13 2" xfId="2030"/>
    <cellStyle name="差_M03_Book1" xfId="2031"/>
    <cellStyle name="差_M03_Book1 2" xfId="2032"/>
    <cellStyle name="差_M03_Book1 3" xfId="2033"/>
    <cellStyle name="检查单元格 2" xfId="2034"/>
    <cellStyle name="差_表一" xfId="2035"/>
    <cellStyle name="差_不用软件计算9.1不考虑经费管理评价xl" xfId="2036"/>
    <cellStyle name="常规 59 8" xfId="2037"/>
    <cellStyle name="常规 64 8" xfId="2038"/>
    <cellStyle name="差_不用软件计算9.1不考虑经费管理评价xl 3" xfId="2039"/>
    <cellStyle name="常规 58 4" xfId="2040"/>
    <cellStyle name="常规 63 4" xfId="2041"/>
    <cellStyle name="差_不用软件计算9.1不考虑经费管理评价xl 4" xfId="2042"/>
    <cellStyle name="常规 58 5" xfId="2043"/>
    <cellStyle name="常规 63 5" xfId="2044"/>
    <cellStyle name="货币 10 10" xfId="2045"/>
    <cellStyle name="差_不用软件计算9.1不考虑经费管理评价xl_Book1" xfId="2046"/>
    <cellStyle name="差_财政供养人员" xfId="2047"/>
    <cellStyle name="差_财政供养人员 2" xfId="2048"/>
    <cellStyle name="差_财政供养人员_Book1 2" xfId="2049"/>
    <cellStyle name="差_财政供养人员_Book1 3" xfId="2050"/>
    <cellStyle name="货币 10 2 11" xfId="2051"/>
    <cellStyle name="强调文字颜色 3 5" xfId="2052"/>
    <cellStyle name="常规 2 12" xfId="2053"/>
    <cellStyle name="差_财政支出对上级的依赖程度" xfId="2054"/>
    <cellStyle name="差_财政支出对上级的依赖程度_Book1" xfId="2055"/>
    <cellStyle name="差_财政支出对上级的依赖程度_Book1 2" xfId="2056"/>
    <cellStyle name="常规 41 4 2" xfId="2057"/>
    <cellStyle name="差_财政支出对上级的依赖程度_Book1 3" xfId="2058"/>
    <cellStyle name="差_城建部门" xfId="2059"/>
    <cellStyle name="差_城建部门_Book1 2" xfId="2060"/>
    <cellStyle name="差_城建部门_Book1 3" xfId="2061"/>
    <cellStyle name="常规 2 2 4" xfId="2062"/>
    <cellStyle name="常规 41 2 10" xfId="2063"/>
    <cellStyle name="差_地方配套按人均增幅控制8.30xl_Book1" xfId="2064"/>
    <cellStyle name="差_地方配套按人均增幅控制8.30xl_Book1 3" xfId="2065"/>
    <cellStyle name="差_地方配套按人均增幅控制8.30一般预算平均增幅、人均可用财力平均增幅两次控制、社会治安系数调整、案件数调整xl 2" xfId="2066"/>
    <cellStyle name="差_地方配套按人均增幅控制8.30一般预算平均增幅、人均可用财力平均增幅两次控制、社会治安系数调整、案件数调整xl 3" xfId="2067"/>
    <cellStyle name="差_地方配套按人均增幅控制8.30一般预算平均增幅、人均可用财力平均增幅两次控制、社会治安系数调整、案件数调整xl 4" xfId="2068"/>
    <cellStyle name="差_地方配套按人均增幅控制8.30一般预算平均增幅、人均可用财力平均增幅两次控制、社会治安系数调整、案件数调整xl_Book1" xfId="2069"/>
    <cellStyle name="注释 4 3 3" xfId="2070"/>
    <cellStyle name="货币 16 2 3" xfId="2071"/>
    <cellStyle name="常规 23 3" xfId="2072"/>
    <cellStyle name="常规 18 3" xfId="2073"/>
    <cellStyle name="差_地方配套按人均增幅控制8.30一般预算平均增幅、人均可用财力平均增幅两次控制、社会治安系数调整、案件数调整xl_Book1 2" xfId="2074"/>
    <cellStyle name="注释 4 3 4" xfId="2075"/>
    <cellStyle name="货币 16 2 4" xfId="2076"/>
    <cellStyle name="常规 23 4" xfId="2077"/>
    <cellStyle name="常规 18 4" xfId="2078"/>
    <cellStyle name="差_地方配套按人均增幅控制8.30一般预算平均增幅、人均可用财力平均增幅两次控制、社会治安系数调整、案件数调整xl_Book1 3" xfId="2079"/>
    <cellStyle name="差_地方配套按人均增幅控制8.31（调整结案率后）xl 2" xfId="2080"/>
    <cellStyle name="差_地方配套按人均增幅控制8.31（调整结案率后）xl 3" xfId="2081"/>
    <cellStyle name="常规 21 6" xfId="2082"/>
    <cellStyle name="常规 16 6" xfId="2083"/>
    <cellStyle name="差_地方配套按人均增幅控制8.31（调整结案率后）xl_Book1" xfId="2084"/>
    <cellStyle name="差_地方配套按人均增幅控制8.31（调整结案率后）xl_Book1 2" xfId="2085"/>
    <cellStyle name="差_地方配套按人均增幅控制8.31（调整结案率后）xl_Book1 3" xfId="2086"/>
    <cellStyle name="货币 13 2 9" xfId="2087"/>
    <cellStyle name="注释 5 2 2 4" xfId="2088"/>
    <cellStyle name="常规 72 2 4" xfId="2089"/>
    <cellStyle name="差_第五部分(才淼、饶永宏）" xfId="2090"/>
    <cellStyle name="常规 41 7" xfId="2091"/>
    <cellStyle name="常规 36 7" xfId="2092"/>
    <cellStyle name="差_第五部分(才淼、饶永宏）_Book1 2" xfId="2093"/>
    <cellStyle name="常规 41 8" xfId="2094"/>
    <cellStyle name="常规 36 8" xfId="2095"/>
    <cellStyle name="差_第五部分(才淼、饶永宏）_Book1 3" xfId="2096"/>
    <cellStyle name="常规 20 2 5" xfId="2097"/>
    <cellStyle name="差_第一部分：综合全" xfId="2098"/>
    <cellStyle name="常规 12 9" xfId="2099"/>
    <cellStyle name="差_第一部分：综合全_Book1" xfId="2100"/>
    <cellStyle name="差_第一部分：综合全_Book1 2" xfId="2101"/>
    <cellStyle name="差_第一部分：综合全_Book1 3" xfId="2102"/>
    <cellStyle name="常规 95 10" xfId="2103"/>
    <cellStyle name="差_奖励补助测算5.23新 3" xfId="2104"/>
    <cellStyle name="差_高中教师人数（教育厅1.6日提供）" xfId="2105"/>
    <cellStyle name="差_高中教师人数（教育厅1.6日提供）_Book1" xfId="2106"/>
    <cellStyle name="差_高中教师人数（教育厅1.6日提供）_Book1 2" xfId="2107"/>
    <cellStyle name="差_高中教师人数（教育厅1.6日提供）_Book1 3" xfId="2108"/>
    <cellStyle name="差_汇总" xfId="2109"/>
    <cellStyle name="常规 45 10" xfId="2110"/>
    <cellStyle name="常规 50 10" xfId="2111"/>
    <cellStyle name="差_汇总 3" xfId="2112"/>
    <cellStyle name="货币 15 2 6" xfId="2113"/>
    <cellStyle name="货币 20 2 6" xfId="2114"/>
    <cellStyle name="常规 45 11" xfId="2115"/>
    <cellStyle name="常规 50 11" xfId="2116"/>
    <cellStyle name="常规 69 2 2" xfId="2117"/>
    <cellStyle name="常规 74 2 2" xfId="2118"/>
    <cellStyle name="差_汇总 4" xfId="2119"/>
    <cellStyle name="货币 15 2 7" xfId="2120"/>
    <cellStyle name="货币 20 2 7" xfId="2121"/>
    <cellStyle name="差_汇总_Book1" xfId="2122"/>
    <cellStyle name="差_汇总_Book1 2" xfId="2123"/>
    <cellStyle name="差_汇总_Book1 3" xfId="2124"/>
    <cellStyle name="差_汇总-县级财政报表附表_Book1" xfId="2125"/>
    <cellStyle name="差_基础数据分析 2" xfId="2126"/>
    <cellStyle name="差_基础数据分析 3" xfId="2127"/>
    <cellStyle name="差_基础数据分析 4" xfId="2128"/>
    <cellStyle name="差_基础数据分析_Book1" xfId="2129"/>
    <cellStyle name="常规 25 2 5" xfId="2130"/>
    <cellStyle name="差_基础数据分析_Book1 2" xfId="2131"/>
    <cellStyle name="差_基础数据分析_Book1 3" xfId="2132"/>
    <cellStyle name="差_云南省2008年中小学教职工情况（教育厅提供20090101加工整理）_Book1" xfId="2133"/>
    <cellStyle name="差_架子九队员工实名制花名册(2011年）" xfId="2134"/>
    <cellStyle name="常规 46 2" xfId="2135"/>
    <cellStyle name="常规 51 2" xfId="2136"/>
    <cellStyle name="差_架子九队员工实名制花名册(2011年） 2" xfId="2137"/>
    <cellStyle name="差_衢州市附件2：全省质监系统检验检测项目_Book1" xfId="2138"/>
    <cellStyle name="差_架子九队员工实名制花名册(2011年） 3" xfId="2139"/>
    <cellStyle name="差_架子九队员工实名制花名册(2011年） 4" xfId="2140"/>
    <cellStyle name="差_检验表" xfId="2141"/>
    <cellStyle name="差_检验表 2" xfId="2142"/>
    <cellStyle name="常规 17 12" xfId="2143"/>
    <cellStyle name="常规 22 12" xfId="2144"/>
    <cellStyle name="差_检验表 3" xfId="2145"/>
    <cellStyle name="差_检验表（调整后）_Book1" xfId="2146"/>
    <cellStyle name="差_检验表（调整后）_Book1 2" xfId="2147"/>
    <cellStyle name="常规 78 5" xfId="2148"/>
    <cellStyle name="常规 83 5" xfId="2149"/>
    <cellStyle name="好_地方配套按人均增幅控制8.30xl" xfId="2150"/>
    <cellStyle name="货币 12 10" xfId="2151"/>
    <cellStyle name="千位分隔 3 2 2" xfId="2152"/>
    <cellStyle name="差_检验表（调整后）_Book1 3" xfId="2153"/>
    <cellStyle name="常规 66 10" xfId="2154"/>
    <cellStyle name="常规 71 10" xfId="2155"/>
    <cellStyle name="常规 78 6" xfId="2156"/>
    <cellStyle name="常规 83 6" xfId="2157"/>
    <cellStyle name="货币 12 11" xfId="2158"/>
    <cellStyle name="差_检验表_Book1" xfId="2159"/>
    <cellStyle name="差_检验表_Book1 2" xfId="2160"/>
    <cellStyle name="差_建行" xfId="2161"/>
    <cellStyle name="警告文本 2 9" xfId="2162"/>
    <cellStyle name="差_建行_Book1" xfId="2163"/>
    <cellStyle name="常规 83 12" xfId="2164"/>
    <cellStyle name="差_建行_Book1 2" xfId="2165"/>
    <cellStyle name="差_奖励补助测算5.22测试" xfId="2166"/>
    <cellStyle name="差_奖励补助测算5.22测试 2" xfId="2167"/>
    <cellStyle name="常规 45 8" xfId="2168"/>
    <cellStyle name="常规 50 8" xfId="2169"/>
    <cellStyle name="差_奖励补助测算5.22测试 3" xfId="2170"/>
    <cellStyle name="常规 45 9" xfId="2171"/>
    <cellStyle name="常规 50 9" xfId="2172"/>
    <cellStyle name="差_奖励补助测算5.22测试_Book1" xfId="2173"/>
    <cellStyle name="差_指标五 3" xfId="2174"/>
    <cellStyle name="差_奖励补助测算5.22测试_Book1 2" xfId="2175"/>
    <cellStyle name="差_奖励补助测算5.22测试_Book1 3" xfId="2176"/>
    <cellStyle name="差_奖励补助测算5.23新 2" xfId="2177"/>
    <cellStyle name="差_奖励补助测算5.23新 4" xfId="2178"/>
    <cellStyle name="常规 95 11" xfId="2179"/>
    <cellStyle name="差_奖励补助测算5.23新_Book1" xfId="2180"/>
    <cellStyle name="差_奖励补助测算5.23新_Book1 2" xfId="2181"/>
    <cellStyle name="货币 13 2 3" xfId="2182"/>
    <cellStyle name="差_奖励补助测算5.23新_Book1 3" xfId="2183"/>
    <cellStyle name="货币 13 2 4" xfId="2184"/>
    <cellStyle name="差_奖励补助测算5.24冯铸" xfId="2185"/>
    <cellStyle name="货币 2 3 3" xfId="2186"/>
    <cellStyle name="差_奖励补助测算5.24冯铸 4" xfId="2187"/>
    <cellStyle name="常规 11 6" xfId="2188"/>
    <cellStyle name="差_奖励补助测算7.23" xfId="2189"/>
    <cellStyle name="差_奖励补助测算7.23 2" xfId="2190"/>
    <cellStyle name="差_奖励补助测算7.23 3" xfId="2191"/>
    <cellStyle name="差_奖励补助测算7.23 4" xfId="2192"/>
    <cellStyle name="差_奖励补助测算7.23_Book1" xfId="2193"/>
    <cellStyle name="常规 45 4" xfId="2194"/>
    <cellStyle name="常规 50 4" xfId="2195"/>
    <cellStyle name="差_奖励补助测算7.23_Book1 2" xfId="2196"/>
    <cellStyle name="差_奖励补助测算7.23_Book1 3" xfId="2197"/>
    <cellStyle name="差_奖励补助测算7.25" xfId="2198"/>
    <cellStyle name="差_奖励补助测算7.25 (version 1) (version 1) 3" xfId="2199"/>
    <cellStyle name="差_奖励补助测算7.25 (version 1) (version 1) 4" xfId="2200"/>
    <cellStyle name="差_奖励补助测算7.25 (version 1) (version 1)_Book1" xfId="2201"/>
    <cellStyle name="差_奖励补助测算7.25 (version 1) (version 1)_Book1 2" xfId="2202"/>
    <cellStyle name="差_奖励补助测算7.25 (version 1) (version 1)_Book1 3" xfId="2203"/>
    <cellStyle name="差_教育厅提供义务教育及高中教师人数（2009年1月6日）_Book1" xfId="2204"/>
    <cellStyle name="好_Book2_Book1 2" xfId="2205"/>
    <cellStyle name="差_奖励补助测算7.25 2" xfId="2206"/>
    <cellStyle name="差_奖励补助测算7.25 3" xfId="2207"/>
    <cellStyle name="差_奖励补助测算7.25 4" xfId="2208"/>
    <cellStyle name="差_奖励补助测算7.25 5" xfId="2209"/>
    <cellStyle name="差_奖励补助测算7.25 6" xfId="2210"/>
    <cellStyle name="差_奖励补助测算7.25 7" xfId="2211"/>
    <cellStyle name="差_奖励补助测算7.25_Book1" xfId="2212"/>
    <cellStyle name="常规 98 11" xfId="2213"/>
    <cellStyle name="差_奖励补助测算7.25_Book1 2" xfId="2214"/>
    <cellStyle name="货币 19 2 9" xfId="2215"/>
    <cellStyle name="差_奖励补助测算7.25_Book1 3" xfId="2216"/>
    <cellStyle name="差_教育厅提供义务教育及高中教师人数（2009年1月6日）" xfId="2217"/>
    <cellStyle name="差_教育厅提供义务教育及高中教师人数（2009年1月6日） 3" xfId="2218"/>
    <cellStyle name="货币 19" xfId="2219"/>
    <cellStyle name="货币 24" xfId="2220"/>
    <cellStyle name="差_教育厅提供义务教育及高中教师人数（2009年1月6日）_Book1 2" xfId="2221"/>
    <cellStyle name="差_教育厅提供义务教育及高中教师人数（2009年1月6日）_Book1 3" xfId="2222"/>
    <cellStyle name="差_历年教师人数_Book1" xfId="2223"/>
    <cellStyle name="常规 10 4" xfId="2224"/>
    <cellStyle name="差_历年教师人数_Book1 2" xfId="2225"/>
    <cellStyle name="差_历年教师人数_Book1 3" xfId="2226"/>
    <cellStyle name="差_丽江汇总" xfId="2227"/>
    <cellStyle name="差_丽江汇总 2" xfId="2228"/>
    <cellStyle name="差_丽江汇总 3" xfId="2229"/>
    <cellStyle name="差_丽江汇总_Book1 2" xfId="2230"/>
    <cellStyle name="差_丽江汇总_Book1 3" xfId="2231"/>
    <cellStyle name="差_衢州市附件2：全省质监系统检验检测项目" xfId="2232"/>
    <cellStyle name="差_衢州市附件2：全省质监系统检验检测项目_Book1 2" xfId="2233"/>
    <cellStyle name="差_衢州市附件2：全省质监系统检验检测项目_Book1 3" xfId="2234"/>
    <cellStyle name="差_三季度－表二 2" xfId="2235"/>
    <cellStyle name="差_三季度－表二 3" xfId="2236"/>
    <cellStyle name="差_三季度－表二 4" xfId="2237"/>
    <cellStyle name="差_三季度－表二_Book1" xfId="2238"/>
    <cellStyle name="差_三季度－表二_Book1 2" xfId="2239"/>
    <cellStyle name="好_基础数据分析_Book1" xfId="2240"/>
    <cellStyle name="差_三季度－表二_Book1 3" xfId="2241"/>
    <cellStyle name="链接单元格 2 2" xfId="2242"/>
    <cellStyle name="差_卫生部门" xfId="2243"/>
    <cellStyle name="差_县级公安机关公用经费标准奖励测算方案（定稿）_Book1 2" xfId="2244"/>
    <cellStyle name="货币 2 2 3" xfId="2245"/>
    <cellStyle name="差_卫生部门 2" xfId="2246"/>
    <cellStyle name="差_卫生部门 3" xfId="2247"/>
    <cellStyle name="差_卫生部门 4" xfId="2248"/>
    <cellStyle name="好_三季度－表二" xfId="2249"/>
    <cellStyle name="差_卫生部门_Book1" xfId="2250"/>
    <cellStyle name="好_县级基础数据" xfId="2251"/>
    <cellStyle name="差_卫生部门_Book1 3" xfId="2252"/>
    <cellStyle name="常规 95 7" xfId="2253"/>
    <cellStyle name="好_县级基础数据 3" xfId="2254"/>
    <cellStyle name="差_文体广播部门" xfId="2255"/>
    <cellStyle name="差_文体广播部门 2" xfId="2256"/>
    <cellStyle name="好_教育厅提供义务教育及高中教师人数（2009年1月6日）_Book1" xfId="2257"/>
    <cellStyle name="差_文体广播部门 3" xfId="2258"/>
    <cellStyle name="差_文体广播部门_Book1" xfId="2259"/>
    <cellStyle name="差_文体广播部门_Book1 2" xfId="2260"/>
    <cellStyle name="差_文体广播部门_Book1 3" xfId="2261"/>
    <cellStyle name="差_下半年禁毒办案经费分配2544.3万元" xfId="2262"/>
    <cellStyle name="好_云南省2008年转移支付测算——州市本级考核部分及政策性测算_Book1 2" xfId="2263"/>
    <cellStyle name="货币 11 2" xfId="2264"/>
    <cellStyle name="差_下半年禁毒办案经费分配2544.3万元 2" xfId="2265"/>
    <cellStyle name="货币 11 2 2" xfId="2266"/>
    <cellStyle name="差_下半年禁毒办案经费分配2544.3万元 3" xfId="2267"/>
    <cellStyle name="未定义 2" xfId="2268"/>
    <cellStyle name="货币 11 2 3" xfId="2269"/>
    <cellStyle name="差_下半年禁毒办案经费分配2544.3万元_Book1" xfId="2270"/>
    <cellStyle name="货币 12 8" xfId="2271"/>
    <cellStyle name="差_下半年禁毒办案经费分配2544.3万元_Book1 2" xfId="2272"/>
    <cellStyle name="差_下半年禁毒办案经费分配2544.3万元_Book1 3" xfId="2273"/>
    <cellStyle name="差_下半年禁吸戒毒经费1000万元 2" xfId="2274"/>
    <cellStyle name="差_下半年禁吸戒毒经费1000万元 3" xfId="2275"/>
    <cellStyle name="解释性文本 2" xfId="2276"/>
    <cellStyle name="差_下半年禁吸戒毒经费1000万元 4" xfId="2277"/>
    <cellStyle name="解释性文本 3" xfId="2278"/>
    <cellStyle name="差_下半年禁吸戒毒经费1000万元_Book1" xfId="2279"/>
    <cellStyle name="差_下半年禁吸戒毒经费1000万元_Book1 3" xfId="2280"/>
    <cellStyle name="差_县公司" xfId="2281"/>
    <cellStyle name="输出 2 3" xfId="2282"/>
    <cellStyle name="差_县公司 2" xfId="2283"/>
    <cellStyle name="输出 2 4" xfId="2284"/>
    <cellStyle name="差_县公司 3" xfId="2285"/>
    <cellStyle name="差_县公司 4" xfId="2286"/>
    <cellStyle name="好_丽江汇总 2" xfId="2287"/>
    <cellStyle name="差_县公司_Book1" xfId="2288"/>
    <cellStyle name="差_县公司_Book1 2" xfId="2289"/>
    <cellStyle name="常规 76 8" xfId="2290"/>
    <cellStyle name="常规 81 8" xfId="2291"/>
    <cellStyle name="差_县公司_Book1 3" xfId="2292"/>
    <cellStyle name="常规 76 9" xfId="2293"/>
    <cellStyle name="常规 81 9" xfId="2294"/>
    <cellStyle name="差_县级公安机关公用经费标准奖励测算方案（定稿）" xfId="2295"/>
    <cellStyle name="差_县级公安机关公用经费标准奖励测算方案（定稿） 2" xfId="2296"/>
    <cellStyle name="常规 125" xfId="2297"/>
    <cellStyle name="常规 130" xfId="2298"/>
    <cellStyle name="差_县级公安机关公用经费标准奖励测算方案（定稿） 3" xfId="2299"/>
    <cellStyle name="常规 126" xfId="2300"/>
    <cellStyle name="常规 131" xfId="2301"/>
    <cellStyle name="差_县级公安机关公用经费标准奖励测算方案（定稿） 4" xfId="2302"/>
    <cellStyle name="常规 127" xfId="2303"/>
    <cellStyle name="常规 132" xfId="2304"/>
    <cellStyle name="差_县级公安机关公用经费标准奖励测算方案（定稿）_Book1" xfId="2305"/>
    <cellStyle name="差_县级公安机关公用经费标准奖励测算方案（定稿）_Book1 3" xfId="2306"/>
    <cellStyle name="货币 2 2 4" xfId="2307"/>
    <cellStyle name="差_县级基础数据" xfId="2308"/>
    <cellStyle name="常规 40 5 2" xfId="2309"/>
    <cellStyle name="差_县级基础数据 2" xfId="2310"/>
    <cellStyle name="差_县级基础数据 3" xfId="2311"/>
    <cellStyle name="差_县级基础数据_Book1" xfId="2312"/>
    <cellStyle name="差_县级基础数据_Book1 2" xfId="2313"/>
    <cellStyle name="差_县级基础数据_Book1 3" xfId="2314"/>
    <cellStyle name="差_业务工作量指标_Book1 2" xfId="2315"/>
    <cellStyle name="常规 11 9" xfId="2316"/>
    <cellStyle name="差_业务工作量指标_Book1 3" xfId="2317"/>
    <cellStyle name="差_义务教育阶段教职工人数（教育厅提供最终） 2" xfId="2318"/>
    <cellStyle name="差_义务教育阶段教职工人数（教育厅提供最终） 3" xfId="2319"/>
    <cellStyle name="常规 11 2" xfId="2320"/>
    <cellStyle name="差_义务教育阶段教职工人数（教育厅提供最终）_Book1" xfId="2321"/>
    <cellStyle name="常规 49 2 5" xfId="2322"/>
    <cellStyle name="差_义务教育阶段教职工人数（教育厅提供最终）_Book1 2" xfId="2323"/>
    <cellStyle name="差_义务教育阶段教职工人数（教育厅提供最终）_Book1 3" xfId="2324"/>
    <cellStyle name="差_银行账户情况表_2010年12月 2" xfId="2325"/>
    <cellStyle name="常规 78 2" xfId="2326"/>
    <cellStyle name="常规 83 2" xfId="2327"/>
    <cellStyle name="货币 4 2 7" xfId="2328"/>
    <cellStyle name="差_银行账户情况表_2010年12月 3" xfId="2329"/>
    <cellStyle name="常规 78 3" xfId="2330"/>
    <cellStyle name="常规 83 3" xfId="2331"/>
    <cellStyle name="货币 4 2 8" xfId="2332"/>
    <cellStyle name="差_银行账户情况表_2010年12月 4" xfId="2333"/>
    <cellStyle name="强调文字颜色 1 3 2" xfId="2334"/>
    <cellStyle name="常规 78 4" xfId="2335"/>
    <cellStyle name="常规 83 4" xfId="2336"/>
    <cellStyle name="货币 4 2 9" xfId="2337"/>
    <cellStyle name="强调文字颜色 5 5 2 2" xfId="2338"/>
    <cellStyle name="常规 86_2018年6月份月累计及单班" xfId="2339"/>
    <cellStyle name="差_云南农村义务教育统计表" xfId="2340"/>
    <cellStyle name="好_2007年可用财力_Book1 3" xfId="2341"/>
    <cellStyle name="差_云南农村义务教育统计表 2" xfId="2342"/>
    <cellStyle name="差_云南农村义务教育统计表 3" xfId="2343"/>
    <cellStyle name="差_云南农村义务教育统计表 4" xfId="2344"/>
    <cellStyle name="差_云南农村义务教育统计表_Book1" xfId="2345"/>
    <cellStyle name="常规 49 2 2" xfId="2346"/>
    <cellStyle name="差_云南农村义务教育统计表_Book1 3" xfId="2347"/>
    <cellStyle name="常规 101 7" xfId="2348"/>
    <cellStyle name="常规 8 9" xfId="2349"/>
    <cellStyle name="差_云南省2008年中小学教师人数统计表" xfId="2350"/>
    <cellStyle name="差_云南省2008年中小学教师人数统计表 2" xfId="2351"/>
    <cellStyle name="差_云南省2008年中小学教师人数统计表 3" xfId="2352"/>
    <cellStyle name="好_下半年禁毒办案经费分配2544.3万元_Book1 2" xfId="2353"/>
    <cellStyle name="差_云南省2008年中小学教师人数统计表_Book1" xfId="2354"/>
    <cellStyle name="差_云南省2008年中小学教师人数统计表_Book1 2" xfId="2355"/>
    <cellStyle name="差_云南省2008年中小学教师人数统计表_Book1 3" xfId="2356"/>
    <cellStyle name="差_云南省2008年中小学教职工情况（教育厅提供20090101加工整理）" xfId="2357"/>
    <cellStyle name="货币 3 7" xfId="2358"/>
    <cellStyle name="差_云南省2008年中小学教职工情况（教育厅提供20090101加工整理） 2" xfId="2359"/>
    <cellStyle name="注释 6" xfId="2360"/>
    <cellStyle name="常规 100 12" xfId="2361"/>
    <cellStyle name="差_云南省2008年中小学教职工情况（教育厅提供20090101加工整理）_Book1 2" xfId="2362"/>
    <cellStyle name="差_云南省2008年中小学教职工情况（教育厅提供20090101加工整理）_Book1 3" xfId="2363"/>
    <cellStyle name="货币 14 2 10" xfId="2364"/>
    <cellStyle name="差_云南省2008年转移支付测算——州市本级考核部分及政策性测算 2" xfId="2365"/>
    <cellStyle name="常规 69 7" xfId="2366"/>
    <cellStyle name="常规 74 7" xfId="2367"/>
    <cellStyle name="差_云南省2008年转移支付测算——州市本级考核部分及政策性测算 3" xfId="2368"/>
    <cellStyle name="常规 69 8" xfId="2369"/>
    <cellStyle name="常规 74 8" xfId="2370"/>
    <cellStyle name="差_云南省2008年转移支付测算——州市本级考核部分及政策性测算 4" xfId="2371"/>
    <cellStyle name="常规 69 9" xfId="2372"/>
    <cellStyle name="常规 74 9" xfId="2373"/>
    <cellStyle name="差_云南省2008年转移支付测算——州市本级考核部分及政策性测算_Book1" xfId="2374"/>
    <cellStyle name="常规 5 2 2 2" xfId="2375"/>
    <cellStyle name="差_云南省2008年转移支付测算——州市本级考核部分及政策性测算_Book1 2" xfId="2376"/>
    <cellStyle name="常规 15 3" xfId="2377"/>
    <cellStyle name="常规 20 3" xfId="2378"/>
    <cellStyle name="差_云南省2008年转移支付测算——州市本级考核部分及政策性测算_Book1 3" xfId="2379"/>
    <cellStyle name="常规 15 4" xfId="2380"/>
    <cellStyle name="常规 20 4" xfId="2381"/>
    <cellStyle name="注释 4 2 3" xfId="2382"/>
    <cellStyle name="差_云南水利电力有限公司" xfId="2383"/>
    <cellStyle name="常规 17 3" xfId="2384"/>
    <cellStyle name="常规 22 3" xfId="2385"/>
    <cellStyle name="注释 4 2 3 2" xfId="2386"/>
    <cellStyle name="差_云南水利电力有限公司 2" xfId="2387"/>
    <cellStyle name="注释 4 2 3 3" xfId="2388"/>
    <cellStyle name="差_云南水利电力有限公司 3" xfId="2389"/>
    <cellStyle name="注释 4 2 3 4" xfId="2390"/>
    <cellStyle name="差_云南水利电力有限公司 4" xfId="2391"/>
    <cellStyle name="差_云南水利电力有限公司_Book1" xfId="2392"/>
    <cellStyle name="差_云南水利电力有限公司_Book1 2" xfId="2393"/>
    <cellStyle name="差_云南水利电力有限公司_Book1 3" xfId="2394"/>
    <cellStyle name="差_指标四" xfId="2395"/>
    <cellStyle name="差_指标四_Book1" xfId="2396"/>
    <cellStyle name="常规 65 10" xfId="2397"/>
    <cellStyle name="常规 70 10" xfId="2398"/>
    <cellStyle name="常规 68 6" xfId="2399"/>
    <cellStyle name="常规 73 6" xfId="2400"/>
    <cellStyle name="货币 11 11" xfId="2401"/>
    <cellStyle name="差_指标四_Book1 3" xfId="2402"/>
    <cellStyle name="货币 17 2 6" xfId="2403"/>
    <cellStyle name="差_指标五" xfId="2404"/>
    <cellStyle name="好_奖励补助测算5.23新" xfId="2405"/>
    <cellStyle name="差_指标五 2" xfId="2406"/>
    <cellStyle name="差_指标五_Book1" xfId="2407"/>
    <cellStyle name="常规 176" xfId="2408"/>
    <cellStyle name="常规 181" xfId="2409"/>
    <cellStyle name="常规 77 2 6" xfId="2410"/>
    <cellStyle name="好_奖励补助测算5.23新_Book1" xfId="2411"/>
    <cellStyle name="差_指标五_Book1 3" xfId="2412"/>
    <cellStyle name="好_奖励补助测算5.23新_Book1 3" xfId="2413"/>
    <cellStyle name="货币 3 2" xfId="2414"/>
    <cellStyle name="常规 10 10" xfId="2415"/>
    <cellStyle name="常规 97 2" xfId="2416"/>
    <cellStyle name="货币 11 2 6" xfId="2417"/>
    <cellStyle name="常规 10 11" xfId="2418"/>
    <cellStyle name="常规 97 3" xfId="2419"/>
    <cellStyle name="货币 11 2 7" xfId="2420"/>
    <cellStyle name="常规 10 2" xfId="2421"/>
    <cellStyle name="好_M01-2(州市补助收入)" xfId="2422"/>
    <cellStyle name="常规 10 3" xfId="2423"/>
    <cellStyle name="常规 10 5" xfId="2424"/>
    <cellStyle name="常规 100" xfId="2425"/>
    <cellStyle name="常规 4 5" xfId="2426"/>
    <cellStyle name="注释 4" xfId="2427"/>
    <cellStyle name="常规 100 10" xfId="2428"/>
    <cellStyle name="注释 5" xfId="2429"/>
    <cellStyle name="常规 100 11" xfId="2430"/>
    <cellStyle name="常规 100 3" xfId="2431"/>
    <cellStyle name="常规 7 5" xfId="2432"/>
    <cellStyle name="常规 100 6" xfId="2433"/>
    <cellStyle name="常规 7 8" xfId="2434"/>
    <cellStyle name="常规 100 7" xfId="2435"/>
    <cellStyle name="常规 7 9" xfId="2436"/>
    <cellStyle name="常规 100 8" xfId="2437"/>
    <cellStyle name="常规 100 9" xfId="2438"/>
    <cellStyle name="常规 100_2018年6月份月累计及单班" xfId="2439"/>
    <cellStyle name="警告文本 12" xfId="2440"/>
    <cellStyle name="货币 6 8" xfId="2441"/>
    <cellStyle name="常规 101" xfId="2442"/>
    <cellStyle name="常规 4 6" xfId="2443"/>
    <cellStyle name="常规 101 10" xfId="2444"/>
    <cellStyle name="常规 101 11" xfId="2445"/>
    <cellStyle name="链接单元格 9" xfId="2446"/>
    <cellStyle name="常规 101 2" xfId="2447"/>
    <cellStyle name="常规 8 4" xfId="2448"/>
    <cellStyle name="常规 101 3" xfId="2449"/>
    <cellStyle name="常规 8 5" xfId="2450"/>
    <cellStyle name="常规 101 4" xfId="2451"/>
    <cellStyle name="常规 8 6" xfId="2452"/>
    <cellStyle name="常规 101 5" xfId="2453"/>
    <cellStyle name="常规 8 7" xfId="2454"/>
    <cellStyle name="常规 101 8" xfId="2455"/>
    <cellStyle name="常规 49 2 3" xfId="2456"/>
    <cellStyle name="常规 102" xfId="2457"/>
    <cellStyle name="常规 4 7" xfId="2458"/>
    <cellStyle name="常规 102 10" xfId="2459"/>
    <cellStyle name="常规 41 5 2" xfId="2460"/>
    <cellStyle name="常规 102 11" xfId="2461"/>
    <cellStyle name="常规 102 4" xfId="2462"/>
    <cellStyle name="常规 9 6" xfId="2463"/>
    <cellStyle name="货币 10 2" xfId="2464"/>
    <cellStyle name="常规 102 5" xfId="2465"/>
    <cellStyle name="常规 9 7" xfId="2466"/>
    <cellStyle name="货币 10 3" xfId="2467"/>
    <cellStyle name="常规 102 6" xfId="2468"/>
    <cellStyle name="常规 9 8" xfId="2469"/>
    <cellStyle name="货币 10 4" xfId="2470"/>
    <cellStyle name="常规 102 7" xfId="2471"/>
    <cellStyle name="常规 9 9" xfId="2472"/>
    <cellStyle name="好_教师绩效工资测算表（离退休按各地上报数测算）2009年1月1日" xfId="2473"/>
    <cellStyle name="货币 10 5" xfId="2474"/>
    <cellStyle name="常规 102 8" xfId="2475"/>
    <cellStyle name="货币 10 6" xfId="2476"/>
    <cellStyle name="常规 102 9" xfId="2477"/>
    <cellStyle name="货币 10 7" xfId="2478"/>
    <cellStyle name="常规 103" xfId="2479"/>
    <cellStyle name="常规 4 8" xfId="2480"/>
    <cellStyle name="常规 104" xfId="2481"/>
    <cellStyle name="常规 4 9" xfId="2482"/>
    <cellStyle name="常规 105" xfId="2483"/>
    <cellStyle name="常规 110" xfId="2484"/>
    <cellStyle name="常规 106" xfId="2485"/>
    <cellStyle name="常规 111" xfId="2486"/>
    <cellStyle name="常规 107" xfId="2487"/>
    <cellStyle name="常规 112" xfId="2488"/>
    <cellStyle name="常规 12 10" xfId="2489"/>
    <cellStyle name="常规 108" xfId="2490"/>
    <cellStyle name="常规 113" xfId="2491"/>
    <cellStyle name="常规 12 11" xfId="2492"/>
    <cellStyle name="检查单元格 2 2" xfId="2493"/>
    <cellStyle name="常规 109" xfId="2494"/>
    <cellStyle name="常规 114" xfId="2495"/>
    <cellStyle name="常规 12 12" xfId="2496"/>
    <cellStyle name="检查单元格 2 3" xfId="2497"/>
    <cellStyle name="常规 11" xfId="2498"/>
    <cellStyle name="常规 11 10" xfId="2499"/>
    <cellStyle name="常规 11 11" xfId="2500"/>
    <cellStyle name="常规 11 12" xfId="2501"/>
    <cellStyle name="常规 11 7" xfId="2502"/>
    <cellStyle name="常规 11 8" xfId="2503"/>
    <cellStyle name="常规 115" xfId="2504"/>
    <cellStyle name="常规 120" xfId="2505"/>
    <cellStyle name="检查单元格 2 4" xfId="2506"/>
    <cellStyle name="常规 116" xfId="2507"/>
    <cellStyle name="常规 121" xfId="2508"/>
    <cellStyle name="常规 117" xfId="2509"/>
    <cellStyle name="常规 122" xfId="2510"/>
    <cellStyle name="常规 118" xfId="2511"/>
    <cellStyle name="常规 123" xfId="2512"/>
    <cellStyle name="常规 119" xfId="2513"/>
    <cellStyle name="常规 124" xfId="2514"/>
    <cellStyle name="常规 12" xfId="2515"/>
    <cellStyle name="常规 12 2" xfId="2516"/>
    <cellStyle name="常规 12 2 2" xfId="2517"/>
    <cellStyle name="好_M03_Book1" xfId="2518"/>
    <cellStyle name="常规 12 3" xfId="2519"/>
    <cellStyle name="常规 12 4" xfId="2520"/>
    <cellStyle name="好_11大理" xfId="2521"/>
    <cellStyle name="常规 12 5" xfId="2522"/>
    <cellStyle name="常规 12 6" xfId="2523"/>
    <cellStyle name="常规 12 7" xfId="2524"/>
    <cellStyle name="常规 12 8" xfId="2525"/>
    <cellStyle name="常规 129" xfId="2526"/>
    <cellStyle name="常规 134" xfId="2527"/>
    <cellStyle name="常规 13" xfId="2528"/>
    <cellStyle name="常规 13 11" xfId="2529"/>
    <cellStyle name="货币 10 9" xfId="2530"/>
    <cellStyle name="常规 13 2" xfId="2531"/>
    <cellStyle name="常规 13 2 2" xfId="2532"/>
    <cellStyle name="常规 13 3" xfId="2533"/>
    <cellStyle name="常规 135" xfId="2534"/>
    <cellStyle name="常规 140" xfId="2535"/>
    <cellStyle name="常规 136" xfId="2536"/>
    <cellStyle name="常规 141" xfId="2537"/>
    <cellStyle name="常规 137" xfId="2538"/>
    <cellStyle name="常规 142" xfId="2539"/>
    <cellStyle name="常规 5 2" xfId="2540"/>
    <cellStyle name="常规 138" xfId="2541"/>
    <cellStyle name="常规 143" xfId="2542"/>
    <cellStyle name="常规 5 3" xfId="2543"/>
    <cellStyle name="常规 139" xfId="2544"/>
    <cellStyle name="常规 144" xfId="2545"/>
    <cellStyle name="常规 5 4" xfId="2546"/>
    <cellStyle name="常规 14" xfId="2547"/>
    <cellStyle name="常规 14 2 10" xfId="2548"/>
    <cellStyle name="常规 14 2 11" xfId="2549"/>
    <cellStyle name="常规 14 2 2" xfId="2550"/>
    <cellStyle name="常规 14 2 3" xfId="2551"/>
    <cellStyle name="常规 14 2 4" xfId="2552"/>
    <cellStyle name="常规 14 2 5" xfId="2553"/>
    <cellStyle name="常规 14 2 6" xfId="2554"/>
    <cellStyle name="常规 14 2 7" xfId="2555"/>
    <cellStyle name="常规 14 2 8" xfId="2556"/>
    <cellStyle name="常规 14 5" xfId="2557"/>
    <cellStyle name="常规 14 6" xfId="2558"/>
    <cellStyle name="常规 14_2018年6月份月累计及单班" xfId="2559"/>
    <cellStyle name="常规 14_生产经营计划(3月)" xfId="2560"/>
    <cellStyle name="常规 148" xfId="2561"/>
    <cellStyle name="常规 153" xfId="2562"/>
    <cellStyle name="常规 5 8" xfId="2563"/>
    <cellStyle name="好_2009年一般性转移支付标准工资_奖励补助测算5.22测试_Book1 3" xfId="2564"/>
    <cellStyle name="常规 149" xfId="2565"/>
    <cellStyle name="常规 154" xfId="2566"/>
    <cellStyle name="常规 5 9" xfId="2567"/>
    <cellStyle name="常规 15 2" xfId="2568"/>
    <cellStyle name="常规 20 2" xfId="2569"/>
    <cellStyle name="常规 15 5" xfId="2570"/>
    <cellStyle name="常规 20 5" xfId="2571"/>
    <cellStyle name="常规 15 6" xfId="2572"/>
    <cellStyle name="常规 20 6" xfId="2573"/>
    <cellStyle name="好_云南省2008年中小学教师人数统计表" xfId="2574"/>
    <cellStyle name="常规 155" xfId="2575"/>
    <cellStyle name="常规 160" xfId="2576"/>
    <cellStyle name="好_义务教育阶段教职工人数（教育厅提供最终）_Book1" xfId="2577"/>
    <cellStyle name="常规 156" xfId="2578"/>
    <cellStyle name="常规 161" xfId="2579"/>
    <cellStyle name="常规 157" xfId="2580"/>
    <cellStyle name="常规 162" xfId="2581"/>
    <cellStyle name="货币 18 2 2" xfId="2582"/>
    <cellStyle name="常规 158" xfId="2583"/>
    <cellStyle name="常规 163" xfId="2584"/>
    <cellStyle name="货币 18 2 3" xfId="2585"/>
    <cellStyle name="常规 159" xfId="2586"/>
    <cellStyle name="常规 164" xfId="2587"/>
    <cellStyle name="货币 18 2 4" xfId="2588"/>
    <cellStyle name="常规 16" xfId="2589"/>
    <cellStyle name="常规 21" xfId="2590"/>
    <cellStyle name="常规 16 10" xfId="2591"/>
    <cellStyle name="常规 21 10" xfId="2592"/>
    <cellStyle name="常规 16 11" xfId="2593"/>
    <cellStyle name="常规 21 11" xfId="2594"/>
    <cellStyle name="好_00省级(定稿)_Book1" xfId="2595"/>
    <cellStyle name="常规 16 2" xfId="2596"/>
    <cellStyle name="常规 21 2" xfId="2597"/>
    <cellStyle name="常规 16 3" xfId="2598"/>
    <cellStyle name="常规 21 3" xfId="2599"/>
    <cellStyle name="常规 16 4" xfId="2600"/>
    <cellStyle name="常规 21 4" xfId="2601"/>
    <cellStyle name="常规 16 5" xfId="2602"/>
    <cellStyle name="常规 21 5" xfId="2603"/>
    <cellStyle name="常规 38_2018年6月份月累计及单班" xfId="2604"/>
    <cellStyle name="常规 165" xfId="2605"/>
    <cellStyle name="常规 170" xfId="2606"/>
    <cellStyle name="货币 18 2 5" xfId="2607"/>
    <cellStyle name="货币 16 10" xfId="2608"/>
    <cellStyle name="货币 21 10" xfId="2609"/>
    <cellStyle name="常规 75 10" xfId="2610"/>
    <cellStyle name="常规 80 10" xfId="2611"/>
    <cellStyle name="常规 166" xfId="2612"/>
    <cellStyle name="常规 171" xfId="2613"/>
    <cellStyle name="货币 18 2 6" xfId="2614"/>
    <cellStyle name="货币 16 11" xfId="2615"/>
    <cellStyle name="货币 21 11" xfId="2616"/>
    <cellStyle name="常规 75 11" xfId="2617"/>
    <cellStyle name="常规 77 2 2" xfId="2618"/>
    <cellStyle name="常规 80 11" xfId="2619"/>
    <cellStyle name="常规 167" xfId="2620"/>
    <cellStyle name="常规 172" xfId="2621"/>
    <cellStyle name="货币 18 2 7" xfId="2622"/>
    <cellStyle name="货币 16 12" xfId="2623"/>
    <cellStyle name="货币 21 12" xfId="2624"/>
    <cellStyle name="常规 77 2 3" xfId="2625"/>
    <cellStyle name="常规 80 12" xfId="2626"/>
    <cellStyle name="常规 168" xfId="2627"/>
    <cellStyle name="常规 173" xfId="2628"/>
    <cellStyle name="货币 18 2 8" xfId="2629"/>
    <cellStyle name="常规 77 2 4" xfId="2630"/>
    <cellStyle name="常规 169" xfId="2631"/>
    <cellStyle name="常规 174" xfId="2632"/>
    <cellStyle name="货币 18 2 9" xfId="2633"/>
    <cellStyle name="注释 4 2" xfId="2634"/>
    <cellStyle name="常规 17" xfId="2635"/>
    <cellStyle name="常规 22" xfId="2636"/>
    <cellStyle name="常规 17 10" xfId="2637"/>
    <cellStyle name="常规 22 10" xfId="2638"/>
    <cellStyle name="常规 17 11" xfId="2639"/>
    <cellStyle name="常规 22 11" xfId="2640"/>
    <cellStyle name="注释 4 2 2" xfId="2641"/>
    <cellStyle name="常规 17 2" xfId="2642"/>
    <cellStyle name="常规 22 2" xfId="2643"/>
    <cellStyle name="好_2009年一般性转移支付标准工资_奖励补助测算7.25 (version 1) (version 1)_Book1 3" xfId="2644"/>
    <cellStyle name="常规 17 2 10" xfId="2645"/>
    <cellStyle name="常规 22 2 10" xfId="2646"/>
    <cellStyle name="常规 17 2 11" xfId="2647"/>
    <cellStyle name="常规 22 2 11" xfId="2648"/>
    <cellStyle name="注释 4 2 2 2" xfId="2649"/>
    <cellStyle name="常规 17 2 2" xfId="2650"/>
    <cellStyle name="常规 22 2 2" xfId="2651"/>
    <cellStyle name="注释 4 2 2 3" xfId="2652"/>
    <cellStyle name="常规 17 2 3" xfId="2653"/>
    <cellStyle name="常规 22 2 3" xfId="2654"/>
    <cellStyle name="常规 17 2 4" xfId="2655"/>
    <cellStyle name="常规 22 2 4" xfId="2656"/>
    <cellStyle name="注释 4 2 2 4" xfId="2657"/>
    <cellStyle name="好_奖励补助测算7.23_Book1 2" xfId="2658"/>
    <cellStyle name="常规 17 2 5" xfId="2659"/>
    <cellStyle name="常规 22 2 5" xfId="2660"/>
    <cellStyle name="好_奖励补助测算7.23_Book1 3" xfId="2661"/>
    <cellStyle name="常规 17 2 6" xfId="2662"/>
    <cellStyle name="常规 22 2 6" xfId="2663"/>
    <cellStyle name="常规 17 2 7" xfId="2664"/>
    <cellStyle name="常规 22 2 7" xfId="2665"/>
    <cellStyle name="常规 17 2 8" xfId="2666"/>
    <cellStyle name="常规 22 2 8" xfId="2667"/>
    <cellStyle name="好_2006年全省财力计算表（中央、决算）_Book1 2" xfId="2668"/>
    <cellStyle name="常规 17 2 9" xfId="2669"/>
    <cellStyle name="常规 22 2 9" xfId="2670"/>
    <cellStyle name="好_2006年全省财力计算表（中央、决算）_Book1 3" xfId="2671"/>
    <cellStyle name="注释 4 2 4" xfId="2672"/>
    <cellStyle name="常规 17 4" xfId="2673"/>
    <cellStyle name="常规 22 4" xfId="2674"/>
    <cellStyle name="注释 4 2 5" xfId="2675"/>
    <cellStyle name="常规 17 5" xfId="2676"/>
    <cellStyle name="常规 22 5" xfId="2677"/>
    <cellStyle name="注释 4 2 6" xfId="2678"/>
    <cellStyle name="常规 17 6" xfId="2679"/>
    <cellStyle name="常规 22 6" xfId="2680"/>
    <cellStyle name="好_奖励补助测算7.25 (version 1) (version 1)_Book1" xfId="2681"/>
    <cellStyle name="注释 4 2 7" xfId="2682"/>
    <cellStyle name="常规 17 7" xfId="2683"/>
    <cellStyle name="常规 22 7" xfId="2684"/>
    <cellStyle name="常规 17 8" xfId="2685"/>
    <cellStyle name="常规 22 8" xfId="2686"/>
    <cellStyle name="常规 17 9" xfId="2687"/>
    <cellStyle name="常规 22 9" xfId="2688"/>
    <cellStyle name="好_00省级(打印)_Book1 2" xfId="2689"/>
    <cellStyle name="常规 17_2018年6月份月累计及单班" xfId="2690"/>
    <cellStyle name="常规 22_2018年6月份月累计及单班" xfId="2691"/>
    <cellStyle name="好_2006年全省财力计算表（中央、决算）" xfId="2692"/>
    <cellStyle name="常规 175" xfId="2693"/>
    <cellStyle name="常规 180" xfId="2694"/>
    <cellStyle name="常规 77 2 5" xfId="2695"/>
    <cellStyle name="常规 177" xfId="2696"/>
    <cellStyle name="常规 77 2 7" xfId="2697"/>
    <cellStyle name="常规 178" xfId="2698"/>
    <cellStyle name="常规 77 2 8" xfId="2699"/>
    <cellStyle name="常规 179" xfId="2700"/>
    <cellStyle name="常规 77 2 9" xfId="2701"/>
    <cellStyle name="注释 4 3" xfId="2702"/>
    <cellStyle name="常规 18" xfId="2703"/>
    <cellStyle name="常规 23" xfId="2704"/>
    <cellStyle name="货币 16 2" xfId="2705"/>
    <cellStyle name="货币 21 2" xfId="2706"/>
    <cellStyle name="常规 18 10" xfId="2707"/>
    <cellStyle name="常规 23 10" xfId="2708"/>
    <cellStyle name="货币 16 2 10" xfId="2709"/>
    <cellStyle name="常规 18 11" xfId="2710"/>
    <cellStyle name="常规 23 11" xfId="2711"/>
    <cellStyle name="货币 16 2 11" xfId="2712"/>
    <cellStyle name="注释 4 3 2" xfId="2713"/>
    <cellStyle name="常规 18 2" xfId="2714"/>
    <cellStyle name="常规 23 2" xfId="2715"/>
    <cellStyle name="货币 16 2 2" xfId="2716"/>
    <cellStyle name="常规 18 5" xfId="2717"/>
    <cellStyle name="常规 23 5" xfId="2718"/>
    <cellStyle name="货币 16 2 5" xfId="2719"/>
    <cellStyle name="常规 55 10" xfId="2720"/>
    <cellStyle name="常规 60 10" xfId="2721"/>
    <cellStyle name="常规 18 6" xfId="2722"/>
    <cellStyle name="常规 23 6" xfId="2723"/>
    <cellStyle name="货币 16 2 6" xfId="2724"/>
    <cellStyle name="常规 55 11" xfId="2725"/>
    <cellStyle name="常规 60 11" xfId="2726"/>
    <cellStyle name="常规 18 7" xfId="2727"/>
    <cellStyle name="常规 23 7" xfId="2728"/>
    <cellStyle name="货币 16 2 7" xfId="2729"/>
    <cellStyle name="常规 55 12" xfId="2730"/>
    <cellStyle name="常规 60 12" xfId="2731"/>
    <cellStyle name="常规 18 8" xfId="2732"/>
    <cellStyle name="常规 23 8" xfId="2733"/>
    <cellStyle name="货币 16 2 8" xfId="2734"/>
    <cellStyle name="常规 55 13" xfId="2735"/>
    <cellStyle name="常规 60 13" xfId="2736"/>
    <cellStyle name="常规 18 9" xfId="2737"/>
    <cellStyle name="常规 23 9" xfId="2738"/>
    <cellStyle name="货币 16 2 9" xfId="2739"/>
    <cellStyle name="注释 4 4" xfId="2740"/>
    <cellStyle name="常规 19" xfId="2741"/>
    <cellStyle name="常规 24" xfId="2742"/>
    <cellStyle name="货币 16 3" xfId="2743"/>
    <cellStyle name="货币 21 3" xfId="2744"/>
    <cellStyle name="注释 4 4 2" xfId="2745"/>
    <cellStyle name="常规 19 2" xfId="2746"/>
    <cellStyle name="常规 24 2" xfId="2747"/>
    <cellStyle name="注释 4 4 3" xfId="2748"/>
    <cellStyle name="常规 19 3" xfId="2749"/>
    <cellStyle name="常规 24 3" xfId="2750"/>
    <cellStyle name="注释 4 4 4" xfId="2751"/>
    <cellStyle name="常规 19 4" xfId="2752"/>
    <cellStyle name="常规 24 4" xfId="2753"/>
    <cellStyle name="常规 19 5" xfId="2754"/>
    <cellStyle name="常规 24 5" xfId="2755"/>
    <cellStyle name="常规 19 6" xfId="2756"/>
    <cellStyle name="常规 24 6" xfId="2757"/>
    <cellStyle name="常规 19 7" xfId="2758"/>
    <cellStyle name="常规 24 7" xfId="2759"/>
    <cellStyle name="常规 19 8" xfId="2760"/>
    <cellStyle name="常规 24 8" xfId="2761"/>
    <cellStyle name="常规 19 9" xfId="2762"/>
    <cellStyle name="常规 24 9" xfId="2763"/>
    <cellStyle name="常规 2" xfId="2764"/>
    <cellStyle name="强调文字颜色 3 3" xfId="2765"/>
    <cellStyle name="常规 2 10" xfId="2766"/>
    <cellStyle name="好_2009年一般性转移支付标准工资_地方配套按人均增幅控制8.31（调整结案率后）xl_Book1 2" xfId="2767"/>
    <cellStyle name="强调文字颜色 3 3 2" xfId="2768"/>
    <cellStyle name="常规 2 10 2" xfId="2769"/>
    <cellStyle name="货币 6 2 9" xfId="2770"/>
    <cellStyle name="好_2009年一般性转移支付标准工资_地方配套按人均增幅控制8.31（调整结案率后）xl_Book1 3" xfId="2771"/>
    <cellStyle name="常规 2 11" xfId="2772"/>
    <cellStyle name="强调文字颜色 3 4" xfId="2773"/>
    <cellStyle name="货币 10 2 10" xfId="2774"/>
    <cellStyle name="强调文字颜色 3 4 2" xfId="2775"/>
    <cellStyle name="常规 2 11 2" xfId="2776"/>
    <cellStyle name="常规 3 2 2 3" xfId="2777"/>
    <cellStyle name="货币 9 10" xfId="2778"/>
    <cellStyle name="强调文字颜色 3 6" xfId="2779"/>
    <cellStyle name="常规 2 13" xfId="2780"/>
    <cellStyle name="常规 2 13 2" xfId="2781"/>
    <cellStyle name="常规 2 14" xfId="2782"/>
    <cellStyle name="常规 2 15" xfId="2783"/>
    <cellStyle name="常规 2 20" xfId="2784"/>
    <cellStyle name="常规 2 16" xfId="2785"/>
    <cellStyle name="常规 2 21" xfId="2786"/>
    <cellStyle name="常规 2 17" xfId="2787"/>
    <cellStyle name="常规 2 22" xfId="2788"/>
    <cellStyle name="常规 2 19" xfId="2789"/>
    <cellStyle name="常规 2 24" xfId="2790"/>
    <cellStyle name="常规 2 2" xfId="2791"/>
    <cellStyle name="常规 2 2 10" xfId="2792"/>
    <cellStyle name="常规 2 2 2" xfId="2793"/>
    <cellStyle name="常规 2 2 2 3" xfId="2794"/>
    <cellStyle name="常规 2 2 3" xfId="2795"/>
    <cellStyle name="常规 2 2 3 2" xfId="2796"/>
    <cellStyle name="常规 2 2 3 3" xfId="2797"/>
    <cellStyle name="常规 2 2 3 4" xfId="2798"/>
    <cellStyle name="常规 2 2 5" xfId="2799"/>
    <cellStyle name="常规 41 2 11" xfId="2800"/>
    <cellStyle name="常规 2 2 9" xfId="2801"/>
    <cellStyle name="好_2009年一般性转移支付标准工资_奖励补助测算7.25 (version 1) (version 1)_Book1 2" xfId="2802"/>
    <cellStyle name="常规 2 2_Book1" xfId="2803"/>
    <cellStyle name="常规 2 25" xfId="2804"/>
    <cellStyle name="常规 2 30" xfId="2805"/>
    <cellStyle name="常规 2 26" xfId="2806"/>
    <cellStyle name="常规 2 27" xfId="2807"/>
    <cellStyle name="货币 2 7 2" xfId="2808"/>
    <cellStyle name="常规 2 28" xfId="2809"/>
    <cellStyle name="常规 2 29" xfId="2810"/>
    <cellStyle name="常规 2 3" xfId="2811"/>
    <cellStyle name="常规 2 3 10" xfId="2812"/>
    <cellStyle name="常规 2 3 2" xfId="2813"/>
    <cellStyle name="常规 2 3 2 2" xfId="2814"/>
    <cellStyle name="常规 2 3 2 2 2" xfId="2815"/>
    <cellStyle name="常规 2 3 2 3" xfId="2816"/>
    <cellStyle name="常规 2 3 2 4" xfId="2817"/>
    <cellStyle name="常规 2 3 2 5" xfId="2818"/>
    <cellStyle name="常规 2 3 3" xfId="2819"/>
    <cellStyle name="常规 2 3 3 2" xfId="2820"/>
    <cellStyle name="常规 2 3 3 3" xfId="2821"/>
    <cellStyle name="常规 2 3 3 4" xfId="2822"/>
    <cellStyle name="常规 2 3 5" xfId="2823"/>
    <cellStyle name="常规 2 3 6" xfId="2824"/>
    <cellStyle name="常规 2 3 7" xfId="2825"/>
    <cellStyle name="常规 2 3 8" xfId="2826"/>
    <cellStyle name="常规 2 3 9" xfId="2827"/>
    <cellStyle name="常规 2 4" xfId="2828"/>
    <cellStyle name="常规 2 4 11" xfId="2829"/>
    <cellStyle name="好_1110洱源县_Book1 2" xfId="2830"/>
    <cellStyle name="常规 2 4 2" xfId="2831"/>
    <cellStyle name="常规 2 4 2 2" xfId="2832"/>
    <cellStyle name="常规 2 4 2 3" xfId="2833"/>
    <cellStyle name="常规 2 4 2 4" xfId="2834"/>
    <cellStyle name="常规 2 4 3" xfId="2835"/>
    <cellStyle name="常规 2 4 3 2" xfId="2836"/>
    <cellStyle name="常规 2 4 3 3" xfId="2837"/>
    <cellStyle name="常规 2 4 3 4" xfId="2838"/>
    <cellStyle name="常规 2 4 4" xfId="2839"/>
    <cellStyle name="常规 2 4 4 2" xfId="2840"/>
    <cellStyle name="常规 2 4 5" xfId="2841"/>
    <cellStyle name="常规 2 4 6" xfId="2842"/>
    <cellStyle name="常规 2 4 7" xfId="2843"/>
    <cellStyle name="常规 2 4 8" xfId="2844"/>
    <cellStyle name="常规 2 4 9" xfId="2845"/>
    <cellStyle name="常规 2 5" xfId="2846"/>
    <cellStyle name="常规 2 5 2" xfId="2847"/>
    <cellStyle name="常规 2 5 3" xfId="2848"/>
    <cellStyle name="常规 2 6" xfId="2849"/>
    <cellStyle name="常规 2 6 3" xfId="2850"/>
    <cellStyle name="常规 2 7 3" xfId="2851"/>
    <cellStyle name="输入 2" xfId="2852"/>
    <cellStyle name="常规 2 8" xfId="2853"/>
    <cellStyle name="输入 2 2" xfId="2854"/>
    <cellStyle name="常规 2 8 2" xfId="2855"/>
    <cellStyle name="输入 2 3" xfId="2856"/>
    <cellStyle name="常规 2 8 3" xfId="2857"/>
    <cellStyle name="输入 3" xfId="2858"/>
    <cellStyle name="常规 2 9" xfId="2859"/>
    <cellStyle name="常规 2 9 2" xfId="2860"/>
    <cellStyle name="常规 2_02-2008决算报表格式" xfId="2861"/>
    <cellStyle name="常规 20 12" xfId="2862"/>
    <cellStyle name="常规 66 2 3" xfId="2863"/>
    <cellStyle name="好_03昭通_Book1" xfId="2864"/>
    <cellStyle name="货币 12 2 8" xfId="2865"/>
    <cellStyle name="常规 20 2 10" xfId="2866"/>
    <cellStyle name="常规 20 2 11" xfId="2867"/>
    <cellStyle name="常规 20 2 2" xfId="2868"/>
    <cellStyle name="好_2006年在职人员情况_Book1 3" xfId="2869"/>
    <cellStyle name="常规 20 2 4" xfId="2870"/>
    <cellStyle name="常规 20 2 6" xfId="2871"/>
    <cellStyle name="常规 20 2 7" xfId="2872"/>
    <cellStyle name="常规 20 2 8" xfId="2873"/>
    <cellStyle name="常规 20 2 9" xfId="2874"/>
    <cellStyle name="常规 23 2 2" xfId="2875"/>
    <cellStyle name="常规 24 2 2" xfId="2876"/>
    <cellStyle name="汇总 13" xfId="2877"/>
    <cellStyle name="常规 25 10" xfId="2878"/>
    <cellStyle name="常规 30 10" xfId="2879"/>
    <cellStyle name="货币 13 2 6" xfId="2880"/>
    <cellStyle name="注释 5 2 2 2" xfId="2881"/>
    <cellStyle name="常规 25 11" xfId="2882"/>
    <cellStyle name="常规 30 11" xfId="2883"/>
    <cellStyle name="常规 72 2 2" xfId="2884"/>
    <cellStyle name="货币 13 2 7" xfId="2885"/>
    <cellStyle name="注释 4 5 2" xfId="2886"/>
    <cellStyle name="常规 25 2" xfId="2887"/>
    <cellStyle name="常规 30 2" xfId="2888"/>
    <cellStyle name="常规 25 2 2" xfId="2889"/>
    <cellStyle name="常规 25 2 3" xfId="2890"/>
    <cellStyle name="常规 25 2 4" xfId="2891"/>
    <cellStyle name="常规 25 3" xfId="2892"/>
    <cellStyle name="常规 30 3" xfId="2893"/>
    <cellStyle name="常规 25 4" xfId="2894"/>
    <cellStyle name="常规 30 4" xfId="2895"/>
    <cellStyle name="常规 25 5" xfId="2896"/>
    <cellStyle name="常规 30 5" xfId="2897"/>
    <cellStyle name="常规 25 6" xfId="2898"/>
    <cellStyle name="常规 30 6" xfId="2899"/>
    <cellStyle name="常规 25 7" xfId="2900"/>
    <cellStyle name="常规 30 7" xfId="2901"/>
    <cellStyle name="常规 25 8" xfId="2902"/>
    <cellStyle name="常规 30 8" xfId="2903"/>
    <cellStyle name="常规 25 9" xfId="2904"/>
    <cellStyle name="常规 30 9" xfId="2905"/>
    <cellStyle name="常规 25_表二" xfId="2906"/>
    <cellStyle name="常规 66 2 8" xfId="2907"/>
    <cellStyle name="常规 26 10" xfId="2908"/>
    <cellStyle name="常规 31 10" xfId="2909"/>
    <cellStyle name="货币 4 9" xfId="2910"/>
    <cellStyle name="常规 26 11" xfId="2911"/>
    <cellStyle name="常规 31 11" xfId="2912"/>
    <cellStyle name="常规 26 12" xfId="2913"/>
    <cellStyle name="常规 26 6" xfId="2914"/>
    <cellStyle name="常规 31 6" xfId="2915"/>
    <cellStyle name="常规 47 2 9" xfId="2916"/>
    <cellStyle name="常规 26 7" xfId="2917"/>
    <cellStyle name="常规 31 7" xfId="2918"/>
    <cellStyle name="常规 26 8" xfId="2919"/>
    <cellStyle name="常规 31 8" xfId="2920"/>
    <cellStyle name="常规 96_2018年6月份月累计及单班" xfId="2921"/>
    <cellStyle name="常规 26 9" xfId="2922"/>
    <cellStyle name="常规 31 9" xfId="2923"/>
    <cellStyle name="超级链接 2" xfId="2924"/>
    <cellStyle name="常规 27 10" xfId="2925"/>
    <cellStyle name="常规 32 10" xfId="2926"/>
    <cellStyle name="货币 9 9" xfId="2927"/>
    <cellStyle name="常规 27 11" xfId="2928"/>
    <cellStyle name="常规 32 11" xfId="2929"/>
    <cellStyle name="好_2009年一般性转移支付标准工资_奖励补助测算7.25 (version 1) (version 1)_Book1" xfId="2930"/>
    <cellStyle name="常规 27 12" xfId="2931"/>
    <cellStyle name="常规 27 2" xfId="2932"/>
    <cellStyle name="常规 32 2" xfId="2933"/>
    <cellStyle name="常规 27 3" xfId="2934"/>
    <cellStyle name="常规 32 3" xfId="2935"/>
    <cellStyle name="常规 27 4" xfId="2936"/>
    <cellStyle name="常规 32 4" xfId="2937"/>
    <cellStyle name="常规 27 5" xfId="2938"/>
    <cellStyle name="常规 32 5" xfId="2939"/>
    <cellStyle name="常规 27 6" xfId="2940"/>
    <cellStyle name="常规 32 6" xfId="2941"/>
    <cellStyle name="常规 27 7" xfId="2942"/>
    <cellStyle name="常规 32 7" xfId="2943"/>
    <cellStyle name="常规 27 8" xfId="2944"/>
    <cellStyle name="常规 32 8" xfId="2945"/>
    <cellStyle name="常规 27 9" xfId="2946"/>
    <cellStyle name="常规 32 9" xfId="2947"/>
    <cellStyle name="常规 28 10" xfId="2948"/>
    <cellStyle name="常规 33 10" xfId="2949"/>
    <cellStyle name="常规 28 11" xfId="2950"/>
    <cellStyle name="常规 33 11" xfId="2951"/>
    <cellStyle name="常规 28 3" xfId="2952"/>
    <cellStyle name="常规 33 3" xfId="2953"/>
    <cellStyle name="货币 3 2 8" xfId="2954"/>
    <cellStyle name="常规 28 4" xfId="2955"/>
    <cellStyle name="常规 33 4" xfId="2956"/>
    <cellStyle name="货币 3 2 9" xfId="2957"/>
    <cellStyle name="常规 28 5" xfId="2958"/>
    <cellStyle name="常规 33 5" xfId="2959"/>
    <cellStyle name="常规 28 6" xfId="2960"/>
    <cellStyle name="常规 33 6" xfId="2961"/>
    <cellStyle name="千位分隔 2 2 2" xfId="2962"/>
    <cellStyle name="常规 56 10" xfId="2963"/>
    <cellStyle name="常规 61 10" xfId="2964"/>
    <cellStyle name="常规 28 7" xfId="2965"/>
    <cellStyle name="常规 33 7" xfId="2966"/>
    <cellStyle name="常规 56 11" xfId="2967"/>
    <cellStyle name="常规 61 11" xfId="2968"/>
    <cellStyle name="常规 28 8" xfId="2969"/>
    <cellStyle name="常规 33 8" xfId="2970"/>
    <cellStyle name="常规 56 12" xfId="2971"/>
    <cellStyle name="常规 61 12" xfId="2972"/>
    <cellStyle name="常规 28 9" xfId="2973"/>
    <cellStyle name="常规 33 9" xfId="2974"/>
    <cellStyle name="注释 4 9" xfId="2975"/>
    <cellStyle name="常规 29" xfId="2976"/>
    <cellStyle name="常规 34" xfId="2977"/>
    <cellStyle name="货币 16 8" xfId="2978"/>
    <cellStyle name="货币 21 8" xfId="2979"/>
    <cellStyle name="常规 29 2" xfId="2980"/>
    <cellStyle name="常规 34 2" xfId="2981"/>
    <cellStyle name="常规 29 3" xfId="2982"/>
    <cellStyle name="常规 34 3" xfId="2983"/>
    <cellStyle name="常规 29 5" xfId="2984"/>
    <cellStyle name="常规 34 5" xfId="2985"/>
    <cellStyle name="常规 29 7" xfId="2986"/>
    <cellStyle name="常规 34 7" xfId="2987"/>
    <cellStyle name="常规 29 9" xfId="2988"/>
    <cellStyle name="常规 34 9" xfId="2989"/>
    <cellStyle name="好_2、土地面积、人口、粮食产量基本情况_Book1" xfId="2990"/>
    <cellStyle name="注释 10" xfId="2991"/>
    <cellStyle name="输出 4 2" xfId="2992"/>
    <cellStyle name="常规 3" xfId="2993"/>
    <cellStyle name="常规 3 10" xfId="2994"/>
    <cellStyle name="常规 58 2 9" xfId="2995"/>
    <cellStyle name="常规 63 2 9" xfId="2996"/>
    <cellStyle name="常规 3 11" xfId="2997"/>
    <cellStyle name="常规 3 11 2" xfId="2998"/>
    <cellStyle name="常规 3 12" xfId="2999"/>
    <cellStyle name="常规 3 13" xfId="3000"/>
    <cellStyle name="常规 3 2 2" xfId="3001"/>
    <cellStyle name="常规 3 2 2 2" xfId="3002"/>
    <cellStyle name="常规 3 2 4" xfId="3003"/>
    <cellStyle name="常规 3 3 2" xfId="3004"/>
    <cellStyle name="好_Book1_银行账户情况表_2010年12月_Book1" xfId="3005"/>
    <cellStyle name="常规 3 3 3" xfId="3006"/>
    <cellStyle name="常规 3 4" xfId="3007"/>
    <cellStyle name="常规 3 4 2" xfId="3008"/>
    <cellStyle name="常规 3 5" xfId="3009"/>
    <cellStyle name="常规 3 7" xfId="3010"/>
    <cellStyle name="常规 3 8" xfId="3011"/>
    <cellStyle name="常规 3_副本副本副产品台账_\_副本副本副产品台账_副本副本副产品台账_副本副本副产品台账_1_副本副本副产品台账_副本副本副产品台账_副本副本副产品台账_副本副本副产品台账_副本副本副产品台账_副本副本副产品台账_副本副本副产品台账_副本副本副产品台账_副本副本副产品台账_1_副本副本副产品台账_副本副本副产品台账_副本副本副产品台账_副本副本副产品台账_副本副本副产品台账_1_副本副本副产品台账_副本副本副产品台账_副本副本副产品台账_副本副本副产品台账_副本副本副产品台账_副本副本副产品台账" xfId="3012"/>
    <cellStyle name="常规 35 10" xfId="3013"/>
    <cellStyle name="常规 40 10" xfId="3014"/>
    <cellStyle name="货币 14 2 6" xfId="3015"/>
    <cellStyle name="常规 35 11" xfId="3016"/>
    <cellStyle name="常规 40 11" xfId="3017"/>
    <cellStyle name="货币 14 2 7" xfId="3018"/>
    <cellStyle name="常规 35 2" xfId="3019"/>
    <cellStyle name="常规 40 2" xfId="3020"/>
    <cellStyle name="貨幣_SGV" xfId="3021"/>
    <cellStyle name="常规 35 3" xfId="3022"/>
    <cellStyle name="常规 40 3" xfId="3023"/>
    <cellStyle name="常规 35 4" xfId="3024"/>
    <cellStyle name="常规 40 4" xfId="3025"/>
    <cellStyle name="常规 35 5" xfId="3026"/>
    <cellStyle name="常规 40 5" xfId="3027"/>
    <cellStyle name="常规 35 6" xfId="3028"/>
    <cellStyle name="常规 40 6" xfId="3029"/>
    <cellStyle name="好_指标四_Book1 2" xfId="3030"/>
    <cellStyle name="常规 35 7" xfId="3031"/>
    <cellStyle name="常规 40 7" xfId="3032"/>
    <cellStyle name="好_指标四_Book1 3" xfId="3033"/>
    <cellStyle name="常规 35 8" xfId="3034"/>
    <cellStyle name="常规 40 8" xfId="3035"/>
    <cellStyle name="常规 35 9" xfId="3036"/>
    <cellStyle name="常规 40 9" xfId="3037"/>
    <cellStyle name="常规 36 2" xfId="3038"/>
    <cellStyle name="常规 41 2" xfId="3039"/>
    <cellStyle name="好_不用软件计算9.1不考虑经费管理评价xl_Book1 3" xfId="3040"/>
    <cellStyle name="常规 36 2 2" xfId="3041"/>
    <cellStyle name="常规 41 2 2" xfId="3042"/>
    <cellStyle name="常规 36 3" xfId="3043"/>
    <cellStyle name="常规 41 3" xfId="3044"/>
    <cellStyle name="常规 36 4" xfId="3045"/>
    <cellStyle name="常规 41 4" xfId="3046"/>
    <cellStyle name="常规 36 5" xfId="3047"/>
    <cellStyle name="常规 41 5" xfId="3048"/>
    <cellStyle name="常规 36 6" xfId="3049"/>
    <cellStyle name="常规 41 6" xfId="3050"/>
    <cellStyle name="常规 36 9" xfId="3051"/>
    <cellStyle name="常规 41 9" xfId="3052"/>
    <cellStyle name="常规 37 10" xfId="3053"/>
    <cellStyle name="常规 42 10" xfId="3054"/>
    <cellStyle name="常规 37 11" xfId="3055"/>
    <cellStyle name="常规 42 11" xfId="3056"/>
    <cellStyle name="常规 37 12" xfId="3057"/>
    <cellStyle name="常规 37 2 10" xfId="3058"/>
    <cellStyle name="常规 37 2 11" xfId="3059"/>
    <cellStyle name="常规 37 2 2" xfId="3060"/>
    <cellStyle name="常规 37 2 3" xfId="3061"/>
    <cellStyle name="常规 37 6" xfId="3062"/>
    <cellStyle name="常规 42 6" xfId="3063"/>
    <cellStyle name="常规 37 7" xfId="3064"/>
    <cellStyle name="常规 42 7" xfId="3065"/>
    <cellStyle name="常规 37_2018年6月份月累计及单班" xfId="3066"/>
    <cellStyle name="常规 38 10" xfId="3067"/>
    <cellStyle name="常规 43 10" xfId="3068"/>
    <cellStyle name="常规 38 11" xfId="3069"/>
    <cellStyle name="常规 43 11" xfId="3070"/>
    <cellStyle name="千位分隔 2 7" xfId="3071"/>
    <cellStyle name="常规 38 2 2" xfId="3072"/>
    <cellStyle name="千位分隔 2 8" xfId="3073"/>
    <cellStyle name="常规 38 2 3" xfId="3074"/>
    <cellStyle name="千位分隔 2 9" xfId="3075"/>
    <cellStyle name="常规 38 2 4" xfId="3076"/>
    <cellStyle name="常规 38 2 5" xfId="3077"/>
    <cellStyle name="常规 38 2 6" xfId="3078"/>
    <cellStyle name="常规 38 2 7" xfId="3079"/>
    <cellStyle name="警告文本 4 2" xfId="3080"/>
    <cellStyle name="常规 38 2 8" xfId="3081"/>
    <cellStyle name="警告文本 4 3" xfId="3082"/>
    <cellStyle name="常规 38 2 9" xfId="3083"/>
    <cellStyle name="好_基础数据分析" xfId="3084"/>
    <cellStyle name="常规 38 3" xfId="3085"/>
    <cellStyle name="常规 43 3" xfId="3086"/>
    <cellStyle name="常规 38 4" xfId="3087"/>
    <cellStyle name="常规 43 4" xfId="3088"/>
    <cellStyle name="常规 38 5" xfId="3089"/>
    <cellStyle name="常规 43 5" xfId="3090"/>
    <cellStyle name="好_文体广播部门 2" xfId="3091"/>
    <cellStyle name="常规 38 6" xfId="3092"/>
    <cellStyle name="常规 43 6" xfId="3093"/>
    <cellStyle name="常规 57 10" xfId="3094"/>
    <cellStyle name="常规 62 10" xfId="3095"/>
    <cellStyle name="好_文体广播部门 3" xfId="3096"/>
    <cellStyle name="常规 38 7" xfId="3097"/>
    <cellStyle name="常规 43 7" xfId="3098"/>
    <cellStyle name="常规 57 11" xfId="3099"/>
    <cellStyle name="常规 62 11" xfId="3100"/>
    <cellStyle name="常规 38 8" xfId="3101"/>
    <cellStyle name="常规 43 8" xfId="3102"/>
    <cellStyle name="常规 57 12" xfId="3103"/>
    <cellStyle name="常规 62 12" xfId="3104"/>
    <cellStyle name="好_2009年一般性转移支付标准工资_Book1 2" xfId="3105"/>
    <cellStyle name="常规 38 9" xfId="3106"/>
    <cellStyle name="常规 43 9" xfId="3107"/>
    <cellStyle name="好_2009年一般性转移支付标准工资_Book1 3" xfId="3108"/>
    <cellStyle name="好_县公司_Book1 2" xfId="3109"/>
    <cellStyle name="常规 39 2" xfId="3110"/>
    <cellStyle name="常规 44 2" xfId="3111"/>
    <cellStyle name="好_指标五" xfId="3112"/>
    <cellStyle name="货币 2" xfId="3113"/>
    <cellStyle name="常规 39 3" xfId="3114"/>
    <cellStyle name="常规 44 3" xfId="3115"/>
    <cellStyle name="货币 3" xfId="3116"/>
    <cellStyle name="常规 39 4" xfId="3117"/>
    <cellStyle name="常规 44 4" xfId="3118"/>
    <cellStyle name="货币 4" xfId="3119"/>
    <cellStyle name="常规 39 5" xfId="3120"/>
    <cellStyle name="常规 44 5" xfId="3121"/>
    <cellStyle name="货币 5" xfId="3122"/>
    <cellStyle name="常规 39 6" xfId="3123"/>
    <cellStyle name="常规 44 6" xfId="3124"/>
    <cellStyle name="货币 6" xfId="3125"/>
    <cellStyle name="常规 39 7" xfId="3126"/>
    <cellStyle name="常规 44 7" xfId="3127"/>
    <cellStyle name="货币 7" xfId="3128"/>
    <cellStyle name="常规 39 8" xfId="3129"/>
    <cellStyle name="常规 44 8" xfId="3130"/>
    <cellStyle name="货币 8" xfId="3131"/>
    <cellStyle name="常规 39 9" xfId="3132"/>
    <cellStyle name="常规 44 9" xfId="3133"/>
    <cellStyle name="货币 9" xfId="3134"/>
    <cellStyle name="注释 11" xfId="3135"/>
    <cellStyle name="常规 4" xfId="3136"/>
    <cellStyle name="常规 4 10" xfId="3137"/>
    <cellStyle name="常规 4 11" xfId="3138"/>
    <cellStyle name="常规 4 2" xfId="3139"/>
    <cellStyle name="常规 4 3" xfId="3140"/>
    <cellStyle name="常规 4 4" xfId="3141"/>
    <cellStyle name="常规 40 12" xfId="3142"/>
    <cellStyle name="货币 14 2 8" xfId="3143"/>
    <cellStyle name="常规 40 2 2" xfId="3144"/>
    <cellStyle name="常规 40 3 2" xfId="3145"/>
    <cellStyle name="常规 40 4 2" xfId="3146"/>
    <cellStyle name="常规 40 6 2" xfId="3147"/>
    <cellStyle name="常规 41 13" xfId="3148"/>
    <cellStyle name="常规 41 2 2 2" xfId="3149"/>
    <cellStyle name="常规 41 2 3" xfId="3150"/>
    <cellStyle name="常规 41 2 4" xfId="3151"/>
    <cellStyle name="好_架子九队员工实名制花名册(2011年）" xfId="3152"/>
    <cellStyle name="常规 41 2 5" xfId="3153"/>
    <cellStyle name="好_教师绩效工资测算表（离退休按各地上报数测算）2009年1月1日 2" xfId="3154"/>
    <cellStyle name="常规 41 2 6" xfId="3155"/>
    <cellStyle name="好_教师绩效工资测算表（离退休按各地上报数测算）2009年1月1日 3" xfId="3156"/>
    <cellStyle name="常规 41 2 7" xfId="3157"/>
    <cellStyle name="常规 41 2 8" xfId="3158"/>
    <cellStyle name="常规 41 2 9" xfId="3159"/>
    <cellStyle name="常规 55 2" xfId="3160"/>
    <cellStyle name="常规 60 2" xfId="3161"/>
    <cellStyle name="常规 41 3 2" xfId="3162"/>
    <cellStyle name="常规 41 6 2" xfId="3163"/>
    <cellStyle name="常规 41_2018年6月份月累计及单班" xfId="3164"/>
    <cellStyle name="常规 45" xfId="3165"/>
    <cellStyle name="常规 50" xfId="3166"/>
    <cellStyle name="常规 77 12" xfId="3167"/>
    <cellStyle name="常规 45 2" xfId="3168"/>
    <cellStyle name="常规 50 2" xfId="3169"/>
    <cellStyle name="常规 45 3" xfId="3170"/>
    <cellStyle name="常规 50 3" xfId="3171"/>
    <cellStyle name="常规 45 5" xfId="3172"/>
    <cellStyle name="常规 50 5" xfId="3173"/>
    <cellStyle name="常规 2 2 2 2 2 2 2 2 2 2 3" xfId="3174"/>
    <cellStyle name="常规 45 6" xfId="3175"/>
    <cellStyle name="常规 50 6" xfId="3176"/>
    <cellStyle name="常规 45 7" xfId="3177"/>
    <cellStyle name="常规 50 7" xfId="3178"/>
    <cellStyle name="常规 46" xfId="3179"/>
    <cellStyle name="常规 51" xfId="3180"/>
    <cellStyle name="常规 46 10" xfId="3181"/>
    <cellStyle name="常规 51 10" xfId="3182"/>
    <cellStyle name="常规 46 11" xfId="3183"/>
    <cellStyle name="常规 51 11" xfId="3184"/>
    <cellStyle name="分级显示行_1_13区汇总" xfId="3185"/>
    <cellStyle name="常规 46 3" xfId="3186"/>
    <cellStyle name="常规 51 3" xfId="3187"/>
    <cellStyle name="常规 46 4" xfId="3188"/>
    <cellStyle name="常规 51 4" xfId="3189"/>
    <cellStyle name="常规 46 5" xfId="3190"/>
    <cellStyle name="常规 51 5" xfId="3191"/>
    <cellStyle name="常规 46 6" xfId="3192"/>
    <cellStyle name="常规 51 6" xfId="3193"/>
    <cellStyle name="常规 46 7" xfId="3194"/>
    <cellStyle name="常规 51 7" xfId="3195"/>
    <cellStyle name="常规 46 8" xfId="3196"/>
    <cellStyle name="常规 51 8" xfId="3197"/>
    <cellStyle name="常规 46 9" xfId="3198"/>
    <cellStyle name="常规 51 9" xfId="3199"/>
    <cellStyle name="常规 47" xfId="3200"/>
    <cellStyle name="常规 52" xfId="3201"/>
    <cellStyle name="常规 47 2" xfId="3202"/>
    <cellStyle name="常规 52 2" xfId="3203"/>
    <cellStyle name="货币 10 2 6" xfId="3204"/>
    <cellStyle name="常规 47 2 2" xfId="3205"/>
    <cellStyle name="常规 47 3" xfId="3206"/>
    <cellStyle name="常规 52 3" xfId="3207"/>
    <cellStyle name="货币 10 2 7" xfId="3208"/>
    <cellStyle name="常规 47 4" xfId="3209"/>
    <cellStyle name="常规 52 4" xfId="3210"/>
    <cellStyle name="货币 10 2 8" xfId="3211"/>
    <cellStyle name="常规 47 5" xfId="3212"/>
    <cellStyle name="常规 52 5" xfId="3213"/>
    <cellStyle name="货币 10 2 9" xfId="3214"/>
    <cellStyle name="常规 47 6" xfId="3215"/>
    <cellStyle name="常规 52 6" xfId="3216"/>
    <cellStyle name="常规 47 7" xfId="3217"/>
    <cellStyle name="常规 52 7" xfId="3218"/>
    <cellStyle name="常规 47 8" xfId="3219"/>
    <cellStyle name="常规 52 8" xfId="3220"/>
    <cellStyle name="常规 47 9" xfId="3221"/>
    <cellStyle name="常规 52 9" xfId="3222"/>
    <cellStyle name="常规 47_2018年6月份月累计及单班" xfId="3223"/>
    <cellStyle name="常规 48" xfId="3224"/>
    <cellStyle name="常规 53" xfId="3225"/>
    <cellStyle name="常规 48 10" xfId="3226"/>
    <cellStyle name="常规 53 10" xfId="3227"/>
    <cellStyle name="常规 48 11" xfId="3228"/>
    <cellStyle name="常规 53 11" xfId="3229"/>
    <cellStyle name="好_汇总" xfId="3230"/>
    <cellStyle name="常规 48 2" xfId="3231"/>
    <cellStyle name="常规 53 2" xfId="3232"/>
    <cellStyle name="常规 48 3" xfId="3233"/>
    <cellStyle name="常规 53 3" xfId="3234"/>
    <cellStyle name="常规 48 4" xfId="3235"/>
    <cellStyle name="常规 53 4" xfId="3236"/>
    <cellStyle name="常规 48 5" xfId="3237"/>
    <cellStyle name="常规 53 5" xfId="3238"/>
    <cellStyle name="常规 48 6" xfId="3239"/>
    <cellStyle name="常规 53 6" xfId="3240"/>
    <cellStyle name="常规 58 10" xfId="3241"/>
    <cellStyle name="常规 63 10" xfId="3242"/>
    <cellStyle name="常规 48 7" xfId="3243"/>
    <cellStyle name="常规 53 7" xfId="3244"/>
    <cellStyle name="常规 58 11" xfId="3245"/>
    <cellStyle name="常规 63 11" xfId="3246"/>
    <cellStyle name="常规 48 8" xfId="3247"/>
    <cellStyle name="常规 53 8" xfId="3248"/>
    <cellStyle name="常规 58 12" xfId="3249"/>
    <cellStyle name="常规 63 12" xfId="3250"/>
    <cellStyle name="常规 48 9" xfId="3251"/>
    <cellStyle name="常规 53 9" xfId="3252"/>
    <cellStyle name="常规 58 13" xfId="3253"/>
    <cellStyle name="常规 63 13" xfId="3254"/>
    <cellStyle name="常规 49" xfId="3255"/>
    <cellStyle name="常规 54" xfId="3256"/>
    <cellStyle name="常规 49 2" xfId="3257"/>
    <cellStyle name="常规 54 2" xfId="3258"/>
    <cellStyle name="常规 49 2 10" xfId="3259"/>
    <cellStyle name="常规 49 2 11" xfId="3260"/>
    <cellStyle name="常规 49 3" xfId="3261"/>
    <cellStyle name="常规 54 3" xfId="3262"/>
    <cellStyle name="好_2006年基础数据" xfId="3263"/>
    <cellStyle name="常规 49 4" xfId="3264"/>
    <cellStyle name="常规 54 4" xfId="3265"/>
    <cellStyle name="常规 49 5" xfId="3266"/>
    <cellStyle name="常规 54 5" xfId="3267"/>
    <cellStyle name="常规 49 6" xfId="3268"/>
    <cellStyle name="常规 54 6" xfId="3269"/>
    <cellStyle name="常规 49 9" xfId="3270"/>
    <cellStyle name="常规 54 9" xfId="3271"/>
    <cellStyle name="注释 2 2 2 2" xfId="3272"/>
    <cellStyle name="好_2009年一般性转移支付标准工资_~5676413_Book1" xfId="3273"/>
    <cellStyle name="常规 49_2018年6月份月累计及单班" xfId="3274"/>
    <cellStyle name="常规 5" xfId="3275"/>
    <cellStyle name="常规 5 10" xfId="3276"/>
    <cellStyle name="好_00省级(打印)_Book1 3" xfId="3277"/>
    <cellStyle name="好_第五部分(才淼、饶永宏）" xfId="3278"/>
    <cellStyle name="常规 5 11" xfId="3279"/>
    <cellStyle name="常规 5 2 2" xfId="3280"/>
    <cellStyle name="常规 5 2 2 3" xfId="3281"/>
    <cellStyle name="常规 5 2 2 4" xfId="3282"/>
    <cellStyle name="常规 5 2 3" xfId="3283"/>
    <cellStyle name="常规 5 2 3 2" xfId="3284"/>
    <cellStyle name="常规 5 2 3 3" xfId="3285"/>
    <cellStyle name="常规 5 2 4" xfId="3286"/>
    <cellStyle name="常规 5 2 4 2" xfId="3287"/>
    <cellStyle name="常规 5 2 6" xfId="3288"/>
    <cellStyle name="常规 5 2 7" xfId="3289"/>
    <cellStyle name="常规 5 3 2" xfId="3290"/>
    <cellStyle name="常规 5 3 3" xfId="3291"/>
    <cellStyle name="好_指标五_Book1 2" xfId="3292"/>
    <cellStyle name="常规 5 3 4" xfId="3293"/>
    <cellStyle name="好_指标五_Book1 3" xfId="3294"/>
    <cellStyle name="常规 5 3 5" xfId="3295"/>
    <cellStyle name="常规 5 4 2" xfId="3296"/>
    <cellStyle name="常规 5 4 3" xfId="3297"/>
    <cellStyle name="常规 5 4 4" xfId="3298"/>
    <cellStyle name="常规 5 4 5" xfId="3299"/>
    <cellStyle name="常规 5 5 2" xfId="3300"/>
    <cellStyle name="常规 5 5 3" xfId="3301"/>
    <cellStyle name="常规 5 7 2" xfId="3302"/>
    <cellStyle name="常规 5 8 2" xfId="3303"/>
    <cellStyle name="强调文字颜色 6 2 2" xfId="3304"/>
    <cellStyle name="常规 53 12" xfId="3305"/>
    <cellStyle name="常规 55" xfId="3306"/>
    <cellStyle name="常规 60" xfId="3307"/>
    <cellStyle name="后继超级链接 2" xfId="3308"/>
    <cellStyle name="常规 55 2 10" xfId="3309"/>
    <cellStyle name="常规 60 2 10" xfId="3310"/>
    <cellStyle name="常规 55 2 11" xfId="3311"/>
    <cellStyle name="常规 60 2 11" xfId="3312"/>
    <cellStyle name="常规 55 2 8" xfId="3313"/>
    <cellStyle name="常规 60 2 8" xfId="3314"/>
    <cellStyle name="常规 55 2 9" xfId="3315"/>
    <cellStyle name="常规 60 2 9" xfId="3316"/>
    <cellStyle name="常规 55 3" xfId="3317"/>
    <cellStyle name="常规 60 3" xfId="3318"/>
    <cellStyle name="常规 55 4" xfId="3319"/>
    <cellStyle name="常规 60 4" xfId="3320"/>
    <cellStyle name="常规 55 5" xfId="3321"/>
    <cellStyle name="常规 60 5" xfId="3322"/>
    <cellStyle name="常规 55 6" xfId="3323"/>
    <cellStyle name="常规 60 6" xfId="3324"/>
    <cellStyle name="常规 55 8" xfId="3325"/>
    <cellStyle name="常规 60 8" xfId="3326"/>
    <cellStyle name="常规 55 9" xfId="3327"/>
    <cellStyle name="常规 60 9" xfId="3328"/>
    <cellStyle name="常规 55_2018年6月份月累计及单班" xfId="3329"/>
    <cellStyle name="常规 60_2018年6月份月累计及单班" xfId="3330"/>
    <cellStyle name="常规 56" xfId="3331"/>
    <cellStyle name="常规 61" xfId="3332"/>
    <cellStyle name="后继超级链接 3" xfId="3333"/>
    <cellStyle name="常规 56 2" xfId="3334"/>
    <cellStyle name="常规 61 2" xfId="3335"/>
    <cellStyle name="常规 56 3" xfId="3336"/>
    <cellStyle name="常规 61 3" xfId="3337"/>
    <cellStyle name="常规 56 4" xfId="3338"/>
    <cellStyle name="常规 61 4" xfId="3339"/>
    <cellStyle name="常规 56 5" xfId="3340"/>
    <cellStyle name="常规 61 5" xfId="3341"/>
    <cellStyle name="常规 56 6" xfId="3342"/>
    <cellStyle name="常规 61 6" xfId="3343"/>
    <cellStyle name="常规 56 7" xfId="3344"/>
    <cellStyle name="常规 61 7" xfId="3345"/>
    <cellStyle name="常规 56 8" xfId="3346"/>
    <cellStyle name="常规 61 8" xfId="3347"/>
    <cellStyle name="常规 56 9" xfId="3348"/>
    <cellStyle name="常规 61 9" xfId="3349"/>
    <cellStyle name="常规 57" xfId="3350"/>
    <cellStyle name="常规 62" xfId="3351"/>
    <cellStyle name="好 5 2" xfId="3352"/>
    <cellStyle name="常规 57 2" xfId="3353"/>
    <cellStyle name="常规 62 2" xfId="3354"/>
    <cellStyle name="常规 57 3" xfId="3355"/>
    <cellStyle name="常规 62 3" xfId="3356"/>
    <cellStyle name="常规 57 4" xfId="3357"/>
    <cellStyle name="常规 62 4" xfId="3358"/>
    <cellStyle name="常规 57 5" xfId="3359"/>
    <cellStyle name="常规 62 5" xfId="3360"/>
    <cellStyle name="常规 57 6" xfId="3361"/>
    <cellStyle name="常规 62 6" xfId="3362"/>
    <cellStyle name="好_衢州市附件2：全省质监系统检验检测项目" xfId="3363"/>
    <cellStyle name="常规 57 7" xfId="3364"/>
    <cellStyle name="常规 62 7" xfId="3365"/>
    <cellStyle name="常规 57 8" xfId="3366"/>
    <cellStyle name="常规 62 8" xfId="3367"/>
    <cellStyle name="常规 57 9" xfId="3368"/>
    <cellStyle name="常规 62 9" xfId="3369"/>
    <cellStyle name="常规 58" xfId="3370"/>
    <cellStyle name="常规 63" xfId="3371"/>
    <cellStyle name="常规 58 2" xfId="3372"/>
    <cellStyle name="常规 63 2" xfId="3373"/>
    <cellStyle name="常规 58 2 10" xfId="3374"/>
    <cellStyle name="常规 63 2 10" xfId="3375"/>
    <cellStyle name="常规 67 7" xfId="3376"/>
    <cellStyle name="常规 72 7" xfId="3377"/>
    <cellStyle name="常规 58 2 11" xfId="3378"/>
    <cellStyle name="常规 63 2 11" xfId="3379"/>
    <cellStyle name="常规 67 8" xfId="3380"/>
    <cellStyle name="常规 72 8" xfId="3381"/>
    <cellStyle name="常规 58 2 2" xfId="3382"/>
    <cellStyle name="常规 63 2 2" xfId="3383"/>
    <cellStyle name="好_县级基础数据_Book1" xfId="3384"/>
    <cellStyle name="常规 58 2 4" xfId="3385"/>
    <cellStyle name="常规 63 2 4" xfId="3386"/>
    <cellStyle name="常规 58 2 5" xfId="3387"/>
    <cellStyle name="常规 63 2 5" xfId="3388"/>
    <cellStyle name="常规 58 2 6" xfId="3389"/>
    <cellStyle name="常规 63 2 6" xfId="3390"/>
    <cellStyle name="常规 58 2 7" xfId="3391"/>
    <cellStyle name="常规 63 2 7" xfId="3392"/>
    <cellStyle name="常规 58 2 8" xfId="3393"/>
    <cellStyle name="常规 63 2 8" xfId="3394"/>
    <cellStyle name="常规 59 11" xfId="3395"/>
    <cellStyle name="常规 64 11" xfId="3396"/>
    <cellStyle name="常规 58 7" xfId="3397"/>
    <cellStyle name="常规 63 7" xfId="3398"/>
    <cellStyle name="货币 10 12" xfId="3399"/>
    <cellStyle name="常规 58 8" xfId="3400"/>
    <cellStyle name="常规 63 8" xfId="3401"/>
    <cellStyle name="常规 59 12" xfId="3402"/>
    <cellStyle name="常规 64 12" xfId="3403"/>
    <cellStyle name="着色 6 2" xfId="3404"/>
    <cellStyle name="常规 58_2018年6月份月累计及单班" xfId="3405"/>
    <cellStyle name="常规 63_2018年6月份月累计及单班" xfId="3406"/>
    <cellStyle name="常规 59" xfId="3407"/>
    <cellStyle name="常规 64" xfId="3408"/>
    <cellStyle name="常规 59 2" xfId="3409"/>
    <cellStyle name="常规 64 2" xfId="3410"/>
    <cellStyle name="常规 59 3" xfId="3411"/>
    <cellStyle name="常规 64 3" xfId="3412"/>
    <cellStyle name="常规 59 4" xfId="3413"/>
    <cellStyle name="常规 64 4" xfId="3414"/>
    <cellStyle name="常规 59 5" xfId="3415"/>
    <cellStyle name="常规 64 5" xfId="3416"/>
    <cellStyle name="常规 59 6" xfId="3417"/>
    <cellStyle name="常规 64 6" xfId="3418"/>
    <cellStyle name="常规 59 7" xfId="3419"/>
    <cellStyle name="常规 64 7" xfId="3420"/>
    <cellStyle name="常规 59 9" xfId="3421"/>
    <cellStyle name="常规 64 9" xfId="3422"/>
    <cellStyle name="常规 6" xfId="3423"/>
    <cellStyle name="常规 6 10" xfId="3424"/>
    <cellStyle name="常规 6 11" xfId="3425"/>
    <cellStyle name="常规 6 2" xfId="3426"/>
    <cellStyle name="常规 6 3" xfId="3427"/>
    <cellStyle name="好_财政供养人员" xfId="3428"/>
    <cellStyle name="常规 6 3 2" xfId="3429"/>
    <cellStyle name="常规 6 4" xfId="3430"/>
    <cellStyle name="常规 6 7" xfId="3431"/>
    <cellStyle name="常规 6 8" xfId="3432"/>
    <cellStyle name="常规 65 11" xfId="3433"/>
    <cellStyle name="常规 70 11" xfId="3434"/>
    <cellStyle name="好_2007年检察院案件数_Book1 2" xfId="3435"/>
    <cellStyle name="常规 68 7" xfId="3436"/>
    <cellStyle name="常规 73 7" xfId="3437"/>
    <cellStyle name="货币 11 12" xfId="3438"/>
    <cellStyle name="货币 17 2 7" xfId="3439"/>
    <cellStyle name="常规 65 12" xfId="3440"/>
    <cellStyle name="常规 70 12" xfId="3441"/>
    <cellStyle name="好_2007年检察院案件数_Book1 3" xfId="3442"/>
    <cellStyle name="常规 68 8" xfId="3443"/>
    <cellStyle name="常规 73 8" xfId="3444"/>
    <cellStyle name="货币 17 2 8" xfId="3445"/>
    <cellStyle name="常规 65 2" xfId="3446"/>
    <cellStyle name="常规 70 2" xfId="3447"/>
    <cellStyle name="好_检验表（调整后） 3" xfId="3448"/>
    <cellStyle name="常规 65 3" xfId="3449"/>
    <cellStyle name="常规 70 3" xfId="3450"/>
    <cellStyle name="好_2008云南省分县市中小学教职工统计表（教育厅提供）" xfId="3451"/>
    <cellStyle name="常规 65 4" xfId="3452"/>
    <cellStyle name="常规 70 4" xfId="3453"/>
    <cellStyle name="常规 65 5" xfId="3454"/>
    <cellStyle name="常规 70 5" xfId="3455"/>
    <cellStyle name="常规 65 6" xfId="3456"/>
    <cellStyle name="常规 70 6" xfId="3457"/>
    <cellStyle name="常规 65 7" xfId="3458"/>
    <cellStyle name="常规 70 7" xfId="3459"/>
    <cellStyle name="常规 65 8" xfId="3460"/>
    <cellStyle name="常规 70 8" xfId="3461"/>
    <cellStyle name="常规 65 9" xfId="3462"/>
    <cellStyle name="常规 70 9" xfId="3463"/>
    <cellStyle name="常规 66" xfId="3464"/>
    <cellStyle name="常规 71" xfId="3465"/>
    <cellStyle name="常规 66 11" xfId="3466"/>
    <cellStyle name="常规 71 11" xfId="3467"/>
    <cellStyle name="常规 78 7" xfId="3468"/>
    <cellStyle name="常规 83 7" xfId="3469"/>
    <cellStyle name="货币 12 12" xfId="3470"/>
    <cellStyle name="常规 66 12" xfId="3471"/>
    <cellStyle name="常规 71 12" xfId="3472"/>
    <cellStyle name="常规 78 8" xfId="3473"/>
    <cellStyle name="常规 83 8" xfId="3474"/>
    <cellStyle name="常规 66 13" xfId="3475"/>
    <cellStyle name="常规 78 9" xfId="3476"/>
    <cellStyle name="常规 83 9" xfId="3477"/>
    <cellStyle name="常规 66 2" xfId="3478"/>
    <cellStyle name="常规 71 2" xfId="3479"/>
    <cellStyle name="常规 66 2 11" xfId="3480"/>
    <cellStyle name="常规 66 2 4" xfId="3481"/>
    <cellStyle name="好_0502通海县_Book1" xfId="3482"/>
    <cellStyle name="货币 12 2 9" xfId="3483"/>
    <cellStyle name="常规 66 2 5" xfId="3484"/>
    <cellStyle name="好_汇总_Book1 2" xfId="3485"/>
    <cellStyle name="货币 4 2 10" xfId="3486"/>
    <cellStyle name="常规 66 2 6" xfId="3487"/>
    <cellStyle name="好_汇总_Book1 3" xfId="3488"/>
    <cellStyle name="货币 4 2 11" xfId="3489"/>
    <cellStyle name="强调文字颜色 6 2 2 2" xfId="3490"/>
    <cellStyle name="常规 66 2 7" xfId="3491"/>
    <cellStyle name="常规 66 2 9" xfId="3492"/>
    <cellStyle name="样式 1" xfId="3493"/>
    <cellStyle name="常规 66 3" xfId="3494"/>
    <cellStyle name="常规 71 3" xfId="3495"/>
    <cellStyle name="常规 66 4" xfId="3496"/>
    <cellStyle name="常规 71 4" xfId="3497"/>
    <cellStyle name="常规 66 5" xfId="3498"/>
    <cellStyle name="常规 71 5" xfId="3499"/>
    <cellStyle name="常规 66 8" xfId="3500"/>
    <cellStyle name="常规 71 8" xfId="3501"/>
    <cellStyle name="常规 66 9" xfId="3502"/>
    <cellStyle name="常规 71 9" xfId="3503"/>
    <cellStyle name="常规 66_2018年6月份月累计及单班" xfId="3504"/>
    <cellStyle name="常规 67 11" xfId="3505"/>
    <cellStyle name="常规 72 11" xfId="3506"/>
    <cellStyle name="常规 88 7" xfId="3507"/>
    <cellStyle name="常规 93 7" xfId="3508"/>
    <cellStyle name="好_2009年一般性转移支付标准工资_地方配套按人均增幅控制8.30xl_Book1 3" xfId="3509"/>
    <cellStyle name="货币 13 12" xfId="3510"/>
    <cellStyle name="好_2006年分析表_Book1 2" xfId="3511"/>
    <cellStyle name="注释 5 2 2" xfId="3512"/>
    <cellStyle name="常规 67 2" xfId="3513"/>
    <cellStyle name="常规 72 2" xfId="3514"/>
    <cellStyle name="好_Book1_县公司_Book1 2" xfId="3515"/>
    <cellStyle name="好_2006年分析表_Book1 3" xfId="3516"/>
    <cellStyle name="注释 5 2 3" xfId="3517"/>
    <cellStyle name="常规 67 3" xfId="3518"/>
    <cellStyle name="常规 72 3" xfId="3519"/>
    <cellStyle name="好_Book1_县公司_Book1 3" xfId="3520"/>
    <cellStyle name="注释 5 2 4" xfId="3521"/>
    <cellStyle name="常规 67 4" xfId="3522"/>
    <cellStyle name="常规 72 4" xfId="3523"/>
    <cellStyle name="注释 5 2 5" xfId="3524"/>
    <cellStyle name="常规 67 5" xfId="3525"/>
    <cellStyle name="常规 72 5" xfId="3526"/>
    <cellStyle name="注释 5 2 6" xfId="3527"/>
    <cellStyle name="常规 67 6" xfId="3528"/>
    <cellStyle name="常规 72 6" xfId="3529"/>
    <cellStyle name="常规 67 9" xfId="3530"/>
    <cellStyle name="常规 72 9" xfId="3531"/>
    <cellStyle name="注释 5 3" xfId="3532"/>
    <cellStyle name="常规 68" xfId="3533"/>
    <cellStyle name="常规 73" xfId="3534"/>
    <cellStyle name="货币 17 2" xfId="3535"/>
    <cellStyle name="货币 22 2" xfId="3536"/>
    <cellStyle name="常规 98 6" xfId="3537"/>
    <cellStyle name="货币 14 11" xfId="3538"/>
    <cellStyle name="着色 1 4" xfId="3539"/>
    <cellStyle name="常规 68 10" xfId="3540"/>
    <cellStyle name="常规 73 10" xfId="3541"/>
    <cellStyle name="货币 17 2 10" xfId="3542"/>
    <cellStyle name="常规 98 7" xfId="3543"/>
    <cellStyle name="货币 14 12" xfId="3544"/>
    <cellStyle name="常规 68 11" xfId="3545"/>
    <cellStyle name="常规 73 11" xfId="3546"/>
    <cellStyle name="货币 17 2 11" xfId="3547"/>
    <cellStyle name="常规 68 12" xfId="3548"/>
    <cellStyle name="常规 98 8" xfId="3549"/>
    <cellStyle name="好_不用软件计算9.1不考虑经费管理评价xl" xfId="3550"/>
    <cellStyle name="注释 5 3 4" xfId="3551"/>
    <cellStyle name="常规 68 4" xfId="3552"/>
    <cellStyle name="常规 73 4" xfId="3553"/>
    <cellStyle name="货币 17 2 4" xfId="3554"/>
    <cellStyle name="常规 68 9" xfId="3555"/>
    <cellStyle name="常规 73 9" xfId="3556"/>
    <cellStyle name="货币 17 2 9" xfId="3557"/>
    <cellStyle name="注释 5 4" xfId="3558"/>
    <cellStyle name="常规 69" xfId="3559"/>
    <cellStyle name="常规 74" xfId="3560"/>
    <cellStyle name="货币 17 3" xfId="3561"/>
    <cellStyle name="货币 22 3" xfId="3562"/>
    <cellStyle name="常规 69 13" xfId="3563"/>
    <cellStyle name="常规 74 13" xfId="3564"/>
    <cellStyle name="注释 5 4 2" xfId="3565"/>
    <cellStyle name="常规 69 2" xfId="3566"/>
    <cellStyle name="常规 74 2" xfId="3567"/>
    <cellStyle name="常规 69 2 10" xfId="3568"/>
    <cellStyle name="常规 74 2 10" xfId="3569"/>
    <cellStyle name="常规 69 2 11" xfId="3570"/>
    <cellStyle name="常规 74 2 11" xfId="3571"/>
    <cellStyle name="常规 69 2 3" xfId="3572"/>
    <cellStyle name="常规 74 2 3" xfId="3573"/>
    <cellStyle name="货币 15 2 8" xfId="3574"/>
    <cellStyle name="货币 20 2 8" xfId="3575"/>
    <cellStyle name="常规 69 2 4" xfId="3576"/>
    <cellStyle name="常规 74 2 4" xfId="3577"/>
    <cellStyle name="货币 15 2 9" xfId="3578"/>
    <cellStyle name="货币 20 2 9" xfId="3579"/>
    <cellStyle name="常规 69 2 5" xfId="3580"/>
    <cellStyle name="常规 74 2 5" xfId="3581"/>
    <cellStyle name="注释 5 4 3" xfId="3582"/>
    <cellStyle name="强调 1" xfId="3583"/>
    <cellStyle name="常规 69 3" xfId="3584"/>
    <cellStyle name="常规 74 3" xfId="3585"/>
    <cellStyle name="注释 5 4 4" xfId="3586"/>
    <cellStyle name="强调 2" xfId="3587"/>
    <cellStyle name="常规 69 4" xfId="3588"/>
    <cellStyle name="常规 74 4" xfId="3589"/>
    <cellStyle name="常规 7" xfId="3590"/>
    <cellStyle name="常规 7 2" xfId="3591"/>
    <cellStyle name="常规 7 3" xfId="3592"/>
    <cellStyle name="常规 7 3 2" xfId="3593"/>
    <cellStyle name="常规 72 12" xfId="3594"/>
    <cellStyle name="常规 88 8" xfId="3595"/>
    <cellStyle name="常规 93 8" xfId="3596"/>
    <cellStyle name="注释 5 2 2 3" xfId="3597"/>
    <cellStyle name="常规 72 2 3" xfId="3598"/>
    <cellStyle name="货币 13 2 8" xfId="3599"/>
    <cellStyle name="常规 72 2 5" xfId="3600"/>
    <cellStyle name="常规 72 2 6" xfId="3601"/>
    <cellStyle name="常规 72 2 7" xfId="3602"/>
    <cellStyle name="常规 72 2 8" xfId="3603"/>
    <cellStyle name="常规 72_2018年6月份月累计及单班" xfId="3604"/>
    <cellStyle name="常规 75 4" xfId="3605"/>
    <cellStyle name="常规 80 4" xfId="3606"/>
    <cellStyle name="常规 75 5" xfId="3607"/>
    <cellStyle name="常规 80 5" xfId="3608"/>
    <cellStyle name="好_2009年一般性转移支付标准工资_奖励补助测算7.25_Book1 2" xfId="3609"/>
    <cellStyle name="常规 75 6" xfId="3610"/>
    <cellStyle name="常规 80 6" xfId="3611"/>
    <cellStyle name="好_2009年一般性转移支付标准工资_奖励补助测算7.25_Book1 3" xfId="3612"/>
    <cellStyle name="常规 75 7" xfId="3613"/>
    <cellStyle name="常规 80 7" xfId="3614"/>
    <cellStyle name="好_第五部分(才淼、饶永宏）_Book1 2" xfId="3615"/>
    <cellStyle name="常规 75 8" xfId="3616"/>
    <cellStyle name="常规 80 8" xfId="3617"/>
    <cellStyle name="好_第五部分(才淼、饶永宏）_Book1 3" xfId="3618"/>
    <cellStyle name="常规 75 9" xfId="3619"/>
    <cellStyle name="常规 80 9" xfId="3620"/>
    <cellStyle name="常规 76 10" xfId="3621"/>
    <cellStyle name="常规 81 10" xfId="3622"/>
    <cellStyle name="货币 17 11" xfId="3623"/>
    <cellStyle name="货币 22 11" xfId="3624"/>
    <cellStyle name="常规 76 11" xfId="3625"/>
    <cellStyle name="常规 81 11" xfId="3626"/>
    <cellStyle name="货币 17 12" xfId="3627"/>
    <cellStyle name="货币 22 12" xfId="3628"/>
    <cellStyle name="常规 76 5" xfId="3629"/>
    <cellStyle name="常规 81 5" xfId="3630"/>
    <cellStyle name="常规 76 6" xfId="3631"/>
    <cellStyle name="常规 81 6" xfId="3632"/>
    <cellStyle name="常规 76 7" xfId="3633"/>
    <cellStyle name="常规 81 7" xfId="3634"/>
    <cellStyle name="常规 77 2" xfId="3635"/>
    <cellStyle name="常规 82 2" xfId="3636"/>
    <cellStyle name="常规 77 2 10" xfId="3637"/>
    <cellStyle name="强调文字颜色 1 2 3" xfId="3638"/>
    <cellStyle name="常规 77 5" xfId="3639"/>
    <cellStyle name="常规 82 5" xfId="3640"/>
    <cellStyle name="好_云南省2008年中小学教师人数统计表_Book1" xfId="3641"/>
    <cellStyle name="强调文字颜色 1 2 4" xfId="3642"/>
    <cellStyle name="常规 77 6" xfId="3643"/>
    <cellStyle name="常规 82 6" xfId="3644"/>
    <cellStyle name="常规 77 7" xfId="3645"/>
    <cellStyle name="常规 82 7" xfId="3646"/>
    <cellStyle name="常规 77 8" xfId="3647"/>
    <cellStyle name="常规 82 8" xfId="3648"/>
    <cellStyle name="常规 77 9" xfId="3649"/>
    <cellStyle name="常规 82 9" xfId="3650"/>
    <cellStyle name="强调文字颜色 4 4 2" xfId="3651"/>
    <cellStyle name="常规 77_2018年6月份月累计及单班" xfId="3652"/>
    <cellStyle name="好_Book1_银行账户情况表_2010年12月_Book1 3" xfId="3653"/>
    <cellStyle name="好_教育厅提供义务教育及高中教师人数（2009年1月6日）_Book1 2" xfId="3654"/>
    <cellStyle name="常规 78 10" xfId="3655"/>
    <cellStyle name="常规 83 10" xfId="3656"/>
    <cellStyle name="警告文本 2 7" xfId="3657"/>
    <cellStyle name="货币 19 11" xfId="3658"/>
    <cellStyle name="货币 24 11" xfId="3659"/>
    <cellStyle name="常规 78 11" xfId="3660"/>
    <cellStyle name="常规 83 11" xfId="3661"/>
    <cellStyle name="警告文本 2 8" xfId="3662"/>
    <cellStyle name="货币 19 12" xfId="3663"/>
    <cellStyle name="货币 24 12" xfId="3664"/>
    <cellStyle name="常规 79 10" xfId="3665"/>
    <cellStyle name="常规 84 10" xfId="3666"/>
    <cellStyle name="货币 25 11" xfId="3667"/>
    <cellStyle name="常规 79 11" xfId="3668"/>
    <cellStyle name="常规 84 11" xfId="3669"/>
    <cellStyle name="货币 25 12" xfId="3670"/>
    <cellStyle name="常规 79 2" xfId="3671"/>
    <cellStyle name="常规 84 2" xfId="3672"/>
    <cellStyle name="常规 79 3" xfId="3673"/>
    <cellStyle name="常规 84 3" xfId="3674"/>
    <cellStyle name="强调文字颜色 1 4 2" xfId="3675"/>
    <cellStyle name="常规 79 4" xfId="3676"/>
    <cellStyle name="常规 84 4" xfId="3677"/>
    <cellStyle name="常规 79 5" xfId="3678"/>
    <cellStyle name="常规 84 5" xfId="3679"/>
    <cellStyle name="常规 79 6" xfId="3680"/>
    <cellStyle name="常规 84 6" xfId="3681"/>
    <cellStyle name="常规 79 7" xfId="3682"/>
    <cellStyle name="常规 84 7" xfId="3683"/>
    <cellStyle name="常规 79 8" xfId="3684"/>
    <cellStyle name="常规 84 8" xfId="3685"/>
    <cellStyle name="常规 79 9" xfId="3686"/>
    <cellStyle name="常规 84 9" xfId="3687"/>
    <cellStyle name="常规 8" xfId="3688"/>
    <cellStyle name="常规 8 10" xfId="3689"/>
    <cellStyle name="常规 8 11" xfId="3690"/>
    <cellStyle name="链接单元格 7" xfId="3691"/>
    <cellStyle name="常规 8 2" xfId="3692"/>
    <cellStyle name="链接单元格 8" xfId="3693"/>
    <cellStyle name="常规 8 3" xfId="3694"/>
    <cellStyle name="常规 80_2018年6月份月累计及单班" xfId="3695"/>
    <cellStyle name="常规 85 2" xfId="3696"/>
    <cellStyle name="常规 90 2" xfId="3697"/>
    <cellStyle name="常规 85 3" xfId="3698"/>
    <cellStyle name="常规 90 3" xfId="3699"/>
    <cellStyle name="强调文字颜色 1 5 2" xfId="3700"/>
    <cellStyle name="常规 85 4" xfId="3701"/>
    <cellStyle name="常规 90 4" xfId="3702"/>
    <cellStyle name="强调文字颜色 1 5 3" xfId="3703"/>
    <cellStyle name="常规 85 5" xfId="3704"/>
    <cellStyle name="常规 90 5" xfId="3705"/>
    <cellStyle name="常规 85 6" xfId="3706"/>
    <cellStyle name="常规 90 6" xfId="3707"/>
    <cellStyle name="常规 85 7" xfId="3708"/>
    <cellStyle name="常规 90 7" xfId="3709"/>
    <cellStyle name="常规 86 12" xfId="3710"/>
    <cellStyle name="常规 86 2" xfId="3711"/>
    <cellStyle name="常规 91 2" xfId="3712"/>
    <cellStyle name="常规 86 3" xfId="3713"/>
    <cellStyle name="常规 91 3" xfId="3714"/>
    <cellStyle name="常规 86 4" xfId="3715"/>
    <cellStyle name="常规 91 4" xfId="3716"/>
    <cellStyle name="常规 86 5" xfId="3717"/>
    <cellStyle name="常规 91 5" xfId="3718"/>
    <cellStyle name="常规 86 6" xfId="3719"/>
    <cellStyle name="常规 91 6" xfId="3720"/>
    <cellStyle name="好_下半年禁吸戒毒经费1000万元_Book1" xfId="3721"/>
    <cellStyle name="常规 86 7" xfId="3722"/>
    <cellStyle name="常规 91 7" xfId="3723"/>
    <cellStyle name="常规 86 8" xfId="3724"/>
    <cellStyle name="常规 91 8" xfId="3725"/>
    <cellStyle name="常规 86 9" xfId="3726"/>
    <cellStyle name="常规 91 9" xfId="3727"/>
    <cellStyle name="常规 88 10" xfId="3728"/>
    <cellStyle name="常规 93 10" xfId="3729"/>
    <cellStyle name="常规 88 11" xfId="3730"/>
    <cellStyle name="常规 93 11" xfId="3731"/>
    <cellStyle name="常规 88 9" xfId="3732"/>
    <cellStyle name="常规 93 9" xfId="3733"/>
    <cellStyle name="常规 89" xfId="3734"/>
    <cellStyle name="常规 94" xfId="3735"/>
    <cellStyle name="常规 89 11" xfId="3736"/>
    <cellStyle name="常规 94 11" xfId="3737"/>
    <cellStyle name="好_财政供养人员_Book1 3" xfId="3738"/>
    <cellStyle name="常规 89 2" xfId="3739"/>
    <cellStyle name="常规 94 2" xfId="3740"/>
    <cellStyle name="常规 89 7" xfId="3741"/>
    <cellStyle name="常规 94 7" xfId="3742"/>
    <cellStyle name="常规 89 8" xfId="3743"/>
    <cellStyle name="常规 94 8" xfId="3744"/>
    <cellStyle name="常规 89_2018年6月份月累计及单班" xfId="3745"/>
    <cellStyle name="常规 9" xfId="3746"/>
    <cellStyle name="常规 9 10" xfId="3747"/>
    <cellStyle name="常规 9 11" xfId="3748"/>
    <cellStyle name="常规 93 12" xfId="3749"/>
    <cellStyle name="常规 93_2018年6月份月累计及单班" xfId="3750"/>
    <cellStyle name="常规 95" xfId="3751"/>
    <cellStyle name="常规 95 2" xfId="3752"/>
    <cellStyle name="常规 95 8" xfId="3753"/>
    <cellStyle name="常规 95 9" xfId="3754"/>
    <cellStyle name="常规 96 11" xfId="3755"/>
    <cellStyle name="常规 96 12" xfId="3756"/>
    <cellStyle name="常规 96 2" xfId="3757"/>
    <cellStyle name="常规 96 3" xfId="3758"/>
    <cellStyle name="常规 96 5" xfId="3759"/>
    <cellStyle name="常规 96 8" xfId="3760"/>
    <cellStyle name="常规 96 9" xfId="3761"/>
    <cellStyle name="常规 97" xfId="3762"/>
    <cellStyle name="常规 97 11" xfId="3763"/>
    <cellStyle name="常规 97 4" xfId="3764"/>
    <cellStyle name="货币 11 2 8" xfId="3765"/>
    <cellStyle name="常规 97 5" xfId="3766"/>
    <cellStyle name="货币 11 2 9" xfId="3767"/>
    <cellStyle name="常规 97 6" xfId="3768"/>
    <cellStyle name="常规 97 7" xfId="3769"/>
    <cellStyle name="常规 97 8" xfId="3770"/>
    <cellStyle name="常规 97 9" xfId="3771"/>
    <cellStyle name="常规 98" xfId="3772"/>
    <cellStyle name="常规 98 10" xfId="3773"/>
    <cellStyle name="常规 98 5" xfId="3774"/>
    <cellStyle name="货币 14 10" xfId="3775"/>
    <cellStyle name="常规 98 9" xfId="3776"/>
    <cellStyle name="好_00省级(定稿)" xfId="3777"/>
    <cellStyle name="常规 99" xfId="3778"/>
    <cellStyle name="常规 99 10" xfId="3779"/>
    <cellStyle name="常规 99 11" xfId="3780"/>
    <cellStyle name="常规 99 5" xfId="3781"/>
    <cellStyle name="汇总 5 2 2" xfId="3782"/>
    <cellStyle name="常规 99 6" xfId="3783"/>
    <cellStyle name="好_2009年一般性转移支付标准工资_~4190974_Book1" xfId="3784"/>
    <cellStyle name="汇总 5 2 3" xfId="3785"/>
    <cellStyle name="常规_Sheet1" xfId="3786"/>
    <cellStyle name="常规_表二" xfId="3787"/>
    <cellStyle name="常规_表二 3" xfId="3788"/>
    <cellStyle name="超级链接" xfId="3789"/>
    <cellStyle name="分级显示列_1_Book1" xfId="3790"/>
    <cellStyle name="好 2" xfId="3791"/>
    <cellStyle name="好 2 2" xfId="3792"/>
    <cellStyle name="好 3" xfId="3793"/>
    <cellStyle name="好 4" xfId="3794"/>
    <cellStyle name="好 8" xfId="3795"/>
    <cellStyle name="好 9" xfId="3796"/>
    <cellStyle name="好_~4190974" xfId="3797"/>
    <cellStyle name="好_教师绩效工资测算表（离退休按各地上报数测算）2009年1月1日_Book1 3" xfId="3798"/>
    <cellStyle name="好_~4190974_Book1 2" xfId="3799"/>
    <cellStyle name="好_~4190974_Book1 3" xfId="3800"/>
    <cellStyle name="好_~5676413" xfId="3801"/>
    <cellStyle name="好_高中教师人数（教育厅1.6日提供）" xfId="3802"/>
    <cellStyle name="好_银行账户情况表_2010年12月" xfId="3803"/>
    <cellStyle name="好_~5676413_Book1 2" xfId="3804"/>
    <cellStyle name="好_高中教师人数（教育厅1.6日提供）_Book1 2" xfId="3805"/>
    <cellStyle name="好_银行账户情况表_2010年12月_Book1 2" xfId="3806"/>
    <cellStyle name="好_~5676413_Book1 3" xfId="3807"/>
    <cellStyle name="好_高中教师人数（教育厅1.6日提供）_Book1 3" xfId="3808"/>
    <cellStyle name="好_银行账户情况表_2010年12月_Book1 3" xfId="3809"/>
    <cellStyle name="好_00省级(打印)_Book1" xfId="3810"/>
    <cellStyle name="好_00省级(定稿)_Book1 2" xfId="3811"/>
    <cellStyle name="好_00省级(定稿)_Book1 3" xfId="3812"/>
    <cellStyle name="好_03昭通" xfId="3813"/>
    <cellStyle name="好_03昭通_Book1 2" xfId="3814"/>
    <cellStyle name="好_03昭通_Book1 3" xfId="3815"/>
    <cellStyle name="好_0502通海县" xfId="3816"/>
    <cellStyle name="强调 3 4" xfId="3817"/>
    <cellStyle name="好_05玉溪" xfId="3818"/>
    <cellStyle name="好_2008云南省分县市中小学教职工统计表（教育厅提供）_Book1 3" xfId="3819"/>
    <cellStyle name="好_05玉溪_Book1" xfId="3820"/>
    <cellStyle name="货币 7 2 6" xfId="3821"/>
    <cellStyle name="好_05玉溪_Book1 2" xfId="3822"/>
    <cellStyle name="好_05玉溪_Book1 3" xfId="3823"/>
    <cellStyle name="好_0605石屏县" xfId="3824"/>
    <cellStyle name="好_0605石屏县_Book1 2" xfId="3825"/>
    <cellStyle name="好_0605石屏县_Book1 3" xfId="3826"/>
    <cellStyle name="好_1003牟定县" xfId="3827"/>
    <cellStyle name="好_1110洱源县" xfId="3828"/>
    <cellStyle name="好_11大理_Book1" xfId="3829"/>
    <cellStyle name="好_11大理_Book1 2" xfId="3830"/>
    <cellStyle name="好_11大理_Book1 3" xfId="3831"/>
    <cellStyle name="好_2、土地面积、人口、粮食产量基本情况" xfId="3832"/>
    <cellStyle name="好_2、土地面积、人口、粮食产量基本情况_Book1 2" xfId="3833"/>
    <cellStyle name="好_2、土地面积、人口、粮食产量基本情况_Book1 3" xfId="3834"/>
    <cellStyle name="好_2006年基础数据_Book1 2" xfId="3835"/>
    <cellStyle name="好_2006年基础数据_Book1 3" xfId="3836"/>
    <cellStyle name="好_2006年全省财力计算表（中央、决算）_Book1" xfId="3837"/>
    <cellStyle name="好_2006年水利统计指标统计表_Book1" xfId="3838"/>
    <cellStyle name="好_2006年水利统计指标统计表_Book1 2" xfId="3839"/>
    <cellStyle name="好_2006年水利统计指标统计表_Book1 3" xfId="3840"/>
    <cellStyle name="好_2006年在职人员情况" xfId="3841"/>
    <cellStyle name="好_2006年在职人员情况_Book1" xfId="3842"/>
    <cellStyle name="好_2006年在职人员情况_Book1 2" xfId="3843"/>
    <cellStyle name="好_2007年检察院案件数" xfId="3844"/>
    <cellStyle name="好_2007年可用财力" xfId="3845"/>
    <cellStyle name="好_2007年可用财力 2" xfId="3846"/>
    <cellStyle name="好_2007年可用财力 3" xfId="3847"/>
    <cellStyle name="好_2007年可用财力_Book1" xfId="3848"/>
    <cellStyle name="好_2007年可用财力_Book1 2" xfId="3849"/>
    <cellStyle name="好_2007年人员分部门统计表" xfId="3850"/>
    <cellStyle name="好_2007年人员分部门统计表_Book1" xfId="3851"/>
    <cellStyle name="好_2007年人员分部门统计表_Book1 3" xfId="3852"/>
    <cellStyle name="货币 4 7" xfId="3853"/>
    <cellStyle name="货币 11 4" xfId="3854"/>
    <cellStyle name="好_2007年政法部门业务指标" xfId="3855"/>
    <cellStyle name="货币 5 2 3" xfId="3856"/>
    <cellStyle name="好_2007年政法部门业务指标_Book1 2" xfId="3857"/>
    <cellStyle name="好_2007年政法部门业务指标_Book1 3" xfId="3858"/>
    <cellStyle name="好_2008年县级公安保障标准落实奖励经费分配测算" xfId="3859"/>
    <cellStyle name="好_2008年县级公安保障标准落实奖励经费分配测算 2" xfId="3860"/>
    <cellStyle name="好_业务工作量指标_Book1" xfId="3861"/>
    <cellStyle name="好_2008年县级公安保障标准落实奖励经费分配测算 3" xfId="3862"/>
    <cellStyle name="链接单元格 6" xfId="3863"/>
    <cellStyle name="好_2008年县级公安保障标准落实奖励经费分配测算_Book1" xfId="3864"/>
    <cellStyle name="好_2008年县级公安保障标准落实奖励经费分配测算_Book1 2" xfId="3865"/>
    <cellStyle name="好_2008年县级公安保障标准落实奖励经费分配测算_Book1 3" xfId="3866"/>
    <cellStyle name="好_2008云南省分县市中小学教职工统计表（教育厅提供）_Book1" xfId="3867"/>
    <cellStyle name="好_2008云南省分县市中小学教职工统计表（教育厅提供）_Book1 2" xfId="3868"/>
    <cellStyle name="好_2009年一般性转移支付标准工资" xfId="3869"/>
    <cellStyle name="货币 5 9" xfId="3870"/>
    <cellStyle name="好_2009年一般性转移支付标准工资_~4190974_Book1 2" xfId="3871"/>
    <cellStyle name="好_2009年一般性转移支付标准工资_~4190974_Book1 3" xfId="3872"/>
    <cellStyle name="好_2009年一般性转移支付标准工资_~5676413" xfId="3873"/>
    <cellStyle name="好_2009年一般性转移支付标准工资_Book1" xfId="3874"/>
    <cellStyle name="好_2009年一般性转移支付标准工资_不用软件计算9.1不考虑经费管理评价xl_Book1 2" xfId="3875"/>
    <cellStyle name="好_2009年一般性转移支付标准工资_不用软件计算9.1不考虑经费管理评价xl_Book1 3" xfId="3876"/>
    <cellStyle name="好_2009年一般性转移支付标准工资_地方配套按人均增幅控制8.30xl" xfId="3877"/>
    <cellStyle name="好_2009年一般性转移支付标准工资_地方配套按人均增幅控制8.30xl_Book1" xfId="3878"/>
    <cellStyle name="好_2009年一般性转移支付标准工资_地方配套按人均增幅控制8.30一般预算平均增幅、人均可用财力平均增幅两次控制、社会治安系数调整、案件数调整xl" xfId="3879"/>
    <cellStyle name="货币 9 2 8" xfId="3880"/>
    <cellStyle name="好_2009年一般性转移支付标准工资_地方配套按人均增幅控制8.30一般预算平均增幅、人均可用财力平均增幅两次控制、社会治安系数调整、案件数调整xl_Book1 2" xfId="3881"/>
    <cellStyle name="好_2009年一般性转移支付标准工资_地方配套按人均增幅控制8.30一般预算平均增幅、人均可用财力平均增幅两次控制、社会治安系数调整、案件数调整xl_Book1 3" xfId="3882"/>
    <cellStyle name="好_2009年一般性转移支付标准工资_地方配套按人均增幅控制8.31（调整结案率后）xl_Book1" xfId="3883"/>
    <cellStyle name="好_2009年一般性转移支付标准工资_奖励补助测算5.22测试" xfId="3884"/>
    <cellStyle name="好_2009年一般性转移支付标准工资_奖励补助测算5.22测试_Book1" xfId="3885"/>
    <cellStyle name="好_2009年一般性转移支付标准工资_奖励补助测算5.23新" xfId="3886"/>
    <cellStyle name="好_2009年一般性转移支付标准工资_奖励补助测算5.23新_Book1" xfId="3887"/>
    <cellStyle name="注释 3 3 3" xfId="3888"/>
    <cellStyle name="货币 15 2 3" xfId="3889"/>
    <cellStyle name="货币 20 2 3" xfId="3890"/>
    <cellStyle name="好_2009年一般性转移支付标准工资_奖励补助测算5.24冯铸" xfId="3891"/>
    <cellStyle name="好_2009年一般性转移支付标准工资_奖励补助测算5.24冯铸_Book1" xfId="3892"/>
    <cellStyle name="货币 6 2 3" xfId="3893"/>
    <cellStyle name="好_2009年一般性转移支付标准工资_奖励补助测算5.24冯铸_Book1 2" xfId="3894"/>
    <cellStyle name="好_2009年一般性转移支付标准工资_奖励补助测算5.24冯铸_Book1 3" xfId="3895"/>
    <cellStyle name="好_2009年一般性转移支付标准工资_奖励补助测算7.23" xfId="3896"/>
    <cellStyle name="好_2009年一般性转移支付标准工资_奖励补助测算7.23_Book1" xfId="3897"/>
    <cellStyle name="好_2009年一般性转移支付标准工资_奖励补助测算7.23_Book1 2" xfId="3898"/>
    <cellStyle name="货币 12 2 11" xfId="3899"/>
    <cellStyle name="好_2009年一般性转移支付标准工资_奖励补助测算7.23_Book1 3" xfId="3900"/>
    <cellStyle name="好_2009年一般性转移支付标准工资_奖励补助测算7.25" xfId="3901"/>
    <cellStyle name="好_2009年一般性转移支付标准工资_奖励补助测算7.25 (version 1) (version 1)" xfId="3902"/>
    <cellStyle name="好_2009年一般性转移支付标准工资_奖励补助测算7.25_Book1" xfId="3903"/>
    <cellStyle name="好_530623_2006年县级财政报表附表" xfId="3904"/>
    <cellStyle name="好_530629_2006年县级财政报表附表" xfId="3905"/>
    <cellStyle name="好_530629_2006年县级财政报表附表_Book1" xfId="3906"/>
    <cellStyle name="强调文字颜色 2 5 2" xfId="3907"/>
    <cellStyle name="好_530629_2006年县级财政报表附表_Book1 3" xfId="3908"/>
    <cellStyle name="好_5334_2006年迪庆县级财政报表附表" xfId="3909"/>
    <cellStyle name="好_5334_2006年迪庆县级财政报表附表_Book1" xfId="3910"/>
    <cellStyle name="好_5334_2006年迪庆县级财政报表附表_Book1 2" xfId="3911"/>
    <cellStyle name="好_5334_2006年迪庆县级财政报表附表_Book1 3" xfId="3912"/>
    <cellStyle name="好_Book1" xfId="3913"/>
    <cellStyle name="好_Book1_1" xfId="3914"/>
    <cellStyle name="好_Book1_2" xfId="3915"/>
    <cellStyle name="好_Book1_2_Book1" xfId="3916"/>
    <cellStyle name="好_Book1_3" xfId="3917"/>
    <cellStyle name="好_城建部门 2" xfId="3918"/>
    <cellStyle name="好_Book1_3 2" xfId="3919"/>
    <cellStyle name="好_Book1_3 3" xfId="3920"/>
    <cellStyle name="好_Book1_银行账户情况表_2010年12月" xfId="3921"/>
    <cellStyle name="好_Book1_银行账户情况表_2010年12月_Book1 2" xfId="3922"/>
    <cellStyle name="好_文体广播部门" xfId="3923"/>
    <cellStyle name="强调文字颜色 6 2" xfId="3924"/>
    <cellStyle name="好_Book2" xfId="3925"/>
    <cellStyle name="好_Book2_Book1" xfId="3926"/>
    <cellStyle name="好_Book2_Book1 3" xfId="3927"/>
    <cellStyle name="好_M01-2(州市补助收入)_Book1" xfId="3928"/>
    <cellStyle name="貨幣 [0]_SGV" xfId="3929"/>
    <cellStyle name="好_M01-2(州市补助收入)_Book1 2" xfId="3930"/>
    <cellStyle name="好_M01-2(州市补助收入)_Book1 3" xfId="3931"/>
    <cellStyle name="强调文字颜色 4 5 2" xfId="3932"/>
    <cellStyle name="好_M03" xfId="3933"/>
    <cellStyle name="好_M03_Book1 2" xfId="3934"/>
    <cellStyle name="好_M03_Book1 3" xfId="3935"/>
    <cellStyle name="好_表一" xfId="3936"/>
    <cellStyle name="强调文字颜色 2 5 2 2" xfId="3937"/>
    <cellStyle name="货币 7 5" xfId="3938"/>
    <cellStyle name="好_不用软件计算9.1不考虑经费管理评价xl_Book1 2" xfId="3939"/>
    <cellStyle name="好_财政支出对上级的依赖程度" xfId="3940"/>
    <cellStyle name="好_财政支出对上级的依赖程度_Book1" xfId="3941"/>
    <cellStyle name="好_财政支出对上级的依赖程度_Book1 2" xfId="3942"/>
    <cellStyle name="好_财政支出对上级的依赖程度_Book1 3" xfId="3943"/>
    <cellStyle name="好_城建部门" xfId="3944"/>
    <cellStyle name="货币 10 2 5" xfId="3945"/>
    <cellStyle name="好_城建部门 3" xfId="3946"/>
    <cellStyle name="好_城建部门_Book1" xfId="3947"/>
    <cellStyle name="好_城建部门_Book1 2" xfId="3948"/>
    <cellStyle name="好_城建部门_Book1 3" xfId="3949"/>
    <cellStyle name="好_地方配套按人均增幅控制8.30xl_Book1" xfId="3950"/>
    <cellStyle name="货币 6 2 7" xfId="3951"/>
    <cellStyle name="好_地方配套按人均增幅控制8.30xl_Book1 2" xfId="3952"/>
    <cellStyle name="好_地方配套按人均增幅控制8.30xl_Book1 3" xfId="3953"/>
    <cellStyle name="好_地方配套按人均增幅控制8.30一般预算平均增幅、人均可用财力平均增幅两次控制、社会治安系数调整、案件数调整xl" xfId="3954"/>
    <cellStyle name="好_地方配套按人均增幅控制8.30一般预算平均增幅、人均可用财力平均增幅两次控制、社会治安系数调整、案件数调整xl_Book1" xfId="3955"/>
    <cellStyle name="好_地方配套按人均增幅控制8.30一般预算平均增幅、人均可用财力平均增幅两次控制、社会治安系数调整、案件数调整xl_Book1 2" xfId="3956"/>
    <cellStyle name="好_地方配套按人均增幅控制8.31（调整结案率后）xl_Book1" xfId="3957"/>
    <cellStyle name="好_地方配套按人均增幅控制8.31（调整结案率后）xl_Book1 2" xfId="3958"/>
    <cellStyle name="好_地方配套按人均增幅控制8.31（调整结案率后）xl_Book1 3" xfId="3959"/>
    <cellStyle name="好_第一部分：综合全 2" xfId="3960"/>
    <cellStyle name="好_第一部分：综合全 3" xfId="3961"/>
    <cellStyle name="好_第一部分：综合全_Book1 3" xfId="3962"/>
    <cellStyle name="好_汇总_Book1" xfId="3963"/>
    <cellStyle name="着色 5 4" xfId="3964"/>
    <cellStyle name="好_汇总-县级财政报表附表" xfId="3965"/>
    <cellStyle name="好_汇总-县级财政报表附表_Book1" xfId="3966"/>
    <cellStyle name="好_业务工作量指标_Book1 2" xfId="3967"/>
    <cellStyle name="好_基础数据分析_Book1 2" xfId="3968"/>
    <cellStyle name="好_基础数据分析_Book1 3" xfId="3969"/>
    <cellStyle name="好_检验表（调整后）" xfId="3970"/>
    <cellStyle name="好_检验表（调整后）_Book1" xfId="3971"/>
    <cellStyle name="好_检验表（调整后）_Book1 2" xfId="3972"/>
    <cellStyle name="好_检验表（调整后）_Book1 3" xfId="3973"/>
    <cellStyle name="好_建行" xfId="3974"/>
    <cellStyle name="好_建行_Book1" xfId="3975"/>
    <cellStyle name="好_建行_Book1 2" xfId="3976"/>
    <cellStyle name="好_建行_Book1 3" xfId="3977"/>
    <cellStyle name="好_奖励补助测算5.22测试" xfId="3978"/>
    <cellStyle name="好_奖励补助测算5.22测试_Book1" xfId="3979"/>
    <cellStyle name="好_奖励补助测算5.22测试_Book1 2" xfId="3980"/>
    <cellStyle name="好_奖励补助测算5.22测试_Book1 3" xfId="3981"/>
    <cellStyle name="好_奖励补助测算5.24冯铸" xfId="3982"/>
    <cellStyle name="货币 11 5" xfId="3983"/>
    <cellStyle name="货币 5 2 4" xfId="3984"/>
    <cellStyle name="好_奖励补助测算5.24冯铸_Book1" xfId="3985"/>
    <cellStyle name="好_奖励补助测算5.24冯铸_Book1 2" xfId="3986"/>
    <cellStyle name="好_奖励补助测算7.25 (version 1) (version 1)" xfId="3987"/>
    <cellStyle name="好_奖励补助测算7.25 (version 1) (version 1)_Book1 2" xfId="3988"/>
    <cellStyle name="好_奖励补助测算7.25 (version 1) (version 1)_Book1 3" xfId="3989"/>
    <cellStyle name="好_奖励补助测算7.25_Book1" xfId="3990"/>
    <cellStyle name="好_奖励补助测算7.25_Book1 2" xfId="3991"/>
    <cellStyle name="好_奖励补助测算7.25_Book1 3" xfId="3992"/>
    <cellStyle name="货币 8 10" xfId="3993"/>
    <cellStyle name="好_教师绩效工资测算表（离退休按各地上报数测算）2009年1月1日_Book1" xfId="3994"/>
    <cellStyle name="好_教师绩效工资测算表（离退休按各地上报数测算）2009年1月1日_Book1 2" xfId="3995"/>
    <cellStyle name="货币 4 12" xfId="3996"/>
    <cellStyle name="好_教育厅提供义务教育及高中教师人数（2009年1月6日）" xfId="3997"/>
    <cellStyle name="货币 19 4" xfId="3998"/>
    <cellStyle name="货币 24 4" xfId="3999"/>
    <cellStyle name="好_历年教师人数 2" xfId="4000"/>
    <cellStyle name="好_历年教师人数 3" xfId="4001"/>
    <cellStyle name="好_丽江汇总 3" xfId="4002"/>
    <cellStyle name="好_丽江汇总_Book1" xfId="4003"/>
    <cellStyle name="好_丽江汇总_Book1 2" xfId="4004"/>
    <cellStyle name="好_丽江汇总_Book1 3" xfId="4005"/>
    <cellStyle name="好_三季度－表二_Book1" xfId="4006"/>
    <cellStyle name="好_三季度－表二_Book1 2" xfId="4007"/>
    <cellStyle name="好_三季度－表二_Book1 3" xfId="4008"/>
    <cellStyle name="好_卫生部门" xfId="4009"/>
    <cellStyle name="好_文体广播部门_Book1" xfId="4010"/>
    <cellStyle name="好_文体广播部门_Book1 2" xfId="4011"/>
    <cellStyle name="好_文体广播部门_Book1 3" xfId="4012"/>
    <cellStyle name="好_下半年禁毒办案经费分配2544.3万元_Book1" xfId="4013"/>
    <cellStyle name="好_下半年禁毒办案经费分配2544.3万元_Book1 3" xfId="4014"/>
    <cellStyle name="好_下半年禁吸戒毒经费1000万元" xfId="4015"/>
    <cellStyle name="好_下半年禁吸戒毒经费1000万元_Book1 2" xfId="4016"/>
    <cellStyle name="好_下半年禁吸戒毒经费1000万元_Book1 3" xfId="4017"/>
    <cellStyle name="好_县公司" xfId="4018"/>
    <cellStyle name="好_县公司_Book1" xfId="4019"/>
    <cellStyle name="好_县公司_Book1 3" xfId="4020"/>
    <cellStyle name="好_指标五_Book1" xfId="4021"/>
    <cellStyle name="好_县级公安机关公用经费标准奖励测算方案（定稿）_Book1 2" xfId="4022"/>
    <cellStyle name="好_县级公安机关公用经费标准奖励测算方案（定稿）_Book1 3" xfId="4023"/>
    <cellStyle name="好_业务工作量指标" xfId="4024"/>
    <cellStyle name="计算 5" xfId="4025"/>
    <cellStyle name="好_业务工作量指标_Book1 3" xfId="4026"/>
    <cellStyle name="好_义务教育阶段教职工人数（教育厅提供最终）" xfId="4027"/>
    <cellStyle name="好_义务教育阶段教职工人数（教育厅提供最终）_Book1 2" xfId="4028"/>
    <cellStyle name="好_义务教育阶段教职工人数（教育厅提供最终）_Book1 3" xfId="4029"/>
    <cellStyle name="好_云南农村义务教育统计表" xfId="4030"/>
    <cellStyle name="好_云南农村义务教育统计表_Book1" xfId="4031"/>
    <cellStyle name="好_云南省2008年中小学教师人数统计表 2" xfId="4032"/>
    <cellStyle name="好_云南省2008年中小学教师人数统计表_Book1 3" xfId="4033"/>
    <cellStyle name="好_云南省2008年中小学教职工情况（教育厅提供20090101加工整理）" xfId="4034"/>
    <cellStyle name="好_云南省2008年中小学教职工情况（教育厅提供20090101加工整理）_Book1" xfId="4035"/>
    <cellStyle name="好_云南省2008年中小学教职工情况（教育厅提供20090101加工整理）_Book1 2" xfId="4036"/>
    <cellStyle name="货币 2 2 6" xfId="4037"/>
    <cellStyle name="好_云南省2008年中小学教职工情况（教育厅提供20090101加工整理）_Book1 3" xfId="4038"/>
    <cellStyle name="货币 2 2 7" xfId="4039"/>
    <cellStyle name="好_云南省2008年转移支付测算——州市本级考核部分及政策性测算" xfId="4040"/>
    <cellStyle name="好_云南省2008年转移支付测算——州市本级考核部分及政策性测算_Book1 3" xfId="4041"/>
    <cellStyle name="货币 11 3" xfId="4042"/>
    <cellStyle name="货币 5 2 2" xfId="4043"/>
    <cellStyle name="好_云南水利电力有限公司" xfId="4044"/>
    <cellStyle name="好_云南水利电力有限公司_Book1 2" xfId="4045"/>
    <cellStyle name="好_云南水利电力有限公司_Book1 3" xfId="4046"/>
    <cellStyle name="好_指标五 2" xfId="4047"/>
    <cellStyle name="货币 2 2" xfId="4048"/>
    <cellStyle name="好_指标五 3" xfId="4049"/>
    <cellStyle name="货币 2 3" xfId="4050"/>
    <cellStyle name="后继超级链接" xfId="4051"/>
    <cellStyle name="汇总 10" xfId="4052"/>
    <cellStyle name="汇总 11" xfId="4053"/>
    <cellStyle name="汇总 12" xfId="4054"/>
    <cellStyle name="汇总 2" xfId="4055"/>
    <cellStyle name="汇总 2 2" xfId="4056"/>
    <cellStyle name="汇总 2 2 2" xfId="4057"/>
    <cellStyle name="货币 8 2 6" xfId="4058"/>
    <cellStyle name="汇总 2 3" xfId="4059"/>
    <cellStyle name="汇总 2 4" xfId="4060"/>
    <cellStyle name="汇总 2 5" xfId="4061"/>
    <cellStyle name="汇总 3" xfId="4062"/>
    <cellStyle name="汇总 3 2" xfId="4063"/>
    <cellStyle name="汇总 3 3" xfId="4064"/>
    <cellStyle name="汇总 4" xfId="4065"/>
    <cellStyle name="汇总 4 2" xfId="4066"/>
    <cellStyle name="汇总 4 3" xfId="4067"/>
    <cellStyle name="汇总 5" xfId="4068"/>
    <cellStyle name="汇总 5 2" xfId="4069"/>
    <cellStyle name="汇总 5 3" xfId="4070"/>
    <cellStyle name="汇总 5 4" xfId="4071"/>
    <cellStyle name="汇总 6" xfId="4072"/>
    <cellStyle name="汇总 7" xfId="4073"/>
    <cellStyle name="汇总 8" xfId="4074"/>
    <cellStyle name="汇总 9" xfId="4075"/>
    <cellStyle name="货币 10 2 3" xfId="4076"/>
    <cellStyle name="货币 10 2 4" xfId="4077"/>
    <cellStyle name="货币 11 2 11" xfId="4078"/>
    <cellStyle name="未定义 3" xfId="4079"/>
    <cellStyle name="货币 11 2 4" xfId="4080"/>
    <cellStyle name="货币 11 6" xfId="4081"/>
    <cellStyle name="货币 5 2 5" xfId="4082"/>
    <cellStyle name="货币 11 7" xfId="4083"/>
    <cellStyle name="货币 5 2 6" xfId="4084"/>
    <cellStyle name="货币 12 2" xfId="4085"/>
    <cellStyle name="货币 12 2 2" xfId="4086"/>
    <cellStyle name="货币 25 4" xfId="4087"/>
    <cellStyle name="货币 12 2 3" xfId="4088"/>
    <cellStyle name="货币 25 5" xfId="4089"/>
    <cellStyle name="货币 12 2 4" xfId="4090"/>
    <cellStyle name="货币 25 6" xfId="4091"/>
    <cellStyle name="货币 12 4" xfId="4092"/>
    <cellStyle name="货币 12 5" xfId="4093"/>
    <cellStyle name="货币 12 6" xfId="4094"/>
    <cellStyle name="货币 12 7" xfId="4095"/>
    <cellStyle name="货币 12 9" xfId="4096"/>
    <cellStyle name="货币 13 2 10" xfId="4097"/>
    <cellStyle name="货币 13 4" xfId="4098"/>
    <cellStyle name="货币 13 5" xfId="4099"/>
    <cellStyle name="货币 13 6" xfId="4100"/>
    <cellStyle name="货币 13 7" xfId="4101"/>
    <cellStyle name="货币 14 2" xfId="4102"/>
    <cellStyle name="注释 2 3" xfId="4103"/>
    <cellStyle name="货币 14 2 11" xfId="4104"/>
    <cellStyle name="货币 14 2 2" xfId="4105"/>
    <cellStyle name="注释 2 3 2" xfId="4106"/>
    <cellStyle name="货币 14 2 3" xfId="4107"/>
    <cellStyle name="注释 2 3 3" xfId="4108"/>
    <cellStyle name="货币 14 2 4" xfId="4109"/>
    <cellStyle name="注释 2 3 4" xfId="4110"/>
    <cellStyle name="货币 14 2 5" xfId="4111"/>
    <cellStyle name="货币 14 2 9" xfId="4112"/>
    <cellStyle name="货币 14 3" xfId="4113"/>
    <cellStyle name="注释 2 4" xfId="4114"/>
    <cellStyle name="货币 14 4" xfId="4115"/>
    <cellStyle name="注释 2 5" xfId="4116"/>
    <cellStyle name="货币 14 6" xfId="4117"/>
    <cellStyle name="注释 2 7" xfId="4118"/>
    <cellStyle name="货币 14 7" xfId="4119"/>
    <cellStyle name="注释 2 8" xfId="4120"/>
    <cellStyle name="货币 14 8" xfId="4121"/>
    <cellStyle name="注释 2 9" xfId="4122"/>
    <cellStyle name="货币 14 9" xfId="4123"/>
    <cellStyle name="货币 20 10" xfId="4124"/>
    <cellStyle name="货币 15 10" xfId="4125"/>
    <cellStyle name="货币 20 2" xfId="4126"/>
    <cellStyle name="货币 15 2" xfId="4127"/>
    <cellStyle name="注释 3 3" xfId="4128"/>
    <cellStyle name="货币 20 2 10" xfId="4129"/>
    <cellStyle name="货币 15 2 10" xfId="4130"/>
    <cellStyle name="货币 20 2 11" xfId="4131"/>
    <cellStyle name="货币 15 2 11" xfId="4132"/>
    <cellStyle name="货币 20 2 2" xfId="4133"/>
    <cellStyle name="货币 15 2 2" xfId="4134"/>
    <cellStyle name="注释 3 3 2" xfId="4135"/>
    <cellStyle name="货币 20 2 4" xfId="4136"/>
    <cellStyle name="货币 15 2 4" xfId="4137"/>
    <cellStyle name="注释 3 3 4" xfId="4138"/>
    <cellStyle name="货币 20 3" xfId="4139"/>
    <cellStyle name="货币 15 3" xfId="4140"/>
    <cellStyle name="注释 3 4" xfId="4141"/>
    <cellStyle name="货币 23 2" xfId="4142"/>
    <cellStyle name="货币 18 2" xfId="4143"/>
    <cellStyle name="注释 6 3" xfId="4144"/>
    <cellStyle name="货币 18 2 10" xfId="4145"/>
    <cellStyle name="货币 18 2 11" xfId="4146"/>
    <cellStyle name="货币 23 3" xfId="4147"/>
    <cellStyle name="货币 18 3" xfId="4148"/>
    <cellStyle name="注释 6 4" xfId="4149"/>
    <cellStyle name="货币 24 10" xfId="4150"/>
    <cellStyle name="货币 19 10" xfId="4151"/>
    <cellStyle name="警告文本 2 6" xfId="4152"/>
    <cellStyle name="货币 24 2" xfId="4153"/>
    <cellStyle name="货币 19 2" xfId="4154"/>
    <cellStyle name="注释 7 3" xfId="4155"/>
    <cellStyle name="货币 19 2 10" xfId="4156"/>
    <cellStyle name="货币 19 2 11" xfId="4157"/>
    <cellStyle name="货币 19 2 3" xfId="4158"/>
    <cellStyle name="货币 19 2 4" xfId="4159"/>
    <cellStyle name="货币 19 2 8" xfId="4160"/>
    <cellStyle name="货币 24 3" xfId="4161"/>
    <cellStyle name="货币 19 3" xfId="4162"/>
    <cellStyle name="注释 7 4" xfId="4163"/>
    <cellStyle name="货币 24 5" xfId="4164"/>
    <cellStyle name="货币 19 5" xfId="4165"/>
    <cellStyle name="货币 24 6" xfId="4166"/>
    <cellStyle name="货币 19 6" xfId="4167"/>
    <cellStyle name="货币 2 10" xfId="4168"/>
    <cellStyle name="货币 2 11" xfId="4169"/>
    <cellStyle name="货币 2 12" xfId="4170"/>
    <cellStyle name="货币 2 2 2" xfId="4171"/>
    <cellStyle name="货币 2 2 2 2" xfId="4172"/>
    <cellStyle name="货币 2 2 5" xfId="4173"/>
    <cellStyle name="货币 2 3 2" xfId="4174"/>
    <cellStyle name="货币 2 5" xfId="4175"/>
    <cellStyle name="货币 2 5 2" xfId="4176"/>
    <cellStyle name="货币 2 6" xfId="4177"/>
    <cellStyle name="货币 2 6 2" xfId="4178"/>
    <cellStyle name="货币 2 7" xfId="4179"/>
    <cellStyle name="货币 2 8" xfId="4180"/>
    <cellStyle name="货币 2 9" xfId="4181"/>
    <cellStyle name="货币 25 2" xfId="4182"/>
    <cellStyle name="货币 25 3" xfId="4183"/>
    <cellStyle name="货币 26 5" xfId="4184"/>
    <cellStyle name="货币 26 6" xfId="4185"/>
    <cellStyle name="货币 32" xfId="4186"/>
    <cellStyle name="货币 27" xfId="4187"/>
    <cellStyle name="货币 27 10" xfId="4188"/>
    <cellStyle name="货币 27 3" xfId="4189"/>
    <cellStyle name="货币 27 4" xfId="4190"/>
    <cellStyle name="货币 27 6" xfId="4191"/>
    <cellStyle name="货币 33" xfId="4192"/>
    <cellStyle name="货币 28" xfId="4193"/>
    <cellStyle name="货币 34" xfId="4194"/>
    <cellStyle name="货币 29" xfId="4195"/>
    <cellStyle name="货币 3 10" xfId="4196"/>
    <cellStyle name="货币 3 11" xfId="4197"/>
    <cellStyle name="货币 3 12" xfId="4198"/>
    <cellStyle name="货币 3 2 10" xfId="4199"/>
    <cellStyle name="货币 3 2 11" xfId="4200"/>
    <cellStyle name="货币 3 2 2" xfId="4201"/>
    <cellStyle name="千位分隔[0] 2 3" xfId="4202"/>
    <cellStyle name="货币 3 2 3" xfId="4203"/>
    <cellStyle name="千位分隔[0] 2 4" xfId="4204"/>
    <cellStyle name="货币 3 2 4" xfId="4205"/>
    <cellStyle name="千位分隔[0] 2 5" xfId="4206"/>
    <cellStyle name="货币 3 2 5" xfId="4207"/>
    <cellStyle name="千位分隔[0] 2 6" xfId="4208"/>
    <cellStyle name="货币 3 3" xfId="4209"/>
    <cellStyle name="货币 3 4" xfId="4210"/>
    <cellStyle name="货币 3 6" xfId="4211"/>
    <cellStyle name="货币 3 8" xfId="4212"/>
    <cellStyle name="货币 3 9" xfId="4213"/>
    <cellStyle name="货币 35" xfId="4214"/>
    <cellStyle name="货币 36" xfId="4215"/>
    <cellStyle name="货币 37" xfId="4216"/>
    <cellStyle name="货币 4 11" xfId="4217"/>
    <cellStyle name="货币 4 2" xfId="4218"/>
    <cellStyle name="货币 4 2 2" xfId="4219"/>
    <cellStyle name="货币 4 2 3" xfId="4220"/>
    <cellStyle name="货币 4 2 4" xfId="4221"/>
    <cellStyle name="货币 4 2 5" xfId="4222"/>
    <cellStyle name="货币 4 2 6" xfId="4223"/>
    <cellStyle name="货币 4 8" xfId="4224"/>
    <cellStyle name="货币 5 2 10" xfId="4225"/>
    <cellStyle name="货币 5 2 11" xfId="4226"/>
    <cellStyle name="货币 5 5" xfId="4227"/>
    <cellStyle name="货币 5 6" xfId="4228"/>
    <cellStyle name="货币 5 7" xfId="4229"/>
    <cellStyle name="货币 5 8" xfId="4230"/>
    <cellStyle name="货币 6 10" xfId="4231"/>
    <cellStyle name="警告文本 3 5" xfId="4232"/>
    <cellStyle name="货币 6 12" xfId="4233"/>
    <cellStyle name="货币 6 2 10" xfId="4234"/>
    <cellStyle name="货币 6 2 11" xfId="4235"/>
    <cellStyle name="货币 6 2 2" xfId="4236"/>
    <cellStyle name="货币 6 2 4" xfId="4237"/>
    <cellStyle name="货币 6 2 5" xfId="4238"/>
    <cellStyle name="货币 6 2 6" xfId="4239"/>
    <cellStyle name="货币 6 2 8" xfId="4240"/>
    <cellStyle name="货币 6 6" xfId="4241"/>
    <cellStyle name="警告文本 10" xfId="4242"/>
    <cellStyle name="货币 6 7" xfId="4243"/>
    <cellStyle name="警告文本 11" xfId="4244"/>
    <cellStyle name="货币 6 9" xfId="4245"/>
    <cellStyle name="警告文本 13" xfId="4246"/>
    <cellStyle name="货币 7 10" xfId="4247"/>
    <cellStyle name="货币 7 11" xfId="4248"/>
    <cellStyle name="货币 7 12" xfId="4249"/>
    <cellStyle name="货币 7 2 2" xfId="4250"/>
    <cellStyle name="货币 7 2 3" xfId="4251"/>
    <cellStyle name="货币 7 2 5" xfId="4252"/>
    <cellStyle name="货币 7 2 7" xfId="4253"/>
    <cellStyle name="货币 7 2 8" xfId="4254"/>
    <cellStyle name="货币 7 6" xfId="4255"/>
    <cellStyle name="货币 7 7" xfId="4256"/>
    <cellStyle name="货币 7 8" xfId="4257"/>
    <cellStyle name="货币 7 9" xfId="4258"/>
    <cellStyle name="警告文本 2 10" xfId="4259"/>
    <cellStyle name="货币 8 11" xfId="4260"/>
    <cellStyle name="货币 8 12" xfId="4261"/>
    <cellStyle name="货币 8 2 10" xfId="4262"/>
    <cellStyle name="货币 8 2 11" xfId="4263"/>
    <cellStyle name="货币 8 2 3" xfId="4264"/>
    <cellStyle name="货币 8 2 4" xfId="4265"/>
    <cellStyle name="货币 8 2 5" xfId="4266"/>
    <cellStyle name="货币 8 2 7" xfId="4267"/>
    <cellStyle name="货币 8 2 8" xfId="4268"/>
    <cellStyle name="货币 8 2 9" xfId="4269"/>
    <cellStyle name="强调文字颜色 5 3 2" xfId="4270"/>
    <cellStyle name="货币 8 5" xfId="4271"/>
    <cellStyle name="货币 8 6" xfId="4272"/>
    <cellStyle name="货币 8 7" xfId="4273"/>
    <cellStyle name="货币 8 8" xfId="4274"/>
    <cellStyle name="货币 8 9" xfId="4275"/>
    <cellStyle name="货币 9 11" xfId="4276"/>
    <cellStyle name="货币 9 12" xfId="4277"/>
    <cellStyle name="货币 9 2 10" xfId="4278"/>
    <cellStyle name="货币 9 2 2" xfId="4279"/>
    <cellStyle name="货币 9 2 3" xfId="4280"/>
    <cellStyle name="货币 9 2 4" xfId="4281"/>
    <cellStyle name="货币 9 2 7" xfId="4282"/>
    <cellStyle name="货币 9 2 9" xfId="4283"/>
    <cellStyle name="强调文字颜色 6 3 2" xfId="4284"/>
    <cellStyle name="货币 9 7" xfId="4285"/>
    <cellStyle name="货币 9 8" xfId="4286"/>
    <cellStyle name="计算 2" xfId="4287"/>
    <cellStyle name="计算 2 2" xfId="4288"/>
    <cellStyle name="计算 3" xfId="4289"/>
    <cellStyle name="计算 4" xfId="4290"/>
    <cellStyle name="计算 6" xfId="4291"/>
    <cellStyle name="计算 7" xfId="4292"/>
    <cellStyle name="计算 8" xfId="4293"/>
    <cellStyle name="检查单元格 3" xfId="4294"/>
    <cellStyle name="检查单元格 4" xfId="4295"/>
    <cellStyle name="小数 2" xfId="4296"/>
    <cellStyle name="检查单元格 5" xfId="4297"/>
    <cellStyle name="小数 3" xfId="4298"/>
    <cellStyle name="检查单元格 6" xfId="4299"/>
    <cellStyle name="小数 4" xfId="4300"/>
    <cellStyle name="检查单元格 7" xfId="4301"/>
    <cellStyle name="检查单元格 9" xfId="4302"/>
    <cellStyle name="解释性文本 2 2" xfId="4303"/>
    <cellStyle name="解释性文本 2 3" xfId="4304"/>
    <cellStyle name="解释性文本 2 4" xfId="4305"/>
    <cellStyle name="解释性文本 4" xfId="4306"/>
    <cellStyle name="借出原因" xfId="4307"/>
    <cellStyle name="警告文本 14" xfId="4308"/>
    <cellStyle name="警告文本 17" xfId="4309"/>
    <cellStyle name="警告文本 18" xfId="4310"/>
    <cellStyle name="警告文本 2 5" xfId="4311"/>
    <cellStyle name="警告文本 3" xfId="4312"/>
    <cellStyle name="警告文本 4" xfId="4313"/>
    <cellStyle name="警告文本 4 4" xfId="4314"/>
    <cellStyle name="警告文本 4 5" xfId="4315"/>
    <cellStyle name="警告文本 4 6" xfId="4316"/>
    <cellStyle name="警告文本 5" xfId="4317"/>
    <cellStyle name="警告文本 5 2" xfId="4318"/>
    <cellStyle name="警告文本 5 2 2" xfId="4319"/>
    <cellStyle name="着色 2 4" xfId="4320"/>
    <cellStyle name="警告文本 5 2 3" xfId="4321"/>
    <cellStyle name="警告文本 5 3" xfId="4322"/>
    <cellStyle name="警告文本 5 4" xfId="4323"/>
    <cellStyle name="警告文本 5 5" xfId="4324"/>
    <cellStyle name="警告文本 6" xfId="4325"/>
    <cellStyle name="警告文本 7" xfId="4326"/>
    <cellStyle name="警告文本 8" xfId="4327"/>
    <cellStyle name="警告文本 9" xfId="4328"/>
    <cellStyle name="链接单元格 2" xfId="4329"/>
    <cellStyle name="链接单元格 2 3" xfId="4330"/>
    <cellStyle name="链接单元格 2 4" xfId="4331"/>
    <cellStyle name="链接单元格 3" xfId="4332"/>
    <cellStyle name="链接单元格 4" xfId="4333"/>
    <cellStyle name="链接单元格 5" xfId="4334"/>
    <cellStyle name="链接单元格 5 2" xfId="4335"/>
    <cellStyle name="霓付 [0]_ +Foil &amp; -FOIL &amp; PAPER" xfId="4336"/>
    <cellStyle name="霓付_ +Foil &amp; -FOIL &amp; PAPER" xfId="4337"/>
    <cellStyle name="烹拳_ +Foil &amp; -FOIL &amp; PAPER" xfId="4338"/>
    <cellStyle name="千分位[0]_ 白土" xfId="4339"/>
    <cellStyle name="千分位_ 白土" xfId="4340"/>
    <cellStyle name="千位[0]_ 方正PC" xfId="4341"/>
    <cellStyle name="千位_ 方正PC" xfId="4342"/>
    <cellStyle name="千位分隔 2" xfId="4343"/>
    <cellStyle name="千位分隔 2 10" xfId="4344"/>
    <cellStyle name="千位分隔 2 11" xfId="4345"/>
    <cellStyle name="千位分隔 2 2" xfId="4346"/>
    <cellStyle name="千位分隔 2 3" xfId="4347"/>
    <cellStyle name="千位分隔 2 3 2" xfId="4348"/>
    <cellStyle name="千位分隔 2 5" xfId="4349"/>
    <cellStyle name="千位分隔 2 6" xfId="4350"/>
    <cellStyle name="千位分隔 3 6" xfId="4351"/>
    <cellStyle name="千位分隔 4 2" xfId="4352"/>
    <cellStyle name="千位分隔[0] 2 2" xfId="4353"/>
    <cellStyle name="输入 2 4" xfId="4354"/>
    <cellStyle name="千位分隔[0] 2 2 2" xfId="4355"/>
    <cellStyle name="强调 1 2" xfId="4356"/>
    <cellStyle name="强调 1 3" xfId="4357"/>
    <cellStyle name="强调 1 4" xfId="4358"/>
    <cellStyle name="强调 1 5" xfId="4359"/>
    <cellStyle name="强调 2 2" xfId="4360"/>
    <cellStyle name="强调 2 3" xfId="4361"/>
    <cellStyle name="强调 2 4" xfId="4362"/>
    <cellStyle name="强调 2 5" xfId="4363"/>
    <cellStyle name="强调 3 2" xfId="4364"/>
    <cellStyle name="强调 3 3" xfId="4365"/>
    <cellStyle name="强调 3 5" xfId="4366"/>
    <cellStyle name="强调文字颜色 1 2 2 2" xfId="4367"/>
    <cellStyle name="强调文字颜色 1 4" xfId="4368"/>
    <cellStyle name="强调文字颜色 1 5" xfId="4369"/>
    <cellStyle name="强调文字颜色 1 5 2 2" xfId="4370"/>
    <cellStyle name="强调文字颜色 1 6" xfId="4371"/>
    <cellStyle name="强调文字颜色 2 2" xfId="4372"/>
    <cellStyle name="强调文字颜色 2 3" xfId="4373"/>
    <cellStyle name="强调文字颜色 2 4" xfId="4374"/>
    <cellStyle name="强调文字颜色 2 5" xfId="4375"/>
    <cellStyle name="强调文字颜色 2 5 3" xfId="4376"/>
    <cellStyle name="强调文字颜色 2 6" xfId="4377"/>
    <cellStyle name="强调文字颜色 3 2" xfId="4378"/>
    <cellStyle name="强调文字颜色 3 2 3" xfId="4379"/>
    <cellStyle name="强调文字颜色 3 2 4" xfId="4380"/>
    <cellStyle name="强调文字颜色 3 5 2 2" xfId="4381"/>
    <cellStyle name="强调文字颜色 3 5 3" xfId="4382"/>
    <cellStyle name="强调文字颜色 4 2" xfId="4383"/>
    <cellStyle name="强调文字颜色 4 2 2 2" xfId="4384"/>
    <cellStyle name="强调文字颜色 4 2 3" xfId="4385"/>
    <cellStyle name="强调文字颜色 4 2 4" xfId="4386"/>
    <cellStyle name="强调文字颜色 4 3" xfId="4387"/>
    <cellStyle name="强调文字颜色 4 4" xfId="4388"/>
    <cellStyle name="强调文字颜色 4 5" xfId="4389"/>
    <cellStyle name="强调文字颜色 4 5 3" xfId="4390"/>
    <cellStyle name="强调文字颜色 4 6" xfId="4391"/>
    <cellStyle name="强调文字颜色 5 2" xfId="4392"/>
    <cellStyle name="强调文字颜色 5 2 2 2" xfId="4393"/>
    <cellStyle name="强调文字颜色 5 2 3" xfId="4394"/>
    <cellStyle name="强调文字颜色 5 2 4" xfId="4395"/>
    <cellStyle name="强调文字颜色 5 3" xfId="4396"/>
    <cellStyle name="强调文字颜色 5 4" xfId="4397"/>
    <cellStyle name="强调文字颜色 5 4 2" xfId="4398"/>
    <cellStyle name="强调文字颜色 5 5" xfId="4399"/>
    <cellStyle name="强调文字颜色 5 5 2" xfId="4400"/>
    <cellStyle name="强调文字颜色 5 5 3" xfId="4401"/>
    <cellStyle name="强调文字颜色 5 6" xfId="4402"/>
    <cellStyle name="强调文字颜色 6 2 3" xfId="4403"/>
    <cellStyle name="强调文字颜色 6 2 4" xfId="4404"/>
    <cellStyle name="强调文字颜色 6 3" xfId="4405"/>
    <cellStyle name="强调文字颜色 6 4" xfId="4406"/>
    <cellStyle name="强调文字颜色 6 4 2" xfId="4407"/>
    <cellStyle name="强调文字颜色 6 5" xfId="4408"/>
    <cellStyle name="强调文字颜色 6 5 2" xfId="4409"/>
    <cellStyle name="强调文字颜色 6 5 3" xfId="4410"/>
    <cellStyle name="强调文字颜色 6 6" xfId="4411"/>
    <cellStyle name="商品名称" xfId="4412"/>
    <cellStyle name="适中 2" xfId="4413"/>
    <cellStyle name="适中 2 2" xfId="4414"/>
    <cellStyle name="适中 2 3" xfId="4415"/>
    <cellStyle name="适中 2 4" xfId="4416"/>
    <cellStyle name="适中 3" xfId="4417"/>
    <cellStyle name="适中 4" xfId="4418"/>
    <cellStyle name="适中 5" xfId="4419"/>
    <cellStyle name="适中 5 2" xfId="4420"/>
    <cellStyle name="适中 6" xfId="4421"/>
    <cellStyle name="适中 7" xfId="4422"/>
    <cellStyle name="适中 8" xfId="4423"/>
    <cellStyle name="适中 9" xfId="4424"/>
    <cellStyle name="输出 2" xfId="4425"/>
    <cellStyle name="输出 2 2" xfId="4426"/>
    <cellStyle name="输出 3" xfId="4427"/>
    <cellStyle name="输出 4" xfId="4428"/>
    <cellStyle name="输出 5" xfId="4429"/>
    <cellStyle name="输出 5 2" xfId="4430"/>
    <cellStyle name="输出 6" xfId="4431"/>
    <cellStyle name="输出 7" xfId="4432"/>
    <cellStyle name="输入 4" xfId="4433"/>
    <cellStyle name="输入 5" xfId="4434"/>
    <cellStyle name="输入 6" xfId="4435"/>
    <cellStyle name="输入 7" xfId="4436"/>
    <cellStyle name="输入 9" xfId="4437"/>
    <cellStyle name="数量" xfId="4438"/>
    <cellStyle name="数字" xfId="4439"/>
    <cellStyle name="数字 2" xfId="4440"/>
    <cellStyle name="数字 3" xfId="4441"/>
    <cellStyle name="数字 4" xfId="4442"/>
    <cellStyle name="㼿㼿㼿㼿㼿㼿" xfId="4443"/>
    <cellStyle name="㼿㼿㼿㼿㼿㼿 2" xfId="4444"/>
    <cellStyle name="㼿㼿㼿㼿㼿㼿㼿㼿㼿㼿㼿? 2" xfId="4445"/>
    <cellStyle name="未定义" xfId="4446"/>
    <cellStyle name="小数" xfId="4447"/>
    <cellStyle name="昗弨_Pacific Region P&amp;L" xfId="4448"/>
    <cellStyle name="着色 1 3" xfId="4449"/>
    <cellStyle name="着色 2 3" xfId="4450"/>
    <cellStyle name="着色 3 3" xfId="4451"/>
    <cellStyle name="着色 3 4" xfId="4452"/>
    <cellStyle name="着色 4 3" xfId="4453"/>
    <cellStyle name="着色 4 4" xfId="4454"/>
    <cellStyle name="着色 5 2" xfId="4455"/>
    <cellStyle name="着色 5 3" xfId="4456"/>
    <cellStyle name="着色 6 3" xfId="4457"/>
    <cellStyle name="寘嬫愗傝 [0.00]_Region Orders (2)" xfId="4458"/>
    <cellStyle name="寘嬫愗傝_Region Orders (2)" xfId="4459"/>
    <cellStyle name="注释 2" xfId="4460"/>
    <cellStyle name="注释 2 10" xfId="4461"/>
    <cellStyle name="注释 2 11" xfId="4462"/>
    <cellStyle name="注释 2 2 2" xfId="4463"/>
    <cellStyle name="注释 2 2 3" xfId="4464"/>
    <cellStyle name="注释 2 2 4" xfId="4465"/>
    <cellStyle name="注释 2 2 5" xfId="4466"/>
    <cellStyle name="注释 2 3 2 2" xfId="4467"/>
    <cellStyle name="注释 2 4 2" xfId="4468"/>
    <cellStyle name="注释 2 4 3" xfId="4469"/>
    <cellStyle name="注释 2 4 4" xfId="4470"/>
    <cellStyle name="注释 2 5 2" xfId="4471"/>
    <cellStyle name="注释 3" xfId="4472"/>
    <cellStyle name="注释 3 2 2" xfId="4473"/>
    <cellStyle name="注释 3 2 3" xfId="4474"/>
    <cellStyle name="注释 3 2 4" xfId="4475"/>
    <cellStyle name="注释 3 4 2" xfId="4476"/>
    <cellStyle name="注释 3 4 3" xfId="4477"/>
    <cellStyle name="注释 3 4 4" xfId="4478"/>
    <cellStyle name="注释 3 5 2" xfId="4479"/>
    <cellStyle name="注释 5 2 3 2" xfId="4480"/>
    <cellStyle name="注释 5 2 3 3" xfId="4481"/>
    <cellStyle name="注释 5 2 3 4" xfId="4482"/>
    <cellStyle name="注释 6 2" xfId="4483"/>
    <cellStyle name="注释 7" xfId="4484"/>
    <cellStyle name="注释 7 2" xfId="4485"/>
    <cellStyle name="注释 8" xfId="4486"/>
    <cellStyle name="콤마 [0]_BOILER-CO1" xfId="4487"/>
    <cellStyle name="통화 [0]_BOILER-CO1" xfId="4488"/>
    <cellStyle name="표준_0N-HANDLING " xfId="4489"/>
    <cellStyle name="常规_Sheet1_2010.6生产经营计划汇总终稿修改后" xfId="4490"/>
    <cellStyle name="好 34" xfId="4491"/>
    <cellStyle name="常规_26" xfId="449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近期总氨产量趋势图</a:t>
            </a:r>
            <a:endParaRPr lang="zh-CN" altLang="en-US"/>
          </a:p>
        </c:rich>
      </c:tx>
      <c:layout>
        <c:manualLayout>
          <c:xMode val="edge"/>
          <c:yMode val="edge"/>
          <c:x val="0.392959261181178"/>
          <c:y val="0.071943483700051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41086427288"/>
          <c:y val="0.439252336448598"/>
          <c:w val="0.84659208345182"/>
          <c:h val="0.252336448598131"/>
        </c:manualLayout>
      </c:layout>
      <c:lineChart>
        <c:grouping val="standard"/>
        <c:varyColors val="0"/>
        <c:ser>
          <c:idx val="0"/>
          <c:order val="0"/>
          <c:tx>
            <c:strRef>
              <c:f>表一!$A$74:$B$74</c:f>
              <c:strCache>
                <c:ptCount val="1"/>
                <c:pt idx="0">
                  <c:v>总氨产量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表一!$C$73:$Q$73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14日</c:v>
                </c:pt>
              </c:strCache>
            </c:strRef>
          </c:cat>
          <c:val>
            <c:numRef>
              <c:f>表一!$C$74:$Q$74</c:f>
              <c:numCache>
                <c:formatCode>0_ </c:formatCode>
                <c:ptCount val="15"/>
                <c:pt idx="0">
                  <c:v>48055</c:v>
                </c:pt>
                <c:pt idx="1">
                  <c:v>47640</c:v>
                </c:pt>
                <c:pt idx="2">
                  <c:v>48305.3053419048</c:v>
                </c:pt>
                <c:pt idx="3">
                  <c:v>48895</c:v>
                </c:pt>
                <c:pt idx="4">
                  <c:v>48994</c:v>
                </c:pt>
                <c:pt idx="5">
                  <c:v>49881.4992143508</c:v>
                </c:pt>
                <c:pt idx="6">
                  <c:v>49950</c:v>
                </c:pt>
                <c:pt idx="7">
                  <c:v>46153</c:v>
                </c:pt>
                <c:pt idx="8">
                  <c:v>45298.5259809524</c:v>
                </c:pt>
                <c:pt idx="9">
                  <c:v>46093</c:v>
                </c:pt>
                <c:pt idx="10">
                  <c:v>45306</c:v>
                </c:pt>
                <c:pt idx="11">
                  <c:v>45814</c:v>
                </c:pt>
                <c:pt idx="12">
                  <c:v>45150</c:v>
                </c:pt>
                <c:pt idx="13">
                  <c:v>47396</c:v>
                </c:pt>
                <c:pt idx="14">
                  <c:v>45947.0244428571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9536"/>
        <c:axId val="81411072"/>
      </c:lineChart>
      <c:catAx>
        <c:axId val="81409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411072"/>
        <c:crossesAt val="30000"/>
        <c:auto val="1"/>
        <c:lblAlgn val="ctr"/>
        <c:lblOffset val="100"/>
        <c:noMultiLvlLbl val="0"/>
      </c:catAx>
      <c:valAx>
        <c:axId val="81411072"/>
        <c:scaling>
          <c:orientation val="minMax"/>
          <c:max val="46000"/>
          <c:min val="300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0_ " sourceLinked="0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409536"/>
        <c:crosses val="autoZero"/>
        <c:crossBetween val="between"/>
        <c:majorUnit val="500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3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近期甲醇产量趋势图</a:t>
            </a:r>
            <a:endParaRPr lang="zh-CN" altLang="en-US"/>
          </a:p>
        </c:rich>
      </c:tx>
      <c:layout>
        <c:manualLayout>
          <c:xMode val="edge"/>
          <c:yMode val="edge"/>
          <c:x val="0.344989019229739"/>
          <c:y val="0.057970583865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94533995001"/>
          <c:y val="0.415096251733176"/>
          <c:w val="0.857568008113884"/>
          <c:h val="0.273586165915048"/>
        </c:manualLayout>
      </c:layout>
      <c:lineChart>
        <c:grouping val="standard"/>
        <c:varyColors val="0"/>
        <c:ser>
          <c:idx val="0"/>
          <c:order val="0"/>
          <c:tx>
            <c:strRef>
              <c:f>表一!$A$77:$B$77</c:f>
              <c:strCache>
                <c:ptCount val="1"/>
                <c:pt idx="0">
                  <c:v>甲醇产量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表一!$C$76:$Q$76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14日</c:v>
                </c:pt>
              </c:strCache>
            </c:strRef>
          </c:cat>
          <c:val>
            <c:numRef>
              <c:f>表一!$C$77:$Q$77</c:f>
              <c:numCache>
                <c:formatCode>General</c:formatCode>
                <c:ptCount val="15"/>
                <c:pt idx="0">
                  <c:v>12409</c:v>
                </c:pt>
                <c:pt idx="1">
                  <c:v>12499</c:v>
                </c:pt>
                <c:pt idx="2">
                  <c:v>12342.523</c:v>
                </c:pt>
                <c:pt idx="3">
                  <c:v>12700</c:v>
                </c:pt>
                <c:pt idx="4">
                  <c:v>12773</c:v>
                </c:pt>
                <c:pt idx="5">
                  <c:v>12819.846</c:v>
                </c:pt>
                <c:pt idx="6">
                  <c:v>12384</c:v>
                </c:pt>
                <c:pt idx="7">
                  <c:v>8354</c:v>
                </c:pt>
                <c:pt idx="8">
                  <c:v>8322.054</c:v>
                </c:pt>
                <c:pt idx="9">
                  <c:v>9078</c:v>
                </c:pt>
                <c:pt idx="10">
                  <c:v>9096</c:v>
                </c:pt>
                <c:pt idx="11">
                  <c:v>10050</c:v>
                </c:pt>
                <c:pt idx="12">
                  <c:v>9153</c:v>
                </c:pt>
                <c:pt idx="13">
                  <c:v>10151</c:v>
                </c:pt>
                <c:pt idx="14">
                  <c:v>10199.606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59840"/>
        <c:axId val="68419968"/>
      </c:lineChart>
      <c:catAx>
        <c:axId val="81459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8419968"/>
        <c:crossesAt val="8000"/>
        <c:auto val="1"/>
        <c:lblAlgn val="ctr"/>
        <c:lblOffset val="100"/>
        <c:noMultiLvlLbl val="0"/>
      </c:catAx>
      <c:valAx>
        <c:axId val="68419968"/>
        <c:scaling>
          <c:orientation val="minMax"/>
          <c:max val="16000"/>
          <c:min val="80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459840"/>
        <c:crosses val="autoZero"/>
        <c:crossBetween val="between"/>
        <c:majorUnit val="3000"/>
        <c:minorUnit val="200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3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近期尿素产量趋势图</a:t>
            </a:r>
            <a:endParaRPr lang="zh-CN" altLang="en-US"/>
          </a:p>
        </c:rich>
      </c:tx>
      <c:layout>
        <c:manualLayout>
          <c:xMode val="edge"/>
          <c:yMode val="edge"/>
          <c:x val="0.369305713708863"/>
          <c:y val="0.07143032354600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94440203379"/>
          <c:y val="0.416670434302972"/>
          <c:w val="0.831860803433823"/>
          <c:h val="0.277780289535315"/>
        </c:manualLayout>
      </c:layout>
      <c:lineChart>
        <c:grouping val="standard"/>
        <c:varyColors val="0"/>
        <c:ser>
          <c:idx val="0"/>
          <c:order val="0"/>
          <c:tx>
            <c:strRef>
              <c:f>表一!$A$80:$B$80</c:f>
              <c:strCache>
                <c:ptCount val="1"/>
                <c:pt idx="0">
                  <c:v>尿素产量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表一!$C$79:$Q$79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14日</c:v>
                </c:pt>
              </c:strCache>
            </c:strRef>
          </c:cat>
          <c:val>
            <c:numRef>
              <c:f>表一!$C$80:$Q$80</c:f>
              <c:numCache>
                <c:formatCode>General</c:formatCode>
                <c:ptCount val="15"/>
                <c:pt idx="0">
                  <c:v>29450</c:v>
                </c:pt>
                <c:pt idx="1">
                  <c:v>29130</c:v>
                </c:pt>
                <c:pt idx="2">
                  <c:v>30137.509</c:v>
                </c:pt>
                <c:pt idx="3">
                  <c:v>30246</c:v>
                </c:pt>
                <c:pt idx="4">
                  <c:v>30283</c:v>
                </c:pt>
                <c:pt idx="5">
                  <c:v>29704.639</c:v>
                </c:pt>
                <c:pt idx="6">
                  <c:v>29329</c:v>
                </c:pt>
                <c:pt idx="7">
                  <c:v>29788</c:v>
                </c:pt>
                <c:pt idx="8">
                  <c:v>29655.659</c:v>
                </c:pt>
                <c:pt idx="9">
                  <c:v>29600</c:v>
                </c:pt>
                <c:pt idx="10">
                  <c:v>29164</c:v>
                </c:pt>
                <c:pt idx="11">
                  <c:v>30025</c:v>
                </c:pt>
                <c:pt idx="12">
                  <c:v>30715</c:v>
                </c:pt>
                <c:pt idx="13">
                  <c:v>30966</c:v>
                </c:pt>
                <c:pt idx="14">
                  <c:v>29786.814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4640"/>
        <c:axId val="68466176"/>
      </c:lineChart>
      <c:catAx>
        <c:axId val="68464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8466176"/>
        <c:crossesAt val="16500"/>
        <c:auto val="1"/>
        <c:lblAlgn val="ctr"/>
        <c:lblOffset val="100"/>
        <c:noMultiLvlLbl val="0"/>
      </c:catAx>
      <c:valAx>
        <c:axId val="68466176"/>
        <c:scaling>
          <c:orientation val="minMax"/>
          <c:max val="33000"/>
          <c:min val="165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8464640"/>
        <c:crosses val="autoZero"/>
        <c:crossBetween val="between"/>
        <c:majorUnit val="4000"/>
        <c:minorUnit val="200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  <a:round/>
    </a:ln>
    <a:effectLst/>
  </c:spPr>
  <c:txPr>
    <a:bodyPr/>
    <a:lstStyle/>
    <a:p>
      <a:pPr>
        <a:defRPr lang="zh-CN" sz="25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尿素近期价格趋势图</a:t>
            </a:r>
            <a:endParaRPr lang="zh-CN" altLang="en-US"/>
          </a:p>
        </c:rich>
      </c:tx>
      <c:layout>
        <c:manualLayout>
          <c:xMode val="edge"/>
          <c:yMode val="edge"/>
          <c:x val="0.309417846314917"/>
          <c:y val="0.05917245638412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314606741573"/>
          <c:y val="0.411766184247847"/>
          <c:w val="0.890449438202247"/>
          <c:h val="0.294118703034176"/>
        </c:manualLayout>
      </c:layout>
      <c:lineChart>
        <c:grouping val="standard"/>
        <c:varyColors val="0"/>
        <c:ser>
          <c:idx val="0"/>
          <c:order val="0"/>
          <c:tx>
            <c:strRef>
              <c:f>表二!$A$59:$B$59</c:f>
              <c:strCache>
                <c:ptCount val="1"/>
                <c:pt idx="0">
                  <c:v>尿素价格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表二!$C$58:$Q$58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表二!$C$59:$Q$59</c:f>
              <c:numCache>
                <c:formatCode>General</c:formatCode>
                <c:ptCount val="15"/>
                <c:pt idx="0">
                  <c:v>2119</c:v>
                </c:pt>
                <c:pt idx="1">
                  <c:v>2109</c:v>
                </c:pt>
                <c:pt idx="2">
                  <c:v>2118.46320101967</c:v>
                </c:pt>
                <c:pt idx="3">
                  <c:v>2104</c:v>
                </c:pt>
                <c:pt idx="4">
                  <c:v>2102</c:v>
                </c:pt>
                <c:pt idx="5">
                  <c:v>2092</c:v>
                </c:pt>
                <c:pt idx="6">
                  <c:v>2088</c:v>
                </c:pt>
                <c:pt idx="7">
                  <c:v>2089</c:v>
                </c:pt>
                <c:pt idx="8">
                  <c:v>2090.77178956992</c:v>
                </c:pt>
                <c:pt idx="9">
                  <c:v>2086</c:v>
                </c:pt>
                <c:pt idx="10">
                  <c:v>2083</c:v>
                </c:pt>
                <c:pt idx="11">
                  <c:v>2082</c:v>
                </c:pt>
                <c:pt idx="12">
                  <c:v>2093</c:v>
                </c:pt>
                <c:pt idx="13">
                  <c:v>2083</c:v>
                </c:pt>
                <c:pt idx="14">
                  <c:v>2093.95920412247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8880"/>
        <c:axId val="83500416"/>
      </c:lineChart>
      <c:catAx>
        <c:axId val="83498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500416"/>
        <c:crossesAt val="1500"/>
        <c:auto val="1"/>
        <c:lblAlgn val="ctr"/>
        <c:lblOffset val="100"/>
        <c:noMultiLvlLbl val="0"/>
      </c:catAx>
      <c:valAx>
        <c:axId val="83500416"/>
        <c:scaling>
          <c:orientation val="minMax"/>
          <c:max val="2100"/>
          <c:min val="18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498880"/>
        <c:crosses val="autoZero"/>
        <c:crossBetween val="between"/>
        <c:majorUnit val="50"/>
        <c:minorUnit val="1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4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煤化工板块所属公司原料块煤库存趋势图</a:t>
            </a:r>
            <a:endParaRPr lang="zh-CN" altLang="en-US"/>
          </a:p>
        </c:rich>
      </c:tx>
      <c:layout>
        <c:manualLayout>
          <c:xMode val="edge"/>
          <c:yMode val="edge"/>
          <c:x val="0.190476537253653"/>
          <c:y val="0.0532545931758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491992993007"/>
          <c:y val="0.448531022127119"/>
          <c:w val="0.805086966716782"/>
          <c:h val="0.279412767882467"/>
        </c:manualLayout>
      </c:layout>
      <c:lineChart>
        <c:grouping val="standard"/>
        <c:varyColors val="0"/>
        <c:ser>
          <c:idx val="0"/>
          <c:order val="0"/>
          <c:tx>
            <c:strRef>
              <c:f>表二!$A$71:$B$71</c:f>
              <c:strCache>
                <c:ptCount val="1"/>
                <c:pt idx="0">
                  <c:v>原料块煤库存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表二!$C$70:$Q$70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表二!$C$71:$Q$71</c:f>
              <c:numCache>
                <c:formatCode>General</c:formatCode>
                <c:ptCount val="15"/>
                <c:pt idx="0">
                  <c:v>254906</c:v>
                </c:pt>
                <c:pt idx="1">
                  <c:v>252930</c:v>
                </c:pt>
                <c:pt idx="2">
                  <c:v>257495.177</c:v>
                </c:pt>
                <c:pt idx="3">
                  <c:v>263980</c:v>
                </c:pt>
                <c:pt idx="4">
                  <c:v>264133</c:v>
                </c:pt>
                <c:pt idx="5">
                  <c:v>259951.547</c:v>
                </c:pt>
                <c:pt idx="6">
                  <c:v>266764</c:v>
                </c:pt>
                <c:pt idx="7">
                  <c:v>265905</c:v>
                </c:pt>
                <c:pt idx="8">
                  <c:v>271599.807</c:v>
                </c:pt>
                <c:pt idx="9">
                  <c:v>269744</c:v>
                </c:pt>
                <c:pt idx="10">
                  <c:v>267367</c:v>
                </c:pt>
                <c:pt idx="11">
                  <c:v>268773</c:v>
                </c:pt>
                <c:pt idx="12">
                  <c:v>265555</c:v>
                </c:pt>
                <c:pt idx="13">
                  <c:v>264331</c:v>
                </c:pt>
                <c:pt idx="14">
                  <c:v>263114.687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0512"/>
        <c:axId val="83895040"/>
      </c:lineChart>
      <c:catAx>
        <c:axId val="8352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895040"/>
        <c:crossesAt val="250000"/>
        <c:auto val="1"/>
        <c:lblAlgn val="ctr"/>
        <c:lblOffset val="100"/>
        <c:noMultiLvlLbl val="0"/>
      </c:catAx>
      <c:valAx>
        <c:axId val="83895040"/>
        <c:scaling>
          <c:orientation val="minMax"/>
          <c:max val="380000"/>
          <c:min val="2500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0.00_ " sourceLinked="0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520512"/>
        <c:crosses val="autoZero"/>
        <c:crossBetween val="between"/>
        <c:majorUnit val="20000"/>
        <c:minorUnit val="400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甲醇近期价格趋势图</a:t>
            </a:r>
            <a:endParaRPr lang="zh-CN" altLang="en-US"/>
          </a:p>
        </c:rich>
      </c:tx>
      <c:layout>
        <c:manualLayout>
          <c:xMode val="edge"/>
          <c:yMode val="edge"/>
          <c:x val="0.30561854768154"/>
          <c:y val="0.04046255087679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5916849027356"/>
          <c:y val="0.420292829291421"/>
          <c:w val="0.890142069407556"/>
          <c:h val="0.289857123649256"/>
        </c:manualLayout>
      </c:layout>
      <c:lineChart>
        <c:grouping val="standard"/>
        <c:varyColors val="0"/>
        <c:ser>
          <c:idx val="0"/>
          <c:order val="0"/>
          <c:tx>
            <c:strRef>
              <c:f>表二!$A$62:$B$62</c:f>
              <c:strCache>
                <c:ptCount val="1"/>
                <c:pt idx="0">
                  <c:v>甲醇价格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表二!$C$61:$Q$61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表二!$C$62:$Q$62</c:f>
              <c:numCache>
                <c:formatCode>General</c:formatCode>
                <c:ptCount val="15"/>
                <c:pt idx="0">
                  <c:v>2247</c:v>
                </c:pt>
                <c:pt idx="1">
                  <c:v>2261</c:v>
                </c:pt>
                <c:pt idx="2">
                  <c:v>2273.55986705178</c:v>
                </c:pt>
                <c:pt idx="3">
                  <c:v>2258</c:v>
                </c:pt>
                <c:pt idx="4">
                  <c:v>2289</c:v>
                </c:pt>
                <c:pt idx="5">
                  <c:v>2288.75034552909</c:v>
                </c:pt>
                <c:pt idx="6">
                  <c:v>2281</c:v>
                </c:pt>
                <c:pt idx="7">
                  <c:v>2261</c:v>
                </c:pt>
                <c:pt idx="8">
                  <c:v>2284.28564627401</c:v>
                </c:pt>
                <c:pt idx="9" c:formatCode="0_);[Red]\(0\)">
                  <c:v>2268</c:v>
                </c:pt>
                <c:pt idx="10" c:formatCode="0_);[Red]\(0\)">
                  <c:v>2299</c:v>
                </c:pt>
                <c:pt idx="11" c:formatCode="0_);[Red]\(0\)">
                  <c:v>2292.25211104709</c:v>
                </c:pt>
                <c:pt idx="12" c:formatCode="0_);[Red]\(0\)">
                  <c:v>2293</c:v>
                </c:pt>
                <c:pt idx="13" c:formatCode="0_);[Red]\(0\)">
                  <c:v>2271</c:v>
                </c:pt>
                <c:pt idx="14" c:formatCode="0_);[Red]\(0\)">
                  <c:v>2302.13222288992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5616"/>
        <c:axId val="83937152"/>
      </c:lineChart>
      <c:catAx>
        <c:axId val="8393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937152"/>
        <c:crossesAt val="1400"/>
        <c:auto val="1"/>
        <c:lblAlgn val="ctr"/>
        <c:lblOffset val="100"/>
        <c:noMultiLvlLbl val="0"/>
      </c:catAx>
      <c:valAx>
        <c:axId val="83937152"/>
        <c:scaling>
          <c:orientation val="minMax"/>
          <c:max val="2300"/>
          <c:min val="20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935616"/>
        <c:crosses val="autoZero"/>
        <c:crossBetween val="between"/>
        <c:majorUnit val="50"/>
        <c:minorUnit val="5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3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7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煤化工板块所属公司原料末煤库存趋势图</a:t>
            </a:r>
            <a:endParaRPr lang="zh-CN" altLang="en-US"/>
          </a:p>
        </c:rich>
      </c:tx>
      <c:layout>
        <c:manualLayout>
          <c:xMode val="edge"/>
          <c:yMode val="edge"/>
          <c:x val="0.191441759435243"/>
          <c:y val="0.0532545931758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67415730337"/>
          <c:y val="0.411766184247847"/>
          <c:w val="0.828651685393258"/>
          <c:h val="0.316177605761739"/>
        </c:manualLayout>
      </c:layout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表二!$C$73:$Q$73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表二!$C$74:$Q$74</c:f>
              <c:numCache>
                <c:formatCode>General</c:formatCode>
                <c:ptCount val="15"/>
                <c:pt idx="0">
                  <c:v>356339</c:v>
                </c:pt>
                <c:pt idx="1">
                  <c:v>350625</c:v>
                </c:pt>
                <c:pt idx="2">
                  <c:v>337987.757</c:v>
                </c:pt>
                <c:pt idx="3">
                  <c:v>333833</c:v>
                </c:pt>
                <c:pt idx="4">
                  <c:v>332177</c:v>
                </c:pt>
                <c:pt idx="5">
                  <c:v>318410.607</c:v>
                </c:pt>
                <c:pt idx="6">
                  <c:v>334712</c:v>
                </c:pt>
                <c:pt idx="7">
                  <c:v>346747</c:v>
                </c:pt>
                <c:pt idx="8">
                  <c:v>346833.047</c:v>
                </c:pt>
                <c:pt idx="9">
                  <c:v>356308</c:v>
                </c:pt>
                <c:pt idx="10">
                  <c:v>352453</c:v>
                </c:pt>
                <c:pt idx="11">
                  <c:v>348874</c:v>
                </c:pt>
                <c:pt idx="12">
                  <c:v>357121</c:v>
                </c:pt>
                <c:pt idx="13">
                  <c:v>366790</c:v>
                </c:pt>
                <c:pt idx="14">
                  <c:v>376277.587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9536"/>
        <c:axId val="83971072"/>
      </c:lineChart>
      <c:catAx>
        <c:axId val="83969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971072"/>
        <c:crossesAt val="400000"/>
        <c:auto val="1"/>
        <c:lblAlgn val="ctr"/>
        <c:lblOffset val="100"/>
        <c:noMultiLvlLbl val="0"/>
      </c:catAx>
      <c:valAx>
        <c:axId val="83971072"/>
        <c:scaling>
          <c:orientation val="minMax"/>
          <c:max val="650000"/>
          <c:min val="400000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969536"/>
        <c:crosses val="autoZero"/>
        <c:crossBetween val="between"/>
        <c:majorUnit val="50000"/>
        <c:minorUnit val="150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近期吨合成氨耗原料煤趋势图</a:t>
            </a:r>
            <a:endParaRPr lang="zh-CN" altLang="en-US"/>
          </a:p>
        </c:rich>
      </c:tx>
      <c:layout>
        <c:manualLayout>
          <c:xMode val="edge"/>
          <c:yMode val="edge"/>
          <c:x val="0.220720919913664"/>
          <c:y val="0.0598801269244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314606741573"/>
          <c:y val="0.425373134328358"/>
          <c:w val="0.890449438202247"/>
          <c:h val="0.276119402985075"/>
        </c:manualLayout>
      </c:layout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表二!$C$64:$Q$64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表二!$C$65:$Q$65</c:f>
              <c:numCache>
                <c:formatCode>General</c:formatCode>
                <c:ptCount val="15"/>
                <c:pt idx="0">
                  <c:v>1088</c:v>
                </c:pt>
                <c:pt idx="1">
                  <c:v>1100</c:v>
                </c:pt>
                <c:pt idx="2">
                  <c:v>1093.54546123604</c:v>
                </c:pt>
                <c:pt idx="3">
                  <c:v>1081</c:v>
                </c:pt>
                <c:pt idx="4">
                  <c:v>1073</c:v>
                </c:pt>
                <c:pt idx="5">
                  <c:v>1080.27991516115</c:v>
                </c:pt>
                <c:pt idx="6">
                  <c:v>1080.27991516115</c:v>
                </c:pt>
                <c:pt idx="7">
                  <c:v>988</c:v>
                </c:pt>
                <c:pt idx="8">
                  <c:v>991.941966101041</c:v>
                </c:pt>
                <c:pt idx="9">
                  <c:v>990</c:v>
                </c:pt>
                <c:pt idx="10">
                  <c:v>984</c:v>
                </c:pt>
                <c:pt idx="11">
                  <c:v>982</c:v>
                </c:pt>
                <c:pt idx="12">
                  <c:v>1006</c:v>
                </c:pt>
                <c:pt idx="13">
                  <c:v>1115</c:v>
                </c:pt>
                <c:pt idx="14">
                  <c:v>1104.99155262939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8976"/>
        <c:axId val="84000768"/>
      </c:lineChart>
      <c:catAx>
        <c:axId val="8399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000768"/>
        <c:crossesAt val="1000"/>
        <c:auto val="1"/>
        <c:lblAlgn val="ctr"/>
        <c:lblOffset val="100"/>
        <c:noMultiLvlLbl val="0"/>
      </c:catAx>
      <c:valAx>
        <c:axId val="84000768"/>
        <c:scaling>
          <c:orientation val="minMax"/>
          <c:max val="1400"/>
          <c:min val="10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998976"/>
        <c:crosses val="autoZero"/>
        <c:crossBetween val="between"/>
        <c:majorUnit val="100"/>
        <c:minorUnit val="1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4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液氨近期价格趋势图</a:t>
            </a:r>
            <a:endParaRPr lang="zh-CN" altLang="en-US"/>
          </a:p>
        </c:rich>
      </c:tx>
      <c:layout>
        <c:manualLayout>
          <c:xMode val="edge"/>
          <c:yMode val="edge"/>
          <c:x val="0.265909911550074"/>
          <c:y val="0.05917245638412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1529745042493"/>
          <c:y val="0.426472119399556"/>
          <c:w val="0.886685552407932"/>
          <c:h val="0.279412767882467"/>
        </c:manualLayout>
      </c:layout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表二!$C$67:$Q$67</c:f>
              <c:strCache>
                <c:ptCount val="15"/>
                <c:pt idx="0">
                  <c:v>31日</c:v>
                </c:pt>
                <c:pt idx="1">
                  <c:v>1日</c:v>
                </c:pt>
                <c:pt idx="2">
                  <c:v>2日</c:v>
                </c:pt>
                <c:pt idx="3">
                  <c:v>3日</c:v>
                </c:pt>
                <c:pt idx="4">
                  <c:v>4日</c:v>
                </c:pt>
                <c:pt idx="5">
                  <c:v>5日</c:v>
                </c:pt>
                <c:pt idx="6">
                  <c:v>6日</c:v>
                </c:pt>
                <c:pt idx="7">
                  <c:v>7日</c:v>
                </c:pt>
                <c:pt idx="8">
                  <c:v>8日</c:v>
                </c:pt>
                <c:pt idx="9">
                  <c:v>9日</c:v>
                </c:pt>
                <c:pt idx="10">
                  <c:v>10日</c:v>
                </c:pt>
                <c:pt idx="11">
                  <c:v>11日</c:v>
                </c:pt>
                <c:pt idx="12">
                  <c:v>12日</c:v>
                </c:pt>
                <c:pt idx="13">
                  <c:v>13日</c:v>
                </c:pt>
                <c:pt idx="14">
                  <c:v>13日</c:v>
                </c:pt>
              </c:strCache>
            </c:strRef>
          </c:cat>
          <c:val>
            <c:numRef>
              <c:f>表二!$C$85:$Q$85</c:f>
              <c:numCache>
                <c:formatCode>General</c:formatCode>
                <c:ptCount val="15"/>
                <c:pt idx="0">
                  <c:v>3416</c:v>
                </c:pt>
                <c:pt idx="1">
                  <c:v>3429</c:v>
                </c:pt>
                <c:pt idx="2">
                  <c:v>3490.17830097163</c:v>
                </c:pt>
                <c:pt idx="3">
                  <c:v>3483</c:v>
                </c:pt>
                <c:pt idx="4">
                  <c:v>3508</c:v>
                </c:pt>
                <c:pt idx="5">
                  <c:v>3476.90795146944</c:v>
                </c:pt>
                <c:pt idx="6">
                  <c:v>3509</c:v>
                </c:pt>
                <c:pt idx="7">
                  <c:v>3515</c:v>
                </c:pt>
                <c:pt idx="8">
                  <c:v>3519.83689006856</c:v>
                </c:pt>
                <c:pt idx="9">
                  <c:v>3530</c:v>
                </c:pt>
                <c:pt idx="10">
                  <c:v>3523</c:v>
                </c:pt>
                <c:pt idx="11">
                  <c:v>3512</c:v>
                </c:pt>
                <c:pt idx="12">
                  <c:v>3518</c:v>
                </c:pt>
                <c:pt idx="13">
                  <c:v>3495</c:v>
                </c:pt>
                <c:pt idx="14">
                  <c:v>3489.37084661769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8400"/>
        <c:axId val="84448384"/>
      </c:lineChart>
      <c:catAx>
        <c:axId val="8443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448384"/>
        <c:crossesAt val="2400"/>
        <c:auto val="1"/>
        <c:lblAlgn val="ctr"/>
        <c:lblOffset val="100"/>
        <c:noMultiLvlLbl val="0"/>
      </c:catAx>
      <c:valAx>
        <c:axId val="84448384"/>
        <c:scaling>
          <c:orientation val="minMax"/>
          <c:max val="3300"/>
          <c:min val="2800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6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438400"/>
        <c:crosses val="autoZero"/>
        <c:crossBetween val="between"/>
        <c:majorUnit val="50"/>
        <c:minorUnit val="50"/>
      </c:valAx>
      <c:spPr>
        <a:solidFill>
          <a:srgbClr val="CC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FFFFFF">
          <a:alpha val="100000"/>
        </a:srgbClr>
      </a:solidFill>
      <a:prstDash val="solid"/>
      <a:round/>
    </a:ln>
    <a:effectLst/>
  </c:spPr>
  <c:txPr>
    <a:bodyPr/>
    <a:lstStyle/>
    <a:p>
      <a:pPr>
        <a:defRPr lang="zh-CN" sz="37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61</xdr:row>
      <xdr:rowOff>15875</xdr:rowOff>
    </xdr:from>
    <xdr:to>
      <xdr:col>6</xdr:col>
      <xdr:colOff>142875</xdr:colOff>
      <xdr:row>66</xdr:row>
      <xdr:rowOff>88900</xdr:rowOff>
    </xdr:to>
    <xdr:graphicFrame>
      <xdr:nvGraphicFramePr>
        <xdr:cNvPr id="19446833" name="Chart 1057"/>
        <xdr:cNvGraphicFramePr>
          <a:graphicFrameLocks noChangeAspect="1"/>
        </xdr:cNvGraphicFramePr>
      </xdr:nvGraphicFramePr>
      <xdr:xfrm>
        <a:off x="47625" y="12075795"/>
        <a:ext cx="3381375" cy="74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61</xdr:row>
      <xdr:rowOff>25400</xdr:rowOff>
    </xdr:from>
    <xdr:to>
      <xdr:col>11</xdr:col>
      <xdr:colOff>381000</xdr:colOff>
      <xdr:row>66</xdr:row>
      <xdr:rowOff>88900</xdr:rowOff>
    </xdr:to>
    <xdr:graphicFrame>
      <xdr:nvGraphicFramePr>
        <xdr:cNvPr id="19446834" name="Chart 1058"/>
        <xdr:cNvGraphicFramePr>
          <a:graphicFrameLocks noChangeAspect="1"/>
        </xdr:cNvGraphicFramePr>
      </xdr:nvGraphicFramePr>
      <xdr:xfrm>
        <a:off x="3371850" y="12085320"/>
        <a:ext cx="3267075" cy="73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398780</xdr:colOff>
      <xdr:row>61</xdr:row>
      <xdr:rowOff>38100</xdr:rowOff>
    </xdr:from>
    <xdr:to>
      <xdr:col>16</xdr:col>
      <xdr:colOff>579755</xdr:colOff>
      <xdr:row>66</xdr:row>
      <xdr:rowOff>101600</xdr:rowOff>
    </xdr:to>
    <xdr:graphicFrame>
      <xdr:nvGraphicFramePr>
        <xdr:cNvPr id="19446835" name="Chart 1062"/>
        <xdr:cNvGraphicFramePr>
          <a:graphicFrameLocks noChangeAspect="1"/>
        </xdr:cNvGraphicFramePr>
      </xdr:nvGraphicFramePr>
      <xdr:xfrm>
        <a:off x="6656705" y="12098020"/>
        <a:ext cx="3124200" cy="73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</xdr:colOff>
      <xdr:row>49</xdr:row>
      <xdr:rowOff>24130</xdr:rowOff>
    </xdr:from>
    <xdr:to>
      <xdr:col>6</xdr:col>
      <xdr:colOff>217170</xdr:colOff>
      <xdr:row>49</xdr:row>
      <xdr:rowOff>1319530</xdr:rowOff>
    </xdr:to>
    <xdr:graphicFrame>
      <xdr:nvGraphicFramePr>
        <xdr:cNvPr id="19450977" name="Chart 1387"/>
        <xdr:cNvGraphicFramePr>
          <a:graphicFrameLocks noChangeAspect="1"/>
        </xdr:cNvGraphicFramePr>
      </xdr:nvGraphicFramePr>
      <xdr:xfrm>
        <a:off x="26670" y="10551795"/>
        <a:ext cx="3487420" cy="12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196850</xdr:colOff>
      <xdr:row>49</xdr:row>
      <xdr:rowOff>29845</xdr:rowOff>
    </xdr:from>
    <xdr:to>
      <xdr:col>18</xdr:col>
      <xdr:colOff>492760</xdr:colOff>
      <xdr:row>49</xdr:row>
      <xdr:rowOff>1325245</xdr:rowOff>
    </xdr:to>
    <xdr:graphicFrame>
      <xdr:nvGraphicFramePr>
        <xdr:cNvPr id="19450978" name="Chart 1388"/>
        <xdr:cNvGraphicFramePr>
          <a:graphicFrameLocks noChangeAspect="1"/>
        </xdr:cNvGraphicFramePr>
      </xdr:nvGraphicFramePr>
      <xdr:xfrm>
        <a:off x="6722110" y="10557510"/>
        <a:ext cx="3261360" cy="12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38100</xdr:colOff>
      <xdr:row>50</xdr:row>
      <xdr:rowOff>8255</xdr:rowOff>
    </xdr:from>
    <xdr:to>
      <xdr:col>6</xdr:col>
      <xdr:colOff>219075</xdr:colOff>
      <xdr:row>50</xdr:row>
      <xdr:rowOff>1322705</xdr:rowOff>
    </xdr:to>
    <xdr:graphicFrame>
      <xdr:nvGraphicFramePr>
        <xdr:cNvPr id="19450979" name="Chart 1392"/>
        <xdr:cNvGraphicFramePr>
          <a:graphicFrameLocks noChangeAspect="1"/>
        </xdr:cNvGraphicFramePr>
      </xdr:nvGraphicFramePr>
      <xdr:xfrm>
        <a:off x="38100" y="11869420"/>
        <a:ext cx="3477895" cy="131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50</xdr:row>
      <xdr:rowOff>31750</xdr:rowOff>
    </xdr:from>
    <xdr:to>
      <xdr:col>18</xdr:col>
      <xdr:colOff>485775</xdr:colOff>
      <xdr:row>50</xdr:row>
      <xdr:rowOff>1327150</xdr:rowOff>
    </xdr:to>
    <xdr:graphicFrame>
      <xdr:nvGraphicFramePr>
        <xdr:cNvPr id="19450980" name="Chart 1395"/>
        <xdr:cNvGraphicFramePr>
          <a:graphicFrameLocks noChangeAspect="1"/>
        </xdr:cNvGraphicFramePr>
      </xdr:nvGraphicFramePr>
      <xdr:xfrm>
        <a:off x="6687185" y="11892915"/>
        <a:ext cx="3289300" cy="12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243840</xdr:colOff>
      <xdr:row>49</xdr:row>
      <xdr:rowOff>29210</xdr:rowOff>
    </xdr:from>
    <xdr:to>
      <xdr:col>12</xdr:col>
      <xdr:colOff>253365</xdr:colOff>
      <xdr:row>49</xdr:row>
      <xdr:rowOff>1305560</xdr:rowOff>
    </xdr:to>
    <xdr:graphicFrame>
      <xdr:nvGraphicFramePr>
        <xdr:cNvPr id="19450981" name="Chart 1396"/>
        <xdr:cNvGraphicFramePr>
          <a:graphicFrameLocks noChangeAspect="1"/>
        </xdr:cNvGraphicFramePr>
      </xdr:nvGraphicFramePr>
      <xdr:xfrm>
        <a:off x="3540760" y="10556875"/>
        <a:ext cx="3237865" cy="127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272415</xdr:colOff>
      <xdr:row>50</xdr:row>
      <xdr:rowOff>23495</xdr:rowOff>
    </xdr:from>
    <xdr:to>
      <xdr:col>12</xdr:col>
      <xdr:colOff>253365</xdr:colOff>
      <xdr:row>50</xdr:row>
      <xdr:rowOff>1318895</xdr:rowOff>
    </xdr:to>
    <xdr:graphicFrame>
      <xdr:nvGraphicFramePr>
        <xdr:cNvPr id="19450982" name="Chart 1397"/>
        <xdr:cNvGraphicFramePr>
          <a:graphicFrameLocks noChangeAspect="1"/>
        </xdr:cNvGraphicFramePr>
      </xdr:nvGraphicFramePr>
      <xdr:xfrm>
        <a:off x="3569335" y="11884660"/>
        <a:ext cx="3209290" cy="12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7.1\&#29028;&#21270;&#24037;&#26495;&#22359;&#35843;&#24230;&#26085;&#25253;&#34920;&#65288;6.30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NTYSY"/>
      <sheetName val="QNRSMQ"/>
      <sheetName val="数据基表"/>
      <sheetName val="数据填报"/>
      <sheetName val="表一"/>
      <sheetName val="表二"/>
      <sheetName val="煤炭库存统计表"/>
      <sheetName val="OWONVY"/>
      <sheetName val="煤化工板块调度日志"/>
      <sheetName val="大表"/>
      <sheetName val="报调度室简表"/>
      <sheetName val="报调度指挥中心"/>
      <sheetName val="历史产量"/>
      <sheetName val="历史销量"/>
      <sheetName val="分月生产计划"/>
      <sheetName val="报事业部领导 (2)"/>
      <sheetName val="每月计划粘贴"/>
      <sheetName val="疫情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M22">
            <v>0</v>
          </cell>
        </row>
      </sheetData>
      <sheetData sheetId="5" refreshError="1">
        <row r="38">
          <cell r="C38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AG2" sqref="AG2:AL2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AG2" sqref="AG2:AL2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A1" sqref="$A1:$XFD1048576"/>
    </sheetView>
  </sheetViews>
  <sheetFormatPr defaultColWidth="9" defaultRowHeight="14.25"/>
  <cols>
    <col min="1" max="1" width="17.125" customWidth="1"/>
    <col min="2" max="2" width="15.625" customWidth="1"/>
    <col min="3" max="3" width="14.375" customWidth="1"/>
    <col min="4" max="4" width="13.75" customWidth="1"/>
    <col min="5" max="5" width="15.625" customWidth="1"/>
    <col min="6" max="6" width="14.75" customWidth="1"/>
    <col min="7" max="7" width="12.625" customWidth="1"/>
    <col min="8" max="8" width="12.875" customWidth="1"/>
  </cols>
  <sheetData>
    <row r="1" ht="25.5" spans="1:8">
      <c r="A1" s="237" t="s">
        <v>476</v>
      </c>
      <c r="B1" s="237"/>
      <c r="C1" s="237"/>
      <c r="D1" s="237"/>
      <c r="E1" s="237"/>
      <c r="F1" s="237"/>
      <c r="G1" s="237"/>
      <c r="H1" s="237"/>
    </row>
    <row r="2" ht="18.75" spans="1:8">
      <c r="A2" s="238">
        <f>表一!N2</f>
        <v>44300</v>
      </c>
      <c r="B2" s="238"/>
      <c r="C2" s="238"/>
      <c r="D2" s="238"/>
      <c r="E2" s="238"/>
      <c r="F2" s="238"/>
      <c r="G2" s="238"/>
      <c r="H2" s="238"/>
    </row>
    <row r="3" ht="18.75" spans="1:8">
      <c r="A3" s="250" t="s">
        <v>477</v>
      </c>
      <c r="B3" s="250"/>
      <c r="C3" s="250"/>
      <c r="D3" s="240"/>
      <c r="E3" s="240"/>
      <c r="F3" s="251"/>
      <c r="G3" s="252" t="s">
        <v>478</v>
      </c>
      <c r="H3" s="252"/>
    </row>
    <row r="4" ht="34.5" customHeight="1" spans="1:8">
      <c r="A4" s="241"/>
      <c r="B4" s="241" t="s">
        <v>128</v>
      </c>
      <c r="C4" s="241" t="s">
        <v>153</v>
      </c>
      <c r="D4" s="241" t="s">
        <v>154</v>
      </c>
      <c r="E4" s="241" t="s">
        <v>246</v>
      </c>
      <c r="F4" s="241" t="s">
        <v>245</v>
      </c>
      <c r="G4" s="241" t="s">
        <v>191</v>
      </c>
      <c r="H4" s="241"/>
    </row>
    <row r="5" ht="35.1" customHeight="1" spans="1:14">
      <c r="A5" s="241" t="s">
        <v>293</v>
      </c>
      <c r="B5" s="253">
        <f>表一!B5</f>
        <v>45947.0244428571</v>
      </c>
      <c r="C5" s="253">
        <f>表一!B25</f>
        <v>29786.814</v>
      </c>
      <c r="D5" s="253">
        <f>表一!J25</f>
        <v>10199.606</v>
      </c>
      <c r="E5" s="253">
        <f>表一!J45</f>
        <v>4819.48</v>
      </c>
      <c r="F5" s="253">
        <f>表一!B45</f>
        <v>8929.87</v>
      </c>
      <c r="G5" s="253">
        <f>表一!J58</f>
        <v>0</v>
      </c>
      <c r="H5" s="253"/>
      <c r="N5" t="s">
        <v>48</v>
      </c>
    </row>
    <row r="6" ht="35.1" customHeight="1" spans="1:12">
      <c r="A6" s="241" t="s">
        <v>288</v>
      </c>
      <c r="B6" s="253"/>
      <c r="C6" s="253">
        <f>表二!B6</f>
        <v>30037.049</v>
      </c>
      <c r="D6" s="253">
        <f>表二!G6</f>
        <v>10257.99</v>
      </c>
      <c r="E6" s="253">
        <f>表二!I26</f>
        <v>4184.63</v>
      </c>
      <c r="F6" s="253">
        <f>表二!F26</f>
        <v>7521.87</v>
      </c>
      <c r="G6" s="253">
        <f>表二!G46</f>
        <v>0</v>
      </c>
      <c r="H6" s="253"/>
      <c r="J6" s="164"/>
      <c r="L6" s="164"/>
    </row>
    <row r="7" ht="30.75" customHeight="1" spans="1:8">
      <c r="A7" s="241" t="s">
        <v>479</v>
      </c>
      <c r="B7" s="241"/>
      <c r="C7" s="241"/>
      <c r="D7" s="241" t="s">
        <v>440</v>
      </c>
      <c r="E7" s="241"/>
      <c r="F7" s="241"/>
      <c r="G7" s="241" t="s">
        <v>262</v>
      </c>
      <c r="H7" s="241"/>
    </row>
    <row r="8" ht="30" customHeight="1" spans="1:8">
      <c r="A8" s="241" t="s">
        <v>21</v>
      </c>
      <c r="B8" s="254" t="s">
        <v>480</v>
      </c>
      <c r="C8" s="254" t="s">
        <v>481</v>
      </c>
      <c r="D8" s="254" t="s">
        <v>21</v>
      </c>
      <c r="E8" s="254" t="s">
        <v>480</v>
      </c>
      <c r="F8" s="254" t="s">
        <v>481</v>
      </c>
      <c r="G8" s="241" t="s">
        <v>8</v>
      </c>
      <c r="H8" s="241" t="s">
        <v>28</v>
      </c>
    </row>
    <row r="9" ht="35.1" customHeight="1" spans="1:8">
      <c r="A9" s="255">
        <f>煤炭库存统计表!Q6</f>
        <v>74782.54</v>
      </c>
      <c r="B9" s="253">
        <f>A9-C9</f>
        <v>58330.3812</v>
      </c>
      <c r="C9" s="253">
        <f>A9*0.22</f>
        <v>16452.1588</v>
      </c>
      <c r="D9" s="253">
        <f>煤炭库存统计表!P6</f>
        <v>894057.661</v>
      </c>
      <c r="E9" s="253">
        <f>D9-F9</f>
        <v>776936.107409</v>
      </c>
      <c r="F9" s="253">
        <f>D9*0.131</f>
        <v>117121.553591</v>
      </c>
      <c r="G9" s="253">
        <f>表一!J36</f>
        <v>1100</v>
      </c>
      <c r="H9" s="253">
        <f>表二!G17</f>
        <v>919</v>
      </c>
    </row>
    <row r="10" ht="37.5" spans="1:8">
      <c r="A10" s="244" t="s">
        <v>482</v>
      </c>
      <c r="B10" s="256" t="str">
        <f>表二!D52</f>
        <v>1、满负荷运行公司21家：天溪公司、天源公司、晋丰高平公司、金象公司、晋开二分公司、联盟公司、明水本部、明升达公司、金华润公司、明泉公司、中能公司、恒盛公司、金牛公司、昊源公司、天庆公司、三宁公司、晋银公司、新疆万源公司、华强公司、联盟石油公司、日月公司。2、减量运行公司1家：金石藁城公司。3、停车公司3家：泉盛公司、华昱公司、晋丰闻喜公司。4、停产公司5家：双多公司因搬迁改造停产、金万泰公司因环保原因停产，延化公司因搬迁改造停产、晋开一分公司因项目搬迁原因停产，武陟绿宇公司因产能落后停产。5、板块整体煤炭库容比为59.68%。</v>
      </c>
      <c r="C10" s="257"/>
      <c r="D10" s="257"/>
      <c r="E10" s="257"/>
      <c r="F10" s="257"/>
      <c r="G10" s="257"/>
      <c r="H10" s="257"/>
    </row>
    <row r="11" ht="39.95" customHeight="1" spans="1:8">
      <c r="A11" s="258" t="s">
        <v>483</v>
      </c>
      <c r="B11" s="241" t="str">
        <f>数据填报!AG2</f>
        <v>尚志宏 闫军</v>
      </c>
      <c r="C11" s="241"/>
      <c r="D11" s="241"/>
      <c r="E11" s="241"/>
      <c r="F11" s="241"/>
      <c r="G11" s="241"/>
      <c r="H11" s="241"/>
    </row>
    <row r="12" ht="18.75" spans="1:7">
      <c r="A12" s="259" t="s">
        <v>484</v>
      </c>
      <c r="B12" s="260"/>
      <c r="C12" s="260"/>
      <c r="D12" s="260"/>
      <c r="E12" s="260"/>
      <c r="F12" s="260"/>
      <c r="G12" s="260"/>
    </row>
    <row r="13" ht="18.75" spans="1:1">
      <c r="A13" s="261" t="s">
        <v>485</v>
      </c>
    </row>
  </sheetData>
  <mergeCells count="14">
    <mergeCell ref="A1:H1"/>
    <mergeCell ref="A2:H2"/>
    <mergeCell ref="A3:C3"/>
    <mergeCell ref="G3:H3"/>
    <mergeCell ref="G4:H4"/>
    <mergeCell ref="G5:H5"/>
    <mergeCell ref="G6:H6"/>
    <mergeCell ref="A7:C7"/>
    <mergeCell ref="D7:F7"/>
    <mergeCell ref="G7:H7"/>
    <mergeCell ref="B10:H10"/>
    <mergeCell ref="B11:H11"/>
    <mergeCell ref="A12:G12"/>
    <mergeCell ref="A13:G13"/>
  </mergeCells>
  <pageMargins left="0.75" right="0.75" top="0.979166666666667" bottom="0.979166666666667" header="0.509027777777778" footer="0.509027777777778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90" zoomScaleNormal="90" workbookViewId="0">
      <selection activeCell="G6" sqref="G6"/>
    </sheetView>
  </sheetViews>
  <sheetFormatPr defaultColWidth="9" defaultRowHeight="14.25"/>
  <cols>
    <col min="1" max="1" width="17.125" customWidth="1"/>
    <col min="2" max="5" width="17.625" customWidth="1"/>
    <col min="6" max="7" width="16.625" customWidth="1"/>
  </cols>
  <sheetData>
    <row r="1" ht="57.75" customHeight="1" spans="1:7">
      <c r="A1" s="237" t="s">
        <v>486</v>
      </c>
      <c r="B1" s="237"/>
      <c r="C1" s="237"/>
      <c r="D1" s="237"/>
      <c r="E1" s="237"/>
      <c r="F1" s="237"/>
      <c r="G1" s="237"/>
    </row>
    <row r="2" ht="31.5" customHeight="1" spans="1:7">
      <c r="A2" s="238">
        <f>表一!N2</f>
        <v>44300</v>
      </c>
      <c r="B2" s="238"/>
      <c r="C2" s="238"/>
      <c r="D2" s="238"/>
      <c r="E2" s="238"/>
      <c r="F2" s="238"/>
      <c r="G2" s="238"/>
    </row>
    <row r="3" ht="33.75" customHeight="1" spans="1:7">
      <c r="A3" s="239" t="s">
        <v>477</v>
      </c>
      <c r="B3" s="239"/>
      <c r="C3" s="239"/>
      <c r="D3" s="240"/>
      <c r="E3" s="240"/>
      <c r="F3" s="240" t="s">
        <v>487</v>
      </c>
      <c r="G3" s="240"/>
    </row>
    <row r="4" ht="54.95" customHeight="1" spans="1:7">
      <c r="A4" s="241"/>
      <c r="B4" s="241" t="s">
        <v>165</v>
      </c>
      <c r="C4" s="241" t="s">
        <v>488</v>
      </c>
      <c r="D4" s="241" t="s">
        <v>489</v>
      </c>
      <c r="E4" s="241" t="s">
        <v>168</v>
      </c>
      <c r="F4" s="241" t="s">
        <v>490</v>
      </c>
      <c r="G4" s="241" t="s">
        <v>291</v>
      </c>
    </row>
    <row r="5" ht="54.95" customHeight="1" spans="1:7">
      <c r="A5" s="241" t="s">
        <v>491</v>
      </c>
      <c r="B5" s="242">
        <f>表二!B6</f>
        <v>30037.049</v>
      </c>
      <c r="C5" s="242">
        <f>表二!C6</f>
        <v>435228.9936</v>
      </c>
      <c r="D5" s="242">
        <f>表二!D6</f>
        <v>3062583.176</v>
      </c>
      <c r="E5" s="242">
        <f>表二!E6</f>
        <v>2084.2917345176</v>
      </c>
      <c r="F5" s="242">
        <f>表二!F6</f>
        <v>142654.183</v>
      </c>
      <c r="G5" s="243">
        <f>数据填报!CE52</f>
        <v>-250.094999999972</v>
      </c>
    </row>
    <row r="6" ht="54.95" customHeight="1" spans="1:7">
      <c r="A6" s="241" t="s">
        <v>492</v>
      </c>
      <c r="B6" s="242">
        <f>表二!G6</f>
        <v>10257.99</v>
      </c>
      <c r="C6" s="242">
        <f>表二!H6</f>
        <v>121206.77</v>
      </c>
      <c r="D6" s="242">
        <f>表二!I6</f>
        <v>1170667.26</v>
      </c>
      <c r="E6" s="242">
        <f>表二!J6</f>
        <v>2258.93367115406</v>
      </c>
      <c r="F6" s="242">
        <f>表二!K6</f>
        <v>99820.6174</v>
      </c>
      <c r="G6" s="243">
        <f>数据填报!CE53</f>
        <v>-1928.7769</v>
      </c>
    </row>
    <row r="7" ht="54.95" customHeight="1" spans="1:11">
      <c r="A7" s="244" t="s">
        <v>245</v>
      </c>
      <c r="B7" s="242">
        <f>表二!F26</f>
        <v>7521.87</v>
      </c>
      <c r="C7" s="242">
        <f>表二!G26</f>
        <v>34758.36</v>
      </c>
      <c r="D7" s="242">
        <f>表二!H26</f>
        <v>270071.71</v>
      </c>
      <c r="E7" s="242"/>
      <c r="F7" s="242"/>
      <c r="G7" s="242"/>
      <c r="K7" s="233" t="s">
        <v>48</v>
      </c>
    </row>
    <row r="8" ht="54.95" customHeight="1" spans="1:7">
      <c r="A8" s="244" t="s">
        <v>493</v>
      </c>
      <c r="B8" s="245"/>
      <c r="C8" s="246"/>
      <c r="D8" s="246"/>
      <c r="E8" s="246"/>
      <c r="F8" s="246"/>
      <c r="G8" s="247"/>
    </row>
    <row r="9" ht="35.1" customHeight="1" spans="1:7">
      <c r="A9" s="248" t="s">
        <v>494</v>
      </c>
      <c r="B9" s="248"/>
      <c r="C9" s="248"/>
      <c r="D9" s="248"/>
      <c r="E9" s="248"/>
      <c r="F9" s="248"/>
      <c r="G9" s="248"/>
    </row>
    <row r="15" spans="8:8">
      <c r="H15" s="249">
        <f>数据基表!D209</f>
        <v>2550</v>
      </c>
    </row>
  </sheetData>
  <mergeCells count="5">
    <mergeCell ref="A1:G1"/>
    <mergeCell ref="A2:G2"/>
    <mergeCell ref="A3:C3"/>
    <mergeCell ref="B8:G8"/>
    <mergeCell ref="A9:G9"/>
  </mergeCells>
  <pageMargins left="0.75" right="0.75" top="0.979166666666667" bottom="0.979166666666667" header="0.509027777777778" footer="0.509027777777778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7"/>
  <sheetViews>
    <sheetView zoomScale="85" zoomScaleNormal="85" workbookViewId="0">
      <pane xSplit="1" ySplit="3" topLeftCell="B92" activePane="bottomRight" state="frozen"/>
      <selection/>
      <selection pane="topRight"/>
      <selection pane="bottomLeft"/>
      <selection pane="bottomRight" activeCell="D113" sqref="D113"/>
    </sheetView>
  </sheetViews>
  <sheetFormatPr defaultColWidth="9" defaultRowHeight="14.25"/>
  <cols>
    <col min="1" max="1" width="10.75" style="47" customWidth="1"/>
    <col min="2" max="2" width="9.5" style="47" customWidth="1"/>
    <col min="3" max="6" width="9" style="47" customWidth="1"/>
    <col min="7" max="7" width="10.375" style="47" customWidth="1"/>
    <col min="8" max="8" width="9" style="47" customWidth="1"/>
    <col min="9" max="9" width="9" style="192" customWidth="1"/>
    <col min="10" max="10" width="9.5" style="47" customWidth="1"/>
    <col min="11" max="13" width="9" style="47" customWidth="1"/>
    <col min="14" max="14" width="10.625" style="192" customWidth="1"/>
  </cols>
  <sheetData>
    <row r="1" spans="1:14">
      <c r="A1" t="s">
        <v>495</v>
      </c>
      <c r="B1"/>
      <c r="C1"/>
      <c r="D1"/>
      <c r="E1"/>
      <c r="F1"/>
      <c r="G1"/>
      <c r="H1"/>
      <c r="I1"/>
      <c r="J1"/>
      <c r="K1"/>
      <c r="L1"/>
      <c r="M1"/>
      <c r="N1" s="226"/>
    </row>
    <row r="2" spans="1:14">
      <c r="A2" s="193"/>
      <c r="B2" t="s">
        <v>496</v>
      </c>
      <c r="C2"/>
      <c r="D2"/>
      <c r="E2"/>
      <c r="F2"/>
      <c r="G2"/>
      <c r="H2"/>
      <c r="I2"/>
      <c r="J2"/>
      <c r="K2"/>
      <c r="L2"/>
      <c r="M2"/>
      <c r="N2" s="226"/>
    </row>
    <row r="3" ht="30" customHeight="1" spans="1:14">
      <c r="A3" s="84"/>
      <c r="B3" s="194" t="s">
        <v>497</v>
      </c>
      <c r="C3" s="194" t="s">
        <v>498</v>
      </c>
      <c r="D3" s="194" t="s">
        <v>499</v>
      </c>
      <c r="E3" s="194" t="s">
        <v>500</v>
      </c>
      <c r="F3" s="205" t="s">
        <v>501</v>
      </c>
      <c r="G3" s="194" t="s">
        <v>502</v>
      </c>
      <c r="H3" s="194" t="s">
        <v>503</v>
      </c>
      <c r="I3" s="205" t="s">
        <v>504</v>
      </c>
      <c r="J3" s="194" t="s">
        <v>505</v>
      </c>
      <c r="K3" s="194" t="s">
        <v>506</v>
      </c>
      <c r="L3" s="194" t="s">
        <v>507</v>
      </c>
      <c r="M3" s="194" t="s">
        <v>508</v>
      </c>
      <c r="N3" s="218" t="s">
        <v>21</v>
      </c>
    </row>
    <row r="4" spans="1:14">
      <c r="A4" s="196" t="s">
        <v>509</v>
      </c>
      <c r="B4" s="197">
        <v>127621.42</v>
      </c>
      <c r="C4" s="197">
        <v>131586.984</v>
      </c>
      <c r="D4" s="197">
        <v>150513.730515124</v>
      </c>
      <c r="E4" s="197"/>
      <c r="F4" s="197"/>
      <c r="G4" s="197"/>
      <c r="H4" s="197"/>
      <c r="I4" s="207"/>
      <c r="J4" s="208"/>
      <c r="K4" s="208"/>
      <c r="L4" s="227"/>
      <c r="M4" s="208"/>
      <c r="N4" s="211">
        <v>259208.404</v>
      </c>
    </row>
    <row r="5" spans="1:17">
      <c r="A5" s="196" t="s">
        <v>510</v>
      </c>
      <c r="B5" s="197">
        <v>19557.37</v>
      </c>
      <c r="C5" s="197">
        <v>21097.34</v>
      </c>
      <c r="D5" s="197">
        <v>59592.84</v>
      </c>
      <c r="E5" s="197"/>
      <c r="F5" s="197"/>
      <c r="G5" s="197"/>
      <c r="I5" s="207"/>
      <c r="J5" s="208"/>
      <c r="K5" s="208"/>
      <c r="L5" s="227"/>
      <c r="M5" s="208"/>
      <c r="N5" s="211">
        <v>40654.71</v>
      </c>
      <c r="P5" s="170"/>
      <c r="Q5" s="170"/>
    </row>
    <row r="6" spans="1:17">
      <c r="A6" s="196" t="s">
        <v>511</v>
      </c>
      <c r="B6" s="197">
        <v>126557</v>
      </c>
      <c r="C6" s="197">
        <v>107103</v>
      </c>
      <c r="D6" s="197">
        <v>119927</v>
      </c>
      <c r="E6" s="197"/>
      <c r="F6" s="197"/>
      <c r="G6" s="197"/>
      <c r="H6" s="197"/>
      <c r="I6" s="207"/>
      <c r="J6" s="208"/>
      <c r="K6" s="208"/>
      <c r="L6" s="227"/>
      <c r="M6" s="208"/>
      <c r="N6" s="211">
        <v>233660</v>
      </c>
      <c r="P6" s="170"/>
      <c r="Q6" s="170"/>
    </row>
    <row r="7" spans="1:17">
      <c r="A7" s="196" t="s">
        <v>82</v>
      </c>
      <c r="B7" s="197">
        <v>35354</v>
      </c>
      <c r="C7" s="197">
        <v>35708</v>
      </c>
      <c r="D7" s="197">
        <v>33526</v>
      </c>
      <c r="E7" s="197"/>
      <c r="F7" s="197"/>
      <c r="G7" s="197"/>
      <c r="H7" s="197"/>
      <c r="I7" s="207"/>
      <c r="J7" s="208"/>
      <c r="K7" s="208"/>
      <c r="L7" s="227"/>
      <c r="M7" s="208"/>
      <c r="N7" s="211">
        <v>71062</v>
      </c>
      <c r="P7" s="170"/>
      <c r="Q7" s="217"/>
    </row>
    <row r="8" spans="1:17">
      <c r="A8" s="196" t="s">
        <v>512</v>
      </c>
      <c r="B8" s="197">
        <v>147597.876</v>
      </c>
      <c r="C8" s="197">
        <v>151898.75898</v>
      </c>
      <c r="D8" s="197">
        <v>137543.1782</v>
      </c>
      <c r="E8" s="197"/>
      <c r="F8" s="197"/>
      <c r="G8" s="197"/>
      <c r="H8" s="197"/>
      <c r="I8" s="207"/>
      <c r="J8" s="208"/>
      <c r="K8" s="208"/>
      <c r="L8" s="227"/>
      <c r="M8" s="208"/>
      <c r="N8" s="211">
        <v>299594</v>
      </c>
      <c r="P8" s="170"/>
      <c r="Q8" s="217"/>
    </row>
    <row r="9" spans="1:17">
      <c r="A9" s="196" t="s">
        <v>513</v>
      </c>
      <c r="B9" s="197">
        <v>162300</v>
      </c>
      <c r="C9" s="197">
        <v>154800</v>
      </c>
      <c r="D9" s="197">
        <v>156720.751627858</v>
      </c>
      <c r="E9" s="197"/>
      <c r="F9" s="197"/>
      <c r="G9" s="197"/>
      <c r="H9" s="197"/>
      <c r="I9" s="207"/>
      <c r="J9" s="208"/>
      <c r="K9" s="208"/>
      <c r="L9" s="227"/>
      <c r="M9" s="208"/>
      <c r="N9" s="211">
        <v>317000</v>
      </c>
      <c r="P9" s="170"/>
      <c r="Q9" s="217"/>
    </row>
    <row r="10" spans="1:17">
      <c r="A10" s="196" t="s">
        <v>137</v>
      </c>
      <c r="B10" s="197">
        <v>127100</v>
      </c>
      <c r="C10" s="197">
        <v>160900</v>
      </c>
      <c r="D10" s="197">
        <v>126828</v>
      </c>
      <c r="E10" s="197"/>
      <c r="F10" s="197"/>
      <c r="G10" s="197"/>
      <c r="H10" s="197"/>
      <c r="I10" s="207"/>
      <c r="J10" s="208"/>
      <c r="K10" s="208"/>
      <c r="L10" s="227"/>
      <c r="M10" s="208"/>
      <c r="N10" s="211">
        <v>288000</v>
      </c>
      <c r="P10" s="170"/>
      <c r="Q10" s="217"/>
    </row>
    <row r="11" spans="1:17">
      <c r="A11" s="196" t="s">
        <v>146</v>
      </c>
      <c r="B11" s="197">
        <v>230800</v>
      </c>
      <c r="C11" s="197">
        <v>232700</v>
      </c>
      <c r="D11" s="197">
        <v>226250.3266</v>
      </c>
      <c r="E11" s="197"/>
      <c r="F11" s="197"/>
      <c r="G11" s="197"/>
      <c r="H11" s="197"/>
      <c r="I11" s="207"/>
      <c r="J11" s="208"/>
      <c r="K11" s="208"/>
      <c r="L11" s="227"/>
      <c r="M11" s="208"/>
      <c r="N11" s="211">
        <v>463500</v>
      </c>
      <c r="P11" s="170"/>
      <c r="Q11" s="217"/>
    </row>
    <row r="12" spans="1:17">
      <c r="A12" s="196" t="s">
        <v>514</v>
      </c>
      <c r="B12" s="197">
        <v>115632</v>
      </c>
      <c r="C12" s="197">
        <v>113538</v>
      </c>
      <c r="D12" s="197">
        <v>111693.338</v>
      </c>
      <c r="E12" s="197"/>
      <c r="F12" s="197"/>
      <c r="G12" s="197"/>
      <c r="H12" s="197"/>
      <c r="I12" s="207"/>
      <c r="J12" s="208"/>
      <c r="K12" s="208"/>
      <c r="L12" s="227"/>
      <c r="M12" s="208"/>
      <c r="N12" s="211">
        <v>229170</v>
      </c>
      <c r="P12" s="170"/>
      <c r="Q12" s="217"/>
    </row>
    <row r="13" spans="1:17">
      <c r="A13" s="196" t="s">
        <v>515</v>
      </c>
      <c r="B13" s="197">
        <v>30400</v>
      </c>
      <c r="C13" s="197">
        <v>31000</v>
      </c>
      <c r="D13" s="197">
        <v>34069</v>
      </c>
      <c r="E13" s="197"/>
      <c r="F13" s="197"/>
      <c r="G13" s="197"/>
      <c r="H13" s="197"/>
      <c r="I13" s="207"/>
      <c r="J13" s="208"/>
      <c r="K13" s="208"/>
      <c r="L13" s="227"/>
      <c r="M13" s="208"/>
      <c r="N13" s="211">
        <v>61400</v>
      </c>
      <c r="P13" s="170"/>
      <c r="Q13" s="217"/>
    </row>
    <row r="14" spans="1:17">
      <c r="A14" s="196" t="s">
        <v>197</v>
      </c>
      <c r="B14" s="197">
        <v>34176.52</v>
      </c>
      <c r="C14" s="197">
        <v>34450</v>
      </c>
      <c r="D14" s="197">
        <v>17683.079</v>
      </c>
      <c r="E14" s="197"/>
      <c r="F14" s="197"/>
      <c r="G14" s="197"/>
      <c r="H14" s="197"/>
      <c r="I14" s="207"/>
      <c r="J14" s="208"/>
      <c r="K14" s="208"/>
      <c r="L14" s="227"/>
      <c r="M14" s="208"/>
      <c r="N14" s="211">
        <v>68582</v>
      </c>
      <c r="P14" s="170"/>
      <c r="Q14" s="217"/>
    </row>
    <row r="15" spans="1:17">
      <c r="A15" s="196" t="s">
        <v>516</v>
      </c>
      <c r="B15" s="197">
        <v>0</v>
      </c>
      <c r="C15" s="197">
        <v>0</v>
      </c>
      <c r="D15" s="197">
        <v>0</v>
      </c>
      <c r="E15" s="197"/>
      <c r="F15" s="197"/>
      <c r="G15" s="197"/>
      <c r="H15" s="197"/>
      <c r="I15" s="207"/>
      <c r="J15" s="208"/>
      <c r="K15" s="208"/>
      <c r="L15" s="227"/>
      <c r="M15" s="208"/>
      <c r="N15" s="228">
        <v>0</v>
      </c>
      <c r="P15" s="170"/>
      <c r="Q15" s="217"/>
    </row>
    <row r="16" spans="1:17">
      <c r="A16" s="196" t="s">
        <v>204</v>
      </c>
      <c r="B16" s="197">
        <v>27600</v>
      </c>
      <c r="C16" s="197">
        <v>28100</v>
      </c>
      <c r="D16" s="197">
        <v>26587</v>
      </c>
      <c r="E16" s="197"/>
      <c r="F16" s="197"/>
      <c r="G16" s="197"/>
      <c r="H16" s="197"/>
      <c r="I16" s="207"/>
      <c r="J16" s="208"/>
      <c r="K16" s="208"/>
      <c r="L16" s="227"/>
      <c r="M16" s="208"/>
      <c r="N16" s="211">
        <v>55700</v>
      </c>
      <c r="P16" s="170"/>
      <c r="Q16" s="217"/>
    </row>
    <row r="17" spans="1:17">
      <c r="A17" s="196" t="s">
        <v>205</v>
      </c>
      <c r="B17" s="197">
        <v>17100</v>
      </c>
      <c r="C17" s="197">
        <v>36700</v>
      </c>
      <c r="D17" s="197">
        <v>36399.122</v>
      </c>
      <c r="E17" s="197"/>
      <c r="F17" s="197"/>
      <c r="G17" s="197"/>
      <c r="H17" s="197"/>
      <c r="I17" s="207"/>
      <c r="J17" s="208"/>
      <c r="K17" s="208"/>
      <c r="L17" s="227"/>
      <c r="M17" s="208"/>
      <c r="N17" s="211">
        <v>53800</v>
      </c>
      <c r="P17" s="170"/>
      <c r="Q17" s="217"/>
    </row>
    <row r="18" spans="1:17">
      <c r="A18" s="196" t="s">
        <v>317</v>
      </c>
      <c r="B18" s="197">
        <v>29661.5</v>
      </c>
      <c r="C18" s="197">
        <v>61640.5</v>
      </c>
      <c r="D18" s="197">
        <v>57371.16</v>
      </c>
      <c r="E18" s="197"/>
      <c r="F18" s="197"/>
      <c r="G18" s="197"/>
      <c r="H18" s="197"/>
      <c r="I18" s="207"/>
      <c r="J18" s="208"/>
      <c r="K18" s="208"/>
      <c r="L18" s="227"/>
      <c r="M18" s="208"/>
      <c r="N18" s="211">
        <v>91302</v>
      </c>
      <c r="P18" s="170"/>
      <c r="Q18" s="217"/>
    </row>
    <row r="19" spans="1:17">
      <c r="A19" s="196" t="s">
        <v>318</v>
      </c>
      <c r="B19" s="197">
        <v>74608.5983</v>
      </c>
      <c r="C19" s="197">
        <v>89470.9668333333</v>
      </c>
      <c r="D19" s="197">
        <v>85486.7813333333</v>
      </c>
      <c r="E19" s="197"/>
      <c r="F19" s="197"/>
      <c r="G19" s="197"/>
      <c r="H19" s="197"/>
      <c r="I19" s="211"/>
      <c r="J19" s="84"/>
      <c r="K19" s="210"/>
      <c r="L19" s="227"/>
      <c r="M19" s="84"/>
      <c r="N19" s="211">
        <v>164079.565133333</v>
      </c>
      <c r="P19" s="170"/>
      <c r="Q19" s="217"/>
    </row>
    <row r="20" spans="1:17">
      <c r="A20" s="221" t="s">
        <v>319</v>
      </c>
      <c r="B20" s="197">
        <v>98674.34</v>
      </c>
      <c r="C20" s="197">
        <v>116536.4</v>
      </c>
      <c r="D20" s="197">
        <v>107501.19744</v>
      </c>
      <c r="E20" s="197"/>
      <c r="F20" s="197"/>
      <c r="G20" s="197"/>
      <c r="H20" s="197"/>
      <c r="I20" s="211"/>
      <c r="J20" s="84"/>
      <c r="K20" s="210"/>
      <c r="L20" s="227"/>
      <c r="M20" s="84"/>
      <c r="N20" s="211">
        <v>215211</v>
      </c>
      <c r="P20" s="170"/>
      <c r="Q20" s="217"/>
    </row>
    <row r="21" spans="1:17">
      <c r="A21" s="199"/>
      <c r="B21" s="199" t="s">
        <v>517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229"/>
      <c r="P21" s="170"/>
      <c r="Q21" s="217"/>
    </row>
    <row r="22" ht="28.5" spans="1:17">
      <c r="A22" s="84"/>
      <c r="B22" s="194" t="s">
        <v>497</v>
      </c>
      <c r="C22" s="194" t="s">
        <v>498</v>
      </c>
      <c r="D22" s="194" t="s">
        <v>499</v>
      </c>
      <c r="E22" s="194" t="s">
        <v>500</v>
      </c>
      <c r="F22" s="194" t="s">
        <v>501</v>
      </c>
      <c r="G22" s="194" t="s">
        <v>502</v>
      </c>
      <c r="H22" s="194" t="s">
        <v>503</v>
      </c>
      <c r="I22" s="205" t="s">
        <v>504</v>
      </c>
      <c r="J22" s="194" t="s">
        <v>505</v>
      </c>
      <c r="K22" s="194" t="s">
        <v>506</v>
      </c>
      <c r="L22" s="194" t="s">
        <v>507</v>
      </c>
      <c r="M22" s="194" t="s">
        <v>508</v>
      </c>
      <c r="N22" s="218" t="s">
        <v>21</v>
      </c>
      <c r="P22" s="170"/>
      <c r="Q22" s="217"/>
    </row>
    <row r="23" spans="1:17">
      <c r="A23" s="196" t="s">
        <v>509</v>
      </c>
      <c r="B23" s="200">
        <v>100495.36</v>
      </c>
      <c r="C23" s="200">
        <v>101101.73</v>
      </c>
      <c r="D23" s="201">
        <v>111095.85</v>
      </c>
      <c r="E23" s="200"/>
      <c r="F23" s="200"/>
      <c r="G23" s="200"/>
      <c r="H23" s="200"/>
      <c r="I23" s="212"/>
      <c r="J23" s="213"/>
      <c r="K23" s="213"/>
      <c r="L23" s="227"/>
      <c r="M23" s="213"/>
      <c r="N23" s="215">
        <v>201597.09</v>
      </c>
      <c r="P23" s="170"/>
      <c r="Q23" s="170"/>
    </row>
    <row r="24" spans="1:17">
      <c r="A24" s="196" t="s">
        <v>510</v>
      </c>
      <c r="B24" s="200">
        <v>17281.03</v>
      </c>
      <c r="C24" s="200">
        <v>18416.48</v>
      </c>
      <c r="D24" s="201">
        <v>51884.6</v>
      </c>
      <c r="E24" s="200"/>
      <c r="F24" s="203"/>
      <c r="G24" s="200"/>
      <c r="H24" s="200"/>
      <c r="I24" s="212"/>
      <c r="J24" s="213"/>
      <c r="K24" s="213"/>
      <c r="L24" s="227"/>
      <c r="M24" s="213"/>
      <c r="N24" s="215">
        <v>35697.51</v>
      </c>
      <c r="P24" s="170"/>
      <c r="Q24" s="170"/>
    </row>
    <row r="25" spans="1:17">
      <c r="A25" s="196" t="s">
        <v>511</v>
      </c>
      <c r="B25" s="200">
        <v>126557</v>
      </c>
      <c r="C25" s="200">
        <v>107103</v>
      </c>
      <c r="D25" s="201">
        <v>117927</v>
      </c>
      <c r="E25" s="200"/>
      <c r="F25" s="200"/>
      <c r="G25" s="200"/>
      <c r="H25" s="200"/>
      <c r="I25" s="212"/>
      <c r="J25" s="213"/>
      <c r="K25" s="213"/>
      <c r="L25" s="227"/>
      <c r="M25" s="213"/>
      <c r="N25" s="215">
        <v>233660</v>
      </c>
      <c r="P25" s="170"/>
      <c r="Q25" s="170"/>
    </row>
    <row r="26" spans="1:14">
      <c r="A26" s="196" t="s">
        <v>82</v>
      </c>
      <c r="B26" s="200">
        <v>29100</v>
      </c>
      <c r="C26" s="200">
        <v>28500</v>
      </c>
      <c r="D26" s="201">
        <v>26701</v>
      </c>
      <c r="E26" s="200"/>
      <c r="F26" s="200"/>
      <c r="G26" s="200"/>
      <c r="H26" s="200"/>
      <c r="I26" s="212"/>
      <c r="J26" s="213"/>
      <c r="K26" s="213"/>
      <c r="L26" s="227"/>
      <c r="M26" s="213"/>
      <c r="N26" s="215">
        <v>57600</v>
      </c>
    </row>
    <row r="27" spans="1:14">
      <c r="A27" s="196" t="s">
        <v>512</v>
      </c>
      <c r="B27" s="200">
        <v>115029.906</v>
      </c>
      <c r="C27" s="200">
        <v>121001.026</v>
      </c>
      <c r="D27" s="201">
        <v>111996.9011</v>
      </c>
      <c r="E27" s="200"/>
      <c r="F27" s="200"/>
      <c r="G27" s="200"/>
      <c r="H27" s="200"/>
      <c r="I27" s="212"/>
      <c r="J27" s="213"/>
      <c r="K27" s="213"/>
      <c r="L27" s="227"/>
      <c r="M27" s="213"/>
      <c r="N27" s="215">
        <v>236054</v>
      </c>
    </row>
    <row r="28" spans="1:14">
      <c r="A28" s="196" t="s">
        <v>513</v>
      </c>
      <c r="B28" s="200">
        <v>90100</v>
      </c>
      <c r="C28" s="200">
        <v>88950</v>
      </c>
      <c r="D28" s="201">
        <v>87872.174</v>
      </c>
      <c r="E28" s="200"/>
      <c r="F28" s="200"/>
      <c r="G28" s="200"/>
      <c r="H28" s="200"/>
      <c r="I28" s="212"/>
      <c r="J28" s="213"/>
      <c r="K28" s="213"/>
      <c r="L28" s="227"/>
      <c r="M28" s="213"/>
      <c r="N28" s="215">
        <v>178950</v>
      </c>
    </row>
    <row r="29" spans="1:14">
      <c r="A29" s="196" t="s">
        <v>137</v>
      </c>
      <c r="B29" s="200">
        <v>77600</v>
      </c>
      <c r="C29" s="200">
        <v>103400</v>
      </c>
      <c r="D29" s="201">
        <v>86223</v>
      </c>
      <c r="E29" s="200"/>
      <c r="F29" s="200"/>
      <c r="G29" s="200"/>
      <c r="H29" s="200"/>
      <c r="I29" s="212"/>
      <c r="J29" s="213"/>
      <c r="K29" s="213"/>
      <c r="L29" s="227"/>
      <c r="M29" s="213"/>
      <c r="N29" s="215">
        <v>181000</v>
      </c>
    </row>
    <row r="30" spans="1:14">
      <c r="A30" s="196" t="s">
        <v>146</v>
      </c>
      <c r="B30" s="200">
        <v>128900</v>
      </c>
      <c r="C30" s="200">
        <v>134300</v>
      </c>
      <c r="D30" s="201">
        <v>128171.7914</v>
      </c>
      <c r="E30" s="200"/>
      <c r="F30" s="200"/>
      <c r="G30" s="200"/>
      <c r="H30" s="200"/>
      <c r="I30" s="212"/>
      <c r="J30" s="213"/>
      <c r="K30" s="213"/>
      <c r="L30" s="227"/>
      <c r="M30" s="213"/>
      <c r="N30" s="215">
        <v>263200</v>
      </c>
    </row>
    <row r="31" spans="1:14">
      <c r="A31" s="196" t="s">
        <v>514</v>
      </c>
      <c r="B31" s="200">
        <v>92100</v>
      </c>
      <c r="C31" s="200">
        <v>89900</v>
      </c>
      <c r="D31" s="201">
        <v>89819.668</v>
      </c>
      <c r="E31" s="200"/>
      <c r="F31" s="200"/>
      <c r="G31" s="200"/>
      <c r="H31" s="200"/>
      <c r="I31" s="212"/>
      <c r="J31" s="213"/>
      <c r="K31" s="213"/>
      <c r="L31" s="227"/>
      <c r="M31" s="213"/>
      <c r="N31" s="215">
        <v>182000</v>
      </c>
    </row>
    <row r="32" spans="1:14">
      <c r="A32" s="196" t="s">
        <v>515</v>
      </c>
      <c r="B32" s="200">
        <v>16700</v>
      </c>
      <c r="C32" s="200">
        <v>15100</v>
      </c>
      <c r="D32" s="201">
        <v>26500</v>
      </c>
      <c r="E32" s="200"/>
      <c r="F32" s="203"/>
      <c r="G32" s="200"/>
      <c r="H32" s="200"/>
      <c r="I32" s="212"/>
      <c r="J32" s="213"/>
      <c r="K32" s="213"/>
      <c r="L32" s="227"/>
      <c r="M32" s="213"/>
      <c r="N32" s="215">
        <v>31800</v>
      </c>
    </row>
    <row r="33" spans="1:14">
      <c r="A33" s="196" t="s">
        <v>197</v>
      </c>
      <c r="B33" s="200">
        <v>0</v>
      </c>
      <c r="C33" s="200">
        <v>0</v>
      </c>
      <c r="D33" s="201">
        <v>0</v>
      </c>
      <c r="E33" s="200"/>
      <c r="F33" s="200"/>
      <c r="G33" s="200"/>
      <c r="H33" s="200"/>
      <c r="I33" s="212"/>
      <c r="J33" s="213"/>
      <c r="K33" s="213"/>
      <c r="L33" s="213"/>
      <c r="M33" s="213"/>
      <c r="N33" s="215">
        <v>0</v>
      </c>
    </row>
    <row r="34" spans="1:14">
      <c r="A34" s="196" t="s">
        <v>516</v>
      </c>
      <c r="B34" s="200">
        <v>0</v>
      </c>
      <c r="C34" s="200">
        <v>0</v>
      </c>
      <c r="D34" s="201">
        <v>0</v>
      </c>
      <c r="E34" s="200"/>
      <c r="F34" s="200"/>
      <c r="G34" s="200"/>
      <c r="H34" s="200"/>
      <c r="I34" s="212"/>
      <c r="J34" s="213"/>
      <c r="K34" s="213"/>
      <c r="L34" s="213"/>
      <c r="M34" s="213"/>
      <c r="N34" s="230">
        <v>0</v>
      </c>
    </row>
    <row r="35" spans="1:14">
      <c r="A35" s="196" t="s">
        <v>204</v>
      </c>
      <c r="B35" s="200">
        <v>25700</v>
      </c>
      <c r="C35" s="200">
        <v>26000</v>
      </c>
      <c r="D35" s="201">
        <v>24661</v>
      </c>
      <c r="E35" s="200"/>
      <c r="F35" s="200"/>
      <c r="G35" s="200"/>
      <c r="H35" s="200"/>
      <c r="I35" s="212"/>
      <c r="J35" s="213"/>
      <c r="K35" s="213"/>
      <c r="L35" s="227"/>
      <c r="M35" s="213"/>
      <c r="N35" s="215">
        <v>51700</v>
      </c>
    </row>
    <row r="36" spans="1:14">
      <c r="A36" s="196" t="s">
        <v>205</v>
      </c>
      <c r="B36" s="200">
        <v>15300</v>
      </c>
      <c r="C36" s="200">
        <v>30100</v>
      </c>
      <c r="D36" s="201">
        <v>30024.68</v>
      </c>
      <c r="E36" s="200"/>
      <c r="F36" s="200"/>
      <c r="G36" s="200"/>
      <c r="H36" s="200"/>
      <c r="I36" s="212"/>
      <c r="J36" s="213"/>
      <c r="K36" s="213"/>
      <c r="L36" s="227"/>
      <c r="M36" s="213"/>
      <c r="N36" s="215">
        <v>45400</v>
      </c>
    </row>
    <row r="37" spans="1:14">
      <c r="A37" s="196" t="s">
        <v>317</v>
      </c>
      <c r="B37" s="200">
        <v>24000</v>
      </c>
      <c r="C37" s="200">
        <v>48400</v>
      </c>
      <c r="D37" s="201">
        <v>46818.4</v>
      </c>
      <c r="E37" s="200"/>
      <c r="F37" s="200"/>
      <c r="G37" s="200"/>
      <c r="H37" s="200"/>
      <c r="I37" s="212"/>
      <c r="J37" s="213"/>
      <c r="K37" s="213"/>
      <c r="L37" s="227"/>
      <c r="M37" s="213"/>
      <c r="N37" s="215">
        <v>72400</v>
      </c>
    </row>
    <row r="38" spans="1:14">
      <c r="A38" s="196" t="s">
        <v>318</v>
      </c>
      <c r="B38" s="200">
        <v>28325.9708</v>
      </c>
      <c r="C38" s="200">
        <v>35210.616</v>
      </c>
      <c r="D38" s="201">
        <v>33933.943</v>
      </c>
      <c r="E38" s="200"/>
      <c r="F38" s="200"/>
      <c r="G38" s="200"/>
      <c r="H38" s="200"/>
      <c r="I38" s="215"/>
      <c r="J38" s="84"/>
      <c r="K38" s="214"/>
      <c r="L38" s="227"/>
      <c r="M38" s="84"/>
      <c r="N38" s="215">
        <v>63536.5868</v>
      </c>
    </row>
    <row r="39" spans="1:14">
      <c r="A39" s="193"/>
      <c r="B39" t="s">
        <v>518</v>
      </c>
      <c r="C39"/>
      <c r="D39"/>
      <c r="E39"/>
      <c r="F39"/>
      <c r="G39"/>
      <c r="H39"/>
      <c r="I39"/>
      <c r="J39"/>
      <c r="K39"/>
      <c r="L39"/>
      <c r="M39"/>
      <c r="N39" s="226"/>
    </row>
    <row r="40" ht="28.5" spans="1:14">
      <c r="A40" s="84"/>
      <c r="B40" s="194" t="s">
        <v>497</v>
      </c>
      <c r="C40" s="194" t="s">
        <v>498</v>
      </c>
      <c r="D40" s="194" t="s">
        <v>499</v>
      </c>
      <c r="E40" s="194" t="s">
        <v>500</v>
      </c>
      <c r="F40" s="194" t="s">
        <v>501</v>
      </c>
      <c r="G40" s="194" t="s">
        <v>502</v>
      </c>
      <c r="H40" s="194" t="s">
        <v>503</v>
      </c>
      <c r="I40" s="205" t="s">
        <v>504</v>
      </c>
      <c r="J40" s="194" t="s">
        <v>505</v>
      </c>
      <c r="K40" s="194" t="s">
        <v>506</v>
      </c>
      <c r="L40" s="194" t="s">
        <v>507</v>
      </c>
      <c r="M40" s="194" t="s">
        <v>508</v>
      </c>
      <c r="N40" s="218" t="s">
        <v>21</v>
      </c>
    </row>
    <row r="41" spans="1:14">
      <c r="A41" s="196" t="s">
        <v>509</v>
      </c>
      <c r="B41" s="197">
        <v>45901.78</v>
      </c>
      <c r="C41" s="197">
        <v>64786.05</v>
      </c>
      <c r="D41" s="222">
        <v>69442.1</v>
      </c>
      <c r="E41" s="197"/>
      <c r="F41" s="197"/>
      <c r="G41" s="197"/>
      <c r="H41" s="197"/>
      <c r="I41" s="207"/>
      <c r="J41" s="208"/>
      <c r="K41" s="208"/>
      <c r="L41" s="227"/>
      <c r="M41" s="208"/>
      <c r="N41" s="211">
        <v>110687.83</v>
      </c>
    </row>
    <row r="42" spans="1:14">
      <c r="A42" s="196" t="s">
        <v>510</v>
      </c>
      <c r="B42" s="197">
        <v>25594.84</v>
      </c>
      <c r="C42" s="197">
        <v>26650.65</v>
      </c>
      <c r="D42" s="222">
        <v>76160.8</v>
      </c>
      <c r="E42" s="197"/>
      <c r="F42" s="223"/>
      <c r="G42" s="197"/>
      <c r="H42" s="197"/>
      <c r="I42" s="207"/>
      <c r="J42" s="208"/>
      <c r="K42" s="208"/>
      <c r="L42" s="227"/>
      <c r="M42" s="208"/>
      <c r="N42" s="211">
        <v>52245.49</v>
      </c>
    </row>
    <row r="43" spans="1:14">
      <c r="A43" s="196" t="s">
        <v>511</v>
      </c>
      <c r="B43" s="197">
        <v>74027</v>
      </c>
      <c r="C43" s="197">
        <v>81335</v>
      </c>
      <c r="D43" s="222">
        <v>81615</v>
      </c>
      <c r="E43" s="197"/>
      <c r="F43" s="197"/>
      <c r="G43" s="197"/>
      <c r="H43" s="197"/>
      <c r="I43" s="207"/>
      <c r="J43" s="208"/>
      <c r="K43" s="208"/>
      <c r="L43" s="227"/>
      <c r="M43" s="208"/>
      <c r="N43" s="211">
        <v>155362</v>
      </c>
    </row>
    <row r="44" spans="1:14">
      <c r="A44" s="196" t="s">
        <v>82</v>
      </c>
      <c r="B44" s="197">
        <v>32000</v>
      </c>
      <c r="C44" s="197">
        <v>36600</v>
      </c>
      <c r="D44" s="222">
        <v>35899</v>
      </c>
      <c r="E44" s="197"/>
      <c r="F44" s="197"/>
      <c r="G44" s="197"/>
      <c r="H44" s="197"/>
      <c r="I44" s="207"/>
      <c r="J44" s="208"/>
      <c r="K44" s="208"/>
      <c r="L44" s="227"/>
      <c r="M44" s="208"/>
      <c r="N44" s="211">
        <v>68600</v>
      </c>
    </row>
    <row r="45" spans="1:14">
      <c r="A45" s="196" t="s">
        <v>512</v>
      </c>
      <c r="B45" s="197">
        <v>133531.1</v>
      </c>
      <c r="C45" s="197">
        <v>144436.98</v>
      </c>
      <c r="D45" s="222">
        <v>135227.246</v>
      </c>
      <c r="E45" s="197"/>
      <c r="F45" s="197"/>
      <c r="G45" s="197"/>
      <c r="H45" s="197"/>
      <c r="I45" s="207"/>
      <c r="J45" s="208"/>
      <c r="K45" s="208"/>
      <c r="L45" s="227"/>
      <c r="M45" s="208"/>
      <c r="N45" s="211">
        <v>277976</v>
      </c>
    </row>
    <row r="46" spans="1:14">
      <c r="A46" s="196" t="s">
        <v>513</v>
      </c>
      <c r="B46" s="197">
        <v>127500</v>
      </c>
      <c r="C46" s="197">
        <v>125770</v>
      </c>
      <c r="D46" s="222">
        <v>119418.02</v>
      </c>
      <c r="E46" s="197"/>
      <c r="F46" s="197"/>
      <c r="G46" s="197"/>
      <c r="H46" s="197"/>
      <c r="I46" s="207"/>
      <c r="J46" s="208"/>
      <c r="K46" s="208"/>
      <c r="L46" s="227"/>
      <c r="M46" s="208"/>
      <c r="N46" s="211">
        <v>253140</v>
      </c>
    </row>
    <row r="47" spans="1:14">
      <c r="A47" s="196" t="s">
        <v>137</v>
      </c>
      <c r="B47" s="197">
        <v>65600</v>
      </c>
      <c r="C47" s="197">
        <v>124900</v>
      </c>
      <c r="D47" s="222">
        <v>114447</v>
      </c>
      <c r="E47" s="197"/>
      <c r="F47" s="197"/>
      <c r="G47" s="197"/>
      <c r="H47" s="197"/>
      <c r="I47" s="207"/>
      <c r="J47" s="208"/>
      <c r="K47" s="208"/>
      <c r="L47" s="227"/>
      <c r="M47" s="208"/>
      <c r="N47" s="211">
        <v>190500</v>
      </c>
    </row>
    <row r="48" spans="1:14">
      <c r="A48" s="196" t="s">
        <v>146</v>
      </c>
      <c r="B48" s="197">
        <v>96800</v>
      </c>
      <c r="C48" s="197">
        <v>107500</v>
      </c>
      <c r="D48" s="222">
        <v>97494.55</v>
      </c>
      <c r="E48" s="197"/>
      <c r="F48" s="197"/>
      <c r="G48" s="197"/>
      <c r="H48" s="197"/>
      <c r="I48" s="207"/>
      <c r="J48" s="208"/>
      <c r="K48" s="208"/>
      <c r="L48" s="227"/>
      <c r="M48" s="208"/>
      <c r="N48" s="211">
        <v>204300</v>
      </c>
    </row>
    <row r="49" spans="1:14">
      <c r="A49" s="196" t="s">
        <v>514</v>
      </c>
      <c r="B49" s="197">
        <v>47600</v>
      </c>
      <c r="C49" s="197">
        <v>48100</v>
      </c>
      <c r="D49" s="222">
        <v>46738.14</v>
      </c>
      <c r="E49" s="197"/>
      <c r="F49" s="197"/>
      <c r="G49" s="197"/>
      <c r="H49" s="197"/>
      <c r="I49" s="207"/>
      <c r="J49" s="208"/>
      <c r="K49" s="208"/>
      <c r="L49" s="227"/>
      <c r="M49" s="208"/>
      <c r="N49" s="211">
        <v>95700</v>
      </c>
    </row>
    <row r="50" spans="1:14">
      <c r="A50" s="196" t="s">
        <v>515</v>
      </c>
      <c r="B50" s="197">
        <v>0</v>
      </c>
      <c r="C50" s="197">
        <v>0</v>
      </c>
      <c r="D50" s="222">
        <v>0</v>
      </c>
      <c r="E50" s="197"/>
      <c r="F50" s="197"/>
      <c r="G50" s="197"/>
      <c r="H50" s="197"/>
      <c r="I50" s="207"/>
      <c r="J50" s="208"/>
      <c r="K50" s="208"/>
      <c r="L50" s="227"/>
      <c r="M50" s="208"/>
      <c r="N50" s="211">
        <v>0</v>
      </c>
    </row>
    <row r="51" spans="1:14">
      <c r="A51" s="196" t="s">
        <v>197</v>
      </c>
      <c r="B51" s="197">
        <v>0</v>
      </c>
      <c r="C51" s="197">
        <v>0</v>
      </c>
      <c r="D51" s="222"/>
      <c r="E51" s="197"/>
      <c r="F51" s="197"/>
      <c r="G51" s="197"/>
      <c r="H51" s="197"/>
      <c r="I51" s="207"/>
      <c r="J51" s="208"/>
      <c r="K51" s="208"/>
      <c r="L51" s="227"/>
      <c r="M51" s="208"/>
      <c r="N51" s="211">
        <v>0</v>
      </c>
    </row>
    <row r="52" spans="1:14">
      <c r="A52" s="196" t="s">
        <v>516</v>
      </c>
      <c r="B52" s="197">
        <v>0</v>
      </c>
      <c r="C52" s="197">
        <v>0</v>
      </c>
      <c r="D52" s="222">
        <v>0</v>
      </c>
      <c r="E52" s="197"/>
      <c r="F52" s="197"/>
      <c r="G52" s="197"/>
      <c r="H52" s="197"/>
      <c r="I52" s="207"/>
      <c r="J52" s="208"/>
      <c r="K52" s="208"/>
      <c r="L52" s="227"/>
      <c r="M52" s="208"/>
      <c r="N52" s="211">
        <v>0</v>
      </c>
    </row>
    <row r="53" spans="1:14">
      <c r="A53" s="196" t="s">
        <v>204</v>
      </c>
      <c r="B53" s="197">
        <v>38300</v>
      </c>
      <c r="C53" s="197">
        <v>41100</v>
      </c>
      <c r="D53" s="222">
        <v>40579</v>
      </c>
      <c r="E53" s="197"/>
      <c r="F53" s="197"/>
      <c r="G53" s="197"/>
      <c r="H53" s="197"/>
      <c r="I53" s="207"/>
      <c r="J53" s="208"/>
      <c r="K53" s="208"/>
      <c r="L53" s="227"/>
      <c r="M53" s="208"/>
      <c r="N53" s="211">
        <v>79400</v>
      </c>
    </row>
    <row r="54" spans="1:14">
      <c r="A54" s="196" t="s">
        <v>205</v>
      </c>
      <c r="B54" s="197">
        <v>20700</v>
      </c>
      <c r="C54" s="197">
        <v>41300</v>
      </c>
      <c r="D54" s="222">
        <v>41760.58</v>
      </c>
      <c r="E54" s="197"/>
      <c r="F54" s="197"/>
      <c r="G54" s="197"/>
      <c r="H54" s="197"/>
      <c r="I54" s="207"/>
      <c r="J54" s="208"/>
      <c r="K54" s="208"/>
      <c r="L54" s="227"/>
      <c r="M54" s="208"/>
      <c r="N54" s="211">
        <v>62000</v>
      </c>
    </row>
    <row r="55" spans="1:14">
      <c r="A55" s="196" t="s">
        <v>317</v>
      </c>
      <c r="B55" s="197">
        <v>37600</v>
      </c>
      <c r="C55" s="197">
        <v>78800</v>
      </c>
      <c r="D55" s="222">
        <v>76748</v>
      </c>
      <c r="E55" s="197"/>
      <c r="F55" s="197"/>
      <c r="G55" s="197"/>
      <c r="H55" s="197"/>
      <c r="I55" s="207"/>
      <c r="J55" s="208"/>
      <c r="K55" s="208"/>
      <c r="L55" s="227"/>
      <c r="M55" s="208"/>
      <c r="N55" s="211">
        <v>116400</v>
      </c>
    </row>
    <row r="56" spans="1:14">
      <c r="A56" s="196" t="s">
        <v>318</v>
      </c>
      <c r="B56" s="210">
        <v>44291.408</v>
      </c>
      <c r="C56" s="210">
        <v>54642.813</v>
      </c>
      <c r="D56" s="224">
        <v>52899.414</v>
      </c>
      <c r="E56" s="210"/>
      <c r="F56" s="210"/>
      <c r="G56" s="84"/>
      <c r="H56" s="210"/>
      <c r="I56" s="211"/>
      <c r="J56" s="84"/>
      <c r="K56" s="210"/>
      <c r="L56" s="227"/>
      <c r="M56" s="84"/>
      <c r="N56" s="211">
        <v>98934.221</v>
      </c>
    </row>
    <row r="57" spans="1:14">
      <c r="A57" s="199"/>
      <c r="B57" s="199" t="s">
        <v>519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29"/>
    </row>
    <row r="58" ht="28.5" spans="1:14">
      <c r="A58" s="84"/>
      <c r="B58" s="194" t="s">
        <v>497</v>
      </c>
      <c r="C58" s="194" t="s">
        <v>498</v>
      </c>
      <c r="D58" s="194" t="s">
        <v>499</v>
      </c>
      <c r="E58" s="194" t="s">
        <v>500</v>
      </c>
      <c r="F58" s="194" t="s">
        <v>501</v>
      </c>
      <c r="G58" s="194" t="s">
        <v>502</v>
      </c>
      <c r="H58" s="194" t="s">
        <v>503</v>
      </c>
      <c r="I58" s="205" t="s">
        <v>504</v>
      </c>
      <c r="J58" s="194" t="s">
        <v>505</v>
      </c>
      <c r="K58" s="194" t="s">
        <v>506</v>
      </c>
      <c r="L58" s="194" t="s">
        <v>507</v>
      </c>
      <c r="M58" s="194" t="s">
        <v>508</v>
      </c>
      <c r="N58" s="218" t="s">
        <v>21</v>
      </c>
    </row>
    <row r="59" spans="1:14">
      <c r="A59" s="196" t="s">
        <v>509</v>
      </c>
      <c r="B59" s="197">
        <v>24125.0846145771</v>
      </c>
      <c r="C59" s="197">
        <v>26479.2429724855</v>
      </c>
      <c r="D59" s="222">
        <v>29941.41</v>
      </c>
      <c r="E59" s="197"/>
      <c r="F59" s="197"/>
      <c r="G59" s="197"/>
      <c r="H59" s="197"/>
      <c r="I59" s="207"/>
      <c r="J59" s="208"/>
      <c r="K59" s="208"/>
      <c r="L59" s="227"/>
      <c r="M59" s="208"/>
      <c r="N59" s="211">
        <v>50604.3275870626</v>
      </c>
    </row>
    <row r="60" spans="1:14">
      <c r="A60" s="196" t="s">
        <v>510</v>
      </c>
      <c r="B60" s="197">
        <v>2147.49056603773</v>
      </c>
      <c r="C60" s="197">
        <v>2529.11320754716</v>
      </c>
      <c r="D60" s="222">
        <v>6506.597</v>
      </c>
      <c r="E60" s="197"/>
      <c r="F60" s="198"/>
      <c r="G60" s="197"/>
      <c r="H60" s="197"/>
      <c r="I60" s="207"/>
      <c r="J60" s="208"/>
      <c r="K60" s="208"/>
      <c r="L60" s="227"/>
      <c r="M60" s="208"/>
      <c r="N60" s="211">
        <v>4676.60377358489</v>
      </c>
    </row>
    <row r="61" spans="1:14">
      <c r="A61" s="196" t="s">
        <v>511</v>
      </c>
      <c r="B61" s="197">
        <v>0</v>
      </c>
      <c r="C61" s="197">
        <v>0</v>
      </c>
      <c r="D61" s="222">
        <v>0</v>
      </c>
      <c r="E61" s="197"/>
      <c r="F61" s="225"/>
      <c r="G61" s="197"/>
      <c r="H61" s="197"/>
      <c r="I61" s="207"/>
      <c r="J61" s="208"/>
      <c r="K61" s="208"/>
      <c r="L61" s="227"/>
      <c r="M61" s="208"/>
      <c r="N61" s="211">
        <v>0</v>
      </c>
    </row>
    <row r="62" spans="1:14">
      <c r="A62" s="196" t="s">
        <v>82</v>
      </c>
      <c r="B62" s="47">
        <v>5900</v>
      </c>
      <c r="C62" s="197">
        <v>6800</v>
      </c>
      <c r="D62" s="222">
        <v>6420</v>
      </c>
      <c r="E62" s="197"/>
      <c r="F62" s="197"/>
      <c r="G62" s="197"/>
      <c r="H62" s="197"/>
      <c r="I62" s="207"/>
      <c r="J62" s="208"/>
      <c r="K62" s="208"/>
      <c r="L62" s="227"/>
      <c r="M62" s="208"/>
      <c r="N62" s="211">
        <v>12700</v>
      </c>
    </row>
    <row r="63" spans="1:14">
      <c r="A63" s="196" t="s">
        <v>512</v>
      </c>
      <c r="B63" s="197">
        <v>28458.536</v>
      </c>
      <c r="C63" s="197">
        <v>28295.303</v>
      </c>
      <c r="D63" s="222">
        <v>23211.161</v>
      </c>
      <c r="E63" s="197"/>
      <c r="F63" s="197"/>
      <c r="G63" s="197"/>
      <c r="H63" s="197"/>
      <c r="I63" s="207"/>
      <c r="J63" s="208"/>
      <c r="K63" s="208"/>
      <c r="L63" s="227"/>
      <c r="M63" s="208"/>
      <c r="N63" s="211">
        <v>56824</v>
      </c>
    </row>
    <row r="64" spans="1:14">
      <c r="A64" s="196" t="s">
        <v>513</v>
      </c>
      <c r="B64" s="197">
        <v>68200</v>
      </c>
      <c r="C64" s="197">
        <v>62180</v>
      </c>
      <c r="D64" s="222">
        <v>62332.9</v>
      </c>
      <c r="E64" s="197"/>
      <c r="F64" s="197"/>
      <c r="G64" s="197"/>
      <c r="H64" s="197"/>
      <c r="I64" s="207"/>
      <c r="J64" s="208"/>
      <c r="K64" s="208"/>
      <c r="L64" s="227"/>
      <c r="M64" s="208"/>
      <c r="N64" s="211">
        <v>130280</v>
      </c>
    </row>
    <row r="65" spans="1:14">
      <c r="A65" s="196" t="s">
        <v>137</v>
      </c>
      <c r="B65" s="197">
        <v>41900</v>
      </c>
      <c r="C65" s="197">
        <v>48600</v>
      </c>
      <c r="D65" s="222">
        <v>38225</v>
      </c>
      <c r="E65" s="198"/>
      <c r="F65" s="197"/>
      <c r="G65" s="197"/>
      <c r="H65" s="197"/>
      <c r="I65" s="207"/>
      <c r="J65" s="208"/>
      <c r="K65" s="208"/>
      <c r="L65" s="227"/>
      <c r="M65" s="208"/>
      <c r="N65" s="211">
        <v>90500</v>
      </c>
    </row>
    <row r="66" spans="1:14">
      <c r="A66" s="196" t="s">
        <v>146</v>
      </c>
      <c r="B66" s="197">
        <v>96000</v>
      </c>
      <c r="C66" s="197">
        <v>92900</v>
      </c>
      <c r="D66" s="222">
        <v>76202.89</v>
      </c>
      <c r="E66" s="197"/>
      <c r="F66" s="197"/>
      <c r="G66" s="197"/>
      <c r="H66" s="197"/>
      <c r="I66" s="207"/>
      <c r="J66" s="208"/>
      <c r="K66" s="208"/>
      <c r="L66" s="227"/>
      <c r="M66" s="208"/>
      <c r="N66" s="211">
        <v>188900</v>
      </c>
    </row>
    <row r="67" spans="1:14">
      <c r="A67" s="196" t="s">
        <v>514</v>
      </c>
      <c r="B67" s="197">
        <v>22200</v>
      </c>
      <c r="C67" s="197">
        <v>22300</v>
      </c>
      <c r="D67" s="222">
        <v>21873.67</v>
      </c>
      <c r="E67" s="197"/>
      <c r="F67" s="197"/>
      <c r="G67" s="197"/>
      <c r="H67" s="197"/>
      <c r="I67" s="207"/>
      <c r="J67" s="208"/>
      <c r="K67" s="208"/>
      <c r="L67" s="227"/>
      <c r="M67" s="208"/>
      <c r="N67" s="211">
        <v>44500</v>
      </c>
    </row>
    <row r="68" spans="1:14">
      <c r="A68" s="196" t="s">
        <v>515</v>
      </c>
      <c r="B68" s="197">
        <v>9500</v>
      </c>
      <c r="C68" s="197">
        <v>8500</v>
      </c>
      <c r="D68" s="222">
        <v>7569</v>
      </c>
      <c r="E68" s="198"/>
      <c r="F68" s="197"/>
      <c r="G68" s="197"/>
      <c r="H68" s="197"/>
      <c r="I68" s="207"/>
      <c r="J68" s="208"/>
      <c r="K68" s="208"/>
      <c r="L68" s="227"/>
      <c r="M68" s="208"/>
      <c r="N68" s="211">
        <v>18000</v>
      </c>
    </row>
    <row r="69" spans="1:14">
      <c r="A69" s="196" t="s">
        <v>197</v>
      </c>
      <c r="B69" s="197">
        <v>32242</v>
      </c>
      <c r="C69" s="197">
        <v>32500</v>
      </c>
      <c r="D69" s="222">
        <v>16682.15</v>
      </c>
      <c r="E69" s="197"/>
      <c r="F69" s="197"/>
      <c r="G69" s="197"/>
      <c r="H69" s="197"/>
      <c r="I69" s="207"/>
      <c r="J69" s="208"/>
      <c r="K69" s="208"/>
      <c r="L69" s="227"/>
      <c r="M69" s="208"/>
      <c r="N69" s="211">
        <v>64700</v>
      </c>
    </row>
    <row r="70" spans="1:14">
      <c r="A70" s="196" t="s">
        <v>516</v>
      </c>
      <c r="B70" s="197">
        <v>0</v>
      </c>
      <c r="C70" s="197">
        <v>0</v>
      </c>
      <c r="D70" s="222">
        <v>0</v>
      </c>
      <c r="E70" s="197"/>
      <c r="F70" s="197"/>
      <c r="G70" s="197"/>
      <c r="H70" s="197"/>
      <c r="I70" s="207"/>
      <c r="J70" s="208"/>
      <c r="K70" s="208"/>
      <c r="L70" s="227"/>
      <c r="M70" s="208"/>
      <c r="N70" s="211">
        <v>0</v>
      </c>
    </row>
    <row r="71" spans="1:14">
      <c r="A71" s="196" t="s">
        <v>204</v>
      </c>
      <c r="B71" s="197">
        <v>1800</v>
      </c>
      <c r="C71" s="197">
        <v>2000</v>
      </c>
      <c r="D71" s="222">
        <v>1926</v>
      </c>
      <c r="E71" s="197"/>
      <c r="F71" s="197"/>
      <c r="G71" s="197"/>
      <c r="H71" s="197"/>
      <c r="I71" s="207"/>
      <c r="J71" s="208"/>
      <c r="K71" s="208"/>
      <c r="L71" s="227"/>
      <c r="M71" s="208"/>
      <c r="N71" s="211">
        <v>3800</v>
      </c>
    </row>
    <row r="72" spans="1:14">
      <c r="A72" s="196" t="s">
        <v>205</v>
      </c>
      <c r="B72" s="197">
        <v>3100</v>
      </c>
      <c r="C72" s="197">
        <v>6100</v>
      </c>
      <c r="D72" s="222">
        <v>6013.63</v>
      </c>
      <c r="E72" s="197"/>
      <c r="F72" s="197"/>
      <c r="G72" s="197"/>
      <c r="H72" s="197"/>
      <c r="I72" s="207"/>
      <c r="J72" s="208"/>
      <c r="K72" s="208"/>
      <c r="L72" s="227"/>
      <c r="M72" s="208"/>
      <c r="N72" s="211">
        <v>7800</v>
      </c>
    </row>
    <row r="73" spans="1:14">
      <c r="A73" s="196" t="s">
        <v>317</v>
      </c>
      <c r="B73" s="197">
        <v>4900</v>
      </c>
      <c r="C73" s="197">
        <v>11000</v>
      </c>
      <c r="D73" s="222">
        <v>9796.2</v>
      </c>
      <c r="E73" s="197"/>
      <c r="F73" s="197"/>
      <c r="G73" s="197"/>
      <c r="H73" s="197"/>
      <c r="I73" s="207"/>
      <c r="J73" s="208"/>
      <c r="K73" s="208"/>
      <c r="L73" s="227"/>
      <c r="M73" s="208"/>
      <c r="N73" s="211">
        <v>15900</v>
      </c>
    </row>
    <row r="74" spans="1:14">
      <c r="A74" s="196" t="s">
        <v>318</v>
      </c>
      <c r="B74" s="196">
        <v>0</v>
      </c>
      <c r="C74" s="196">
        <v>0</v>
      </c>
      <c r="D74" s="204">
        <v>0</v>
      </c>
      <c r="E74" s="196"/>
      <c r="F74" s="196"/>
      <c r="G74" s="196"/>
      <c r="H74" s="196"/>
      <c r="I74" s="196"/>
      <c r="J74" s="196"/>
      <c r="K74" s="196"/>
      <c r="L74" s="227"/>
      <c r="M74" s="196"/>
      <c r="N74" s="211">
        <v>0</v>
      </c>
    </row>
    <row r="75" spans="1:14">
      <c r="A75" s="231" t="s">
        <v>319</v>
      </c>
      <c r="B75" s="231">
        <v>93089</v>
      </c>
      <c r="C75" s="231">
        <v>109940</v>
      </c>
      <c r="D75" s="232">
        <v>105641.9</v>
      </c>
      <c r="E75" s="231"/>
      <c r="F75" s="231"/>
      <c r="G75" s="231"/>
      <c r="H75" s="231"/>
      <c r="I75" s="231"/>
      <c r="J75" s="231"/>
      <c r="K75" s="231"/>
      <c r="L75" s="227"/>
      <c r="M75" s="231"/>
      <c r="N75" s="211">
        <v>203029</v>
      </c>
    </row>
    <row r="76" spans="1:14">
      <c r="A76" s="193"/>
      <c r="B76" s="233" t="s">
        <v>520</v>
      </c>
      <c r="C76"/>
      <c r="D76"/>
      <c r="E76"/>
      <c r="F76"/>
      <c r="G76"/>
      <c r="H76"/>
      <c r="I76"/>
      <c r="J76"/>
      <c r="K76"/>
      <c r="L76"/>
      <c r="M76"/>
      <c r="N76" s="226"/>
    </row>
    <row r="77" ht="28.5" spans="1:14">
      <c r="A77" s="84"/>
      <c r="B77" s="194" t="s">
        <v>497</v>
      </c>
      <c r="C77" s="194" t="s">
        <v>498</v>
      </c>
      <c r="D77" s="194" t="s">
        <v>499</v>
      </c>
      <c r="E77" s="194" t="s">
        <v>500</v>
      </c>
      <c r="F77" s="194" t="s">
        <v>501</v>
      </c>
      <c r="G77" s="194" t="s">
        <v>502</v>
      </c>
      <c r="H77" s="194" t="s">
        <v>503</v>
      </c>
      <c r="I77" s="205" t="s">
        <v>504</v>
      </c>
      <c r="J77" s="194" t="s">
        <v>505</v>
      </c>
      <c r="K77" s="194" t="s">
        <v>506</v>
      </c>
      <c r="L77" s="194" t="s">
        <v>507</v>
      </c>
      <c r="M77" s="194" t="s">
        <v>508</v>
      </c>
      <c r="N77" s="218" t="s">
        <v>21</v>
      </c>
    </row>
    <row r="78" spans="1:14">
      <c r="A78" s="196" t="s">
        <v>509</v>
      </c>
      <c r="B78" s="197">
        <v>25983.84</v>
      </c>
      <c r="C78" s="197">
        <v>39839.84</v>
      </c>
      <c r="D78" s="222">
        <v>13725</v>
      </c>
      <c r="E78" s="197"/>
      <c r="F78" s="197"/>
      <c r="G78" s="197"/>
      <c r="H78" s="197"/>
      <c r="I78" s="207"/>
      <c r="J78" s="208"/>
      <c r="K78" s="208"/>
      <c r="L78" s="227"/>
      <c r="M78" s="208"/>
      <c r="N78" s="211">
        <v>65823.68</v>
      </c>
    </row>
    <row r="79" spans="1:14">
      <c r="A79" s="196" t="s">
        <v>510</v>
      </c>
      <c r="B79" s="197">
        <v>0</v>
      </c>
      <c r="C79" s="47">
        <v>0</v>
      </c>
      <c r="D79" s="222"/>
      <c r="E79" s="197"/>
      <c r="F79" s="223"/>
      <c r="G79" s="197"/>
      <c r="H79" s="197"/>
      <c r="I79" s="207"/>
      <c r="J79" s="208"/>
      <c r="K79" s="208"/>
      <c r="L79" s="227"/>
      <c r="M79" s="208"/>
      <c r="N79" s="211">
        <v>0</v>
      </c>
    </row>
    <row r="80" spans="1:14">
      <c r="A80" s="196" t="s">
        <v>511</v>
      </c>
      <c r="B80" s="197">
        <v>14221</v>
      </c>
      <c r="C80" s="47">
        <v>24326</v>
      </c>
      <c r="D80" s="222">
        <v>3860</v>
      </c>
      <c r="E80" s="197"/>
      <c r="F80" s="223"/>
      <c r="G80" s="197"/>
      <c r="H80" s="197"/>
      <c r="I80" s="207"/>
      <c r="J80" s="208"/>
      <c r="K80" s="208"/>
      <c r="L80" s="227"/>
      <c r="M80" s="208"/>
      <c r="N80" s="211">
        <v>38547</v>
      </c>
    </row>
    <row r="81" spans="1:14">
      <c r="A81" s="196" t="s">
        <v>82</v>
      </c>
      <c r="B81" s="197">
        <v>0</v>
      </c>
      <c r="C81" s="197">
        <v>0</v>
      </c>
      <c r="D81" s="222">
        <v>0</v>
      </c>
      <c r="E81" s="197"/>
      <c r="F81" s="197"/>
      <c r="G81" s="197"/>
      <c r="H81" s="197"/>
      <c r="I81" s="207"/>
      <c r="J81" s="208"/>
      <c r="K81" s="208"/>
      <c r="L81" s="227"/>
      <c r="M81" s="208"/>
      <c r="N81" s="235">
        <v>0</v>
      </c>
    </row>
    <row r="82" spans="1:14">
      <c r="A82" s="196" t="s">
        <v>512</v>
      </c>
      <c r="B82" s="197">
        <v>0</v>
      </c>
      <c r="C82" s="47">
        <v>0</v>
      </c>
      <c r="D82" s="222">
        <v>0</v>
      </c>
      <c r="E82" s="197"/>
      <c r="F82" s="197"/>
      <c r="G82" s="197"/>
      <c r="H82" s="197"/>
      <c r="I82" s="207"/>
      <c r="J82" s="208"/>
      <c r="K82" s="208"/>
      <c r="L82" s="227"/>
      <c r="M82" s="208"/>
      <c r="N82" s="211">
        <v>0</v>
      </c>
    </row>
    <row r="83" spans="1:14">
      <c r="A83" s="196" t="s">
        <v>513</v>
      </c>
      <c r="B83" s="197">
        <v>0</v>
      </c>
      <c r="C83" s="47">
        <v>0</v>
      </c>
      <c r="D83" s="222">
        <v>0</v>
      </c>
      <c r="E83" s="197"/>
      <c r="F83" s="197"/>
      <c r="G83" s="197"/>
      <c r="H83" s="197"/>
      <c r="I83" s="207"/>
      <c r="J83" s="208"/>
      <c r="K83" s="208"/>
      <c r="L83" s="227"/>
      <c r="M83" s="208"/>
      <c r="N83" s="211">
        <v>0</v>
      </c>
    </row>
    <row r="84" spans="1:14">
      <c r="A84" s="196" t="s">
        <v>137</v>
      </c>
      <c r="B84" s="197">
        <v>0</v>
      </c>
      <c r="C84" s="197">
        <v>0</v>
      </c>
      <c r="D84" s="222">
        <v>0</v>
      </c>
      <c r="E84" s="197"/>
      <c r="F84" s="197"/>
      <c r="G84" s="197"/>
      <c r="H84" s="197"/>
      <c r="I84" s="207"/>
      <c r="J84" s="208"/>
      <c r="K84" s="208"/>
      <c r="L84" s="227"/>
      <c r="M84" s="208"/>
      <c r="N84" s="211">
        <v>0</v>
      </c>
    </row>
    <row r="85" spans="1:14">
      <c r="A85" s="196" t="s">
        <v>146</v>
      </c>
      <c r="B85" s="197">
        <v>3800</v>
      </c>
      <c r="C85" s="47">
        <v>1900</v>
      </c>
      <c r="D85" s="222">
        <v>0</v>
      </c>
      <c r="E85" s="197"/>
      <c r="F85" s="197"/>
      <c r="G85" s="197"/>
      <c r="H85" s="197"/>
      <c r="I85" s="207"/>
      <c r="J85" s="208"/>
      <c r="K85" s="210"/>
      <c r="L85" s="227"/>
      <c r="M85" s="208"/>
      <c r="N85" s="211">
        <v>5700</v>
      </c>
    </row>
    <row r="86" spans="1:14">
      <c r="A86" s="196" t="s">
        <v>514</v>
      </c>
      <c r="B86" s="197">
        <v>109700</v>
      </c>
      <c r="C86" s="197">
        <v>95000</v>
      </c>
      <c r="D86" s="222">
        <v>37743.68</v>
      </c>
      <c r="F86" s="197"/>
      <c r="H86" s="197"/>
      <c r="I86" s="207"/>
      <c r="J86" s="208"/>
      <c r="L86" s="227"/>
      <c r="M86" s="208"/>
      <c r="N86" s="211">
        <v>204700</v>
      </c>
    </row>
    <row r="87" spans="1:14">
      <c r="A87" s="196" t="s">
        <v>515</v>
      </c>
      <c r="B87" s="197"/>
      <c r="D87" s="197"/>
      <c r="F87" s="197"/>
      <c r="H87" s="197"/>
      <c r="J87" s="208"/>
      <c r="L87" s="227"/>
      <c r="M87" s="208"/>
      <c r="N87" s="211">
        <v>0</v>
      </c>
    </row>
    <row r="88" spans="1:14">
      <c r="A88" s="196" t="s">
        <v>197</v>
      </c>
      <c r="B88" s="197"/>
      <c r="C88" s="197"/>
      <c r="D88" s="197"/>
      <c r="E88" s="197"/>
      <c r="F88" s="197"/>
      <c r="G88" s="197"/>
      <c r="H88" s="197"/>
      <c r="I88" s="207"/>
      <c r="J88" s="208"/>
      <c r="K88" s="208"/>
      <c r="L88" s="208"/>
      <c r="M88" s="208"/>
      <c r="N88" s="211"/>
    </row>
    <row r="89" spans="1:14">
      <c r="A89" s="196" t="s">
        <v>516</v>
      </c>
      <c r="B89" s="197"/>
      <c r="C89" s="197"/>
      <c r="D89" s="197"/>
      <c r="E89" s="197"/>
      <c r="F89" s="197"/>
      <c r="G89" s="197"/>
      <c r="H89" s="197"/>
      <c r="I89" s="207"/>
      <c r="J89" s="208"/>
      <c r="K89" s="208"/>
      <c r="L89" s="208"/>
      <c r="M89" s="208"/>
      <c r="N89" s="211"/>
    </row>
    <row r="90" spans="1:14">
      <c r="A90" s="196" t="s">
        <v>204</v>
      </c>
      <c r="B90" s="197"/>
      <c r="C90" s="197"/>
      <c r="D90" s="197"/>
      <c r="E90" s="197"/>
      <c r="F90" s="197"/>
      <c r="G90" s="197"/>
      <c r="H90" s="197"/>
      <c r="I90" s="207"/>
      <c r="J90" s="208"/>
      <c r="K90" s="208"/>
      <c r="L90" s="208"/>
      <c r="M90" s="208"/>
      <c r="N90" s="211"/>
    </row>
    <row r="91" spans="1:14">
      <c r="A91" s="196" t="s">
        <v>205</v>
      </c>
      <c r="B91" s="197"/>
      <c r="C91" s="197"/>
      <c r="D91" s="197"/>
      <c r="E91" s="197"/>
      <c r="F91" s="197"/>
      <c r="G91" s="197"/>
      <c r="H91" s="197"/>
      <c r="I91" s="207"/>
      <c r="J91" s="208"/>
      <c r="K91" s="208"/>
      <c r="L91" s="208"/>
      <c r="M91" s="208"/>
      <c r="N91" s="211"/>
    </row>
    <row r="92" spans="1:14">
      <c r="A92" s="196"/>
      <c r="B92" s="197"/>
      <c r="C92" s="197"/>
      <c r="D92" s="197"/>
      <c r="E92" s="197"/>
      <c r="F92" s="197"/>
      <c r="G92" s="197"/>
      <c r="H92" s="197"/>
      <c r="I92" s="207"/>
      <c r="J92" s="208"/>
      <c r="K92" s="208"/>
      <c r="L92" s="208"/>
      <c r="M92" s="208"/>
      <c r="N92" s="211">
        <f>SUM(B92:M92)</f>
        <v>0</v>
      </c>
    </row>
    <row r="93" spans="14:14">
      <c r="N93" s="236">
        <f>SUM(N78:N92)</f>
        <v>314770.68</v>
      </c>
    </row>
    <row r="94" spans="1:14">
      <c r="A94" s="199"/>
      <c r="B94" s="199" t="s">
        <v>521</v>
      </c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29"/>
    </row>
    <row r="95" ht="28.5" spans="1:14">
      <c r="A95" s="84"/>
      <c r="B95" s="194" t="s">
        <v>497</v>
      </c>
      <c r="C95" s="194" t="s">
        <v>498</v>
      </c>
      <c r="D95" s="194" t="s">
        <v>499</v>
      </c>
      <c r="E95" s="194" t="s">
        <v>500</v>
      </c>
      <c r="F95" s="194" t="s">
        <v>501</v>
      </c>
      <c r="G95" s="194" t="s">
        <v>502</v>
      </c>
      <c r="H95" s="194" t="s">
        <v>503</v>
      </c>
      <c r="I95" s="205" t="s">
        <v>504</v>
      </c>
      <c r="J95" s="194" t="s">
        <v>505</v>
      </c>
      <c r="K95" s="194" t="s">
        <v>506</v>
      </c>
      <c r="L95" s="194" t="s">
        <v>507</v>
      </c>
      <c r="M95" s="194" t="s">
        <v>508</v>
      </c>
      <c r="N95" s="218" t="s">
        <v>21</v>
      </c>
    </row>
    <row r="96" spans="1:14">
      <c r="A96" s="196" t="s">
        <v>509</v>
      </c>
      <c r="B96" s="197">
        <v>48909.18</v>
      </c>
      <c r="C96" s="227">
        <v>43185</v>
      </c>
      <c r="D96" s="222">
        <v>39497</v>
      </c>
      <c r="E96" s="197"/>
      <c r="F96" s="197"/>
      <c r="G96" s="197"/>
      <c r="H96" s="197"/>
      <c r="I96" s="207"/>
      <c r="J96" s="208"/>
      <c r="K96" s="208"/>
      <c r="L96" s="227"/>
      <c r="M96" s="208"/>
      <c r="N96" s="211">
        <v>92094</v>
      </c>
    </row>
    <row r="97" spans="1:14">
      <c r="A97" s="196" t="s">
        <v>510</v>
      </c>
      <c r="B97" s="197">
        <v>0</v>
      </c>
      <c r="C97" s="227">
        <v>0</v>
      </c>
      <c r="D97" s="222"/>
      <c r="E97" s="197"/>
      <c r="F97" s="197"/>
      <c r="G97" s="197"/>
      <c r="H97" s="197"/>
      <c r="I97" s="207"/>
      <c r="J97" s="208"/>
      <c r="K97" s="208"/>
      <c r="L97" s="227"/>
      <c r="M97" s="208"/>
      <c r="N97" s="211">
        <v>0</v>
      </c>
    </row>
    <row r="98" spans="1:14">
      <c r="A98" s="196" t="s">
        <v>511</v>
      </c>
      <c r="B98" s="197">
        <v>0</v>
      </c>
      <c r="C98" s="227">
        <v>0</v>
      </c>
      <c r="D98" s="222"/>
      <c r="E98" s="197"/>
      <c r="F98" s="197"/>
      <c r="G98" s="197"/>
      <c r="H98" s="197"/>
      <c r="I98" s="207"/>
      <c r="J98" s="208"/>
      <c r="K98" s="208"/>
      <c r="L98" s="227"/>
      <c r="M98" s="208"/>
      <c r="N98" s="211">
        <v>0</v>
      </c>
    </row>
    <row r="99" spans="1:14">
      <c r="A99" s="196" t="s">
        <v>82</v>
      </c>
      <c r="B99" s="197">
        <v>0</v>
      </c>
      <c r="C99" s="227">
        <v>0</v>
      </c>
      <c r="D99" s="222"/>
      <c r="E99" s="197"/>
      <c r="F99" s="197"/>
      <c r="G99" s="197"/>
      <c r="H99" s="197"/>
      <c r="I99" s="207"/>
      <c r="J99" s="208"/>
      <c r="K99" s="208"/>
      <c r="L99" s="227"/>
      <c r="M99" s="208"/>
      <c r="N99" s="211">
        <v>0</v>
      </c>
    </row>
    <row r="100" spans="1:14">
      <c r="A100" s="196" t="s">
        <v>512</v>
      </c>
      <c r="B100" s="197">
        <v>3596</v>
      </c>
      <c r="C100" s="227">
        <v>3300</v>
      </c>
      <c r="D100" s="222">
        <v>834</v>
      </c>
      <c r="E100" s="197"/>
      <c r="F100" s="197"/>
      <c r="G100" s="197"/>
      <c r="H100" s="197"/>
      <c r="I100" s="207"/>
      <c r="J100" s="208"/>
      <c r="K100" s="208"/>
      <c r="L100" s="227"/>
      <c r="M100" s="208"/>
      <c r="N100" s="211">
        <v>6900</v>
      </c>
    </row>
    <row r="101" spans="1:14">
      <c r="A101" s="196" t="s">
        <v>513</v>
      </c>
      <c r="B101" s="197">
        <v>0</v>
      </c>
      <c r="C101" s="227">
        <v>0</v>
      </c>
      <c r="D101" s="222">
        <v>0</v>
      </c>
      <c r="E101" s="198"/>
      <c r="F101" s="197"/>
      <c r="G101" s="197"/>
      <c r="H101" s="197"/>
      <c r="I101" s="207"/>
      <c r="J101" s="208"/>
      <c r="K101" s="208"/>
      <c r="L101" s="227"/>
      <c r="M101" s="208"/>
      <c r="N101" s="211">
        <v>0</v>
      </c>
    </row>
    <row r="102" spans="1:14">
      <c r="A102" s="196" t="s">
        <v>137</v>
      </c>
      <c r="B102" s="197">
        <v>53000</v>
      </c>
      <c r="C102" s="227">
        <v>62900</v>
      </c>
      <c r="D102" s="222">
        <v>39561</v>
      </c>
      <c r="E102" s="197"/>
      <c r="F102" s="197"/>
      <c r="G102" s="197"/>
      <c r="H102" s="197"/>
      <c r="I102" s="207"/>
      <c r="J102" s="208"/>
      <c r="K102" s="208"/>
      <c r="L102" s="227"/>
      <c r="M102" s="208"/>
      <c r="N102" s="211">
        <v>115900</v>
      </c>
    </row>
    <row r="103" spans="1:14">
      <c r="A103" s="196" t="s">
        <v>146</v>
      </c>
      <c r="B103" s="197">
        <v>42886.05</v>
      </c>
      <c r="C103" s="227">
        <v>42333.11</v>
      </c>
      <c r="D103" s="222">
        <v>5907.68</v>
      </c>
      <c r="E103" s="197"/>
      <c r="F103" s="197"/>
      <c r="G103" s="197"/>
      <c r="H103" s="197"/>
      <c r="I103" s="207"/>
      <c r="J103" s="208"/>
      <c r="K103" s="208"/>
      <c r="L103" s="227"/>
      <c r="M103" s="208"/>
      <c r="N103" s="211">
        <v>85137</v>
      </c>
    </row>
    <row r="104" spans="1:14">
      <c r="A104" s="196" t="s">
        <v>514</v>
      </c>
      <c r="B104" s="197">
        <v>37200</v>
      </c>
      <c r="C104" s="47">
        <v>35500</v>
      </c>
      <c r="D104" s="222">
        <v>1639.15</v>
      </c>
      <c r="E104" s="197"/>
      <c r="F104" s="197"/>
      <c r="G104" s="197"/>
      <c r="I104" s="207"/>
      <c r="J104" s="208"/>
      <c r="K104" s="208"/>
      <c r="L104" s="227"/>
      <c r="M104" s="208"/>
      <c r="N104" s="211">
        <v>72700</v>
      </c>
    </row>
    <row r="105" spans="1:14">
      <c r="A105" s="196" t="s">
        <v>515</v>
      </c>
      <c r="B105" s="47">
        <v>14500</v>
      </c>
      <c r="C105" s="227">
        <v>13000</v>
      </c>
      <c r="D105" s="222">
        <v>27809</v>
      </c>
      <c r="I105" s="207"/>
      <c r="J105" s="208"/>
      <c r="K105" s="208"/>
      <c r="L105" s="227"/>
      <c r="M105" s="208"/>
      <c r="N105" s="211">
        <v>27500</v>
      </c>
    </row>
    <row r="106" spans="1:14">
      <c r="A106" s="196" t="s">
        <v>197</v>
      </c>
      <c r="B106" s="197"/>
      <c r="C106" s="234"/>
      <c r="D106" s="197"/>
      <c r="E106" s="197"/>
      <c r="F106" s="197"/>
      <c r="G106" s="197"/>
      <c r="H106" s="197"/>
      <c r="I106" s="207"/>
      <c r="J106" s="208"/>
      <c r="K106" s="208"/>
      <c r="L106" s="208"/>
      <c r="M106" s="208"/>
      <c r="N106" s="211">
        <v>0</v>
      </c>
    </row>
    <row r="107" spans="1:14">
      <c r="A107" s="196" t="s">
        <v>516</v>
      </c>
      <c r="D107" s="197"/>
      <c r="F107" s="197"/>
      <c r="I107" s="207"/>
      <c r="J107" s="208"/>
      <c r="L107" s="208"/>
      <c r="M107" s="208"/>
      <c r="N107" s="211">
        <v>0</v>
      </c>
    </row>
    <row r="108" spans="1:14">
      <c r="A108" s="196" t="s">
        <v>204</v>
      </c>
      <c r="B108" s="197"/>
      <c r="C108" s="197"/>
      <c r="D108" s="197"/>
      <c r="E108" s="197"/>
      <c r="F108" s="197"/>
      <c r="G108" s="197"/>
      <c r="H108" s="197"/>
      <c r="I108" s="207"/>
      <c r="J108" s="208"/>
      <c r="K108" s="208"/>
      <c r="L108" s="208"/>
      <c r="M108" s="208"/>
      <c r="N108" s="211">
        <v>0</v>
      </c>
    </row>
    <row r="109" spans="1:14">
      <c r="A109" s="196" t="s">
        <v>205</v>
      </c>
      <c r="B109" s="197"/>
      <c r="C109" s="197"/>
      <c r="D109" s="197"/>
      <c r="E109" s="197"/>
      <c r="F109" s="197"/>
      <c r="G109" s="197"/>
      <c r="H109" s="197"/>
      <c r="I109" s="207"/>
      <c r="J109" s="208"/>
      <c r="K109" s="208"/>
      <c r="L109" s="208"/>
      <c r="M109" s="208"/>
      <c r="N109" s="211">
        <v>0</v>
      </c>
    </row>
    <row r="111" spans="1:14">
      <c r="A111" s="193"/>
      <c r="B111" t="s">
        <v>522</v>
      </c>
      <c r="C111"/>
      <c r="D111"/>
      <c r="E111"/>
      <c r="F111"/>
      <c r="G111"/>
      <c r="H111"/>
      <c r="I111"/>
      <c r="J111"/>
      <c r="K111"/>
      <c r="L111"/>
      <c r="M111"/>
      <c r="N111" s="226"/>
    </row>
    <row r="112" ht="28.5" spans="1:14">
      <c r="A112" s="84"/>
      <c r="B112" s="194" t="s">
        <v>497</v>
      </c>
      <c r="C112" s="194" t="s">
        <v>498</v>
      </c>
      <c r="D112" s="194" t="s">
        <v>499</v>
      </c>
      <c r="E112" s="194" t="s">
        <v>500</v>
      </c>
      <c r="F112" s="194" t="s">
        <v>501</v>
      </c>
      <c r="G112" s="194" t="s">
        <v>502</v>
      </c>
      <c r="H112" s="194" t="s">
        <v>503</v>
      </c>
      <c r="I112" s="205" t="s">
        <v>504</v>
      </c>
      <c r="J112" s="194" t="s">
        <v>505</v>
      </c>
      <c r="K112" s="194" t="s">
        <v>506</v>
      </c>
      <c r="L112" s="194" t="s">
        <v>507</v>
      </c>
      <c r="M112" s="194" t="s">
        <v>508</v>
      </c>
      <c r="N112" s="218" t="s">
        <v>21</v>
      </c>
    </row>
    <row r="113" spans="1:14">
      <c r="A113" s="196" t="s">
        <v>323</v>
      </c>
      <c r="B113" s="196">
        <v>79200</v>
      </c>
      <c r="C113" s="227">
        <v>65800</v>
      </c>
      <c r="D113" s="204">
        <v>25142</v>
      </c>
      <c r="E113" s="196"/>
      <c r="F113" s="196"/>
      <c r="G113" s="196"/>
      <c r="H113" s="196"/>
      <c r="I113" s="220"/>
      <c r="J113" s="219"/>
      <c r="K113" s="219"/>
      <c r="L113" s="227"/>
      <c r="M113" s="219"/>
      <c r="N113" s="218">
        <v>145000</v>
      </c>
    </row>
    <row r="115" spans="1:14">
      <c r="A115" s="199"/>
      <c r="B115" s="199" t="s">
        <v>523</v>
      </c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29"/>
    </row>
    <row r="116" ht="28.5" spans="1:14">
      <c r="A116" s="84"/>
      <c r="B116" s="194" t="s">
        <v>497</v>
      </c>
      <c r="C116" s="194" t="s">
        <v>524</v>
      </c>
      <c r="D116" s="194" t="s">
        <v>499</v>
      </c>
      <c r="E116" s="194" t="s">
        <v>500</v>
      </c>
      <c r="F116" s="194" t="s">
        <v>501</v>
      </c>
      <c r="G116" s="194" t="s">
        <v>502</v>
      </c>
      <c r="H116" s="194" t="s">
        <v>503</v>
      </c>
      <c r="I116" s="205" t="s">
        <v>504</v>
      </c>
      <c r="J116" s="194" t="s">
        <v>505</v>
      </c>
      <c r="K116" s="194" t="s">
        <v>506</v>
      </c>
      <c r="L116" s="194" t="s">
        <v>507</v>
      </c>
      <c r="M116" s="194" t="s">
        <v>508</v>
      </c>
      <c r="N116" s="218" t="s">
        <v>21</v>
      </c>
    </row>
    <row r="117" spans="1:14">
      <c r="A117" s="196" t="s">
        <v>197</v>
      </c>
      <c r="B117" s="196"/>
      <c r="C117" s="196"/>
      <c r="D117" s="202"/>
      <c r="E117" s="196"/>
      <c r="F117" s="196"/>
      <c r="G117" s="196"/>
      <c r="H117" s="196"/>
      <c r="I117" s="220"/>
      <c r="J117" s="219"/>
      <c r="K117" s="219"/>
      <c r="L117" s="219"/>
      <c r="M117" s="219"/>
      <c r="N117" s="218">
        <f>SUM(B117:M117)</f>
        <v>0</v>
      </c>
    </row>
  </sheetData>
  <mergeCells count="9">
    <mergeCell ref="A1:N1"/>
    <mergeCell ref="B2:N2"/>
    <mergeCell ref="B21:N21"/>
    <mergeCell ref="B39:N39"/>
    <mergeCell ref="B57:N57"/>
    <mergeCell ref="B76:N76"/>
    <mergeCell ref="B94:N94"/>
    <mergeCell ref="B111:N111"/>
    <mergeCell ref="B115:N115"/>
  </mergeCells>
  <pageMargins left="0.75" right="0.75" top="1" bottom="1" header="0.5" footer="0.5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99" sqref="D99"/>
    </sheetView>
  </sheetViews>
  <sheetFormatPr defaultColWidth="9" defaultRowHeight="14.25"/>
  <cols>
    <col min="1" max="3" width="9" style="47" customWidth="1"/>
    <col min="4" max="4" width="9" style="48" customWidth="1"/>
    <col min="5" max="5" width="9" style="47" customWidth="1"/>
    <col min="6" max="6" width="9.875" style="47" customWidth="1"/>
    <col min="7" max="7" width="9.25" style="47" customWidth="1"/>
    <col min="8" max="8" width="9" style="47" customWidth="1"/>
    <col min="9" max="9" width="9" style="192" customWidth="1"/>
    <col min="10" max="10" width="9.5" style="47" customWidth="1"/>
    <col min="11" max="11" width="9.375" style="47" customWidth="1"/>
    <col min="12" max="12" width="9" style="192" customWidth="1"/>
    <col min="13" max="13" width="9" style="47" customWidth="1"/>
    <col min="14" max="14" width="9.5" style="47" customWidth="1"/>
  </cols>
  <sheetData>
    <row r="1" spans="1:14">
      <c r="A1" t="s">
        <v>525</v>
      </c>
      <c r="B1"/>
      <c r="C1"/>
      <c r="D1"/>
      <c r="E1"/>
      <c r="F1"/>
      <c r="G1"/>
      <c r="H1"/>
      <c r="I1"/>
      <c r="J1"/>
      <c r="K1"/>
      <c r="L1"/>
      <c r="M1"/>
      <c r="N1"/>
    </row>
    <row r="2" spans="1:14">
      <c r="A2" s="193"/>
      <c r="B2" t="s">
        <v>526</v>
      </c>
      <c r="C2"/>
      <c r="D2"/>
      <c r="E2"/>
      <c r="F2"/>
      <c r="G2"/>
      <c r="H2"/>
      <c r="I2"/>
      <c r="J2"/>
      <c r="K2"/>
      <c r="L2"/>
      <c r="M2"/>
      <c r="N2"/>
    </row>
    <row r="3" ht="28.5" spans="1:14">
      <c r="A3" s="84"/>
      <c r="B3" s="194" t="s">
        <v>497</v>
      </c>
      <c r="C3" s="194" t="s">
        <v>498</v>
      </c>
      <c r="D3" s="195" t="s">
        <v>499</v>
      </c>
      <c r="E3" s="194" t="s">
        <v>500</v>
      </c>
      <c r="F3" s="194" t="s">
        <v>501</v>
      </c>
      <c r="G3" s="194" t="s">
        <v>502</v>
      </c>
      <c r="H3" s="194" t="s">
        <v>503</v>
      </c>
      <c r="I3" s="205" t="s">
        <v>504</v>
      </c>
      <c r="J3" s="194" t="s">
        <v>505</v>
      </c>
      <c r="K3" s="194" t="s">
        <v>506</v>
      </c>
      <c r="L3" s="206" t="s">
        <v>507</v>
      </c>
      <c r="M3" s="194" t="s">
        <v>508</v>
      </c>
      <c r="N3" s="84" t="s">
        <v>21</v>
      </c>
    </row>
    <row r="4" spans="1:14">
      <c r="A4" s="196" t="s">
        <v>509</v>
      </c>
      <c r="B4" s="197">
        <v>38175.705</v>
      </c>
      <c r="C4" s="197">
        <v>35801.9774</v>
      </c>
      <c r="D4" s="197">
        <v>58684.343</v>
      </c>
      <c r="E4" s="197"/>
      <c r="F4" s="197"/>
      <c r="G4" s="197"/>
      <c r="H4" s="197"/>
      <c r="I4" s="207"/>
      <c r="J4" s="208"/>
      <c r="K4" s="208"/>
      <c r="L4" s="209"/>
      <c r="M4" s="208"/>
      <c r="N4" s="210">
        <f>SUM(B4:M4)</f>
        <v>132662.0254</v>
      </c>
    </row>
    <row r="5" spans="1:14">
      <c r="A5" s="196" t="s">
        <v>510</v>
      </c>
      <c r="B5" s="197">
        <v>30054.48</v>
      </c>
      <c r="C5" s="197">
        <v>24988</v>
      </c>
      <c r="D5" s="197">
        <v>71355.414</v>
      </c>
      <c r="E5" s="197"/>
      <c r="F5" s="197"/>
      <c r="G5" s="197"/>
      <c r="H5" s="197"/>
      <c r="I5" s="207"/>
      <c r="J5" s="208"/>
      <c r="K5" s="208"/>
      <c r="L5" s="209"/>
      <c r="M5" s="208"/>
      <c r="N5" s="210">
        <f t="shared" ref="N5:N19" si="0">SUM(B5:M5)</f>
        <v>126397.894</v>
      </c>
    </row>
    <row r="6" spans="1:14">
      <c r="A6" s="196" t="s">
        <v>511</v>
      </c>
      <c r="B6" s="197">
        <v>86679</v>
      </c>
      <c r="C6" s="197">
        <v>66525</v>
      </c>
      <c r="D6" s="197">
        <v>97304</v>
      </c>
      <c r="E6" s="197"/>
      <c r="F6" s="197"/>
      <c r="G6" s="197"/>
      <c r="H6" s="197"/>
      <c r="I6" s="207"/>
      <c r="J6" s="208"/>
      <c r="K6" s="208"/>
      <c r="L6" s="209"/>
      <c r="M6" s="208"/>
      <c r="N6" s="210">
        <f t="shared" si="0"/>
        <v>250508</v>
      </c>
    </row>
    <row r="7" spans="1:14">
      <c r="A7" s="196" t="s">
        <v>82</v>
      </c>
      <c r="B7" s="197">
        <v>32942</v>
      </c>
      <c r="C7" s="197">
        <v>31885</v>
      </c>
      <c r="D7" s="197">
        <v>40186</v>
      </c>
      <c r="E7" s="197"/>
      <c r="F7" s="197"/>
      <c r="G7" s="197"/>
      <c r="H7" s="197"/>
      <c r="I7" s="207"/>
      <c r="J7" s="208"/>
      <c r="K7" s="208"/>
      <c r="L7" s="209"/>
      <c r="M7" s="208"/>
      <c r="N7" s="210">
        <f t="shared" si="0"/>
        <v>105013</v>
      </c>
    </row>
    <row r="8" spans="1:14">
      <c r="A8" s="196" t="s">
        <v>512</v>
      </c>
      <c r="B8" s="197">
        <v>129440.25</v>
      </c>
      <c r="C8" s="197">
        <v>104878.41</v>
      </c>
      <c r="D8" s="197">
        <v>164476.72</v>
      </c>
      <c r="E8" s="197"/>
      <c r="F8" s="197"/>
      <c r="G8" s="197"/>
      <c r="H8" s="197"/>
      <c r="I8" s="207"/>
      <c r="J8" s="208"/>
      <c r="K8" s="208"/>
      <c r="L8" s="209"/>
      <c r="M8" s="208"/>
      <c r="N8" s="210">
        <f t="shared" si="0"/>
        <v>398795.38</v>
      </c>
    </row>
    <row r="9" spans="1:14">
      <c r="A9" s="196" t="s">
        <v>513</v>
      </c>
      <c r="B9" s="197">
        <v>130336.5</v>
      </c>
      <c r="C9" s="197">
        <v>113760.36</v>
      </c>
      <c r="D9" s="197">
        <v>130116.25</v>
      </c>
      <c r="E9" s="197"/>
      <c r="F9" s="197"/>
      <c r="G9" s="197"/>
      <c r="H9" s="198"/>
      <c r="I9" s="207"/>
      <c r="J9" s="208"/>
      <c r="K9" s="208"/>
      <c r="L9" s="209"/>
      <c r="M9" s="208"/>
      <c r="N9" s="210">
        <f t="shared" si="0"/>
        <v>374213.11</v>
      </c>
    </row>
    <row r="10" spans="1:14">
      <c r="A10" s="196" t="s">
        <v>137</v>
      </c>
      <c r="B10" s="197">
        <v>87743</v>
      </c>
      <c r="C10" s="197">
        <v>111050</v>
      </c>
      <c r="D10" s="197">
        <v>106500</v>
      </c>
      <c r="E10" s="197"/>
      <c r="F10" s="197"/>
      <c r="G10" s="197"/>
      <c r="H10" s="197"/>
      <c r="I10" s="207"/>
      <c r="J10" s="208"/>
      <c r="K10" s="208"/>
      <c r="L10" s="209"/>
      <c r="M10" s="208"/>
      <c r="N10" s="210">
        <f t="shared" si="0"/>
        <v>305293</v>
      </c>
    </row>
    <row r="11" spans="1:14">
      <c r="A11" s="196" t="s">
        <v>146</v>
      </c>
      <c r="B11" s="198">
        <v>96564.19</v>
      </c>
      <c r="C11" s="197">
        <v>82471.79</v>
      </c>
      <c r="D11" s="197">
        <v>111381.21</v>
      </c>
      <c r="E11" s="197"/>
      <c r="F11" s="197"/>
      <c r="G11" s="197"/>
      <c r="H11" s="197"/>
      <c r="I11" s="207"/>
      <c r="J11" s="208"/>
      <c r="K11" s="208"/>
      <c r="L11" s="209"/>
      <c r="M11" s="208"/>
      <c r="N11" s="210">
        <f t="shared" si="0"/>
        <v>290417.19</v>
      </c>
    </row>
    <row r="12" spans="1:14">
      <c r="A12" s="196" t="s">
        <v>514</v>
      </c>
      <c r="B12" s="197">
        <v>35519.86</v>
      </c>
      <c r="C12" s="197">
        <v>33917.01</v>
      </c>
      <c r="D12" s="197">
        <v>22936.95</v>
      </c>
      <c r="E12" s="197"/>
      <c r="F12" s="197"/>
      <c r="G12" s="197"/>
      <c r="H12" s="197"/>
      <c r="I12" s="207"/>
      <c r="J12" s="208"/>
      <c r="K12" s="208"/>
      <c r="L12" s="209"/>
      <c r="M12" s="208"/>
      <c r="N12" s="210">
        <f t="shared" si="0"/>
        <v>92373.82</v>
      </c>
    </row>
    <row r="13" spans="1:14">
      <c r="A13" s="196" t="s">
        <v>515</v>
      </c>
      <c r="B13" s="197">
        <v>0</v>
      </c>
      <c r="C13" s="197">
        <v>0</v>
      </c>
      <c r="D13" s="197">
        <v>0</v>
      </c>
      <c r="E13" s="197"/>
      <c r="F13" s="197"/>
      <c r="G13" s="197"/>
      <c r="H13" s="197"/>
      <c r="I13" s="207"/>
      <c r="J13" s="208"/>
      <c r="K13" s="208"/>
      <c r="L13" s="209"/>
      <c r="M13" s="208"/>
      <c r="N13" s="210">
        <f t="shared" si="0"/>
        <v>0</v>
      </c>
    </row>
    <row r="14" spans="1:14">
      <c r="A14" s="196" t="s">
        <v>197</v>
      </c>
      <c r="B14" s="197">
        <v>0</v>
      </c>
      <c r="C14" s="197"/>
      <c r="D14" s="197"/>
      <c r="E14" s="197"/>
      <c r="F14" s="197"/>
      <c r="G14" s="197"/>
      <c r="H14" s="197"/>
      <c r="I14" s="207"/>
      <c r="J14" s="208"/>
      <c r="K14" s="208"/>
      <c r="L14" s="209"/>
      <c r="M14" s="208"/>
      <c r="N14" s="210">
        <f t="shared" si="0"/>
        <v>0</v>
      </c>
    </row>
    <row r="15" spans="1:14">
      <c r="A15" s="196" t="s">
        <v>516</v>
      </c>
      <c r="B15" s="197">
        <v>0</v>
      </c>
      <c r="C15" s="197">
        <v>0</v>
      </c>
      <c r="D15" s="197">
        <v>0</v>
      </c>
      <c r="E15" s="197"/>
      <c r="F15" s="197"/>
      <c r="G15" s="197"/>
      <c r="H15" s="197"/>
      <c r="I15" s="207"/>
      <c r="J15" s="208"/>
      <c r="K15" s="208"/>
      <c r="L15" s="209"/>
      <c r="M15" s="208"/>
      <c r="N15" s="210">
        <f t="shared" si="0"/>
        <v>0</v>
      </c>
    </row>
    <row r="16" spans="1:14">
      <c r="A16" s="196" t="s">
        <v>204</v>
      </c>
      <c r="B16" s="197">
        <v>51685</v>
      </c>
      <c r="C16" s="197">
        <v>27520</v>
      </c>
      <c r="D16" s="197">
        <v>25639</v>
      </c>
      <c r="E16" s="197"/>
      <c r="F16" s="197"/>
      <c r="G16" s="197"/>
      <c r="H16" s="197"/>
      <c r="I16" s="207"/>
      <c r="J16" s="208"/>
      <c r="K16" s="208"/>
      <c r="L16" s="209"/>
      <c r="M16" s="208"/>
      <c r="N16" s="210">
        <f t="shared" si="0"/>
        <v>104844</v>
      </c>
    </row>
    <row r="17" spans="1:14">
      <c r="A17" s="196" t="s">
        <v>205</v>
      </c>
      <c r="B17" s="197">
        <v>23154</v>
      </c>
      <c r="C17" s="197">
        <v>0</v>
      </c>
      <c r="D17" s="197">
        <v>38707</v>
      </c>
      <c r="E17" s="198"/>
      <c r="F17" s="197"/>
      <c r="G17" s="197"/>
      <c r="H17" s="197"/>
      <c r="I17" s="207"/>
      <c r="J17" s="208"/>
      <c r="K17" s="208"/>
      <c r="L17" s="209"/>
      <c r="M17" s="208"/>
      <c r="N17" s="210">
        <f t="shared" si="0"/>
        <v>61861</v>
      </c>
    </row>
    <row r="18" spans="1:14">
      <c r="A18" s="196" t="s">
        <v>317</v>
      </c>
      <c r="B18" s="197">
        <v>38507</v>
      </c>
      <c r="C18" s="197">
        <v>5336</v>
      </c>
      <c r="D18" s="197">
        <v>10744</v>
      </c>
      <c r="E18" s="197"/>
      <c r="F18" s="197"/>
      <c r="G18" s="197"/>
      <c r="H18" s="197"/>
      <c r="I18" s="207"/>
      <c r="J18" s="208"/>
      <c r="K18" s="208"/>
      <c r="L18" s="209"/>
      <c r="M18" s="208"/>
      <c r="N18" s="210">
        <f t="shared" si="0"/>
        <v>54587</v>
      </c>
    </row>
    <row r="19" spans="1:14">
      <c r="A19" s="196" t="s">
        <v>318</v>
      </c>
      <c r="B19" s="197">
        <v>60871.123</v>
      </c>
      <c r="C19" s="197">
        <v>2332.634</v>
      </c>
      <c r="D19" s="197">
        <v>8127.121</v>
      </c>
      <c r="E19" s="196"/>
      <c r="F19" s="197"/>
      <c r="G19" s="196"/>
      <c r="H19" s="196"/>
      <c r="I19" s="211"/>
      <c r="J19" s="84"/>
      <c r="K19" s="210"/>
      <c r="L19" s="209"/>
      <c r="M19" s="84"/>
      <c r="N19" s="210">
        <f t="shared" si="0"/>
        <v>71330.878</v>
      </c>
    </row>
    <row r="20" spans="12:12">
      <c r="L20" s="209"/>
    </row>
    <row r="21" spans="1:14">
      <c r="A21" s="199"/>
      <c r="B21" s="199" t="s">
        <v>527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</row>
    <row r="22" ht="28.5" spans="1:14">
      <c r="A22" s="84"/>
      <c r="B22" s="194" t="s">
        <v>497</v>
      </c>
      <c r="C22" s="194" t="s">
        <v>498</v>
      </c>
      <c r="D22" s="195" t="s">
        <v>499</v>
      </c>
      <c r="E22" s="194" t="s">
        <v>500</v>
      </c>
      <c r="F22" s="194" t="s">
        <v>501</v>
      </c>
      <c r="G22" s="194" t="s">
        <v>502</v>
      </c>
      <c r="H22" s="194" t="s">
        <v>503</v>
      </c>
      <c r="I22" s="205" t="s">
        <v>504</v>
      </c>
      <c r="J22" s="194" t="s">
        <v>505</v>
      </c>
      <c r="K22" s="194" t="s">
        <v>506</v>
      </c>
      <c r="L22" s="205" t="s">
        <v>507</v>
      </c>
      <c r="M22" s="194" t="s">
        <v>508</v>
      </c>
      <c r="N22" s="84" t="s">
        <v>21</v>
      </c>
    </row>
    <row r="23" spans="1:14">
      <c r="A23" s="196" t="s">
        <v>509</v>
      </c>
      <c r="B23" s="197">
        <v>8856</v>
      </c>
      <c r="C23" s="197">
        <v>9631.75</v>
      </c>
      <c r="D23" s="197">
        <v>16089.08</v>
      </c>
      <c r="E23" s="197"/>
      <c r="F23" s="197"/>
      <c r="G23" s="197"/>
      <c r="H23" s="197"/>
      <c r="I23" s="207"/>
      <c r="J23" s="208"/>
      <c r="K23" s="208"/>
      <c r="L23" s="209"/>
      <c r="M23" s="208"/>
      <c r="N23" s="210">
        <f>SUM(B23:M23)</f>
        <v>34576.83</v>
      </c>
    </row>
    <row r="24" spans="1:14">
      <c r="A24" s="196" t="s">
        <v>510</v>
      </c>
      <c r="B24" s="197">
        <v>2055.7</v>
      </c>
      <c r="C24" s="197">
        <v>1920</v>
      </c>
      <c r="D24" s="197">
        <v>7020.72</v>
      </c>
      <c r="E24" s="197"/>
      <c r="F24" s="197"/>
      <c r="G24" s="197"/>
      <c r="H24" s="197"/>
      <c r="I24" s="207"/>
      <c r="J24" s="208"/>
      <c r="K24" s="208"/>
      <c r="L24" s="209"/>
      <c r="M24" s="208"/>
      <c r="N24" s="210">
        <f t="shared" ref="N24:N39" si="1">SUM(B24:M24)</f>
        <v>10996.42</v>
      </c>
    </row>
    <row r="25" spans="1:14">
      <c r="A25" s="196" t="s">
        <v>511</v>
      </c>
      <c r="B25" s="197">
        <v>0</v>
      </c>
      <c r="C25" s="197">
        <v>0</v>
      </c>
      <c r="D25" s="197">
        <v>0</v>
      </c>
      <c r="E25" s="197"/>
      <c r="F25" s="197"/>
      <c r="G25" s="197"/>
      <c r="H25" s="197"/>
      <c r="I25" s="207"/>
      <c r="J25" s="208"/>
      <c r="K25" s="208"/>
      <c r="L25" s="209"/>
      <c r="M25" s="208"/>
      <c r="N25" s="210">
        <f t="shared" si="1"/>
        <v>0</v>
      </c>
    </row>
    <row r="26" spans="1:14">
      <c r="A26" s="196" t="s">
        <v>82</v>
      </c>
      <c r="B26" s="197">
        <v>6682</v>
      </c>
      <c r="C26" s="197">
        <v>4848</v>
      </c>
      <c r="D26" s="197">
        <v>6275</v>
      </c>
      <c r="E26" s="197"/>
      <c r="F26" s="197"/>
      <c r="G26" s="197"/>
      <c r="H26" s="197"/>
      <c r="I26" s="207"/>
      <c r="J26" s="208"/>
      <c r="K26" s="208"/>
      <c r="L26" s="209"/>
      <c r="M26" s="208"/>
      <c r="N26" s="210">
        <f t="shared" si="1"/>
        <v>17805</v>
      </c>
    </row>
    <row r="27" spans="1:14">
      <c r="A27" s="196" t="s">
        <v>512</v>
      </c>
      <c r="B27" s="197">
        <v>26586.15</v>
      </c>
      <c r="C27" s="197">
        <v>21954.46</v>
      </c>
      <c r="D27" s="197">
        <v>23359.52</v>
      </c>
      <c r="E27" s="197"/>
      <c r="F27" s="197"/>
      <c r="G27" s="197"/>
      <c r="H27" s="197"/>
      <c r="I27" s="207"/>
      <c r="J27" s="208"/>
      <c r="K27" s="208"/>
      <c r="L27" s="209"/>
      <c r="M27" s="208"/>
      <c r="N27" s="210">
        <f t="shared" si="1"/>
        <v>71900.13</v>
      </c>
    </row>
    <row r="28" spans="1:14">
      <c r="A28" s="196" t="s">
        <v>513</v>
      </c>
      <c r="B28" s="197">
        <v>54678.37</v>
      </c>
      <c r="C28" s="197">
        <v>46826.8</v>
      </c>
      <c r="D28" s="197">
        <v>50607.44</v>
      </c>
      <c r="E28" s="197"/>
      <c r="F28" s="197"/>
      <c r="G28" s="197"/>
      <c r="H28" s="198"/>
      <c r="I28" s="207"/>
      <c r="J28" s="208"/>
      <c r="K28" s="208"/>
      <c r="L28" s="209"/>
      <c r="M28" s="208"/>
      <c r="N28" s="210">
        <f t="shared" si="1"/>
        <v>152112.61</v>
      </c>
    </row>
    <row r="29" spans="1:14">
      <c r="A29" s="196" t="s">
        <v>137</v>
      </c>
      <c r="B29" s="197">
        <v>54420</v>
      </c>
      <c r="C29" s="197">
        <v>30729</v>
      </c>
      <c r="D29" s="197">
        <v>45678</v>
      </c>
      <c r="E29" s="197"/>
      <c r="F29" s="197"/>
      <c r="G29" s="197"/>
      <c r="H29" s="197"/>
      <c r="I29" s="207"/>
      <c r="J29" s="208"/>
      <c r="K29" s="208"/>
      <c r="L29" s="209"/>
      <c r="M29" s="208"/>
      <c r="N29" s="210">
        <f t="shared" si="1"/>
        <v>130827</v>
      </c>
    </row>
    <row r="30" spans="1:14">
      <c r="A30" s="196" t="s">
        <v>146</v>
      </c>
      <c r="B30" s="197">
        <v>66102.45</v>
      </c>
      <c r="C30" s="197">
        <v>56978.9</v>
      </c>
      <c r="D30" s="197">
        <v>77645.66</v>
      </c>
      <c r="E30" s="197"/>
      <c r="F30" s="197"/>
      <c r="G30" s="197"/>
      <c r="H30" s="197"/>
      <c r="I30" s="207"/>
      <c r="J30" s="208"/>
      <c r="K30" s="208"/>
      <c r="L30" s="209"/>
      <c r="M30" s="208"/>
      <c r="N30" s="210">
        <f t="shared" si="1"/>
        <v>200727.01</v>
      </c>
    </row>
    <row r="31" spans="1:14">
      <c r="A31" s="196" t="s">
        <v>514</v>
      </c>
      <c r="B31" s="197">
        <v>10284.64</v>
      </c>
      <c r="C31" s="197">
        <v>16253.82</v>
      </c>
      <c r="D31" s="197">
        <v>15720.06</v>
      </c>
      <c r="E31" s="197"/>
      <c r="F31" s="197"/>
      <c r="G31" s="197"/>
      <c r="H31" s="197"/>
      <c r="I31" s="207"/>
      <c r="J31" s="208"/>
      <c r="K31" s="208"/>
      <c r="L31" s="209"/>
      <c r="M31" s="208"/>
      <c r="N31" s="210">
        <f t="shared" si="1"/>
        <v>42258.52</v>
      </c>
    </row>
    <row r="32" spans="1:14">
      <c r="A32" s="196" t="s">
        <v>515</v>
      </c>
      <c r="B32" s="197">
        <v>0</v>
      </c>
      <c r="C32" s="197">
        <v>0</v>
      </c>
      <c r="D32" s="197">
        <v>0</v>
      </c>
      <c r="E32" s="197"/>
      <c r="F32" s="197"/>
      <c r="G32" s="197"/>
      <c r="H32" s="197"/>
      <c r="I32" s="207"/>
      <c r="J32" s="208"/>
      <c r="K32" s="208"/>
      <c r="L32" s="209"/>
      <c r="M32" s="208"/>
      <c r="N32" s="210">
        <f t="shared" si="1"/>
        <v>0</v>
      </c>
    </row>
    <row r="33" spans="1:14">
      <c r="A33" s="196" t="s">
        <v>197</v>
      </c>
      <c r="B33" s="197">
        <v>28092.84</v>
      </c>
      <c r="C33" s="197">
        <v>23502.38</v>
      </c>
      <c r="D33" s="197">
        <v>13379.18</v>
      </c>
      <c r="E33" s="197"/>
      <c r="F33" s="197"/>
      <c r="G33" s="197"/>
      <c r="H33" s="197"/>
      <c r="I33" s="207"/>
      <c r="J33" s="208"/>
      <c r="K33" s="208"/>
      <c r="L33" s="209"/>
      <c r="M33" s="208"/>
      <c r="N33" s="210">
        <f t="shared" si="1"/>
        <v>64974.4</v>
      </c>
    </row>
    <row r="34" spans="1:14">
      <c r="A34" s="196" t="s">
        <v>516</v>
      </c>
      <c r="B34" s="197">
        <v>0</v>
      </c>
      <c r="C34" s="197">
        <v>0</v>
      </c>
      <c r="D34" s="197">
        <v>0</v>
      </c>
      <c r="E34" s="197"/>
      <c r="F34" s="197"/>
      <c r="G34" s="197"/>
      <c r="H34" s="197"/>
      <c r="I34" s="207"/>
      <c r="J34" s="208"/>
      <c r="K34" s="208"/>
      <c r="L34" s="209"/>
      <c r="M34" s="208"/>
      <c r="N34" s="210">
        <f t="shared" si="1"/>
        <v>0</v>
      </c>
    </row>
    <row r="35" spans="1:14">
      <c r="A35" s="196" t="s">
        <v>204</v>
      </c>
      <c r="B35" s="197">
        <v>2893</v>
      </c>
      <c r="C35" s="197">
        <v>1047</v>
      </c>
      <c r="D35" s="197">
        <v>2460</v>
      </c>
      <c r="E35" s="197"/>
      <c r="F35" s="197"/>
      <c r="G35" s="197"/>
      <c r="H35" s="197"/>
      <c r="I35" s="207"/>
      <c r="J35" s="208"/>
      <c r="K35" s="208"/>
      <c r="L35" s="209"/>
      <c r="M35" s="208"/>
      <c r="N35" s="210">
        <f t="shared" si="1"/>
        <v>6400</v>
      </c>
    </row>
    <row r="36" spans="1:14">
      <c r="A36" s="196" t="s">
        <v>205</v>
      </c>
      <c r="B36" s="197">
        <v>3524.86</v>
      </c>
      <c r="C36" s="197">
        <v>5576.48</v>
      </c>
      <c r="D36" s="197">
        <v>6606.38</v>
      </c>
      <c r="E36" s="197"/>
      <c r="F36" s="197"/>
      <c r="G36" s="197"/>
      <c r="H36" s="197"/>
      <c r="I36" s="207"/>
      <c r="J36" s="208"/>
      <c r="K36" s="208"/>
      <c r="L36" s="209"/>
      <c r="M36" s="208"/>
      <c r="N36" s="210">
        <f t="shared" si="1"/>
        <v>15707.72</v>
      </c>
    </row>
    <row r="37" spans="1:14">
      <c r="A37" s="196" t="s">
        <v>317</v>
      </c>
      <c r="B37" s="197">
        <v>3585.92</v>
      </c>
      <c r="C37" s="197">
        <v>8038.4</v>
      </c>
      <c r="D37" s="197">
        <v>10325.76</v>
      </c>
      <c r="E37" s="197"/>
      <c r="F37" s="197"/>
      <c r="G37" s="197"/>
      <c r="H37" s="197"/>
      <c r="I37" s="207"/>
      <c r="J37" s="208"/>
      <c r="K37" s="208"/>
      <c r="L37" s="209"/>
      <c r="M37" s="208"/>
      <c r="N37" s="210">
        <f t="shared" si="1"/>
        <v>21950.08</v>
      </c>
    </row>
    <row r="38" spans="1:14">
      <c r="A38" s="196" t="s">
        <v>318</v>
      </c>
      <c r="B38" s="197">
        <v>0</v>
      </c>
      <c r="C38" s="197">
        <v>0</v>
      </c>
      <c r="D38" s="197">
        <v>0</v>
      </c>
      <c r="E38" s="196"/>
      <c r="F38" s="197"/>
      <c r="G38" s="196"/>
      <c r="H38" s="196"/>
      <c r="I38" s="211"/>
      <c r="J38" s="84"/>
      <c r="K38" s="211"/>
      <c r="L38" s="209"/>
      <c r="M38" s="84"/>
      <c r="N38" s="210">
        <f t="shared" si="1"/>
        <v>0</v>
      </c>
    </row>
    <row r="39" spans="1:14">
      <c r="A39" s="47" t="s">
        <v>319</v>
      </c>
      <c r="B39" s="47">
        <v>93680.03</v>
      </c>
      <c r="C39" s="47">
        <v>80960.1</v>
      </c>
      <c r="D39" s="48">
        <v>105263.64</v>
      </c>
      <c r="L39" s="209"/>
      <c r="N39" s="210">
        <f t="shared" si="1"/>
        <v>279903.77</v>
      </c>
    </row>
    <row r="40" spans="1:14">
      <c r="A40" s="199"/>
      <c r="B40" s="199" t="s">
        <v>528</v>
      </c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</row>
    <row r="41" ht="28.5" spans="1:14">
      <c r="A41" s="84"/>
      <c r="B41" s="194" t="s">
        <v>497</v>
      </c>
      <c r="C41" s="194" t="s">
        <v>498</v>
      </c>
      <c r="D41" s="195" t="s">
        <v>499</v>
      </c>
      <c r="E41" s="194" t="s">
        <v>500</v>
      </c>
      <c r="F41" s="194" t="s">
        <v>501</v>
      </c>
      <c r="G41" s="194" t="s">
        <v>502</v>
      </c>
      <c r="H41" s="194" t="s">
        <v>503</v>
      </c>
      <c r="I41" s="205" t="s">
        <v>504</v>
      </c>
      <c r="J41" s="194" t="s">
        <v>505</v>
      </c>
      <c r="K41" s="194" t="s">
        <v>506</v>
      </c>
      <c r="L41" s="205" t="s">
        <v>507</v>
      </c>
      <c r="M41" s="194" t="s">
        <v>508</v>
      </c>
      <c r="N41" s="84" t="s">
        <v>21</v>
      </c>
    </row>
    <row r="42" spans="1:14">
      <c r="A42" s="196" t="s">
        <v>509</v>
      </c>
      <c r="B42" s="200">
        <v>67690.12</v>
      </c>
      <c r="C42" s="200">
        <v>49950.437</v>
      </c>
      <c r="D42" s="201">
        <v>62324.76</v>
      </c>
      <c r="E42" s="200"/>
      <c r="F42" s="200"/>
      <c r="G42" s="200"/>
      <c r="H42" s="200"/>
      <c r="I42" s="212"/>
      <c r="J42" s="213"/>
      <c r="K42" s="213"/>
      <c r="L42" s="209"/>
      <c r="M42" s="213"/>
      <c r="N42" s="214">
        <f>SUM(B42:M42)</f>
        <v>179965.317</v>
      </c>
    </row>
    <row r="43" spans="1:14">
      <c r="A43" s="196" t="s">
        <v>510</v>
      </c>
      <c r="B43" s="200">
        <v>2639</v>
      </c>
      <c r="C43" s="200">
        <v>2113</v>
      </c>
      <c r="D43" s="201">
        <v>6709.76</v>
      </c>
      <c r="E43" s="200"/>
      <c r="F43" s="200"/>
      <c r="G43" s="200"/>
      <c r="H43" s="200"/>
      <c r="I43" s="212"/>
      <c r="J43" s="213"/>
      <c r="K43" s="213"/>
      <c r="L43" s="209"/>
      <c r="M43" s="213"/>
      <c r="N43" s="214">
        <f t="shared" ref="N43:N57" si="2">SUM(B43:M43)</f>
        <v>11461.76</v>
      </c>
    </row>
    <row r="44" spans="1:14">
      <c r="A44" s="196" t="s">
        <v>511</v>
      </c>
      <c r="B44" s="200">
        <v>42618.56</v>
      </c>
      <c r="C44" s="200">
        <v>34926.98</v>
      </c>
      <c r="D44" s="201">
        <v>35136</v>
      </c>
      <c r="E44" s="200"/>
      <c r="F44" s="200"/>
      <c r="G44" s="200"/>
      <c r="H44" s="200"/>
      <c r="I44" s="212"/>
      <c r="J44" s="213"/>
      <c r="K44" s="213"/>
      <c r="L44" s="209"/>
      <c r="M44" s="213"/>
      <c r="N44" s="214">
        <f t="shared" si="2"/>
        <v>112681.54</v>
      </c>
    </row>
    <row r="45" spans="1:14">
      <c r="A45" s="196" t="s">
        <v>82</v>
      </c>
      <c r="B45" s="200">
        <v>10160</v>
      </c>
      <c r="C45" s="197">
        <v>6266</v>
      </c>
      <c r="D45" s="201">
        <v>6464</v>
      </c>
      <c r="E45" s="200"/>
      <c r="F45" s="200"/>
      <c r="G45" s="200"/>
      <c r="H45" s="200"/>
      <c r="I45" s="212"/>
      <c r="J45" s="213"/>
      <c r="K45" s="213"/>
      <c r="L45" s="209"/>
      <c r="M45" s="213"/>
      <c r="N45" s="214">
        <f t="shared" si="2"/>
        <v>22890</v>
      </c>
    </row>
    <row r="46" spans="1:14">
      <c r="A46" s="196" t="s">
        <v>512</v>
      </c>
      <c r="B46" s="200">
        <v>30744.46</v>
      </c>
      <c r="C46" s="197">
        <v>25319.97</v>
      </c>
      <c r="D46" s="201">
        <v>26354.747</v>
      </c>
      <c r="E46" s="200"/>
      <c r="F46" s="200"/>
      <c r="G46" s="200"/>
      <c r="H46" s="200"/>
      <c r="I46" s="212"/>
      <c r="J46" s="213"/>
      <c r="K46" s="213"/>
      <c r="L46" s="209"/>
      <c r="M46" s="213"/>
      <c r="N46" s="214">
        <f t="shared" si="2"/>
        <v>82419.177</v>
      </c>
    </row>
    <row r="47" spans="1:14">
      <c r="A47" s="196" t="s">
        <v>513</v>
      </c>
      <c r="B47" s="200">
        <v>10605.96</v>
      </c>
      <c r="C47" s="200">
        <v>13351.62</v>
      </c>
      <c r="D47" s="201">
        <v>20604.52</v>
      </c>
      <c r="E47" s="200"/>
      <c r="F47" s="200"/>
      <c r="G47" s="200"/>
      <c r="H47" s="200"/>
      <c r="I47" s="212"/>
      <c r="J47" s="213"/>
      <c r="K47" s="213"/>
      <c r="L47" s="209"/>
      <c r="M47" s="213"/>
      <c r="N47" s="214">
        <f t="shared" si="2"/>
        <v>44562.1</v>
      </c>
    </row>
    <row r="48" spans="1:14">
      <c r="A48" s="202" t="s">
        <v>137</v>
      </c>
      <c r="B48" s="203">
        <v>46733</v>
      </c>
      <c r="C48" s="203">
        <v>20157</v>
      </c>
      <c r="D48" s="201">
        <v>15207</v>
      </c>
      <c r="E48" s="203"/>
      <c r="F48" s="203"/>
      <c r="G48" s="203"/>
      <c r="H48" s="203"/>
      <c r="I48" s="203"/>
      <c r="J48" s="203"/>
      <c r="K48" s="203"/>
      <c r="L48" s="209"/>
      <c r="M48" s="213"/>
      <c r="N48" s="214">
        <f t="shared" si="2"/>
        <v>82097</v>
      </c>
    </row>
    <row r="49" spans="1:14">
      <c r="A49" s="196" t="s">
        <v>146</v>
      </c>
      <c r="B49" s="200">
        <v>53843.42</v>
      </c>
      <c r="C49" s="200">
        <v>44696.95</v>
      </c>
      <c r="D49" s="201">
        <v>51356.83</v>
      </c>
      <c r="E49" s="200"/>
      <c r="F49" s="200"/>
      <c r="G49" s="200"/>
      <c r="H49" s="200"/>
      <c r="I49" s="212"/>
      <c r="J49" s="213"/>
      <c r="K49" s="213"/>
      <c r="L49" s="209"/>
      <c r="M49" s="213"/>
      <c r="N49" s="214">
        <f t="shared" si="2"/>
        <v>149897.2</v>
      </c>
    </row>
    <row r="50" spans="1:14">
      <c r="A50" s="196" t="s">
        <v>514</v>
      </c>
      <c r="B50" s="200">
        <v>22552.66</v>
      </c>
      <c r="C50" s="200">
        <v>19456.6</v>
      </c>
      <c r="D50" s="201">
        <v>22004.5</v>
      </c>
      <c r="E50" s="200"/>
      <c r="F50" s="200"/>
      <c r="G50" s="200"/>
      <c r="H50" s="200"/>
      <c r="I50" s="212"/>
      <c r="J50" s="213"/>
      <c r="K50" s="213"/>
      <c r="L50" s="209"/>
      <c r="M50" s="213"/>
      <c r="N50" s="214">
        <f t="shared" si="2"/>
        <v>64013.76</v>
      </c>
    </row>
    <row r="51" spans="1:14">
      <c r="A51" s="202" t="s">
        <v>515</v>
      </c>
      <c r="B51" s="203">
        <v>4511</v>
      </c>
      <c r="C51" s="203">
        <v>4043</v>
      </c>
      <c r="D51" s="201">
        <v>6139</v>
      </c>
      <c r="E51" s="203"/>
      <c r="F51" s="203"/>
      <c r="G51" s="203"/>
      <c r="H51" s="203"/>
      <c r="I51" s="203"/>
      <c r="J51" s="203"/>
      <c r="K51" s="213"/>
      <c r="L51" s="209"/>
      <c r="M51" s="213"/>
      <c r="N51" s="214">
        <f t="shared" si="2"/>
        <v>14693</v>
      </c>
    </row>
    <row r="52" spans="1:14">
      <c r="A52" s="196" t="s">
        <v>197</v>
      </c>
      <c r="B52" s="200"/>
      <c r="C52" s="200"/>
      <c r="D52" s="201"/>
      <c r="E52" s="200"/>
      <c r="F52" s="200"/>
      <c r="G52" s="200"/>
      <c r="H52" s="200"/>
      <c r="I52" s="212"/>
      <c r="J52" s="213"/>
      <c r="K52" s="203"/>
      <c r="L52" s="212"/>
      <c r="M52" s="213"/>
      <c r="N52" s="214">
        <f t="shared" si="2"/>
        <v>0</v>
      </c>
    </row>
    <row r="53" spans="1:14">
      <c r="A53" s="196" t="s">
        <v>516</v>
      </c>
      <c r="B53" s="200"/>
      <c r="C53" s="200">
        <v>0</v>
      </c>
      <c r="D53" s="201">
        <v>0</v>
      </c>
      <c r="E53" s="200"/>
      <c r="F53" s="200"/>
      <c r="G53" s="200"/>
      <c r="H53" s="200"/>
      <c r="I53" s="212"/>
      <c r="J53" s="213"/>
      <c r="K53" s="213"/>
      <c r="L53" s="212"/>
      <c r="M53" s="213"/>
      <c r="N53" s="214">
        <f t="shared" si="2"/>
        <v>0</v>
      </c>
    </row>
    <row r="54" spans="1:14">
      <c r="A54" s="196" t="s">
        <v>204</v>
      </c>
      <c r="B54" s="200"/>
      <c r="C54" s="200">
        <v>125</v>
      </c>
      <c r="D54" s="201">
        <v>247</v>
      </c>
      <c r="E54" s="200"/>
      <c r="F54" s="200"/>
      <c r="G54" s="200"/>
      <c r="H54" s="200"/>
      <c r="I54" s="212"/>
      <c r="J54" s="213"/>
      <c r="K54" s="213"/>
      <c r="L54" s="212"/>
      <c r="M54" s="213"/>
      <c r="N54" s="214">
        <f t="shared" si="2"/>
        <v>372</v>
      </c>
    </row>
    <row r="55" spans="1:14">
      <c r="A55" s="196" t="s">
        <v>205</v>
      </c>
      <c r="B55" s="200"/>
      <c r="C55" s="200"/>
      <c r="D55" s="201">
        <v>4983</v>
      </c>
      <c r="E55" s="200"/>
      <c r="F55" s="200"/>
      <c r="G55" s="200"/>
      <c r="H55" s="200"/>
      <c r="I55" s="212"/>
      <c r="J55" s="213"/>
      <c r="K55" s="213"/>
      <c r="L55" s="212"/>
      <c r="M55" s="213"/>
      <c r="N55" s="214">
        <f t="shared" si="2"/>
        <v>4983</v>
      </c>
    </row>
    <row r="56" spans="1:14">
      <c r="A56" s="196" t="s">
        <v>317</v>
      </c>
      <c r="B56" s="200"/>
      <c r="C56" s="200"/>
      <c r="D56" s="201">
        <v>547.16</v>
      </c>
      <c r="E56" s="200"/>
      <c r="F56" s="200"/>
      <c r="G56" s="200"/>
      <c r="H56" s="200"/>
      <c r="I56" s="215"/>
      <c r="J56" s="214"/>
      <c r="K56" s="214"/>
      <c r="L56" s="215"/>
      <c r="M56" s="214"/>
      <c r="N56" s="214">
        <f t="shared" si="2"/>
        <v>547.16</v>
      </c>
    </row>
    <row r="57" spans="1:14">
      <c r="A57" s="196" t="s">
        <v>318</v>
      </c>
      <c r="B57" s="200"/>
      <c r="C57" s="200">
        <v>47.02</v>
      </c>
      <c r="D57" s="204">
        <v>132.24</v>
      </c>
      <c r="E57" s="196"/>
      <c r="F57" s="200"/>
      <c r="G57" s="196"/>
      <c r="H57" s="196"/>
      <c r="I57" s="215"/>
      <c r="J57" s="210"/>
      <c r="K57" s="214"/>
      <c r="L57" s="215"/>
      <c r="M57" s="84"/>
      <c r="N57" s="214">
        <f t="shared" si="2"/>
        <v>179.26</v>
      </c>
    </row>
    <row r="58" spans="1:14">
      <c r="A58" s="104"/>
      <c r="B58" s="104"/>
      <c r="C58" s="104"/>
      <c r="D58" s="104"/>
      <c r="E58" s="104"/>
      <c r="F58" s="104"/>
      <c r="G58" s="104"/>
      <c r="H58" s="104"/>
      <c r="I58" s="216"/>
      <c r="J58" s="217"/>
      <c r="K58" s="217"/>
      <c r="L58" s="216"/>
      <c r="M58" s="217"/>
      <c r="N58" s="217"/>
    </row>
    <row r="59" spans="1:14">
      <c r="A59" s="193"/>
      <c r="B59" t="s">
        <v>529</v>
      </c>
      <c r="C59"/>
      <c r="D59"/>
      <c r="E59"/>
      <c r="F59"/>
      <c r="G59"/>
      <c r="H59"/>
      <c r="I59"/>
      <c r="J59"/>
      <c r="K59"/>
      <c r="L59"/>
      <c r="M59"/>
      <c r="N59"/>
    </row>
    <row r="60" ht="28.5" spans="1:14">
      <c r="A60" s="84"/>
      <c r="B60" s="194" t="s">
        <v>497</v>
      </c>
      <c r="C60" s="194" t="s">
        <v>498</v>
      </c>
      <c r="D60" s="195" t="s">
        <v>499</v>
      </c>
      <c r="E60" s="194" t="s">
        <v>500</v>
      </c>
      <c r="F60" s="194" t="s">
        <v>501</v>
      </c>
      <c r="G60" s="194" t="s">
        <v>502</v>
      </c>
      <c r="H60" s="194" t="s">
        <v>503</v>
      </c>
      <c r="I60" s="205" t="s">
        <v>504</v>
      </c>
      <c r="J60" s="194" t="s">
        <v>505</v>
      </c>
      <c r="K60" s="194" t="s">
        <v>506</v>
      </c>
      <c r="L60" s="205" t="s">
        <v>507</v>
      </c>
      <c r="M60" s="194" t="s">
        <v>508</v>
      </c>
      <c r="N60" s="84" t="s">
        <v>21</v>
      </c>
    </row>
    <row r="61" spans="1:14">
      <c r="A61" s="196" t="s">
        <v>509</v>
      </c>
      <c r="B61" s="197">
        <v>43018</v>
      </c>
      <c r="C61" s="197">
        <v>39697</v>
      </c>
      <c r="D61" s="197">
        <v>85622</v>
      </c>
      <c r="E61" s="197"/>
      <c r="F61" s="197"/>
      <c r="G61" s="197"/>
      <c r="H61" s="197"/>
      <c r="I61" s="207"/>
      <c r="J61" s="208"/>
      <c r="K61" s="208"/>
      <c r="L61" s="209"/>
      <c r="M61" s="208"/>
      <c r="N61" s="210">
        <f>SUM(B61:M61)</f>
        <v>168337</v>
      </c>
    </row>
    <row r="62" spans="1:14">
      <c r="A62" s="196" t="s">
        <v>510</v>
      </c>
      <c r="B62" s="197">
        <v>0</v>
      </c>
      <c r="C62" s="197">
        <v>0</v>
      </c>
      <c r="D62" s="197">
        <v>0</v>
      </c>
      <c r="E62" s="197"/>
      <c r="F62" s="197"/>
      <c r="G62" s="197"/>
      <c r="H62" s="197"/>
      <c r="I62" s="207"/>
      <c r="J62" s="208"/>
      <c r="K62" s="208"/>
      <c r="L62" s="209"/>
      <c r="M62" s="208"/>
      <c r="N62" s="210">
        <f t="shared" ref="N62:N70" si="3">SUM(B62:M62)</f>
        <v>0</v>
      </c>
    </row>
    <row r="63" spans="1:14">
      <c r="A63" s="196" t="s">
        <v>511</v>
      </c>
      <c r="B63" s="197">
        <v>8770.9</v>
      </c>
      <c r="C63" s="197">
        <v>30598.7</v>
      </c>
      <c r="D63" s="197">
        <v>27606.75</v>
      </c>
      <c r="E63" s="197"/>
      <c r="F63" s="197"/>
      <c r="G63" s="197"/>
      <c r="H63" s="197"/>
      <c r="I63" s="207"/>
      <c r="J63" s="208"/>
      <c r="K63" s="208"/>
      <c r="L63" s="209"/>
      <c r="M63" s="208"/>
      <c r="N63" s="210">
        <f t="shared" si="3"/>
        <v>66976.35</v>
      </c>
    </row>
    <row r="64" spans="1:14">
      <c r="A64" s="196" t="s">
        <v>82</v>
      </c>
      <c r="B64" s="197">
        <v>0</v>
      </c>
      <c r="C64" s="197">
        <v>0</v>
      </c>
      <c r="D64" s="197">
        <v>0</v>
      </c>
      <c r="E64" s="197"/>
      <c r="F64" s="197"/>
      <c r="G64" s="197"/>
      <c r="H64" s="197"/>
      <c r="I64" s="207"/>
      <c r="J64" s="208"/>
      <c r="K64" s="208"/>
      <c r="L64" s="209"/>
      <c r="M64" s="208"/>
      <c r="N64" s="210">
        <f t="shared" si="3"/>
        <v>0</v>
      </c>
    </row>
    <row r="65" spans="1:14">
      <c r="A65" s="196" t="s">
        <v>512</v>
      </c>
      <c r="B65" s="197">
        <v>0</v>
      </c>
      <c r="C65" s="197"/>
      <c r="D65" s="197"/>
      <c r="E65" s="197"/>
      <c r="F65" s="197"/>
      <c r="G65" s="197"/>
      <c r="H65" s="197"/>
      <c r="I65" s="207"/>
      <c r="J65" s="208"/>
      <c r="K65" s="208"/>
      <c r="L65" s="209"/>
      <c r="M65" s="208"/>
      <c r="N65" s="210">
        <f t="shared" si="3"/>
        <v>0</v>
      </c>
    </row>
    <row r="66" spans="1:14">
      <c r="A66" s="196" t="s">
        <v>513</v>
      </c>
      <c r="B66" s="197">
        <v>0</v>
      </c>
      <c r="C66" s="197">
        <v>0</v>
      </c>
      <c r="D66" s="197">
        <v>0</v>
      </c>
      <c r="E66" s="197"/>
      <c r="F66" s="197"/>
      <c r="G66" s="197"/>
      <c r="H66" s="197"/>
      <c r="I66" s="207"/>
      <c r="J66" s="208"/>
      <c r="K66" s="208"/>
      <c r="L66" s="209"/>
      <c r="M66" s="208"/>
      <c r="N66" s="210">
        <f t="shared" si="3"/>
        <v>0</v>
      </c>
    </row>
    <row r="67" spans="1:14">
      <c r="A67" s="196" t="s">
        <v>137</v>
      </c>
      <c r="B67" s="197">
        <v>0</v>
      </c>
      <c r="C67" s="197">
        <v>0</v>
      </c>
      <c r="D67" s="197">
        <v>0</v>
      </c>
      <c r="E67" s="197"/>
      <c r="F67" s="197"/>
      <c r="G67" s="197"/>
      <c r="H67" s="197"/>
      <c r="I67" s="207"/>
      <c r="J67" s="208"/>
      <c r="K67" s="208"/>
      <c r="L67" s="209"/>
      <c r="M67" s="208"/>
      <c r="N67" s="210">
        <f t="shared" si="3"/>
        <v>0</v>
      </c>
    </row>
    <row r="68" spans="1:14">
      <c r="A68" s="196" t="s">
        <v>146</v>
      </c>
      <c r="B68" s="197">
        <v>0</v>
      </c>
      <c r="C68" s="197">
        <v>0</v>
      </c>
      <c r="D68" s="197">
        <v>0</v>
      </c>
      <c r="E68" s="197"/>
      <c r="F68" s="197"/>
      <c r="G68" s="197"/>
      <c r="H68" s="197"/>
      <c r="I68" s="207"/>
      <c r="J68" s="208"/>
      <c r="K68" s="208"/>
      <c r="L68" s="209"/>
      <c r="M68" s="208"/>
      <c r="N68" s="210">
        <f t="shared" si="3"/>
        <v>0</v>
      </c>
    </row>
    <row r="69" spans="1:14">
      <c r="A69" s="196" t="s">
        <v>514</v>
      </c>
      <c r="B69" s="197">
        <v>28579.05</v>
      </c>
      <c r="C69" s="197">
        <v>13864.55</v>
      </c>
      <c r="D69" s="197">
        <v>25895.27</v>
      </c>
      <c r="E69" s="197"/>
      <c r="F69" s="197"/>
      <c r="G69" s="197"/>
      <c r="H69" s="197"/>
      <c r="I69" s="207"/>
      <c r="J69" s="208"/>
      <c r="K69" s="208"/>
      <c r="L69" s="209"/>
      <c r="M69" s="208"/>
      <c r="N69" s="210">
        <f t="shared" si="3"/>
        <v>68338.87</v>
      </c>
    </row>
    <row r="70" spans="1:14">
      <c r="A70" s="196" t="s">
        <v>515</v>
      </c>
      <c r="B70" s="197"/>
      <c r="C70" s="197"/>
      <c r="D70" s="197"/>
      <c r="E70" s="197"/>
      <c r="F70" s="197"/>
      <c r="G70" s="197"/>
      <c r="H70" s="197"/>
      <c r="I70" s="207"/>
      <c r="J70" s="208"/>
      <c r="K70" s="208"/>
      <c r="L70" s="207"/>
      <c r="M70" s="208"/>
      <c r="N70" s="210">
        <f t="shared" si="3"/>
        <v>0</v>
      </c>
    </row>
    <row r="71" spans="1:14">
      <c r="A71" s="196" t="s">
        <v>197</v>
      </c>
      <c r="B71" s="197"/>
      <c r="C71" s="197"/>
      <c r="D71" s="197"/>
      <c r="E71" s="197"/>
      <c r="F71" s="197"/>
      <c r="G71" s="197"/>
      <c r="H71" s="197"/>
      <c r="I71" s="211"/>
      <c r="J71" s="210"/>
      <c r="K71" s="210"/>
      <c r="L71" s="211"/>
      <c r="M71" s="210"/>
      <c r="N71" s="210"/>
    </row>
    <row r="72" spans="1:14">
      <c r="A72" s="196" t="s">
        <v>516</v>
      </c>
      <c r="B72" s="197"/>
      <c r="C72" s="197"/>
      <c r="D72" s="197"/>
      <c r="E72" s="197"/>
      <c r="F72" s="197"/>
      <c r="G72" s="197"/>
      <c r="H72" s="197"/>
      <c r="I72" s="211"/>
      <c r="J72" s="210"/>
      <c r="K72" s="210"/>
      <c r="L72" s="211"/>
      <c r="M72" s="210"/>
      <c r="N72" s="210"/>
    </row>
    <row r="73" spans="1:14">
      <c r="A73" s="196" t="s">
        <v>204</v>
      </c>
      <c r="B73" s="197"/>
      <c r="C73" s="197"/>
      <c r="D73" s="197"/>
      <c r="E73" s="197"/>
      <c r="F73" s="197"/>
      <c r="G73" s="197"/>
      <c r="H73" s="197"/>
      <c r="I73" s="211"/>
      <c r="J73" s="210"/>
      <c r="K73" s="210"/>
      <c r="L73" s="211"/>
      <c r="M73" s="210"/>
      <c r="N73" s="210"/>
    </row>
    <row r="74" spans="1:14">
      <c r="A74" s="196" t="s">
        <v>205</v>
      </c>
      <c r="B74" s="197"/>
      <c r="C74" s="197"/>
      <c r="D74" s="197"/>
      <c r="E74" s="197"/>
      <c r="F74" s="197"/>
      <c r="G74" s="197"/>
      <c r="H74" s="197"/>
      <c r="I74" s="211"/>
      <c r="J74" s="210"/>
      <c r="K74" s="210"/>
      <c r="L74" s="211"/>
      <c r="M74" s="210"/>
      <c r="N74" s="210"/>
    </row>
    <row r="75" spans="1:14">
      <c r="A75" s="196" t="s">
        <v>317</v>
      </c>
      <c r="B75" s="197"/>
      <c r="C75" s="197"/>
      <c r="D75" s="197"/>
      <c r="E75" s="197"/>
      <c r="F75" s="197"/>
      <c r="G75" s="197"/>
      <c r="H75" s="197"/>
      <c r="I75" s="211"/>
      <c r="J75" s="210"/>
      <c r="K75" s="210"/>
      <c r="L75" s="211"/>
      <c r="M75" s="210"/>
      <c r="N75" s="210"/>
    </row>
    <row r="76" spans="1:14">
      <c r="A76" s="196"/>
      <c r="B76" s="196"/>
      <c r="C76" s="196"/>
      <c r="D76" s="196"/>
      <c r="E76" s="196"/>
      <c r="F76" s="196"/>
      <c r="G76" s="196"/>
      <c r="H76" s="196"/>
      <c r="I76" s="218"/>
      <c r="J76" s="84"/>
      <c r="K76" s="84"/>
      <c r="L76" s="218"/>
      <c r="M76" s="84"/>
      <c r="N76" s="84"/>
    </row>
    <row r="78" spans="1:14">
      <c r="A78" s="199"/>
      <c r="B78" s="199" t="s">
        <v>530</v>
      </c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</row>
    <row r="79" ht="28.5" spans="1:14">
      <c r="A79" s="84"/>
      <c r="B79" s="194" t="s">
        <v>497</v>
      </c>
      <c r="C79" s="194" t="s">
        <v>498</v>
      </c>
      <c r="D79" s="195" t="s">
        <v>499</v>
      </c>
      <c r="E79" s="194" t="s">
        <v>500</v>
      </c>
      <c r="F79" s="194" t="s">
        <v>501</v>
      </c>
      <c r="G79" s="194" t="s">
        <v>502</v>
      </c>
      <c r="H79" s="194" t="s">
        <v>503</v>
      </c>
      <c r="I79" s="205" t="s">
        <v>504</v>
      </c>
      <c r="J79" s="194" t="s">
        <v>505</v>
      </c>
      <c r="K79" s="194" t="s">
        <v>506</v>
      </c>
      <c r="L79" s="205" t="s">
        <v>507</v>
      </c>
      <c r="M79" s="194" t="s">
        <v>508</v>
      </c>
      <c r="N79" s="84" t="s">
        <v>21</v>
      </c>
    </row>
    <row r="80" spans="1:14">
      <c r="A80" s="196" t="s">
        <v>509</v>
      </c>
      <c r="B80" s="197">
        <v>21964</v>
      </c>
      <c r="C80" s="197">
        <v>18275</v>
      </c>
      <c r="D80" s="197">
        <v>41086.39</v>
      </c>
      <c r="E80" s="197"/>
      <c r="F80" s="197"/>
      <c r="G80" s="197"/>
      <c r="H80" s="197"/>
      <c r="I80" s="207"/>
      <c r="J80" s="208"/>
      <c r="K80" s="208"/>
      <c r="L80" s="209"/>
      <c r="M80" s="208"/>
      <c r="N80" s="210">
        <f>SUM(B80:M80)</f>
        <v>81325.39</v>
      </c>
    </row>
    <row r="81" spans="1:14">
      <c r="A81" s="196" t="s">
        <v>510</v>
      </c>
      <c r="B81" s="197">
        <v>0</v>
      </c>
      <c r="C81" s="197"/>
      <c r="D81" s="197"/>
      <c r="E81" s="197"/>
      <c r="F81" s="197"/>
      <c r="G81" s="197"/>
      <c r="H81" s="197"/>
      <c r="I81" s="207"/>
      <c r="J81" s="208"/>
      <c r="K81" s="208"/>
      <c r="L81" s="209"/>
      <c r="M81" s="208"/>
      <c r="N81" s="210">
        <f t="shared" ref="N81:N91" si="4">SUM(B81:M81)</f>
        <v>0</v>
      </c>
    </row>
    <row r="82" spans="1:14">
      <c r="A82" s="196" t="s">
        <v>511</v>
      </c>
      <c r="B82" s="197">
        <v>0</v>
      </c>
      <c r="C82" s="197"/>
      <c r="D82" s="197"/>
      <c r="E82" s="197"/>
      <c r="F82" s="197"/>
      <c r="G82" s="197"/>
      <c r="H82" s="197"/>
      <c r="I82" s="207"/>
      <c r="J82" s="208"/>
      <c r="K82" s="208"/>
      <c r="L82" s="209"/>
      <c r="M82" s="208"/>
      <c r="N82" s="210">
        <f t="shared" si="4"/>
        <v>0</v>
      </c>
    </row>
    <row r="83" spans="1:14">
      <c r="A83" s="196" t="s">
        <v>82</v>
      </c>
      <c r="B83" s="197">
        <v>0</v>
      </c>
      <c r="C83" s="197"/>
      <c r="D83" s="197"/>
      <c r="E83" s="197"/>
      <c r="F83" s="197"/>
      <c r="G83" s="197"/>
      <c r="H83" s="197"/>
      <c r="I83" s="207"/>
      <c r="J83" s="208"/>
      <c r="K83" s="208"/>
      <c r="L83" s="209"/>
      <c r="M83" s="208"/>
      <c r="N83" s="210">
        <f t="shared" si="4"/>
        <v>0</v>
      </c>
    </row>
    <row r="84" spans="1:14">
      <c r="A84" s="196" t="s">
        <v>512</v>
      </c>
      <c r="B84" s="197">
        <v>0</v>
      </c>
      <c r="C84" s="197">
        <v>0</v>
      </c>
      <c r="D84" s="197">
        <v>0</v>
      </c>
      <c r="E84" s="197"/>
      <c r="F84" s="197"/>
      <c r="G84" s="197"/>
      <c r="H84" s="197"/>
      <c r="I84" s="207"/>
      <c r="J84" s="208"/>
      <c r="K84" s="208"/>
      <c r="L84" s="209"/>
      <c r="M84" s="208"/>
      <c r="N84" s="210">
        <f t="shared" si="4"/>
        <v>0</v>
      </c>
    </row>
    <row r="85" spans="1:14">
      <c r="A85" s="196" t="s">
        <v>513</v>
      </c>
      <c r="B85" s="197">
        <v>0</v>
      </c>
      <c r="C85" s="197">
        <v>0</v>
      </c>
      <c r="D85" s="197">
        <v>0</v>
      </c>
      <c r="E85" s="197"/>
      <c r="F85" s="197"/>
      <c r="G85" s="197"/>
      <c r="H85" s="197"/>
      <c r="I85" s="207"/>
      <c r="J85" s="208"/>
      <c r="K85" s="208"/>
      <c r="L85" s="209"/>
      <c r="M85" s="208"/>
      <c r="N85" s="210">
        <f t="shared" si="4"/>
        <v>0</v>
      </c>
    </row>
    <row r="86" spans="1:14">
      <c r="A86" s="196" t="s">
        <v>137</v>
      </c>
      <c r="B86" s="197">
        <v>50698</v>
      </c>
      <c r="C86" s="197">
        <v>30357</v>
      </c>
      <c r="D86" s="197">
        <v>48617</v>
      </c>
      <c r="E86" s="197"/>
      <c r="F86" s="197"/>
      <c r="G86" s="197"/>
      <c r="H86" s="197"/>
      <c r="I86" s="207"/>
      <c r="J86" s="208"/>
      <c r="K86" s="208"/>
      <c r="L86" s="209"/>
      <c r="M86" s="208"/>
      <c r="N86" s="210">
        <f t="shared" si="4"/>
        <v>129672</v>
      </c>
    </row>
    <row r="87" spans="1:14">
      <c r="A87" s="196" t="s">
        <v>146</v>
      </c>
      <c r="B87" s="197">
        <v>4819.4</v>
      </c>
      <c r="C87" s="197">
        <v>22214.77</v>
      </c>
      <c r="D87" s="197">
        <v>26860.11</v>
      </c>
      <c r="E87" s="197"/>
      <c r="F87" s="197"/>
      <c r="G87" s="197"/>
      <c r="H87" s="197"/>
      <c r="I87" s="207"/>
      <c r="J87" s="208"/>
      <c r="K87" s="208"/>
      <c r="L87" s="209"/>
      <c r="M87" s="208"/>
      <c r="N87" s="210">
        <f t="shared" si="4"/>
        <v>53894.28</v>
      </c>
    </row>
    <row r="88" spans="1:14">
      <c r="A88" s="196" t="s">
        <v>514</v>
      </c>
      <c r="B88" s="197">
        <v>19035.72</v>
      </c>
      <c r="C88" s="197">
        <v>14989.04</v>
      </c>
      <c r="D88" s="197">
        <v>15457.88</v>
      </c>
      <c r="E88" s="197"/>
      <c r="F88" s="197"/>
      <c r="G88" s="197"/>
      <c r="H88" s="197"/>
      <c r="I88" s="207"/>
      <c r="J88" s="208"/>
      <c r="K88" s="208"/>
      <c r="L88" s="209"/>
      <c r="M88" s="208"/>
      <c r="N88" s="210">
        <f t="shared" si="4"/>
        <v>49482.64</v>
      </c>
    </row>
    <row r="89" spans="1:14">
      <c r="A89" s="196" t="s">
        <v>515</v>
      </c>
      <c r="B89" s="197">
        <v>16401</v>
      </c>
      <c r="C89" s="197">
        <v>11438</v>
      </c>
      <c r="D89" s="197">
        <v>14027</v>
      </c>
      <c r="E89" s="197"/>
      <c r="F89" s="197"/>
      <c r="G89" s="197"/>
      <c r="H89" s="197"/>
      <c r="I89" s="207"/>
      <c r="J89" s="208"/>
      <c r="K89" s="208"/>
      <c r="L89" s="209"/>
      <c r="M89" s="208"/>
      <c r="N89" s="210">
        <f t="shared" si="4"/>
        <v>41866</v>
      </c>
    </row>
    <row r="90" spans="1:14">
      <c r="A90" s="196" t="s">
        <v>197</v>
      </c>
      <c r="B90" s="197"/>
      <c r="C90" s="197"/>
      <c r="D90" s="197"/>
      <c r="E90" s="197"/>
      <c r="F90" s="197"/>
      <c r="G90" s="197"/>
      <c r="H90" s="197"/>
      <c r="I90" s="207"/>
      <c r="J90" s="208"/>
      <c r="K90" s="208"/>
      <c r="L90" s="207"/>
      <c r="M90" s="208"/>
      <c r="N90" s="210">
        <f t="shared" si="4"/>
        <v>0</v>
      </c>
    </row>
    <row r="91" spans="1:14">
      <c r="A91" s="196" t="s">
        <v>516</v>
      </c>
      <c r="B91" s="197"/>
      <c r="C91" s="197"/>
      <c r="D91" s="197"/>
      <c r="E91" s="197"/>
      <c r="F91" s="197"/>
      <c r="G91" s="197"/>
      <c r="H91" s="197"/>
      <c r="I91" s="207"/>
      <c r="J91" s="208"/>
      <c r="K91" s="208"/>
      <c r="L91" s="207"/>
      <c r="M91" s="208"/>
      <c r="N91" s="210">
        <f t="shared" si="4"/>
        <v>0</v>
      </c>
    </row>
    <row r="92" spans="1:14">
      <c r="A92" s="196" t="s">
        <v>204</v>
      </c>
      <c r="B92" s="197"/>
      <c r="C92" s="197"/>
      <c r="D92" s="196"/>
      <c r="E92" s="196"/>
      <c r="F92" s="197"/>
      <c r="G92" s="196"/>
      <c r="H92" s="196"/>
      <c r="I92" s="207"/>
      <c r="J92" s="219"/>
      <c r="K92" s="208"/>
      <c r="L92" s="207"/>
      <c r="M92" s="219"/>
      <c r="N92" s="210"/>
    </row>
    <row r="93" spans="1:14">
      <c r="A93" s="196" t="s">
        <v>205</v>
      </c>
      <c r="B93" s="196"/>
      <c r="C93" s="197"/>
      <c r="D93" s="196"/>
      <c r="E93" s="196"/>
      <c r="F93" s="196"/>
      <c r="G93" s="196"/>
      <c r="H93" s="196"/>
      <c r="I93" s="218"/>
      <c r="J93" s="84"/>
      <c r="K93" s="84"/>
      <c r="L93" s="218"/>
      <c r="M93" s="84"/>
      <c r="N93" s="210"/>
    </row>
    <row r="94" spans="1:14">
      <c r="A94" s="196" t="s">
        <v>317</v>
      </c>
      <c r="B94" s="196"/>
      <c r="C94" s="196"/>
      <c r="D94" s="196"/>
      <c r="E94" s="196"/>
      <c r="F94" s="196"/>
      <c r="G94" s="196"/>
      <c r="H94" s="196"/>
      <c r="I94" s="218"/>
      <c r="J94" s="84"/>
      <c r="K94" s="84"/>
      <c r="L94" s="218"/>
      <c r="M94" s="84"/>
      <c r="N94" s="84"/>
    </row>
    <row r="95" spans="1:14">
      <c r="A95" s="196"/>
      <c r="B95" s="196"/>
      <c r="C95" s="196"/>
      <c r="D95" s="196"/>
      <c r="E95" s="196"/>
      <c r="F95" s="196"/>
      <c r="G95" s="196"/>
      <c r="H95" s="196"/>
      <c r="I95" s="218"/>
      <c r="J95" s="84"/>
      <c r="K95" s="84"/>
      <c r="L95" s="218"/>
      <c r="M95" s="84"/>
      <c r="N95" s="84"/>
    </row>
    <row r="97" spans="1:14">
      <c r="A97" s="193"/>
      <c r="B97" t="s">
        <v>531</v>
      </c>
      <c r="C97"/>
      <c r="D97"/>
      <c r="E97"/>
      <c r="F97"/>
      <c r="G97"/>
      <c r="H97"/>
      <c r="I97"/>
      <c r="J97"/>
      <c r="K97"/>
      <c r="L97"/>
      <c r="M97"/>
      <c r="N97"/>
    </row>
    <row r="98" ht="28.5" spans="1:14">
      <c r="A98" s="84"/>
      <c r="B98" s="194" t="s">
        <v>497</v>
      </c>
      <c r="C98" s="194" t="s">
        <v>498</v>
      </c>
      <c r="D98" s="195" t="s">
        <v>499</v>
      </c>
      <c r="E98" s="194" t="s">
        <v>500</v>
      </c>
      <c r="F98" s="194" t="s">
        <v>501</v>
      </c>
      <c r="G98" s="194" t="s">
        <v>502</v>
      </c>
      <c r="H98" s="194" t="s">
        <v>503</v>
      </c>
      <c r="I98" s="205" t="s">
        <v>504</v>
      </c>
      <c r="J98" s="194" t="s">
        <v>505</v>
      </c>
      <c r="K98" s="194" t="s">
        <v>506</v>
      </c>
      <c r="L98" s="205" t="s">
        <v>507</v>
      </c>
      <c r="M98" s="194" t="s">
        <v>508</v>
      </c>
      <c r="N98" s="84" t="s">
        <v>21</v>
      </c>
    </row>
    <row r="99" spans="1:14">
      <c r="A99" s="196" t="s">
        <v>323</v>
      </c>
      <c r="B99" s="196">
        <v>32599</v>
      </c>
      <c r="C99" s="200">
        <v>13708</v>
      </c>
      <c r="D99" s="196">
        <v>25439</v>
      </c>
      <c r="E99" s="196"/>
      <c r="F99" s="196"/>
      <c r="G99" s="196"/>
      <c r="H99" s="196"/>
      <c r="I99" s="220"/>
      <c r="J99" s="219"/>
      <c r="K99" s="219"/>
      <c r="L99" s="209"/>
      <c r="M99" s="219"/>
      <c r="N99" s="84">
        <f>SUM(B99:M99)</f>
        <v>71746</v>
      </c>
    </row>
    <row r="101" spans="1:14">
      <c r="A101" s="199"/>
      <c r="B101" s="199" t="s">
        <v>532</v>
      </c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</row>
    <row r="102" ht="28.5" spans="1:14">
      <c r="A102" s="84"/>
      <c r="B102" s="194" t="s">
        <v>497</v>
      </c>
      <c r="C102" s="194" t="s">
        <v>498</v>
      </c>
      <c r="D102" s="195" t="s">
        <v>499</v>
      </c>
      <c r="E102" s="194" t="s">
        <v>500</v>
      </c>
      <c r="F102" s="194" t="s">
        <v>501</v>
      </c>
      <c r="G102" s="194" t="s">
        <v>502</v>
      </c>
      <c r="H102" s="194" t="s">
        <v>503</v>
      </c>
      <c r="I102" s="205" t="s">
        <v>504</v>
      </c>
      <c r="J102" s="194" t="s">
        <v>505</v>
      </c>
      <c r="K102" s="194" t="s">
        <v>506</v>
      </c>
      <c r="L102" s="205" t="s">
        <v>507</v>
      </c>
      <c r="M102" s="194" t="s">
        <v>508</v>
      </c>
      <c r="N102" s="84" t="s">
        <v>21</v>
      </c>
    </row>
    <row r="103" spans="1:14">
      <c r="A103" s="196" t="s">
        <v>197</v>
      </c>
      <c r="B103" s="196"/>
      <c r="C103" s="196"/>
      <c r="D103" s="196"/>
      <c r="E103" s="196"/>
      <c r="F103" s="196"/>
      <c r="G103" s="196"/>
      <c r="H103" s="196"/>
      <c r="I103" s="220"/>
      <c r="J103" s="219"/>
      <c r="K103" s="219"/>
      <c r="L103" s="220"/>
      <c r="M103" s="219"/>
      <c r="N103" s="84">
        <f>SUM(B103:M103)</f>
        <v>0</v>
      </c>
    </row>
    <row r="104" spans="1:14">
      <c r="A104" s="84"/>
      <c r="B104" s="84"/>
      <c r="C104" s="84"/>
      <c r="D104" s="85"/>
      <c r="E104" s="84"/>
      <c r="F104" s="84"/>
      <c r="G104" s="84"/>
      <c r="H104" s="84"/>
      <c r="I104" s="218"/>
      <c r="J104" s="84"/>
      <c r="K104" s="84"/>
      <c r="L104" s="218"/>
      <c r="M104" s="84"/>
      <c r="N104" s="84"/>
    </row>
  </sheetData>
  <mergeCells count="8">
    <mergeCell ref="A1:N1"/>
    <mergeCell ref="B2:N2"/>
    <mergeCell ref="B21:N21"/>
    <mergeCell ref="B40:N40"/>
    <mergeCell ref="B59:N59"/>
    <mergeCell ref="B78:N78"/>
    <mergeCell ref="B97:N97"/>
    <mergeCell ref="B101:N101"/>
  </mergeCells>
  <pageMargins left="0.75" right="0.75" top="1" bottom="1" header="0.5" footer="0.5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3"/>
  <sheetViews>
    <sheetView zoomScale="70" zoomScaleNormal="70" workbookViewId="0">
      <selection activeCell="AA65" sqref="AA65:AA74"/>
    </sheetView>
  </sheetViews>
  <sheetFormatPr defaultColWidth="9" defaultRowHeight="14.25"/>
  <cols>
    <col min="1" max="1" width="12.3166666666667" customWidth="1"/>
    <col min="3" max="3" width="8.74166666666667" customWidth="1"/>
    <col min="4" max="4" width="10.525" customWidth="1"/>
    <col min="5" max="5" width="9.625"/>
    <col min="6" max="6" width="10.5333333333333" customWidth="1"/>
    <col min="7" max="7" width="9.625"/>
    <col min="8" max="8" width="11.625"/>
    <col min="9" max="9" width="9.5" customWidth="1"/>
    <col min="10" max="10" width="11.625"/>
    <col min="11" max="11" width="9.625"/>
    <col min="12" max="12" width="11.625"/>
    <col min="14" max="14" width="11.625"/>
    <col min="16" max="16" width="12.625"/>
    <col min="17" max="28" width="10.8833333333333" customWidth="1"/>
  </cols>
  <sheetData>
    <row r="1" spans="1:10">
      <c r="A1" t="s">
        <v>533</v>
      </c>
      <c r="J1" t="s">
        <v>534</v>
      </c>
    </row>
    <row r="2" ht="25.5" spans="1:20">
      <c r="A2" s="142" t="s">
        <v>535</v>
      </c>
      <c r="B2" s="142"/>
      <c r="C2" s="142"/>
      <c r="D2" s="143"/>
      <c r="E2" s="144"/>
      <c r="F2" s="145"/>
      <c r="G2" s="144"/>
      <c r="H2" s="145"/>
      <c r="I2" s="144"/>
      <c r="J2" s="145"/>
      <c r="K2" s="144"/>
      <c r="L2" s="145"/>
      <c r="M2" s="144"/>
      <c r="N2" s="145"/>
      <c r="O2" s="144"/>
      <c r="P2" s="44" t="s">
        <v>536</v>
      </c>
      <c r="Q2" s="44">
        <v>30</v>
      </c>
      <c r="S2" s="44" t="s">
        <v>537</v>
      </c>
      <c r="T2" s="44">
        <v>365</v>
      </c>
    </row>
    <row r="3" spans="1:20">
      <c r="A3" s="146" t="s">
        <v>538</v>
      </c>
      <c r="B3" s="146"/>
      <c r="C3" s="147"/>
      <c r="D3" s="148" t="s">
        <v>539</v>
      </c>
      <c r="E3" s="149"/>
      <c r="F3" s="149" t="s">
        <v>540</v>
      </c>
      <c r="G3" s="149"/>
      <c r="H3" s="149" t="s">
        <v>541</v>
      </c>
      <c r="I3" s="149"/>
      <c r="J3" s="149" t="s">
        <v>542</v>
      </c>
      <c r="K3" s="149"/>
      <c r="L3" s="149" t="s">
        <v>543</v>
      </c>
      <c r="M3" s="149"/>
      <c r="N3" s="149" t="s">
        <v>544</v>
      </c>
      <c r="O3" s="149"/>
      <c r="P3" s="44" t="s">
        <v>536</v>
      </c>
      <c r="Q3" s="44">
        <v>30</v>
      </c>
      <c r="S3" s="170"/>
      <c r="T3" s="171"/>
    </row>
    <row r="4" ht="27" spans="1:32">
      <c r="A4" s="44"/>
      <c r="B4" s="44"/>
      <c r="C4" s="147"/>
      <c r="D4" s="150" t="s">
        <v>545</v>
      </c>
      <c r="E4" s="151" t="s">
        <v>546</v>
      </c>
      <c r="F4" s="150" t="s">
        <v>545</v>
      </c>
      <c r="G4" s="151" t="s">
        <v>546</v>
      </c>
      <c r="H4" s="150" t="s">
        <v>545</v>
      </c>
      <c r="I4" s="151" t="s">
        <v>546</v>
      </c>
      <c r="J4" s="150" t="s">
        <v>545</v>
      </c>
      <c r="K4" s="151" t="s">
        <v>546</v>
      </c>
      <c r="L4" s="150" t="s">
        <v>545</v>
      </c>
      <c r="M4" s="151" t="s">
        <v>546</v>
      </c>
      <c r="N4" s="150" t="s">
        <v>545</v>
      </c>
      <c r="O4" s="151" t="s">
        <v>546</v>
      </c>
      <c r="P4" s="44" t="s">
        <v>536</v>
      </c>
      <c r="Q4" s="44">
        <v>30</v>
      </c>
      <c r="S4" s="170"/>
      <c r="T4" s="171"/>
      <c r="U4" s="172" t="s">
        <v>547</v>
      </c>
      <c r="V4" s="173" t="s">
        <v>5</v>
      </c>
      <c r="W4" s="173" t="s">
        <v>6</v>
      </c>
      <c r="X4" s="173" t="s">
        <v>153</v>
      </c>
      <c r="Y4" s="173"/>
      <c r="Z4" s="173"/>
      <c r="AA4" s="173" t="s">
        <v>154</v>
      </c>
      <c r="AB4" s="173"/>
      <c r="AC4" s="173"/>
      <c r="AD4" s="173" t="s">
        <v>163</v>
      </c>
      <c r="AE4" s="173"/>
      <c r="AF4" s="173"/>
    </row>
    <row r="5" ht="18.75" spans="1:32">
      <c r="A5" s="44" t="s">
        <v>371</v>
      </c>
      <c r="B5" s="44"/>
      <c r="C5" s="147"/>
      <c r="D5" s="152">
        <f>E5*Q2/10000</f>
        <v>138.631232876712</v>
      </c>
      <c r="E5" s="153">
        <f>V23*10000/T2</f>
        <v>46210.4109589041</v>
      </c>
      <c r="F5" s="152">
        <f>G5*Q5/10000</f>
        <v>88.8230136986301</v>
      </c>
      <c r="G5" s="153">
        <f>W23*10000/T2</f>
        <v>29607.6712328767</v>
      </c>
      <c r="H5" s="152">
        <f>I5*Q5/10000</f>
        <v>39.1544942465754</v>
      </c>
      <c r="I5" s="153">
        <f>AA23*10000/T2</f>
        <v>13051.4980821918</v>
      </c>
      <c r="J5" s="152">
        <f>K5*Q2/10000</f>
        <v>94.0980821917809</v>
      </c>
      <c r="K5" s="153">
        <f>X23*10000/T2</f>
        <v>31366.0273972603</v>
      </c>
      <c r="L5" s="152">
        <f>M5*Q5/10000</f>
        <v>23.175</v>
      </c>
      <c r="M5" s="153">
        <v>7725</v>
      </c>
      <c r="N5" s="152">
        <f>O5*Q5/10000</f>
        <v>20.115</v>
      </c>
      <c r="O5" s="153">
        <v>6705</v>
      </c>
      <c r="P5" s="44" t="s">
        <v>536</v>
      </c>
      <c r="Q5" s="44">
        <v>30</v>
      </c>
      <c r="S5" s="170"/>
      <c r="T5" s="171"/>
      <c r="U5" s="172"/>
      <c r="V5" s="173"/>
      <c r="W5" s="173"/>
      <c r="X5" s="173" t="s">
        <v>293</v>
      </c>
      <c r="Y5" s="173" t="s">
        <v>288</v>
      </c>
      <c r="Z5" s="173" t="s">
        <v>195</v>
      </c>
      <c r="AA5" s="173" t="s">
        <v>293</v>
      </c>
      <c r="AB5" s="173" t="s">
        <v>288</v>
      </c>
      <c r="AC5" s="173" t="s">
        <v>195</v>
      </c>
      <c r="AD5" s="173" t="s">
        <v>293</v>
      </c>
      <c r="AE5" s="173" t="s">
        <v>288</v>
      </c>
      <c r="AF5" s="173" t="s">
        <v>195</v>
      </c>
    </row>
    <row r="6" ht="18.75" spans="1:32">
      <c r="A6" s="44" t="s">
        <v>548</v>
      </c>
      <c r="B6" s="150" t="s">
        <v>21</v>
      </c>
      <c r="C6" s="147"/>
      <c r="D6" s="152">
        <f t="shared" ref="D6:D37" si="0">E6*Q3/10000</f>
        <v>14.2894520547945</v>
      </c>
      <c r="E6" s="153">
        <f>V8*10000/T2</f>
        <v>4763.15068493151</v>
      </c>
      <c r="F6" s="152">
        <f t="shared" ref="F6:F55" si="1">G6*Q6/10000</f>
        <v>10.3268054794521</v>
      </c>
      <c r="G6" s="153">
        <f>W8*10000/T2</f>
        <v>3442.26849315069</v>
      </c>
      <c r="H6" s="152">
        <f t="shared" ref="H6:H39" si="2">I6*Q6/10000</f>
        <v>2.99750794520548</v>
      </c>
      <c r="I6" s="153">
        <f>AA8*10000/T2</f>
        <v>999.169315068493</v>
      </c>
      <c r="J6" s="152">
        <f t="shared" ref="J6:J53" si="3">K6*Q3/10000</f>
        <v>5.17068493150686</v>
      </c>
      <c r="K6" s="153">
        <f>X8*10000/T2</f>
        <v>1723.56164383562</v>
      </c>
      <c r="L6" s="152">
        <v>4.1</v>
      </c>
      <c r="M6" s="153">
        <v>1464</v>
      </c>
      <c r="N6" s="152">
        <v>5.79532258064515</v>
      </c>
      <c r="O6" s="153">
        <v>1998.38709677419</v>
      </c>
      <c r="P6" s="44" t="s">
        <v>536</v>
      </c>
      <c r="Q6" s="44">
        <v>30</v>
      </c>
      <c r="S6" s="170"/>
      <c r="T6" s="171"/>
      <c r="U6" s="174" t="s">
        <v>304</v>
      </c>
      <c r="V6" s="175">
        <v>61.86</v>
      </c>
      <c r="W6" s="175">
        <v>52.83</v>
      </c>
      <c r="X6" s="175">
        <v>78.33</v>
      </c>
      <c r="Y6" s="175">
        <v>72</v>
      </c>
      <c r="Z6" s="175">
        <v>1570</v>
      </c>
      <c r="AA6" s="175">
        <v>8.53</v>
      </c>
      <c r="AB6" s="175">
        <v>8.93</v>
      </c>
      <c r="AC6" s="175">
        <v>1652</v>
      </c>
      <c r="AD6" s="175">
        <v>6.17</v>
      </c>
      <c r="AE6" s="175">
        <v>6.17</v>
      </c>
      <c r="AF6" s="175">
        <v>2118</v>
      </c>
    </row>
    <row r="7" ht="18.75" spans="1:32">
      <c r="A7" s="44"/>
      <c r="B7" s="154" t="s">
        <v>376</v>
      </c>
      <c r="C7" s="155"/>
      <c r="D7" s="152">
        <f t="shared" si="0"/>
        <v>3.7323287671233</v>
      </c>
      <c r="E7" s="153">
        <f>V29*10000/T2</f>
        <v>1244.1095890411</v>
      </c>
      <c r="F7" s="152">
        <f t="shared" si="1"/>
        <v>1.72520547945205</v>
      </c>
      <c r="G7" s="153">
        <f>W29*10000/T2</f>
        <v>575.068493150685</v>
      </c>
      <c r="H7" s="152">
        <f t="shared" si="2"/>
        <v>1.15150684931507</v>
      </c>
      <c r="I7" s="153">
        <f>AA29*10000/T2</f>
        <v>383.835616438356</v>
      </c>
      <c r="J7" s="152" t="e">
        <f t="shared" si="3"/>
        <v>#VALUE!</v>
      </c>
      <c r="K7" s="153" t="s">
        <v>549</v>
      </c>
      <c r="L7" s="152" t="s">
        <v>549</v>
      </c>
      <c r="M7" s="153" t="s">
        <v>549</v>
      </c>
      <c r="N7" s="153" t="s">
        <v>549</v>
      </c>
      <c r="O7" s="153" t="s">
        <v>549</v>
      </c>
      <c r="P7" s="44" t="s">
        <v>536</v>
      </c>
      <c r="Q7" s="44">
        <v>30</v>
      </c>
      <c r="S7" s="170"/>
      <c r="T7" s="171"/>
      <c r="U7" s="174" t="s">
        <v>550</v>
      </c>
      <c r="V7" s="175">
        <v>125</v>
      </c>
      <c r="W7" s="175">
        <v>125</v>
      </c>
      <c r="X7" s="175">
        <v>110</v>
      </c>
      <c r="Y7" s="175">
        <v>112.6</v>
      </c>
      <c r="Z7" s="175">
        <v>1683</v>
      </c>
      <c r="AA7" s="175"/>
      <c r="AB7" s="175"/>
      <c r="AC7" s="175"/>
      <c r="AD7" s="175">
        <v>13.49</v>
      </c>
      <c r="AE7" s="175">
        <v>13.49</v>
      </c>
      <c r="AF7" s="175">
        <v>2304</v>
      </c>
    </row>
    <row r="8" ht="18.75" spans="1:32">
      <c r="A8" s="44"/>
      <c r="B8" s="154" t="s">
        <v>551</v>
      </c>
      <c r="C8" s="155"/>
      <c r="D8" s="152">
        <f t="shared" si="0"/>
        <v>0</v>
      </c>
      <c r="E8" s="153">
        <v>0</v>
      </c>
      <c r="F8" s="152">
        <f t="shared" si="1"/>
        <v>0</v>
      </c>
      <c r="G8" s="153">
        <v>0</v>
      </c>
      <c r="H8" s="152">
        <f t="shared" si="2"/>
        <v>0</v>
      </c>
      <c r="I8" s="153">
        <v>0</v>
      </c>
      <c r="J8" s="152">
        <f t="shared" si="3"/>
        <v>0</v>
      </c>
      <c r="K8" s="153">
        <v>0</v>
      </c>
      <c r="L8" s="152" t="s">
        <v>549</v>
      </c>
      <c r="M8" s="153" t="s">
        <v>549</v>
      </c>
      <c r="N8" s="153" t="s">
        <v>549</v>
      </c>
      <c r="O8" s="153" t="s">
        <v>549</v>
      </c>
      <c r="P8" s="44" t="s">
        <v>536</v>
      </c>
      <c r="Q8" s="44">
        <v>30</v>
      </c>
      <c r="S8" s="170"/>
      <c r="T8" s="171"/>
      <c r="U8" s="174" t="s">
        <v>552</v>
      </c>
      <c r="V8" s="175">
        <v>173.855</v>
      </c>
      <c r="W8" s="175">
        <v>125.6428</v>
      </c>
      <c r="X8" s="175">
        <v>62.91</v>
      </c>
      <c r="Y8" s="175">
        <v>70.593</v>
      </c>
      <c r="Z8" s="175">
        <v>1732.82614032821</v>
      </c>
      <c r="AA8" s="175">
        <v>36.46968</v>
      </c>
      <c r="AB8" s="175">
        <v>22.9616</v>
      </c>
      <c r="AC8" s="175">
        <v>1766.42139400316</v>
      </c>
      <c r="AD8" s="175">
        <v>61.078</v>
      </c>
      <c r="AE8" s="175">
        <v>61.078</v>
      </c>
      <c r="AF8" s="175">
        <v>2376.19244324135</v>
      </c>
    </row>
    <row r="9" ht="18.75" spans="1:32">
      <c r="A9" s="44"/>
      <c r="B9" s="154" t="s">
        <v>553</v>
      </c>
      <c r="C9" s="155"/>
      <c r="D9" s="152">
        <f t="shared" si="0"/>
        <v>0</v>
      </c>
      <c r="E9" s="153">
        <v>0</v>
      </c>
      <c r="F9" s="152">
        <f t="shared" si="1"/>
        <v>0</v>
      </c>
      <c r="G9" s="153">
        <v>0</v>
      </c>
      <c r="H9" s="152">
        <f t="shared" si="2"/>
        <v>0</v>
      </c>
      <c r="I9" s="153">
        <v>0</v>
      </c>
      <c r="J9" s="152" t="e">
        <f t="shared" si="3"/>
        <v>#VALUE!</v>
      </c>
      <c r="K9" s="153" t="s">
        <v>549</v>
      </c>
      <c r="L9" s="152">
        <v>0</v>
      </c>
      <c r="M9" s="153">
        <v>0</v>
      </c>
      <c r="N9" s="152">
        <v>0</v>
      </c>
      <c r="O9" s="153">
        <v>0</v>
      </c>
      <c r="P9" s="44" t="s">
        <v>536</v>
      </c>
      <c r="Q9" s="44">
        <v>30</v>
      </c>
      <c r="S9" s="170"/>
      <c r="T9" s="171"/>
      <c r="U9" s="174" t="s">
        <v>316</v>
      </c>
      <c r="V9" s="175">
        <v>34.02</v>
      </c>
      <c r="W9" s="175">
        <v>28.88</v>
      </c>
      <c r="X9" s="175">
        <v>40.45</v>
      </c>
      <c r="Y9" s="175">
        <v>31.19</v>
      </c>
      <c r="Z9" s="175">
        <v>1591.64</v>
      </c>
      <c r="AA9" s="175">
        <v>4.85</v>
      </c>
      <c r="AB9" s="175">
        <v>3.97</v>
      </c>
      <c r="AC9" s="175">
        <v>1642.29</v>
      </c>
      <c r="AD9" s="175">
        <v>3</v>
      </c>
      <c r="AE9" s="175">
        <v>3</v>
      </c>
      <c r="AF9" s="175">
        <v>2165.2</v>
      </c>
    </row>
    <row r="10" ht="18.75" spans="1:32">
      <c r="A10" s="44"/>
      <c r="B10" s="154" t="s">
        <v>554</v>
      </c>
      <c r="C10" s="155"/>
      <c r="D10" s="152">
        <f t="shared" si="0"/>
        <v>0</v>
      </c>
      <c r="E10" s="153">
        <v>0</v>
      </c>
      <c r="F10" s="152">
        <f t="shared" si="1"/>
        <v>0</v>
      </c>
      <c r="G10" s="153">
        <v>0</v>
      </c>
      <c r="H10" s="152">
        <f t="shared" si="2"/>
        <v>0</v>
      </c>
      <c r="I10" s="153">
        <v>0</v>
      </c>
      <c r="J10" s="152">
        <f t="shared" si="3"/>
        <v>0</v>
      </c>
      <c r="K10" s="153">
        <v>0</v>
      </c>
      <c r="L10" s="152" t="s">
        <v>549</v>
      </c>
      <c r="M10" s="153" t="s">
        <v>549</v>
      </c>
      <c r="N10" s="153" t="s">
        <v>549</v>
      </c>
      <c r="O10" s="153" t="s">
        <v>549</v>
      </c>
      <c r="P10" s="44" t="s">
        <v>536</v>
      </c>
      <c r="Q10" s="44">
        <v>30</v>
      </c>
      <c r="S10" s="170"/>
      <c r="T10" s="171"/>
      <c r="U10" s="174" t="s">
        <v>317</v>
      </c>
      <c r="V10" s="175">
        <v>50.42</v>
      </c>
      <c r="W10" s="175">
        <v>40.69</v>
      </c>
      <c r="X10" s="175">
        <v>66.15</v>
      </c>
      <c r="Y10" s="175">
        <v>68.48</v>
      </c>
      <c r="Z10" s="175">
        <v>1587.8927946004</v>
      </c>
      <c r="AA10" s="175">
        <v>9.185</v>
      </c>
      <c r="AB10" s="175">
        <v>10.85</v>
      </c>
      <c r="AC10" s="175">
        <v>1641.39042599608</v>
      </c>
      <c r="AD10" s="175">
        <v>6.47</v>
      </c>
      <c r="AE10" s="175">
        <v>6.47</v>
      </c>
      <c r="AF10" s="175">
        <v>2070.09299494044</v>
      </c>
    </row>
    <row r="11" ht="18.75" spans="1:32">
      <c r="A11" s="44"/>
      <c r="B11" s="154" t="s">
        <v>555</v>
      </c>
      <c r="C11" s="155"/>
      <c r="D11" s="152">
        <f t="shared" si="0"/>
        <v>0</v>
      </c>
      <c r="E11" s="153">
        <v>0</v>
      </c>
      <c r="F11" s="152">
        <f t="shared" si="1"/>
        <v>0</v>
      </c>
      <c r="G11" s="153">
        <v>0</v>
      </c>
      <c r="H11" s="152">
        <f t="shared" si="2"/>
        <v>0</v>
      </c>
      <c r="I11" s="153">
        <v>0</v>
      </c>
      <c r="J11" s="152">
        <f t="shared" si="3"/>
        <v>0</v>
      </c>
      <c r="K11" s="153">
        <v>0</v>
      </c>
      <c r="L11" s="152">
        <v>0</v>
      </c>
      <c r="M11" s="153">
        <v>0</v>
      </c>
      <c r="N11" s="153" t="s">
        <v>549</v>
      </c>
      <c r="O11" s="153" t="s">
        <v>549</v>
      </c>
      <c r="P11" s="44" t="s">
        <v>536</v>
      </c>
      <c r="Q11" s="44">
        <v>30</v>
      </c>
      <c r="S11" s="170"/>
      <c r="T11" s="171"/>
      <c r="U11" s="174" t="s">
        <v>556</v>
      </c>
      <c r="V11" s="175">
        <v>80</v>
      </c>
      <c r="W11" s="175">
        <v>30</v>
      </c>
      <c r="X11" s="175">
        <v>52</v>
      </c>
      <c r="Y11" s="175">
        <v>52</v>
      </c>
      <c r="Z11" s="175">
        <v>1644.2</v>
      </c>
      <c r="AA11" s="175"/>
      <c r="AB11" s="175"/>
      <c r="AC11" s="175"/>
      <c r="AD11" s="175"/>
      <c r="AE11" s="175"/>
      <c r="AF11" s="175"/>
    </row>
    <row r="12" ht="18.75" spans="1:32">
      <c r="A12" s="44"/>
      <c r="B12" s="154" t="s">
        <v>18</v>
      </c>
      <c r="C12" s="155"/>
      <c r="D12" s="152">
        <f t="shared" si="0"/>
        <v>4.17369863013699</v>
      </c>
      <c r="E12" s="153">
        <f>V30*10000/T2</f>
        <v>1391.23287671233</v>
      </c>
      <c r="F12" s="152">
        <f t="shared" si="1"/>
        <v>3.38958904109589</v>
      </c>
      <c r="G12" s="153">
        <f>W30*10000/T2</f>
        <v>1129.86301369863</v>
      </c>
      <c r="H12" s="152">
        <f t="shared" si="2"/>
        <v>0.739726027397259</v>
      </c>
      <c r="I12" s="153">
        <f>AA30*10000/T2</f>
        <v>246.575342465753</v>
      </c>
      <c r="J12" s="152">
        <f t="shared" si="3"/>
        <v>1.14328767123288</v>
      </c>
      <c r="K12" s="153">
        <f>X30*10000/T2</f>
        <v>381.095890410959</v>
      </c>
      <c r="L12" s="152">
        <v>3.51</v>
      </c>
      <c r="M12" s="153">
        <v>1254</v>
      </c>
      <c r="N12" s="152">
        <v>5.23870967741937</v>
      </c>
      <c r="O12" s="153">
        <v>1806.45161290323</v>
      </c>
      <c r="P12" s="44" t="s">
        <v>536</v>
      </c>
      <c r="Q12" s="44">
        <v>30</v>
      </c>
      <c r="S12" s="170"/>
      <c r="T12" s="171"/>
      <c r="U12" s="174" t="s">
        <v>307</v>
      </c>
      <c r="V12" s="175">
        <v>148.01</v>
      </c>
      <c r="W12" s="175">
        <v>120.98</v>
      </c>
      <c r="X12" s="175">
        <v>146.855</v>
      </c>
      <c r="Y12" s="175">
        <v>135.5</v>
      </c>
      <c r="Z12" s="175">
        <v>1740</v>
      </c>
      <c r="AA12" s="175">
        <v>25.5</v>
      </c>
      <c r="AB12" s="175">
        <v>36</v>
      </c>
      <c r="AC12" s="175">
        <v>1915</v>
      </c>
      <c r="AD12" s="175">
        <v>38.3</v>
      </c>
      <c r="AE12" s="175">
        <v>38.3</v>
      </c>
      <c r="AF12" s="175">
        <v>2474.66052270785</v>
      </c>
    </row>
    <row r="13" ht="18.75" spans="1:32">
      <c r="A13" s="44"/>
      <c r="B13" s="154" t="s">
        <v>557</v>
      </c>
      <c r="C13" s="155"/>
      <c r="D13" s="152">
        <f t="shared" si="0"/>
        <v>4.73342465753424</v>
      </c>
      <c r="E13" s="153">
        <f>V31*10000/T2</f>
        <v>1577.80821917808</v>
      </c>
      <c r="F13" s="152">
        <f t="shared" si="1"/>
        <v>3.68219178082191</v>
      </c>
      <c r="G13" s="153">
        <f>W31*10000/T2</f>
        <v>1227.39726027397</v>
      </c>
      <c r="H13" s="152">
        <f t="shared" si="2"/>
        <v>0.992054794520547</v>
      </c>
      <c r="I13" s="153">
        <f>AA31*10000/T2</f>
        <v>330.684931506849</v>
      </c>
      <c r="J13" s="152">
        <f t="shared" si="3"/>
        <v>4.02739726027398</v>
      </c>
      <c r="K13" s="153">
        <f>X31*10000/T2</f>
        <v>1342.46575342466</v>
      </c>
      <c r="L13" s="152">
        <v>0.58</v>
      </c>
      <c r="M13" s="153">
        <v>219.354838709677</v>
      </c>
      <c r="N13" s="152">
        <v>0</v>
      </c>
      <c r="O13" s="153">
        <v>0</v>
      </c>
      <c r="P13" s="44" t="s">
        <v>536</v>
      </c>
      <c r="Q13" s="44">
        <v>30</v>
      </c>
      <c r="S13" s="170"/>
      <c r="T13" s="171"/>
      <c r="U13" s="174" t="s">
        <v>308</v>
      </c>
      <c r="V13" s="175">
        <v>158</v>
      </c>
      <c r="W13" s="175">
        <v>80</v>
      </c>
      <c r="X13" s="175">
        <v>110</v>
      </c>
      <c r="Y13" s="175">
        <v>78</v>
      </c>
      <c r="Z13" s="175">
        <v>1650</v>
      </c>
      <c r="AA13" s="175">
        <v>70.8</v>
      </c>
      <c r="AB13" s="175">
        <v>65.81</v>
      </c>
      <c r="AC13" s="175">
        <v>1790</v>
      </c>
      <c r="AD13" s="175">
        <v>13.7</v>
      </c>
      <c r="AE13" s="175">
        <v>13.7</v>
      </c>
      <c r="AF13" s="175">
        <v>2390</v>
      </c>
    </row>
    <row r="14" ht="18.75" spans="1:32">
      <c r="A14" s="44"/>
      <c r="B14" s="154" t="s">
        <v>558</v>
      </c>
      <c r="C14" s="155"/>
      <c r="D14" s="152">
        <f t="shared" si="0"/>
        <v>0</v>
      </c>
      <c r="E14" s="153">
        <v>0</v>
      </c>
      <c r="F14" s="152">
        <f t="shared" si="1"/>
        <v>0</v>
      </c>
      <c r="G14" s="153">
        <v>0</v>
      </c>
      <c r="H14" s="152">
        <f t="shared" si="2"/>
        <v>0</v>
      </c>
      <c r="I14" s="153">
        <v>0</v>
      </c>
      <c r="J14" s="152" t="e">
        <f t="shared" si="3"/>
        <v>#VALUE!</v>
      </c>
      <c r="K14" s="153" t="s">
        <v>549</v>
      </c>
      <c r="L14" s="152" t="s">
        <v>549</v>
      </c>
      <c r="M14" s="153" t="s">
        <v>549</v>
      </c>
      <c r="N14" s="152">
        <v>0</v>
      </c>
      <c r="O14" s="153">
        <v>0</v>
      </c>
      <c r="P14" s="44" t="s">
        <v>536</v>
      </c>
      <c r="Q14" s="44">
        <v>30</v>
      </c>
      <c r="S14" s="170"/>
      <c r="T14" s="171"/>
      <c r="U14" s="174" t="s">
        <v>306</v>
      </c>
      <c r="V14" s="175">
        <v>37.07</v>
      </c>
      <c r="W14" s="175">
        <v>31.24</v>
      </c>
      <c r="X14" s="175">
        <v>36</v>
      </c>
      <c r="Y14" s="175">
        <v>32.47</v>
      </c>
      <c r="Z14" s="175">
        <v>1742.67</v>
      </c>
      <c r="AA14" s="175">
        <v>5.5</v>
      </c>
      <c r="AB14" s="175">
        <v>5.81</v>
      </c>
      <c r="AC14" s="175">
        <v>1878.3</v>
      </c>
      <c r="AD14" s="175">
        <v>12.51</v>
      </c>
      <c r="AE14" s="175">
        <v>12.51</v>
      </c>
      <c r="AF14" s="175">
        <v>2451.7</v>
      </c>
    </row>
    <row r="15" ht="18.75" spans="1:32">
      <c r="A15" s="44"/>
      <c r="B15" s="154" t="s">
        <v>20</v>
      </c>
      <c r="C15" s="155"/>
      <c r="D15" s="152">
        <f t="shared" si="0"/>
        <v>1.65041095890411</v>
      </c>
      <c r="E15" s="153">
        <f>V34*10000/T2</f>
        <v>550.13698630137</v>
      </c>
      <c r="F15" s="152">
        <f t="shared" si="1"/>
        <v>1.52958904109589</v>
      </c>
      <c r="G15" s="153">
        <f>W34*10000/T2</f>
        <v>509.86301369863</v>
      </c>
      <c r="H15" s="152">
        <f t="shared" si="2"/>
        <v>0.114246575342466</v>
      </c>
      <c r="I15" s="153">
        <f>AA34*10000/T2</f>
        <v>38.0821917808219</v>
      </c>
      <c r="J15" s="152" t="e">
        <f t="shared" si="3"/>
        <v>#VALUE!</v>
      </c>
      <c r="K15" s="153" t="s">
        <v>549</v>
      </c>
      <c r="L15" s="152" t="s">
        <v>549</v>
      </c>
      <c r="M15" s="153" t="s">
        <v>549</v>
      </c>
      <c r="N15" s="152">
        <v>0.556612903225807</v>
      </c>
      <c r="O15" s="153">
        <v>191.935483870968</v>
      </c>
      <c r="P15" s="44" t="s">
        <v>536</v>
      </c>
      <c r="Q15" s="44">
        <v>30</v>
      </c>
      <c r="S15" s="170"/>
      <c r="T15" s="171"/>
      <c r="U15" s="174" t="s">
        <v>309</v>
      </c>
      <c r="V15" s="175">
        <v>173.285</v>
      </c>
      <c r="W15" s="175">
        <v>118.86</v>
      </c>
      <c r="X15" s="175">
        <v>125.965</v>
      </c>
      <c r="Y15" s="175">
        <v>166.271325127334</v>
      </c>
      <c r="Z15" s="175">
        <v>1659.09368826574</v>
      </c>
      <c r="AA15" s="175">
        <v>51.35</v>
      </c>
      <c r="AB15" s="175">
        <v>47.275</v>
      </c>
      <c r="AC15" s="175">
        <v>1895</v>
      </c>
      <c r="AD15" s="175">
        <v>21.3</v>
      </c>
      <c r="AE15" s="175">
        <v>21.3</v>
      </c>
      <c r="AF15" s="175">
        <v>2326.17538342593</v>
      </c>
    </row>
    <row r="16" ht="18.75" spans="1:32">
      <c r="A16" s="44"/>
      <c r="B16" s="154" t="s">
        <v>559</v>
      </c>
      <c r="C16" s="155"/>
      <c r="D16" s="152" t="e">
        <f t="shared" si="0"/>
        <v>#VALUE!</v>
      </c>
      <c r="E16" s="153" t="s">
        <v>549</v>
      </c>
      <c r="F16" s="152">
        <f t="shared" si="1"/>
        <v>0</v>
      </c>
      <c r="G16" s="153">
        <v>0</v>
      </c>
      <c r="H16" s="152">
        <f t="shared" si="2"/>
        <v>0</v>
      </c>
      <c r="I16" s="153">
        <v>0</v>
      </c>
      <c r="J16" s="152" t="e">
        <f t="shared" si="3"/>
        <v>#VALUE!</v>
      </c>
      <c r="K16" s="153" t="s">
        <v>549</v>
      </c>
      <c r="L16" s="152" t="s">
        <v>549</v>
      </c>
      <c r="M16" s="153" t="s">
        <v>549</v>
      </c>
      <c r="N16" s="152">
        <v>0</v>
      </c>
      <c r="O16" s="153">
        <v>0</v>
      </c>
      <c r="P16" s="44" t="s">
        <v>536</v>
      </c>
      <c r="Q16" s="44">
        <v>30</v>
      </c>
      <c r="S16" s="170"/>
      <c r="T16" s="171"/>
      <c r="U16" s="174" t="s">
        <v>310</v>
      </c>
      <c r="V16" s="175">
        <v>241.16</v>
      </c>
      <c r="W16" s="175">
        <v>147.45</v>
      </c>
      <c r="X16" s="175">
        <v>151.5</v>
      </c>
      <c r="Y16" s="175">
        <v>100</v>
      </c>
      <c r="Z16" s="175">
        <v>1768.64</v>
      </c>
      <c r="AA16" s="175">
        <v>88.41</v>
      </c>
      <c r="AB16" s="175">
        <v>102</v>
      </c>
      <c r="AC16" s="175">
        <v>1853.72</v>
      </c>
      <c r="AD16" s="175">
        <v>25</v>
      </c>
      <c r="AE16" s="175">
        <v>25</v>
      </c>
      <c r="AF16" s="175">
        <v>2375.13915900974</v>
      </c>
    </row>
    <row r="17" ht="18.75" spans="1:32">
      <c r="A17" s="44" t="s">
        <v>560</v>
      </c>
      <c r="B17" s="150" t="s">
        <v>21</v>
      </c>
      <c r="C17" s="147"/>
      <c r="D17" s="152">
        <f t="shared" si="0"/>
        <v>5.08438356164385</v>
      </c>
      <c r="E17" s="153">
        <f>V6*10000/T2</f>
        <v>1694.79452054795</v>
      </c>
      <c r="F17" s="152">
        <f t="shared" si="1"/>
        <v>4.34219178082191</v>
      </c>
      <c r="G17" s="153">
        <f>W6*10000/T2</f>
        <v>1447.39726027397</v>
      </c>
      <c r="H17" s="152">
        <f t="shared" si="2"/>
        <v>0.701095890410958</v>
      </c>
      <c r="I17" s="153">
        <f>AA6*10000/T2</f>
        <v>233.698630136986</v>
      </c>
      <c r="J17" s="152">
        <f t="shared" si="3"/>
        <v>6.43808219178081</v>
      </c>
      <c r="K17" s="153">
        <f>X6*10000/T2</f>
        <v>2146.02739726027</v>
      </c>
      <c r="L17" s="152">
        <v>0</v>
      </c>
      <c r="M17" s="153">
        <v>0</v>
      </c>
      <c r="N17" s="152">
        <v>0</v>
      </c>
      <c r="O17" s="153">
        <v>0</v>
      </c>
      <c r="P17" s="44" t="s">
        <v>536</v>
      </c>
      <c r="Q17" s="44">
        <v>30</v>
      </c>
      <c r="S17" s="170"/>
      <c r="T17" s="171"/>
      <c r="U17" s="174" t="s">
        <v>561</v>
      </c>
      <c r="V17" s="175">
        <v>36</v>
      </c>
      <c r="W17" s="175">
        <v>20</v>
      </c>
      <c r="X17" s="175">
        <v>3</v>
      </c>
      <c r="Y17" s="175">
        <v>5</v>
      </c>
      <c r="Z17" s="175">
        <v>1746</v>
      </c>
      <c r="AA17" s="175">
        <v>12</v>
      </c>
      <c r="AB17" s="175">
        <v>12</v>
      </c>
      <c r="AC17" s="175">
        <v>1800</v>
      </c>
      <c r="AD17" s="175">
        <v>5.7</v>
      </c>
      <c r="AE17" s="175">
        <v>5.7</v>
      </c>
      <c r="AF17" s="175">
        <v>2486</v>
      </c>
    </row>
    <row r="18" ht="18.75" spans="1:32">
      <c r="A18" s="44"/>
      <c r="B18" s="156" t="s">
        <v>383</v>
      </c>
      <c r="C18" s="157"/>
      <c r="D18" s="152">
        <f t="shared" si="0"/>
        <v>3.08136986301369</v>
      </c>
      <c r="E18" s="153">
        <f>V24*10000/T2</f>
        <v>1027.12328767123</v>
      </c>
      <c r="F18" s="152">
        <f t="shared" si="1"/>
        <v>2.61945205479452</v>
      </c>
      <c r="G18" s="153">
        <f>W24*10000/T2</f>
        <v>873.150684931507</v>
      </c>
      <c r="H18" s="152">
        <f t="shared" si="2"/>
        <v>0.436438356164385</v>
      </c>
      <c r="I18" s="153">
        <f>AA24*10000/T2</f>
        <v>145.479452054795</v>
      </c>
      <c r="J18" s="152">
        <f t="shared" si="3"/>
        <v>3.50876712328767</v>
      </c>
      <c r="K18" s="153">
        <f>X24*10000/T2</f>
        <v>1169.58904109589</v>
      </c>
      <c r="L18" s="152" t="s">
        <v>549</v>
      </c>
      <c r="M18" s="153" t="s">
        <v>549</v>
      </c>
      <c r="N18" s="153" t="s">
        <v>549</v>
      </c>
      <c r="O18" s="153" t="s">
        <v>549</v>
      </c>
      <c r="P18" s="44" t="s">
        <v>536</v>
      </c>
      <c r="Q18" s="44">
        <v>30</v>
      </c>
      <c r="S18" s="170"/>
      <c r="T18" s="171"/>
      <c r="U18" s="174" t="s">
        <v>311</v>
      </c>
      <c r="V18" s="175">
        <v>187.858</v>
      </c>
      <c r="W18" s="175">
        <v>131.61</v>
      </c>
      <c r="X18" s="175">
        <v>116.7</v>
      </c>
      <c r="Y18" s="175">
        <v>70</v>
      </c>
      <c r="Z18" s="175">
        <v>1739.42</v>
      </c>
      <c r="AA18" s="175">
        <v>19.785</v>
      </c>
      <c r="AB18" s="175">
        <v>15.34</v>
      </c>
      <c r="AC18" s="175">
        <v>1870</v>
      </c>
      <c r="AD18" s="175">
        <v>26.17</v>
      </c>
      <c r="AE18" s="175">
        <v>26.17</v>
      </c>
      <c r="AF18" s="175">
        <v>2414</v>
      </c>
    </row>
    <row r="19" ht="18.75" spans="1:32">
      <c r="A19" s="44"/>
      <c r="B19" s="156" t="s">
        <v>384</v>
      </c>
      <c r="C19" s="157"/>
      <c r="D19" s="152">
        <f t="shared" si="0"/>
        <v>2.00301369863014</v>
      </c>
      <c r="E19" s="153">
        <f>V25*10000/T2</f>
        <v>667.671232876712</v>
      </c>
      <c r="F19" s="152">
        <f t="shared" si="1"/>
        <v>1.7227397260274</v>
      </c>
      <c r="G19" s="153">
        <f>W25*10000/T2</f>
        <v>574.246575342466</v>
      </c>
      <c r="H19" s="152">
        <f t="shared" si="2"/>
        <v>0.264657534246575</v>
      </c>
      <c r="I19" s="153">
        <f>AA25*10000/T2</f>
        <v>88.2191780821918</v>
      </c>
      <c r="J19" s="152">
        <f t="shared" si="3"/>
        <v>2.92931506849315</v>
      </c>
      <c r="K19" s="153">
        <f>X25*10000/T2</f>
        <v>976.438356164384</v>
      </c>
      <c r="L19" s="152" t="s">
        <v>549</v>
      </c>
      <c r="M19" s="153" t="s">
        <v>549</v>
      </c>
      <c r="N19" s="153" t="s">
        <v>549</v>
      </c>
      <c r="O19" s="153" t="s">
        <v>549</v>
      </c>
      <c r="P19" s="44" t="s">
        <v>536</v>
      </c>
      <c r="Q19" s="44">
        <v>30</v>
      </c>
      <c r="S19" s="170"/>
      <c r="T19" s="171"/>
      <c r="U19" s="174" t="s">
        <v>314</v>
      </c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</row>
    <row r="20" ht="18.75" spans="1:32">
      <c r="A20" s="44" t="s">
        <v>562</v>
      </c>
      <c r="B20" s="150" t="s">
        <v>21</v>
      </c>
      <c r="C20" s="147"/>
      <c r="D20" s="152">
        <f t="shared" si="0"/>
        <v>10.2739726027397</v>
      </c>
      <c r="E20" s="153">
        <f>V7*10000/T2</f>
        <v>3424.65753424658</v>
      </c>
      <c r="F20" s="152">
        <f t="shared" si="1"/>
        <v>10.2739726027397</v>
      </c>
      <c r="G20" s="153">
        <f>W7*10000/T2</f>
        <v>3424.65753424658</v>
      </c>
      <c r="H20" s="152">
        <f t="shared" si="2"/>
        <v>0</v>
      </c>
      <c r="I20" s="153">
        <v>0</v>
      </c>
      <c r="J20" s="152">
        <f t="shared" si="3"/>
        <v>9.04109589041097</v>
      </c>
      <c r="K20" s="153">
        <f>X7*10000/T2</f>
        <v>3013.69863013699</v>
      </c>
      <c r="L20" s="152">
        <v>0</v>
      </c>
      <c r="M20" s="153">
        <v>0</v>
      </c>
      <c r="N20" s="152">
        <v>0.748387096774193</v>
      </c>
      <c r="O20" s="153">
        <v>258.064516129032</v>
      </c>
      <c r="P20" s="44" t="s">
        <v>536</v>
      </c>
      <c r="Q20" s="44">
        <v>30</v>
      </c>
      <c r="S20" s="170"/>
      <c r="T20" s="171"/>
      <c r="U20" s="174" t="s">
        <v>563</v>
      </c>
      <c r="V20" s="175">
        <v>29.62</v>
      </c>
      <c r="W20" s="175">
        <v>27.5</v>
      </c>
      <c r="X20" s="175">
        <v>45</v>
      </c>
      <c r="Y20" s="175">
        <v>45</v>
      </c>
      <c r="Z20" s="175">
        <v>1674.62</v>
      </c>
      <c r="AA20" s="175">
        <v>2</v>
      </c>
      <c r="AB20" s="175">
        <v>1.5</v>
      </c>
      <c r="AC20" s="175">
        <v>1708.65</v>
      </c>
      <c r="AD20" s="175">
        <v>3.5</v>
      </c>
      <c r="AE20" s="175">
        <v>3.5</v>
      </c>
      <c r="AF20" s="175">
        <v>2549.5</v>
      </c>
    </row>
    <row r="21" ht="28.5" spans="1:32">
      <c r="A21" s="44"/>
      <c r="B21" s="156" t="s">
        <v>564</v>
      </c>
      <c r="C21" s="157"/>
      <c r="D21" s="152">
        <f t="shared" si="0"/>
        <v>0</v>
      </c>
      <c r="E21" s="153">
        <v>0</v>
      </c>
      <c r="F21" s="152">
        <f t="shared" si="1"/>
        <v>0</v>
      </c>
      <c r="G21" s="153">
        <v>0</v>
      </c>
      <c r="H21" s="152">
        <f t="shared" si="2"/>
        <v>0</v>
      </c>
      <c r="I21" s="153">
        <v>0</v>
      </c>
      <c r="J21" s="152">
        <f t="shared" si="3"/>
        <v>0</v>
      </c>
      <c r="K21" s="153">
        <v>0</v>
      </c>
      <c r="L21" s="152" t="s">
        <v>549</v>
      </c>
      <c r="M21" s="153" t="s">
        <v>549</v>
      </c>
      <c r="N21" s="153" t="s">
        <v>549</v>
      </c>
      <c r="O21" s="153" t="s">
        <v>549</v>
      </c>
      <c r="P21" s="44" t="s">
        <v>536</v>
      </c>
      <c r="Q21" s="44">
        <v>30</v>
      </c>
      <c r="S21" s="170"/>
      <c r="T21" s="171"/>
      <c r="U21" s="174" t="s">
        <v>417</v>
      </c>
      <c r="V21" s="175">
        <v>33.92</v>
      </c>
      <c r="W21" s="175"/>
      <c r="X21" s="175"/>
      <c r="Y21" s="175"/>
      <c r="Z21" s="175"/>
      <c r="AA21" s="175">
        <v>32</v>
      </c>
      <c r="AB21" s="175">
        <v>29</v>
      </c>
      <c r="AC21" s="175">
        <v>1607.57</v>
      </c>
      <c r="AD21" s="175"/>
      <c r="AE21" s="175"/>
      <c r="AF21" s="175"/>
    </row>
    <row r="22" ht="28.5" spans="1:32">
      <c r="A22" s="44"/>
      <c r="B22" s="156" t="s">
        <v>565</v>
      </c>
      <c r="C22" s="157"/>
      <c r="D22" s="152">
        <f t="shared" si="0"/>
        <v>10.2739726027397</v>
      </c>
      <c r="E22" s="153">
        <f>V7*10000/T2</f>
        <v>3424.65753424658</v>
      </c>
      <c r="F22" s="152">
        <f t="shared" si="1"/>
        <v>10.2739726027397</v>
      </c>
      <c r="G22" s="153">
        <f>W7*10000/T2</f>
        <v>3424.65753424658</v>
      </c>
      <c r="H22" s="152" t="e">
        <f t="shared" si="2"/>
        <v>#VALUE!</v>
      </c>
      <c r="I22" s="153" t="s">
        <v>549</v>
      </c>
      <c r="J22" s="152">
        <f t="shared" si="3"/>
        <v>9.04109589041097</v>
      </c>
      <c r="K22" s="153">
        <f>X7*10000/T2</f>
        <v>3013.69863013699</v>
      </c>
      <c r="L22" s="152" t="s">
        <v>549</v>
      </c>
      <c r="M22" s="153" t="s">
        <v>549</v>
      </c>
      <c r="N22" s="153" t="s">
        <v>549</v>
      </c>
      <c r="O22" s="153" t="s">
        <v>549</v>
      </c>
      <c r="P22" s="44" t="s">
        <v>536</v>
      </c>
      <c r="Q22" s="44">
        <v>30</v>
      </c>
      <c r="S22" s="170"/>
      <c r="T22" s="171"/>
      <c r="U22" s="174" t="s">
        <v>269</v>
      </c>
      <c r="V22" s="175">
        <v>116.6</v>
      </c>
      <c r="W22" s="175"/>
      <c r="X22" s="175"/>
      <c r="Y22" s="175"/>
      <c r="Z22" s="175"/>
      <c r="AA22" s="175">
        <v>110</v>
      </c>
      <c r="AB22" s="175">
        <v>50</v>
      </c>
      <c r="AC22" s="175">
        <v>1621.61</v>
      </c>
      <c r="AD22" s="175"/>
      <c r="AE22" s="175"/>
      <c r="AF22" s="175"/>
    </row>
    <row r="23" ht="18.75" spans="1:32">
      <c r="A23" s="44"/>
      <c r="B23" s="156" t="s">
        <v>566</v>
      </c>
      <c r="C23" s="157"/>
      <c r="D23" s="152">
        <f t="shared" si="0"/>
        <v>0</v>
      </c>
      <c r="E23" s="153">
        <v>0</v>
      </c>
      <c r="F23" s="152">
        <f t="shared" si="1"/>
        <v>0</v>
      </c>
      <c r="G23" s="153">
        <v>0</v>
      </c>
      <c r="H23" s="152">
        <f t="shared" si="2"/>
        <v>0</v>
      </c>
      <c r="I23" s="153">
        <v>0</v>
      </c>
      <c r="J23" s="152">
        <f t="shared" si="3"/>
        <v>0</v>
      </c>
      <c r="K23" s="153">
        <v>0</v>
      </c>
      <c r="L23" s="152" t="s">
        <v>549</v>
      </c>
      <c r="M23" s="153" t="s">
        <v>549</v>
      </c>
      <c r="N23" s="153" t="s">
        <v>549</v>
      </c>
      <c r="O23" s="153" t="s">
        <v>549</v>
      </c>
      <c r="P23" s="44" t="s">
        <v>536</v>
      </c>
      <c r="Q23" s="44">
        <v>30</v>
      </c>
      <c r="S23" s="170"/>
      <c r="T23" s="171"/>
      <c r="U23" s="174" t="s">
        <v>567</v>
      </c>
      <c r="V23" s="176">
        <v>1686.68</v>
      </c>
      <c r="W23" s="176">
        <v>1080.68</v>
      </c>
      <c r="X23" s="176">
        <v>1144.86</v>
      </c>
      <c r="Y23" s="176">
        <v>1039.10432512733</v>
      </c>
      <c r="Z23" s="176">
        <v>1682.5810504085</v>
      </c>
      <c r="AA23" s="176">
        <v>476.37968</v>
      </c>
      <c r="AB23" s="176">
        <v>411.4466</v>
      </c>
      <c r="AC23" s="176">
        <v>1790.04612482543</v>
      </c>
      <c r="AD23" s="176">
        <v>236.388</v>
      </c>
      <c r="AE23" s="176">
        <v>236.388</v>
      </c>
      <c r="AF23" s="176">
        <v>2379.80909939374</v>
      </c>
    </row>
    <row r="24" ht="18.75" spans="1:32">
      <c r="A24" s="44"/>
      <c r="B24" s="156" t="s">
        <v>568</v>
      </c>
      <c r="C24" s="157"/>
      <c r="D24" s="152">
        <f t="shared" si="0"/>
        <v>0</v>
      </c>
      <c r="E24" s="153">
        <v>0</v>
      </c>
      <c r="F24" s="152">
        <f t="shared" si="1"/>
        <v>0</v>
      </c>
      <c r="G24" s="153">
        <v>0</v>
      </c>
      <c r="H24" s="152">
        <f t="shared" si="2"/>
        <v>0</v>
      </c>
      <c r="I24" s="153">
        <v>0</v>
      </c>
      <c r="J24" s="152">
        <f t="shared" si="3"/>
        <v>0</v>
      </c>
      <c r="K24" s="153">
        <v>0</v>
      </c>
      <c r="L24" s="152" t="s">
        <v>549</v>
      </c>
      <c r="M24" s="153" t="s">
        <v>549</v>
      </c>
      <c r="N24" s="152" t="e">
        <v>#VALUE!</v>
      </c>
      <c r="O24" s="153" t="s">
        <v>549</v>
      </c>
      <c r="P24" s="44" t="s">
        <v>536</v>
      </c>
      <c r="Q24" s="44">
        <v>30</v>
      </c>
      <c r="S24" s="170"/>
      <c r="T24" s="171"/>
      <c r="U24" s="174" t="s">
        <v>569</v>
      </c>
      <c r="V24" s="175">
        <v>37.49</v>
      </c>
      <c r="W24" s="175">
        <v>31.87</v>
      </c>
      <c r="X24" s="175">
        <v>42.69</v>
      </c>
      <c r="Y24" s="175">
        <v>41.9478260869565</v>
      </c>
      <c r="Z24" s="175"/>
      <c r="AA24" s="175">
        <v>5.31</v>
      </c>
      <c r="AB24" s="175">
        <v>5.20269565217391</v>
      </c>
      <c r="AC24" s="175"/>
      <c r="AD24" s="175">
        <v>3.59469565217391</v>
      </c>
      <c r="AE24" s="175">
        <v>3.59469565217391</v>
      </c>
      <c r="AF24" s="175"/>
    </row>
    <row r="25" ht="18.75" spans="1:32">
      <c r="A25" s="44"/>
      <c r="B25" s="156" t="s">
        <v>570</v>
      </c>
      <c r="C25" s="157"/>
      <c r="D25" s="152">
        <f t="shared" si="0"/>
        <v>0</v>
      </c>
      <c r="E25" s="153">
        <v>0</v>
      </c>
      <c r="F25" s="152">
        <f t="shared" si="1"/>
        <v>0</v>
      </c>
      <c r="G25" s="153">
        <v>0</v>
      </c>
      <c r="H25" s="152">
        <f t="shared" si="2"/>
        <v>0</v>
      </c>
      <c r="I25" s="153">
        <v>0</v>
      </c>
      <c r="J25" s="152">
        <f t="shared" si="3"/>
        <v>0</v>
      </c>
      <c r="K25" s="153">
        <v>0</v>
      </c>
      <c r="L25" s="152" t="s">
        <v>549</v>
      </c>
      <c r="M25" s="153" t="s">
        <v>549</v>
      </c>
      <c r="N25" s="153" t="s">
        <v>549</v>
      </c>
      <c r="O25" s="153" t="s">
        <v>549</v>
      </c>
      <c r="P25" s="44" t="s">
        <v>536</v>
      </c>
      <c r="Q25" s="44">
        <v>30</v>
      </c>
      <c r="S25" s="170"/>
      <c r="T25" s="171"/>
      <c r="U25" s="174" t="s">
        <v>571</v>
      </c>
      <c r="V25" s="175">
        <v>24.37</v>
      </c>
      <c r="W25" s="175">
        <v>20.96</v>
      </c>
      <c r="X25" s="175">
        <v>35.64</v>
      </c>
      <c r="Y25" s="175">
        <v>30.0521739130435</v>
      </c>
      <c r="Z25" s="175"/>
      <c r="AA25" s="175">
        <v>3.22</v>
      </c>
      <c r="AB25" s="175">
        <v>3.72730434782609</v>
      </c>
      <c r="AC25" s="175"/>
      <c r="AD25" s="175">
        <v>2.57530434782609</v>
      </c>
      <c r="AE25" s="175">
        <v>2.57530434782609</v>
      </c>
      <c r="AF25" s="175"/>
    </row>
    <row r="26" ht="18.75" spans="1:32">
      <c r="A26" s="44"/>
      <c r="B26" s="156" t="s">
        <v>75</v>
      </c>
      <c r="C26" s="157"/>
      <c r="D26" s="152" t="e">
        <f t="shared" si="0"/>
        <v>#VALUE!</v>
      </c>
      <c r="E26" s="153" t="s">
        <v>549</v>
      </c>
      <c r="F26" s="152" t="e">
        <f t="shared" si="1"/>
        <v>#VALUE!</v>
      </c>
      <c r="G26" s="153" t="s">
        <v>549</v>
      </c>
      <c r="H26" s="152" t="e">
        <f t="shared" si="2"/>
        <v>#VALUE!</v>
      </c>
      <c r="I26" s="153" t="s">
        <v>549</v>
      </c>
      <c r="J26" s="152" t="e">
        <f t="shared" si="3"/>
        <v>#VALUE!</v>
      </c>
      <c r="K26" s="153" t="s">
        <v>549</v>
      </c>
      <c r="L26" s="152" t="s">
        <v>549</v>
      </c>
      <c r="M26" s="153" t="s">
        <v>549</v>
      </c>
      <c r="N26" s="152">
        <v>0.748387096774193</v>
      </c>
      <c r="O26" s="153">
        <v>258.064516129032</v>
      </c>
      <c r="P26" s="44" t="s">
        <v>536</v>
      </c>
      <c r="Q26" s="44">
        <v>30</v>
      </c>
      <c r="S26" s="170"/>
      <c r="T26" s="171"/>
      <c r="U26" s="174" t="s">
        <v>572</v>
      </c>
      <c r="V26" s="175">
        <v>104.23</v>
      </c>
      <c r="W26" s="175">
        <v>54.36</v>
      </c>
      <c r="X26" s="175">
        <v>44.5</v>
      </c>
      <c r="Y26" s="175">
        <v>85.680925127334</v>
      </c>
      <c r="Z26" s="175"/>
      <c r="AA26" s="175">
        <v>47.05</v>
      </c>
      <c r="AB26" s="175">
        <v>38.9245726495726</v>
      </c>
      <c r="AC26" s="175"/>
      <c r="AD26" s="175">
        <v>9.6824495</v>
      </c>
      <c r="AE26" s="175">
        <v>9.6824495</v>
      </c>
      <c r="AF26" s="175"/>
    </row>
    <row r="27" ht="18.75" spans="1:32">
      <c r="A27" s="44" t="s">
        <v>573</v>
      </c>
      <c r="B27" s="150" t="s">
        <v>21</v>
      </c>
      <c r="C27" s="147"/>
      <c r="D27" s="152">
        <f t="shared" si="0"/>
        <v>3.04684931506848</v>
      </c>
      <c r="E27" s="153">
        <f>V14*10000/T2</f>
        <v>1015.61643835616</v>
      </c>
      <c r="F27" s="152">
        <f t="shared" si="1"/>
        <v>2.56767123287671</v>
      </c>
      <c r="G27" s="153">
        <f>W14*10000/T2</f>
        <v>855.890410958904</v>
      </c>
      <c r="H27" s="152">
        <f t="shared" si="2"/>
        <v>0.452054794520547</v>
      </c>
      <c r="I27" s="153">
        <f>AA14*10000/T2</f>
        <v>150.684931506849</v>
      </c>
      <c r="J27" s="152">
        <f t="shared" si="3"/>
        <v>2.95890410958904</v>
      </c>
      <c r="K27" s="153">
        <f>X14*10000/T2</f>
        <v>986.301369863014</v>
      </c>
      <c r="L27" s="152">
        <v>0</v>
      </c>
      <c r="M27" s="153">
        <v>0</v>
      </c>
      <c r="N27" s="152">
        <v>0</v>
      </c>
      <c r="O27" s="153">
        <v>0</v>
      </c>
      <c r="P27" s="44" t="s">
        <v>536</v>
      </c>
      <c r="Q27" s="44">
        <v>30</v>
      </c>
      <c r="S27" s="170"/>
      <c r="T27" s="171"/>
      <c r="U27" s="174" t="s">
        <v>125</v>
      </c>
      <c r="V27" s="175">
        <v>32.36</v>
      </c>
      <c r="W27" s="175">
        <v>27.8</v>
      </c>
      <c r="X27" s="175">
        <v>23.8</v>
      </c>
      <c r="Y27" s="175">
        <v>20.79</v>
      </c>
      <c r="Z27" s="175"/>
      <c r="AA27" s="175">
        <v>4.3</v>
      </c>
      <c r="AB27" s="175">
        <v>8.35042735042735</v>
      </c>
      <c r="AC27" s="175"/>
      <c r="AD27" s="175">
        <v>8.60337</v>
      </c>
      <c r="AE27" s="175">
        <v>8.60337</v>
      </c>
      <c r="AF27" s="175"/>
    </row>
    <row r="28" ht="18.75" spans="1:32">
      <c r="A28" s="44"/>
      <c r="B28" s="156" t="s">
        <v>574</v>
      </c>
      <c r="C28" s="157"/>
      <c r="D28" s="152">
        <f t="shared" si="0"/>
        <v>3.04684931506848</v>
      </c>
      <c r="E28" s="153">
        <f>V14*10000/T2</f>
        <v>1015.61643835616</v>
      </c>
      <c r="F28" s="152">
        <f t="shared" si="1"/>
        <v>2.56767123287671</v>
      </c>
      <c r="G28" s="153">
        <f>W14*10000/T2</f>
        <v>855.890410958904</v>
      </c>
      <c r="H28" s="152">
        <f t="shared" si="2"/>
        <v>0.452054794520547</v>
      </c>
      <c r="I28" s="153">
        <f>AA14*10000/T2</f>
        <v>150.684931506849</v>
      </c>
      <c r="J28" s="152">
        <f t="shared" si="3"/>
        <v>2.95890410958904</v>
      </c>
      <c r="K28" s="153">
        <f>X14*10000/T2</f>
        <v>986.301369863014</v>
      </c>
      <c r="L28" s="152" t="s">
        <v>549</v>
      </c>
      <c r="M28" s="153" t="s">
        <v>549</v>
      </c>
      <c r="N28" s="153" t="s">
        <v>549</v>
      </c>
      <c r="O28" s="153" t="s">
        <v>549</v>
      </c>
      <c r="P28" s="44" t="s">
        <v>536</v>
      </c>
      <c r="Q28" s="44">
        <v>30</v>
      </c>
      <c r="S28" s="170"/>
      <c r="T28" s="171"/>
      <c r="U28" s="174" t="s">
        <v>402</v>
      </c>
      <c r="V28" s="175">
        <v>36.7</v>
      </c>
      <c r="W28" s="175">
        <v>36.7</v>
      </c>
      <c r="X28" s="175">
        <v>57.67</v>
      </c>
      <c r="Y28" s="175">
        <v>59.8004</v>
      </c>
      <c r="Z28" s="175"/>
      <c r="AA28" s="175"/>
      <c r="AB28" s="175"/>
      <c r="AC28" s="175"/>
      <c r="AD28" s="175">
        <v>3.0141805</v>
      </c>
      <c r="AE28" s="175">
        <v>3.0141805</v>
      </c>
      <c r="AF28" s="175"/>
    </row>
    <row r="29" ht="18.75" spans="1:32">
      <c r="A29" s="44"/>
      <c r="B29" s="156" t="s">
        <v>575</v>
      </c>
      <c r="C29" s="157"/>
      <c r="D29" s="152">
        <f t="shared" si="0"/>
        <v>0</v>
      </c>
      <c r="E29" s="153">
        <v>0</v>
      </c>
      <c r="F29" s="152">
        <f t="shared" si="1"/>
        <v>0</v>
      </c>
      <c r="G29" s="153">
        <v>0</v>
      </c>
      <c r="H29" s="152">
        <f t="shared" si="2"/>
        <v>0</v>
      </c>
      <c r="I29" s="153">
        <v>0</v>
      </c>
      <c r="J29" s="152" t="e">
        <f t="shared" si="3"/>
        <v>#VALUE!</v>
      </c>
      <c r="K29" s="153" t="s">
        <v>549</v>
      </c>
      <c r="L29" s="152" t="s">
        <v>549</v>
      </c>
      <c r="M29" s="153" t="s">
        <v>549</v>
      </c>
      <c r="N29" s="152">
        <v>0</v>
      </c>
      <c r="O29" s="153">
        <v>0</v>
      </c>
      <c r="P29" s="44" t="s">
        <v>536</v>
      </c>
      <c r="Q29" s="44">
        <v>30</v>
      </c>
      <c r="S29" s="170"/>
      <c r="T29" s="171"/>
      <c r="U29" s="174" t="s">
        <v>576</v>
      </c>
      <c r="V29" s="175">
        <v>45.41</v>
      </c>
      <c r="W29" s="175">
        <v>20.99</v>
      </c>
      <c r="X29" s="175"/>
      <c r="Y29" s="175"/>
      <c r="Z29" s="175"/>
      <c r="AA29" s="175">
        <v>14.01</v>
      </c>
      <c r="AB29" s="175">
        <v>14.91</v>
      </c>
      <c r="AC29" s="175"/>
      <c r="AD29" s="175">
        <v>22.14</v>
      </c>
      <c r="AE29" s="175">
        <v>22.1388</v>
      </c>
      <c r="AF29" s="175"/>
    </row>
    <row r="30" ht="18.75" spans="1:32">
      <c r="A30" s="44"/>
      <c r="B30" s="156" t="s">
        <v>577</v>
      </c>
      <c r="C30" s="157"/>
      <c r="D30" s="152" t="e">
        <f t="shared" si="0"/>
        <v>#VALUE!</v>
      </c>
      <c r="E30" s="153" t="s">
        <v>549</v>
      </c>
      <c r="F30" s="152" t="e">
        <f t="shared" si="1"/>
        <v>#VALUE!</v>
      </c>
      <c r="G30" s="153" t="s">
        <v>549</v>
      </c>
      <c r="H30" s="152" t="e">
        <f t="shared" si="2"/>
        <v>#VALUE!</v>
      </c>
      <c r="I30" s="153" t="s">
        <v>549</v>
      </c>
      <c r="J30" s="152" t="e">
        <f t="shared" si="3"/>
        <v>#VALUE!</v>
      </c>
      <c r="K30" s="153" t="s">
        <v>549</v>
      </c>
      <c r="L30" s="152" t="s">
        <v>549</v>
      </c>
      <c r="M30" s="153" t="s">
        <v>549</v>
      </c>
      <c r="N30" s="152">
        <v>0</v>
      </c>
      <c r="O30" s="153">
        <v>0</v>
      </c>
      <c r="P30" s="44" t="s">
        <v>536</v>
      </c>
      <c r="Q30" s="44">
        <v>30</v>
      </c>
      <c r="S30" s="170"/>
      <c r="T30" s="171"/>
      <c r="U30" s="174" t="s">
        <v>379</v>
      </c>
      <c r="V30" s="175">
        <v>50.78</v>
      </c>
      <c r="W30" s="175">
        <v>41.24</v>
      </c>
      <c r="X30" s="175">
        <v>13.91</v>
      </c>
      <c r="Y30" s="175">
        <v>22.59</v>
      </c>
      <c r="Z30" s="175"/>
      <c r="AA30" s="175">
        <v>9</v>
      </c>
      <c r="AB30" s="175">
        <v>8.05</v>
      </c>
      <c r="AC30" s="175"/>
      <c r="AD30" s="175">
        <v>13.948</v>
      </c>
      <c r="AE30" s="175">
        <v>13.948</v>
      </c>
      <c r="AF30" s="175"/>
    </row>
    <row r="31" ht="18.75" spans="1:32">
      <c r="A31" s="158" t="s">
        <v>394</v>
      </c>
      <c r="B31" s="159" t="s">
        <v>21</v>
      </c>
      <c r="C31" s="147"/>
      <c r="D31" s="152">
        <f t="shared" si="0"/>
        <v>12.165205479452</v>
      </c>
      <c r="E31" s="153">
        <f>V12*10000/T2</f>
        <v>4055.06849315068</v>
      </c>
      <c r="F31" s="152">
        <f t="shared" si="1"/>
        <v>9.94356164383563</v>
      </c>
      <c r="G31" s="153">
        <f>W12*10000/T2</f>
        <v>3314.52054794521</v>
      </c>
      <c r="H31" s="152">
        <f t="shared" si="2"/>
        <v>2.0958904109589</v>
      </c>
      <c r="I31" s="153">
        <f>AA12*10000/T2</f>
        <v>698.630136986301</v>
      </c>
      <c r="J31" s="152">
        <f t="shared" si="3"/>
        <v>12.0702739726028</v>
      </c>
      <c r="K31" s="153">
        <f>X12*10000/T2</f>
        <v>4023.42465753425</v>
      </c>
      <c r="L31" s="152">
        <v>0</v>
      </c>
      <c r="M31" s="153">
        <v>0</v>
      </c>
      <c r="N31" s="153" t="s">
        <v>549</v>
      </c>
      <c r="O31" s="153" t="s">
        <v>549</v>
      </c>
      <c r="P31" s="44" t="s">
        <v>536</v>
      </c>
      <c r="Q31" s="44">
        <v>30</v>
      </c>
      <c r="S31" s="170"/>
      <c r="T31" s="171"/>
      <c r="U31" s="174" t="s">
        <v>19</v>
      </c>
      <c r="V31" s="175">
        <v>57.59</v>
      </c>
      <c r="W31" s="175">
        <v>44.8</v>
      </c>
      <c r="X31" s="175">
        <v>49</v>
      </c>
      <c r="Y31" s="175">
        <v>49</v>
      </c>
      <c r="Z31" s="175"/>
      <c r="AA31" s="175">
        <v>12.07</v>
      </c>
      <c r="AB31" s="175"/>
      <c r="AC31" s="175"/>
      <c r="AD31" s="175">
        <v>12.65</v>
      </c>
      <c r="AE31" s="175">
        <v>12.65</v>
      </c>
      <c r="AF31" s="175"/>
    </row>
    <row r="32" ht="18.75" spans="1:32">
      <c r="A32" s="160"/>
      <c r="B32" s="44" t="s">
        <v>90</v>
      </c>
      <c r="C32" s="147"/>
      <c r="D32" s="152">
        <f t="shared" si="0"/>
        <v>6.08260273972602</v>
      </c>
      <c r="E32" s="153">
        <f>V32*10000/T2</f>
        <v>2027.53424657534</v>
      </c>
      <c r="F32" s="152">
        <f t="shared" si="1"/>
        <v>4.9717808219178</v>
      </c>
      <c r="G32" s="153">
        <f>W32*10000/T2</f>
        <v>1657.2602739726</v>
      </c>
      <c r="H32" s="152">
        <f t="shared" si="2"/>
        <v>1.04794520547945</v>
      </c>
      <c r="I32" s="153">
        <f>AA32*10000/T2</f>
        <v>349.315068493151</v>
      </c>
      <c r="J32" s="152">
        <f t="shared" si="3"/>
        <v>6.03534246575343</v>
      </c>
      <c r="K32" s="153">
        <f>X32*10000/T2</f>
        <v>2011.78082191781</v>
      </c>
      <c r="L32" s="152"/>
      <c r="M32" s="153"/>
      <c r="N32" s="153"/>
      <c r="O32" s="153"/>
      <c r="P32" s="44" t="s">
        <v>536</v>
      </c>
      <c r="Q32" s="44">
        <v>30</v>
      </c>
      <c r="S32" s="170"/>
      <c r="T32" s="171"/>
      <c r="U32" s="174" t="s">
        <v>578</v>
      </c>
      <c r="V32" s="175">
        <v>74.005</v>
      </c>
      <c r="W32" s="175">
        <v>60.49</v>
      </c>
      <c r="X32" s="175">
        <v>73.43</v>
      </c>
      <c r="Y32" s="175">
        <f t="shared" ref="W32:AF32" si="4">Y12/2</f>
        <v>67.75</v>
      </c>
      <c r="Z32" s="175">
        <f t="shared" si="4"/>
        <v>870</v>
      </c>
      <c r="AA32" s="175">
        <v>12.75</v>
      </c>
      <c r="AB32" s="175">
        <f t="shared" si="4"/>
        <v>18</v>
      </c>
      <c r="AC32" s="175">
        <f t="shared" si="4"/>
        <v>957.5</v>
      </c>
      <c r="AD32" s="175">
        <f t="shared" si="4"/>
        <v>19.15</v>
      </c>
      <c r="AE32" s="175">
        <f t="shared" si="4"/>
        <v>19.15</v>
      </c>
      <c r="AF32" s="175">
        <f t="shared" si="4"/>
        <v>1237.33026135392</v>
      </c>
    </row>
    <row r="33" ht="18.75" spans="1:32">
      <c r="A33" s="161"/>
      <c r="B33" s="44" t="s">
        <v>91</v>
      </c>
      <c r="C33" s="147"/>
      <c r="D33" s="152">
        <f t="shared" si="0"/>
        <v>6.08260273972602</v>
      </c>
      <c r="E33" s="153">
        <f>V33*10000/T2</f>
        <v>2027.53424657534</v>
      </c>
      <c r="F33" s="152">
        <f t="shared" si="1"/>
        <v>4.9717808219178</v>
      </c>
      <c r="G33" s="153">
        <f>W33*10000/T2</f>
        <v>1657.2602739726</v>
      </c>
      <c r="H33" s="152">
        <f t="shared" si="2"/>
        <v>1.04794520547945</v>
      </c>
      <c r="I33" s="153">
        <f>AA33*10000/T2</f>
        <v>349.315068493151</v>
      </c>
      <c r="J33" s="152">
        <f t="shared" si="3"/>
        <v>6.03534246575343</v>
      </c>
      <c r="K33" s="153">
        <f>X33*10000/T2</f>
        <v>2011.78082191781</v>
      </c>
      <c r="L33" s="152"/>
      <c r="M33" s="153"/>
      <c r="N33" s="153"/>
      <c r="O33" s="153"/>
      <c r="P33" s="44" t="s">
        <v>536</v>
      </c>
      <c r="Q33" s="44">
        <v>30</v>
      </c>
      <c r="S33" s="170"/>
      <c r="T33" s="171"/>
      <c r="U33" s="174" t="s">
        <v>579</v>
      </c>
      <c r="V33" s="175">
        <v>74.005</v>
      </c>
      <c r="W33" s="175">
        <v>60.49</v>
      </c>
      <c r="X33" s="175">
        <v>73.43</v>
      </c>
      <c r="Y33" s="175">
        <f t="shared" ref="W33:AF33" si="5">Y32</f>
        <v>67.75</v>
      </c>
      <c r="Z33" s="175">
        <f t="shared" si="5"/>
        <v>870</v>
      </c>
      <c r="AA33" s="175">
        <v>12.75</v>
      </c>
      <c r="AB33" s="175">
        <f t="shared" si="5"/>
        <v>18</v>
      </c>
      <c r="AC33" s="175">
        <f t="shared" si="5"/>
        <v>957.5</v>
      </c>
      <c r="AD33" s="175">
        <f t="shared" si="5"/>
        <v>19.15</v>
      </c>
      <c r="AE33" s="175">
        <f t="shared" si="5"/>
        <v>19.15</v>
      </c>
      <c r="AF33" s="175">
        <f t="shared" si="5"/>
        <v>1237.33026135392</v>
      </c>
    </row>
    <row r="34" ht="18.75" spans="1:32">
      <c r="A34" s="44" t="s">
        <v>580</v>
      </c>
      <c r="B34" s="150" t="s">
        <v>21</v>
      </c>
      <c r="C34" s="147"/>
      <c r="D34" s="152">
        <f>E34*Q29/10000</f>
        <v>12.986301369863</v>
      </c>
      <c r="E34" s="153">
        <f>V13*10000/T2</f>
        <v>4328.76712328767</v>
      </c>
      <c r="F34" s="152">
        <f t="shared" si="1"/>
        <v>6.57534246575343</v>
      </c>
      <c r="G34" s="153">
        <f>W13*10000/T2</f>
        <v>2191.78082191781</v>
      </c>
      <c r="H34" s="152">
        <f t="shared" si="2"/>
        <v>5.81917808219178</v>
      </c>
      <c r="I34" s="153">
        <f>AA13*10000/T2</f>
        <v>1939.72602739726</v>
      </c>
      <c r="J34" s="152">
        <f>K34*Q29/10000</f>
        <v>9.04109589041097</v>
      </c>
      <c r="K34" s="153">
        <f>X13*10000/T2</f>
        <v>3013.69863013699</v>
      </c>
      <c r="L34" s="152">
        <v>0</v>
      </c>
      <c r="M34" s="153">
        <v>0</v>
      </c>
      <c r="N34" s="152">
        <v>0</v>
      </c>
      <c r="O34" s="153">
        <v>0</v>
      </c>
      <c r="P34" s="44" t="s">
        <v>536</v>
      </c>
      <c r="Q34" s="44">
        <v>30</v>
      </c>
      <c r="S34" s="170"/>
      <c r="T34" s="171"/>
      <c r="U34" s="174" t="s">
        <v>381</v>
      </c>
      <c r="V34" s="175">
        <v>20.08</v>
      </c>
      <c r="W34" s="175">
        <v>18.61</v>
      </c>
      <c r="X34" s="175"/>
      <c r="Y34" s="175"/>
      <c r="Z34" s="175"/>
      <c r="AA34" s="175">
        <v>1.39</v>
      </c>
      <c r="AB34" s="175"/>
      <c r="AC34" s="175"/>
      <c r="AD34" s="175">
        <v>12.35</v>
      </c>
      <c r="AE34" s="175">
        <v>12.35</v>
      </c>
      <c r="AF34" s="175"/>
    </row>
    <row r="35" ht="18.75" spans="1:20">
      <c r="A35" s="44"/>
      <c r="B35" s="156" t="s">
        <v>581</v>
      </c>
      <c r="C35" s="157"/>
      <c r="D35" s="152">
        <f>E35*Q30/10000</f>
        <v>12.986301369863</v>
      </c>
      <c r="E35" s="153">
        <f>V13*10000/T2</f>
        <v>4328.76712328767</v>
      </c>
      <c r="F35" s="152">
        <f t="shared" si="1"/>
        <v>6.57534246575343</v>
      </c>
      <c r="G35" s="153">
        <f>W13*10000/T2</f>
        <v>2191.78082191781</v>
      </c>
      <c r="H35" s="152">
        <f t="shared" si="2"/>
        <v>5.81917808219178</v>
      </c>
      <c r="I35" s="153">
        <f>AA13*10000/T2</f>
        <v>1939.72602739726</v>
      </c>
      <c r="J35" s="152">
        <f>K35*Q30/10000</f>
        <v>9.04109589041097</v>
      </c>
      <c r="K35" s="153">
        <f>X13*10000/T2</f>
        <v>3013.69863013699</v>
      </c>
      <c r="L35" s="152">
        <v>0</v>
      </c>
      <c r="M35" s="153">
        <v>0</v>
      </c>
      <c r="N35" s="152">
        <v>0</v>
      </c>
      <c r="O35" s="153">
        <v>0</v>
      </c>
      <c r="P35" s="44" t="s">
        <v>536</v>
      </c>
      <c r="Q35" s="44">
        <v>30</v>
      </c>
      <c r="S35" s="170"/>
      <c r="T35" s="171"/>
    </row>
    <row r="36" ht="28.5" spans="1:20">
      <c r="A36" s="44"/>
      <c r="B36" s="156" t="s">
        <v>582</v>
      </c>
      <c r="C36" s="157"/>
      <c r="D36" s="152">
        <f>E36*Q31/10000</f>
        <v>0</v>
      </c>
      <c r="E36" s="153">
        <v>0</v>
      </c>
      <c r="F36" s="152">
        <f t="shared" si="1"/>
        <v>0</v>
      </c>
      <c r="G36" s="153">
        <v>0</v>
      </c>
      <c r="H36" s="152">
        <f t="shared" si="2"/>
        <v>0</v>
      </c>
      <c r="I36" s="153">
        <v>0</v>
      </c>
      <c r="J36" s="152">
        <f>K36*Q31/10000</f>
        <v>0</v>
      </c>
      <c r="K36" s="153">
        <v>0</v>
      </c>
      <c r="L36" s="152" t="s">
        <v>549</v>
      </c>
      <c r="M36" s="153" t="s">
        <v>549</v>
      </c>
      <c r="N36" s="153" t="s">
        <v>549</v>
      </c>
      <c r="O36" s="153" t="s">
        <v>549</v>
      </c>
      <c r="P36" s="44" t="s">
        <v>536</v>
      </c>
      <c r="Q36" s="44">
        <v>30</v>
      </c>
      <c r="S36" s="170"/>
      <c r="T36" s="171"/>
    </row>
    <row r="37" ht="18.75" spans="1:20">
      <c r="A37" s="44"/>
      <c r="B37" s="156" t="s">
        <v>583</v>
      </c>
      <c r="C37" s="157"/>
      <c r="D37" s="152" t="e">
        <f>E37*Q34/10000</f>
        <v>#VALUE!</v>
      </c>
      <c r="E37" s="153" t="s">
        <v>549</v>
      </c>
      <c r="F37" s="152" t="e">
        <f t="shared" si="1"/>
        <v>#VALUE!</v>
      </c>
      <c r="G37" s="153" t="s">
        <v>549</v>
      </c>
      <c r="H37" s="152" t="e">
        <f t="shared" si="2"/>
        <v>#VALUE!</v>
      </c>
      <c r="I37" s="153" t="s">
        <v>549</v>
      </c>
      <c r="J37" s="152" t="e">
        <f t="shared" ref="J37:J55" si="6">K37*Q34/10000</f>
        <v>#VALUE!</v>
      </c>
      <c r="K37" s="153" t="s">
        <v>549</v>
      </c>
      <c r="L37" s="152" t="s">
        <v>549</v>
      </c>
      <c r="M37" s="153" t="s">
        <v>549</v>
      </c>
      <c r="N37" s="153" t="s">
        <v>549</v>
      </c>
      <c r="O37" s="153" t="s">
        <v>549</v>
      </c>
      <c r="P37" s="44" t="s">
        <v>536</v>
      </c>
      <c r="Q37" s="44">
        <v>30</v>
      </c>
      <c r="S37" s="170"/>
      <c r="T37" s="171"/>
    </row>
    <row r="38" ht="18.75" spans="1:20">
      <c r="A38" s="44" t="s">
        <v>584</v>
      </c>
      <c r="B38" s="150" t="s">
        <v>21</v>
      </c>
      <c r="C38" s="147"/>
      <c r="D38" s="152">
        <f>E38*Q35/10000</f>
        <v>14.242602739726</v>
      </c>
      <c r="E38" s="153">
        <f>V15*10000/T2</f>
        <v>4747.53424657534</v>
      </c>
      <c r="F38" s="152">
        <f t="shared" si="1"/>
        <v>9.76931506849314</v>
      </c>
      <c r="G38" s="153">
        <f>W15*10000/T2</f>
        <v>3256.43835616438</v>
      </c>
      <c r="H38" s="152">
        <f t="shared" si="2"/>
        <v>4.22054794520547</v>
      </c>
      <c r="I38" s="153">
        <f>AA15*10000/T2</f>
        <v>1406.84931506849</v>
      </c>
      <c r="J38" s="152">
        <f t="shared" si="6"/>
        <v>10.3532876712329</v>
      </c>
      <c r="K38" s="153">
        <f>X15*10000/T2</f>
        <v>3451.09589041096</v>
      </c>
      <c r="L38" s="152">
        <v>4.68</v>
      </c>
      <c r="M38" s="153">
        <v>1671</v>
      </c>
      <c r="N38" s="152">
        <v>0</v>
      </c>
      <c r="O38" s="153">
        <v>0</v>
      </c>
      <c r="P38" s="44" t="s">
        <v>536</v>
      </c>
      <c r="Q38" s="44">
        <v>30</v>
      </c>
      <c r="S38" s="170"/>
      <c r="T38" s="171"/>
    </row>
    <row r="39" ht="18.75" spans="1:20">
      <c r="A39" s="44"/>
      <c r="B39" s="156" t="s">
        <v>585</v>
      </c>
      <c r="C39" s="157"/>
      <c r="D39" s="152">
        <f>E39*Q36/10000</f>
        <v>8.56684931506848</v>
      </c>
      <c r="E39" s="153">
        <f>V26*10000/T2</f>
        <v>2855.61643835616</v>
      </c>
      <c r="F39" s="152">
        <f t="shared" si="1"/>
        <v>4.46794520547945</v>
      </c>
      <c r="G39" s="153">
        <f>W26*10000/T2</f>
        <v>1489.31506849315</v>
      </c>
      <c r="H39" s="152">
        <f t="shared" si="2"/>
        <v>3.86712328767123</v>
      </c>
      <c r="I39" s="153">
        <f>AA26*10000/T2</f>
        <v>1289.04109589041</v>
      </c>
      <c r="J39" s="152">
        <f t="shared" si="6"/>
        <v>3.65753424657534</v>
      </c>
      <c r="K39" s="153">
        <f>X26*10000/T2</f>
        <v>1219.17808219178</v>
      </c>
      <c r="L39" s="152">
        <v>3.14</v>
      </c>
      <c r="M39" s="153">
        <v>1121</v>
      </c>
      <c r="N39" s="153" t="s">
        <v>549</v>
      </c>
      <c r="O39" s="153" t="s">
        <v>549</v>
      </c>
      <c r="P39" s="44" t="s">
        <v>536</v>
      </c>
      <c r="Q39" s="44">
        <v>30</v>
      </c>
      <c r="S39" s="170"/>
      <c r="T39" s="171"/>
    </row>
    <row r="40" ht="18.75" spans="1:20">
      <c r="A40" s="44"/>
      <c r="B40" s="156" t="s">
        <v>586</v>
      </c>
      <c r="C40" s="157"/>
      <c r="D40" s="152">
        <f t="shared" ref="D40:D57" si="7">E40*Q37/10000</f>
        <v>2.65972602739726</v>
      </c>
      <c r="E40" s="153">
        <f>V27*10000/T2</f>
        <v>886.575342465753</v>
      </c>
      <c r="F40" s="152">
        <f t="shared" si="1"/>
        <v>2.28493150684931</v>
      </c>
      <c r="G40" s="153">
        <f>W27*10000/T2</f>
        <v>761.643835616438</v>
      </c>
      <c r="H40" s="152">
        <f t="shared" ref="H40:H57" si="8">I40*Q40/10000</f>
        <v>0.353424657534246</v>
      </c>
      <c r="I40" s="153">
        <f>AA27*10000/T2</f>
        <v>117.808219178082</v>
      </c>
      <c r="J40" s="152">
        <f t="shared" si="6"/>
        <v>1.95616438356164</v>
      </c>
      <c r="K40" s="153">
        <f>X27*10000/T2</f>
        <v>652.054794520548</v>
      </c>
      <c r="L40" s="152">
        <v>1.54</v>
      </c>
      <c r="M40" s="153">
        <v>550</v>
      </c>
      <c r="N40" s="153" t="s">
        <v>549</v>
      </c>
      <c r="O40" s="153" t="s">
        <v>549</v>
      </c>
      <c r="P40" s="44" t="s">
        <v>536</v>
      </c>
      <c r="Q40" s="44">
        <v>30</v>
      </c>
      <c r="S40" s="170"/>
      <c r="T40" s="171"/>
    </row>
    <row r="41" ht="18.75" spans="1:20">
      <c r="A41" s="44"/>
      <c r="B41" s="156" t="s">
        <v>402</v>
      </c>
      <c r="C41" s="157"/>
      <c r="D41" s="152">
        <f t="shared" si="7"/>
        <v>3.01643835616437</v>
      </c>
      <c r="E41" s="153">
        <f>V28*10000/T2</f>
        <v>1005.47945205479</v>
      </c>
      <c r="F41" s="152">
        <f t="shared" si="1"/>
        <v>3.01643835616437</v>
      </c>
      <c r="G41" s="153">
        <f>W28*10000/T2</f>
        <v>1005.47945205479</v>
      </c>
      <c r="H41" s="152" t="e">
        <f t="shared" si="8"/>
        <v>#VALUE!</v>
      </c>
      <c r="I41" s="153" t="s">
        <v>549</v>
      </c>
      <c r="J41" s="152">
        <f t="shared" si="6"/>
        <v>4.74</v>
      </c>
      <c r="K41" s="153">
        <f>X28*10000/T2</f>
        <v>1580</v>
      </c>
      <c r="L41" s="152" t="s">
        <v>549</v>
      </c>
      <c r="M41" s="153" t="s">
        <v>549</v>
      </c>
      <c r="N41" s="153" t="s">
        <v>549</v>
      </c>
      <c r="O41" s="153" t="s">
        <v>549</v>
      </c>
      <c r="P41" s="44" t="s">
        <v>536</v>
      </c>
      <c r="Q41" s="44">
        <v>30</v>
      </c>
      <c r="S41" s="170"/>
      <c r="T41" s="171"/>
    </row>
    <row r="42" ht="18.75" spans="1:20">
      <c r="A42" s="44" t="s">
        <v>587</v>
      </c>
      <c r="B42" s="150" t="s">
        <v>21</v>
      </c>
      <c r="C42" s="147"/>
      <c r="D42" s="152">
        <f t="shared" si="7"/>
        <v>19.8213698630137</v>
      </c>
      <c r="E42" s="153">
        <f>V16*10000/T2</f>
        <v>6607.12328767123</v>
      </c>
      <c r="F42" s="152">
        <f t="shared" si="1"/>
        <v>12.1191780821918</v>
      </c>
      <c r="G42" s="153">
        <f>W16*10000/T2</f>
        <v>4039.72602739726</v>
      </c>
      <c r="H42" s="152">
        <f t="shared" si="8"/>
        <v>7.26657534246576</v>
      </c>
      <c r="I42" s="153">
        <f>AA16*10000/T2</f>
        <v>2422.19178082192</v>
      </c>
      <c r="J42" s="152">
        <f t="shared" si="6"/>
        <v>12.4520547945205</v>
      </c>
      <c r="K42" s="153">
        <f>X16*10000/T2</f>
        <v>4150.68493150685</v>
      </c>
      <c r="L42" s="152">
        <v>4.61</v>
      </c>
      <c r="M42" s="153">
        <v>1647</v>
      </c>
      <c r="N42" s="152">
        <v>0</v>
      </c>
      <c r="O42" s="153">
        <v>0</v>
      </c>
      <c r="P42" s="44" t="s">
        <v>536</v>
      </c>
      <c r="Q42" s="44">
        <v>30</v>
      </c>
      <c r="S42" s="170"/>
      <c r="T42" s="171"/>
    </row>
    <row r="43" ht="18.75" spans="1:20">
      <c r="A43" s="44"/>
      <c r="B43" s="156" t="s">
        <v>141</v>
      </c>
      <c r="C43" s="157"/>
      <c r="D43" s="152">
        <f t="shared" si="7"/>
        <v>19.8213698630137</v>
      </c>
      <c r="E43" s="153">
        <f>V16*10000/T2</f>
        <v>6607.12328767123</v>
      </c>
      <c r="F43" s="152">
        <f t="shared" si="1"/>
        <v>12.1191780821918</v>
      </c>
      <c r="G43" s="153">
        <f>W16*10000/T2</f>
        <v>4039.72602739726</v>
      </c>
      <c r="H43" s="152">
        <f t="shared" si="8"/>
        <v>7.26657534246576</v>
      </c>
      <c r="I43" s="153">
        <f>AA16*10000/T2</f>
        <v>2422.19178082192</v>
      </c>
      <c r="J43" s="152">
        <f t="shared" si="6"/>
        <v>12.4520547945205</v>
      </c>
      <c r="K43" s="153">
        <f>X16*10000/T2</f>
        <v>4150.68493150685</v>
      </c>
      <c r="L43" s="152">
        <v>4.61</v>
      </c>
      <c r="M43" s="153">
        <v>1647</v>
      </c>
      <c r="N43" s="153" t="s">
        <v>549</v>
      </c>
      <c r="O43" s="153" t="s">
        <v>549</v>
      </c>
      <c r="P43" s="44" t="s">
        <v>536</v>
      </c>
      <c r="Q43" s="44">
        <v>30</v>
      </c>
      <c r="S43" s="170"/>
      <c r="T43" s="171"/>
    </row>
    <row r="44" ht="18.75" spans="1:20">
      <c r="A44" s="44"/>
      <c r="B44" s="156" t="s">
        <v>588</v>
      </c>
      <c r="C44" s="157"/>
      <c r="D44" s="152">
        <f t="shared" si="7"/>
        <v>0</v>
      </c>
      <c r="E44" s="153">
        <v>0</v>
      </c>
      <c r="F44" s="152">
        <f t="shared" si="1"/>
        <v>0</v>
      </c>
      <c r="G44" s="153">
        <v>0</v>
      </c>
      <c r="H44" s="152">
        <f t="shared" si="8"/>
        <v>0</v>
      </c>
      <c r="I44" s="153">
        <v>0</v>
      </c>
      <c r="J44" s="152" t="e">
        <f t="shared" si="6"/>
        <v>#VALUE!</v>
      </c>
      <c r="K44" s="153" t="s">
        <v>549</v>
      </c>
      <c r="L44" s="152">
        <v>0</v>
      </c>
      <c r="M44" s="153">
        <v>0</v>
      </c>
      <c r="N44" s="152">
        <v>0</v>
      </c>
      <c r="O44" s="153">
        <v>0</v>
      </c>
      <c r="P44" s="44" t="s">
        <v>536</v>
      </c>
      <c r="Q44" s="44">
        <v>30</v>
      </c>
      <c r="S44" s="170"/>
      <c r="T44" s="171"/>
    </row>
    <row r="45" ht="18.75" spans="1:20">
      <c r="A45" s="44" t="s">
        <v>589</v>
      </c>
      <c r="B45" s="150" t="s">
        <v>21</v>
      </c>
      <c r="C45" s="147"/>
      <c r="D45" s="152">
        <f t="shared" si="7"/>
        <v>15.4403835616439</v>
      </c>
      <c r="E45" s="153">
        <f>V18*10000/T2</f>
        <v>5146.79452054795</v>
      </c>
      <c r="F45" s="152">
        <f t="shared" si="1"/>
        <v>10.8172602739726</v>
      </c>
      <c r="G45" s="153">
        <f>W18*10000/T2</f>
        <v>3605.75342465754</v>
      </c>
      <c r="H45" s="152">
        <f t="shared" si="8"/>
        <v>1.62616438356164</v>
      </c>
      <c r="I45" s="153">
        <f>AA18*10000/T2</f>
        <v>542.054794520548</v>
      </c>
      <c r="J45" s="152">
        <f t="shared" si="6"/>
        <v>9.5917808219178</v>
      </c>
      <c r="K45" s="153">
        <f>X18*10000/T2</f>
        <v>3197.2602739726</v>
      </c>
      <c r="L45" s="152">
        <v>6.91</v>
      </c>
      <c r="M45" s="153">
        <v>2468</v>
      </c>
      <c r="N45" s="152">
        <v>18.9428</v>
      </c>
      <c r="O45" s="153">
        <v>6532</v>
      </c>
      <c r="P45" s="44" t="s">
        <v>536</v>
      </c>
      <c r="Q45" s="44">
        <v>30</v>
      </c>
      <c r="S45" s="170"/>
      <c r="T45" s="171"/>
    </row>
    <row r="46" ht="18.75" spans="1:20">
      <c r="A46" s="44"/>
      <c r="B46" s="156" t="s">
        <v>410</v>
      </c>
      <c r="C46" s="157"/>
      <c r="D46" s="152">
        <f t="shared" si="7"/>
        <v>15.4403835616439</v>
      </c>
      <c r="E46" s="153">
        <f>V18*10000/T2</f>
        <v>5146.79452054795</v>
      </c>
      <c r="F46" s="152">
        <f t="shared" si="1"/>
        <v>8.11935483870969</v>
      </c>
      <c r="G46" s="153">
        <v>2706.45161290323</v>
      </c>
      <c r="H46" s="152">
        <f t="shared" si="8"/>
        <v>1.62616438356164</v>
      </c>
      <c r="I46" s="153">
        <f>AA18*10000/T2</f>
        <v>542.054794520548</v>
      </c>
      <c r="J46" s="152">
        <f t="shared" si="6"/>
        <v>9.5917808219178</v>
      </c>
      <c r="K46" s="153">
        <f>X18*10000/T2</f>
        <v>3197.2602739726</v>
      </c>
      <c r="L46" s="152">
        <v>6.91</v>
      </c>
      <c r="M46" s="153">
        <v>2468</v>
      </c>
      <c r="N46" s="152">
        <v>16.82</v>
      </c>
      <c r="O46" s="153">
        <v>5800</v>
      </c>
      <c r="P46" s="44" t="s">
        <v>536</v>
      </c>
      <c r="Q46" s="44">
        <v>30</v>
      </c>
      <c r="S46" s="170"/>
      <c r="T46" s="171"/>
    </row>
    <row r="47" ht="18.75" spans="1:20">
      <c r="A47" s="44"/>
      <c r="B47" s="156" t="s">
        <v>590</v>
      </c>
      <c r="C47" s="157"/>
      <c r="D47" s="152">
        <f t="shared" si="7"/>
        <v>0</v>
      </c>
      <c r="E47" s="153">
        <v>0</v>
      </c>
      <c r="F47" s="152">
        <f t="shared" si="1"/>
        <v>0</v>
      </c>
      <c r="G47" s="153">
        <v>0</v>
      </c>
      <c r="H47" s="152">
        <f t="shared" si="8"/>
        <v>0</v>
      </c>
      <c r="I47" s="153">
        <v>0</v>
      </c>
      <c r="J47" s="152" t="e">
        <f t="shared" si="6"/>
        <v>#VALUE!</v>
      </c>
      <c r="K47" s="153" t="s">
        <v>549</v>
      </c>
      <c r="L47" s="152" t="s">
        <v>549</v>
      </c>
      <c r="M47" s="153" t="s">
        <v>549</v>
      </c>
      <c r="N47" s="152">
        <v>0</v>
      </c>
      <c r="O47" s="153">
        <v>0</v>
      </c>
      <c r="P47" s="44" t="s">
        <v>536</v>
      </c>
      <c r="Q47" s="44">
        <v>30</v>
      </c>
      <c r="S47" s="170"/>
      <c r="T47" s="171"/>
    </row>
    <row r="48" ht="18.75" spans="1:20">
      <c r="A48" s="44"/>
      <c r="B48" s="156" t="s">
        <v>591</v>
      </c>
      <c r="C48" s="157"/>
      <c r="D48" s="152" t="e">
        <f t="shared" si="7"/>
        <v>#VALUE!</v>
      </c>
      <c r="E48" s="153" t="s">
        <v>549</v>
      </c>
      <c r="F48" s="152" t="e">
        <f t="shared" si="1"/>
        <v>#VALUE!</v>
      </c>
      <c r="G48" s="153" t="s">
        <v>549</v>
      </c>
      <c r="H48" s="152" t="e">
        <f t="shared" si="8"/>
        <v>#VALUE!</v>
      </c>
      <c r="I48" s="153" t="s">
        <v>549</v>
      </c>
      <c r="J48" s="152" t="e">
        <f t="shared" si="6"/>
        <v>#VALUE!</v>
      </c>
      <c r="K48" s="153" t="s">
        <v>549</v>
      </c>
      <c r="L48" s="152" t="s">
        <v>549</v>
      </c>
      <c r="M48" s="153" t="s">
        <v>549</v>
      </c>
      <c r="N48" s="152">
        <v>2.1228</v>
      </c>
      <c r="O48" s="153">
        <v>732</v>
      </c>
      <c r="P48" s="44" t="s">
        <v>536</v>
      </c>
      <c r="Q48" s="44">
        <v>30</v>
      </c>
      <c r="S48" s="170"/>
      <c r="T48" s="171"/>
    </row>
    <row r="49" ht="18.75" spans="1:20">
      <c r="A49" s="44" t="s">
        <v>397</v>
      </c>
      <c r="B49" s="44"/>
      <c r="C49" s="147"/>
      <c r="D49" s="152">
        <f t="shared" si="7"/>
        <v>2.95890410958904</v>
      </c>
      <c r="E49" s="153">
        <f>V17*10000/T2</f>
        <v>986.301369863014</v>
      </c>
      <c r="F49" s="152">
        <f t="shared" si="1"/>
        <v>1.64383561643836</v>
      </c>
      <c r="G49" s="153">
        <f>W17*10000/T2</f>
        <v>547.945205479452</v>
      </c>
      <c r="H49" s="152">
        <f t="shared" si="8"/>
        <v>0.986301369863013</v>
      </c>
      <c r="I49" s="153">
        <f>AA17*10000/T2</f>
        <v>328.767123287671</v>
      </c>
      <c r="J49" s="152">
        <f t="shared" si="6"/>
        <v>0.246575342465753</v>
      </c>
      <c r="K49" s="153">
        <f>X17*10000/T2</f>
        <v>82.1917808219178</v>
      </c>
      <c r="L49" s="152">
        <v>1.19</v>
      </c>
      <c r="M49" s="153">
        <v>425</v>
      </c>
      <c r="N49" s="152">
        <v>0.392903225806452</v>
      </c>
      <c r="O49" s="153">
        <v>135.483870967742</v>
      </c>
      <c r="P49" s="44" t="s">
        <v>536</v>
      </c>
      <c r="Q49" s="44">
        <v>30</v>
      </c>
      <c r="S49" s="170"/>
      <c r="T49" s="171"/>
    </row>
    <row r="50" ht="18.75" spans="1:20">
      <c r="A50" s="44" t="s">
        <v>412</v>
      </c>
      <c r="B50" s="44"/>
      <c r="C50" s="147"/>
      <c r="D50" s="152">
        <f t="shared" si="7"/>
        <v>0</v>
      </c>
      <c r="E50" s="153">
        <v>0</v>
      </c>
      <c r="F50" s="152">
        <f t="shared" si="1"/>
        <v>0</v>
      </c>
      <c r="G50" s="153">
        <v>0</v>
      </c>
      <c r="H50" s="152">
        <f t="shared" si="8"/>
        <v>0</v>
      </c>
      <c r="I50" s="153">
        <v>0</v>
      </c>
      <c r="J50" s="152">
        <f t="shared" si="6"/>
        <v>0</v>
      </c>
      <c r="K50" s="153">
        <v>0</v>
      </c>
      <c r="L50" s="152" t="s">
        <v>549</v>
      </c>
      <c r="M50" s="153" t="s">
        <v>549</v>
      </c>
      <c r="N50" s="153" t="s">
        <v>549</v>
      </c>
      <c r="O50" s="153" t="s">
        <v>549</v>
      </c>
      <c r="P50" s="44" t="s">
        <v>536</v>
      </c>
      <c r="Q50" s="44">
        <v>30</v>
      </c>
      <c r="S50" s="170"/>
      <c r="T50" s="171"/>
    </row>
    <row r="51" ht="18.75" spans="1:20">
      <c r="A51" s="44" t="s">
        <v>592</v>
      </c>
      <c r="B51" s="44"/>
      <c r="C51" s="147"/>
      <c r="D51" s="152">
        <f t="shared" si="7"/>
        <v>0</v>
      </c>
      <c r="E51" s="153"/>
      <c r="F51" s="152">
        <f t="shared" si="1"/>
        <v>0</v>
      </c>
      <c r="G51" s="153"/>
      <c r="H51" s="152">
        <f t="shared" si="8"/>
        <v>0</v>
      </c>
      <c r="I51" s="153"/>
      <c r="J51" s="152">
        <f t="shared" si="6"/>
        <v>0</v>
      </c>
      <c r="K51" s="153"/>
      <c r="L51" s="152"/>
      <c r="M51" s="153"/>
      <c r="N51" s="152">
        <v>0</v>
      </c>
      <c r="O51" s="153"/>
      <c r="P51" s="44" t="s">
        <v>536</v>
      </c>
      <c r="Q51" s="44">
        <v>30</v>
      </c>
      <c r="S51" s="170"/>
      <c r="T51" s="171"/>
    </row>
    <row r="52" ht="18.75" spans="1:20">
      <c r="A52" s="44" t="s">
        <v>414</v>
      </c>
      <c r="B52" s="44"/>
      <c r="C52" s="147"/>
      <c r="D52" s="152">
        <f t="shared" si="7"/>
        <v>2.43452054794521</v>
      </c>
      <c r="E52" s="153">
        <f>V20*10000/T2</f>
        <v>811.506849315069</v>
      </c>
      <c r="F52" s="152">
        <f t="shared" si="1"/>
        <v>2.26027397260274</v>
      </c>
      <c r="G52" s="153">
        <f>W20*10000/T2</f>
        <v>753.424657534247</v>
      </c>
      <c r="H52" s="152">
        <f t="shared" si="8"/>
        <v>0.164383561643836</v>
      </c>
      <c r="I52" s="153">
        <f>AA20*10000/T2</f>
        <v>54.7945205479452</v>
      </c>
      <c r="J52" s="152">
        <f t="shared" si="6"/>
        <v>3.69863013698631</v>
      </c>
      <c r="K52" s="153">
        <f>X20*10000/T2</f>
        <v>1232.87671232877</v>
      </c>
      <c r="L52" s="152" t="s">
        <v>549</v>
      </c>
      <c r="M52" s="153" t="s">
        <v>549</v>
      </c>
      <c r="N52" s="153" t="s">
        <v>549</v>
      </c>
      <c r="O52" s="153" t="s">
        <v>549</v>
      </c>
      <c r="P52" s="44" t="s">
        <v>536</v>
      </c>
      <c r="Q52" s="44">
        <v>30</v>
      </c>
      <c r="S52" s="170"/>
      <c r="T52" s="171"/>
    </row>
    <row r="53" ht="18.75" spans="1:20">
      <c r="A53" s="44" t="s">
        <v>415</v>
      </c>
      <c r="B53" s="44"/>
      <c r="C53" s="147"/>
      <c r="D53" s="152">
        <f t="shared" si="7"/>
        <v>2.79616438356164</v>
      </c>
      <c r="E53" s="153">
        <f>V9*10000/T2</f>
        <v>932.054794520548</v>
      </c>
      <c r="F53" s="152">
        <f t="shared" si="1"/>
        <v>2.37369863013699</v>
      </c>
      <c r="G53" s="153">
        <f>W9*10000/T2</f>
        <v>791.232876712329</v>
      </c>
      <c r="H53" s="152">
        <f t="shared" si="8"/>
        <v>0.398630136986301</v>
      </c>
      <c r="I53" s="153">
        <f>AA9*10000/T2</f>
        <v>132.876712328767</v>
      </c>
      <c r="J53" s="152">
        <f t="shared" si="6"/>
        <v>3.32465753424657</v>
      </c>
      <c r="K53" s="153">
        <f>X9*10000/T2</f>
        <v>1108.21917808219</v>
      </c>
      <c r="L53" s="152" t="s">
        <v>549</v>
      </c>
      <c r="M53" s="153" t="s">
        <v>549</v>
      </c>
      <c r="N53" s="153" t="s">
        <v>549</v>
      </c>
      <c r="O53" s="153" t="s">
        <v>549</v>
      </c>
      <c r="P53" s="44" t="s">
        <v>536</v>
      </c>
      <c r="Q53" s="44">
        <v>30</v>
      </c>
      <c r="S53" s="170"/>
      <c r="T53" s="171"/>
    </row>
    <row r="54" ht="18.75" spans="1:20">
      <c r="A54" s="44" t="s">
        <v>416</v>
      </c>
      <c r="B54" s="44"/>
      <c r="C54" s="147"/>
      <c r="D54" s="152">
        <f t="shared" si="7"/>
        <v>4.1441095890411</v>
      </c>
      <c r="E54" s="153">
        <f>V10*10000/T2</f>
        <v>1381.3698630137</v>
      </c>
      <c r="F54" s="152">
        <f t="shared" si="1"/>
        <v>3.34438356164385</v>
      </c>
      <c r="G54" s="153">
        <f>W10*10000/T2</f>
        <v>1114.79452054795</v>
      </c>
      <c r="H54" s="152">
        <f t="shared" si="8"/>
        <v>0.754931506849314</v>
      </c>
      <c r="I54" s="153">
        <f>AA10*10000/T2</f>
        <v>251.643835616438</v>
      </c>
      <c r="J54" s="152">
        <f t="shared" si="6"/>
        <v>5.43698630136987</v>
      </c>
      <c r="K54" s="153">
        <f>X10*10000/T2</f>
        <v>1812.32876712329</v>
      </c>
      <c r="L54" s="152">
        <v>1446</v>
      </c>
      <c r="M54" s="153">
        <v>52</v>
      </c>
      <c r="N54" s="153" t="s">
        <v>549</v>
      </c>
      <c r="O54" s="153" t="s">
        <v>549</v>
      </c>
      <c r="P54" s="44" t="s">
        <v>536</v>
      </c>
      <c r="Q54" s="44">
        <v>30</v>
      </c>
      <c r="S54" s="170"/>
      <c r="T54" s="171"/>
    </row>
    <row r="55" ht="18.75" spans="1:20">
      <c r="A55" s="44" t="s">
        <v>593</v>
      </c>
      <c r="B55" s="44"/>
      <c r="C55" s="147"/>
      <c r="D55" s="152">
        <f t="shared" si="7"/>
        <v>6.57534246575343</v>
      </c>
      <c r="E55" s="153">
        <f>V11*10000/T2</f>
        <v>2191.78082191781</v>
      </c>
      <c r="F55" s="152">
        <f t="shared" si="1"/>
        <v>2.46575342465753</v>
      </c>
      <c r="G55" s="153">
        <f>W11*10000/T2</f>
        <v>821.917808219178</v>
      </c>
      <c r="H55" s="152" t="e">
        <f t="shared" si="8"/>
        <v>#VALUE!</v>
      </c>
      <c r="I55" s="153" t="s">
        <v>549</v>
      </c>
      <c r="J55" s="152">
        <f t="shared" si="6"/>
        <v>4.27397260273974</v>
      </c>
      <c r="K55" s="153">
        <f>X11*10000/T2</f>
        <v>1424.65753424658</v>
      </c>
      <c r="L55" s="152" t="s">
        <v>549</v>
      </c>
      <c r="M55" s="153" t="s">
        <v>549</v>
      </c>
      <c r="N55" s="153" t="s">
        <v>549</v>
      </c>
      <c r="O55" s="153" t="s">
        <v>549</v>
      </c>
      <c r="P55" s="44" t="s">
        <v>536</v>
      </c>
      <c r="Q55" s="44">
        <v>30</v>
      </c>
      <c r="S55" s="170"/>
      <c r="T55" s="171"/>
    </row>
    <row r="56" ht="24" spans="1:20">
      <c r="A56" s="44" t="s">
        <v>470</v>
      </c>
      <c r="B56" s="44"/>
      <c r="C56" s="147"/>
      <c r="D56" s="152">
        <f t="shared" si="7"/>
        <v>2.78794520547945</v>
      </c>
      <c r="E56" s="153">
        <f>V21*10000/T2</f>
        <v>929.315068493151</v>
      </c>
      <c r="F56" s="152" t="s">
        <v>549</v>
      </c>
      <c r="G56" s="153" t="s">
        <v>549</v>
      </c>
      <c r="H56" s="152">
        <f t="shared" si="8"/>
        <v>2.63013698630137</v>
      </c>
      <c r="I56" s="153">
        <f>AA21*10000/T2</f>
        <v>876.712328767123</v>
      </c>
      <c r="J56" s="166" t="s">
        <v>594</v>
      </c>
      <c r="K56" s="167">
        <v>0</v>
      </c>
      <c r="L56" s="168" t="s">
        <v>549</v>
      </c>
      <c r="M56" s="169" t="s">
        <v>595</v>
      </c>
      <c r="N56" s="152">
        <v>3.0885</v>
      </c>
      <c r="O56" s="167">
        <v>1065</v>
      </c>
      <c r="P56" s="44" t="s">
        <v>536</v>
      </c>
      <c r="Q56" s="44">
        <v>30</v>
      </c>
      <c r="S56" s="170"/>
      <c r="T56" s="171"/>
    </row>
    <row r="57" ht="18.75" spans="1:20">
      <c r="A57" s="84" t="s">
        <v>319</v>
      </c>
      <c r="B57" s="84"/>
      <c r="C57" s="162"/>
      <c r="D57" s="152">
        <f t="shared" si="7"/>
        <v>9.58356164383563</v>
      </c>
      <c r="E57" s="163">
        <f>V22*10000/T2</f>
        <v>3194.52054794521</v>
      </c>
      <c r="F57" s="163"/>
      <c r="G57" s="163"/>
      <c r="H57" s="152">
        <f t="shared" si="8"/>
        <v>9.04109589041097</v>
      </c>
      <c r="I57" s="163">
        <f>AA22*10000/T2</f>
        <v>3013.69863013699</v>
      </c>
      <c r="J57" s="153"/>
      <c r="K57" s="152"/>
      <c r="L57" s="153"/>
      <c r="M57" s="152"/>
      <c r="N57" s="153"/>
      <c r="O57" s="152"/>
      <c r="P57" s="44" t="s">
        <v>536</v>
      </c>
      <c r="Q57" s="44">
        <v>30</v>
      </c>
      <c r="S57" s="170"/>
      <c r="T57" s="171"/>
    </row>
    <row r="62" spans="3:9">
      <c r="C62" t="s">
        <v>128</v>
      </c>
      <c r="E62" t="s">
        <v>152</v>
      </c>
      <c r="G62" t="s">
        <v>154</v>
      </c>
      <c r="I62" t="s">
        <v>153</v>
      </c>
    </row>
    <row r="63" spans="1:27">
      <c r="A63" s="47" t="s">
        <v>371</v>
      </c>
      <c r="B63" s="47"/>
      <c r="C63" s="164">
        <f>D5*10000</f>
        <v>1386312.32876712</v>
      </c>
      <c r="D63" s="164">
        <f>E5</f>
        <v>46210.4109589041</v>
      </c>
      <c r="E63" s="164">
        <f>F5*10000</f>
        <v>888230.136986301</v>
      </c>
      <c r="F63" s="164">
        <f>G5</f>
        <v>29607.6712328767</v>
      </c>
      <c r="G63" s="164">
        <f>H5*10000</f>
        <v>391544.942465754</v>
      </c>
      <c r="H63" s="164">
        <f>I5</f>
        <v>13051.4980821918</v>
      </c>
      <c r="I63" s="164">
        <f>J5*10000</f>
        <v>940980.821917809</v>
      </c>
      <c r="J63" s="164">
        <f>K5</f>
        <v>31366.0273972603</v>
      </c>
      <c r="P63" t="s">
        <v>128</v>
      </c>
      <c r="R63" t="s">
        <v>152</v>
      </c>
      <c r="T63" t="s">
        <v>154</v>
      </c>
      <c r="V63" t="s">
        <v>153</v>
      </c>
      <c r="Y63" t="s">
        <v>250</v>
      </c>
      <c r="AA63" t="s">
        <v>596</v>
      </c>
    </row>
    <row r="64" spans="1:10">
      <c r="A64" s="165" t="s">
        <v>374</v>
      </c>
      <c r="B64" s="165"/>
      <c r="C64" s="164">
        <f>D6*10000</f>
        <v>142894.520547945</v>
      </c>
      <c r="D64" s="164">
        <f>E6</f>
        <v>4763.15068493151</v>
      </c>
      <c r="E64" s="164">
        <f>F6*10000</f>
        <v>103268.054794521</v>
      </c>
      <c r="F64" s="164">
        <f>G6</f>
        <v>3442.26849315069</v>
      </c>
      <c r="G64" s="164">
        <f>H6*10000</f>
        <v>29975.0794520548</v>
      </c>
      <c r="H64" s="164">
        <f>I6</f>
        <v>999.169315068493</v>
      </c>
      <c r="I64" s="164">
        <f>J6*10000</f>
        <v>51706.8493150686</v>
      </c>
      <c r="J64" s="164">
        <f>K6</f>
        <v>1723.56164383562</v>
      </c>
    </row>
    <row r="65" spans="1:27">
      <c r="A65" s="177" t="s">
        <v>375</v>
      </c>
      <c r="B65" s="178" t="s">
        <v>376</v>
      </c>
      <c r="C65" s="164">
        <f>D7*10000</f>
        <v>37323.287671233</v>
      </c>
      <c r="D65" s="164">
        <f>E7</f>
        <v>1244.1095890411</v>
      </c>
      <c r="E65" s="164">
        <f>F7*10000</f>
        <v>17252.0547945205</v>
      </c>
      <c r="F65" s="164">
        <f>G7</f>
        <v>575.068493150685</v>
      </c>
      <c r="G65" s="164">
        <f>H7*10000</f>
        <v>11515.0684931507</v>
      </c>
      <c r="H65" s="164">
        <f>I7</f>
        <v>383.835616438356</v>
      </c>
      <c r="I65" s="164"/>
      <c r="J65" s="164"/>
      <c r="K65" s="164"/>
      <c r="L65" s="164"/>
      <c r="M65" s="164"/>
      <c r="N65" s="164"/>
      <c r="O65" s="191" t="s">
        <v>371</v>
      </c>
      <c r="P65" s="175">
        <f>D5*10000</f>
        <v>1386312.32876712</v>
      </c>
      <c r="Q65" s="191"/>
      <c r="R65" s="175">
        <f t="shared" ref="R65:V66" si="9">F5*10000</f>
        <v>888230.136986301</v>
      </c>
      <c r="S65" s="191"/>
      <c r="T65" s="175">
        <f t="shared" si="9"/>
        <v>391544.942465754</v>
      </c>
      <c r="U65" s="191"/>
      <c r="V65" s="175">
        <f t="shared" si="9"/>
        <v>940980.821917809</v>
      </c>
      <c r="W65" s="175"/>
      <c r="X65" s="175"/>
      <c r="Y65" s="175">
        <f>L5*10000</f>
        <v>231750</v>
      </c>
      <c r="Z65" s="191"/>
      <c r="AA65" s="175">
        <f>N5*10000</f>
        <v>201150</v>
      </c>
    </row>
    <row r="66" spans="1:27">
      <c r="A66" s="179"/>
      <c r="B66" s="178" t="s">
        <v>17</v>
      </c>
      <c r="C66" s="164">
        <f>D8*10000</f>
        <v>0</v>
      </c>
      <c r="D66" s="164">
        <f>E8</f>
        <v>0</v>
      </c>
      <c r="E66" s="164">
        <f>F8*10000</f>
        <v>0</v>
      </c>
      <c r="F66" s="164">
        <f>G8</f>
        <v>0</v>
      </c>
      <c r="G66" s="164">
        <f>H8*10000</f>
        <v>0</v>
      </c>
      <c r="H66" s="164">
        <f>I8</f>
        <v>0</v>
      </c>
      <c r="I66" s="164">
        <f>J8*10000</f>
        <v>0</v>
      </c>
      <c r="J66" s="164">
        <f>K8</f>
        <v>0</v>
      </c>
      <c r="K66" s="164"/>
      <c r="L66" s="164"/>
      <c r="M66" s="164"/>
      <c r="N66" s="164"/>
      <c r="O66" s="175" t="s">
        <v>509</v>
      </c>
      <c r="P66" s="175">
        <f>D6*10000</f>
        <v>142894.520547945</v>
      </c>
      <c r="Q66" s="175"/>
      <c r="R66" s="175">
        <f t="shared" si="9"/>
        <v>103268.054794521</v>
      </c>
      <c r="S66" s="175"/>
      <c r="T66" s="175">
        <f t="shared" si="9"/>
        <v>29975.0794520548</v>
      </c>
      <c r="U66" s="175"/>
      <c r="V66" s="175">
        <f t="shared" si="9"/>
        <v>51706.8493150686</v>
      </c>
      <c r="W66" s="175"/>
      <c r="X66" s="175" t="s">
        <v>509</v>
      </c>
      <c r="Y66" s="175">
        <f>L6*10000</f>
        <v>41000</v>
      </c>
      <c r="Z66" s="175"/>
      <c r="AA66" s="175">
        <f>N6*10000</f>
        <v>57953.2258064515</v>
      </c>
    </row>
    <row r="67" spans="1:27">
      <c r="A67" s="179"/>
      <c r="B67" s="178" t="s">
        <v>379</v>
      </c>
      <c r="C67" s="164">
        <f>D12*10000</f>
        <v>41736.9863013699</v>
      </c>
      <c r="D67" s="164">
        <f>E12</f>
        <v>1391.23287671233</v>
      </c>
      <c r="E67" s="164">
        <f>F12*10000</f>
        <v>33895.8904109589</v>
      </c>
      <c r="F67" s="164">
        <f>G12</f>
        <v>1129.86301369863</v>
      </c>
      <c r="G67" s="164">
        <f>H12*10000</f>
        <v>7397.26027397259</v>
      </c>
      <c r="H67" s="164">
        <f>I12</f>
        <v>246.575342465753</v>
      </c>
      <c r="I67" s="164">
        <f>J12*10000</f>
        <v>11432.8767123288</v>
      </c>
      <c r="J67" s="164">
        <f>K12</f>
        <v>381.095890410959</v>
      </c>
      <c r="K67" s="164"/>
      <c r="L67" s="164"/>
      <c r="M67" s="164"/>
      <c r="N67" s="164"/>
      <c r="O67" s="175" t="s">
        <v>510</v>
      </c>
      <c r="P67" s="175">
        <f>D17*10000</f>
        <v>50843.8356164385</v>
      </c>
      <c r="Q67" s="175"/>
      <c r="R67" s="175">
        <f>F17*10000</f>
        <v>43421.9178082191</v>
      </c>
      <c r="S67" s="175"/>
      <c r="T67" s="175">
        <f>H17*10000</f>
        <v>7010.95890410958</v>
      </c>
      <c r="U67" s="175"/>
      <c r="V67" s="175">
        <f>J17*10000</f>
        <v>64380.8219178081</v>
      </c>
      <c r="W67" s="175"/>
      <c r="X67" s="175" t="s">
        <v>511</v>
      </c>
      <c r="Y67" s="175">
        <f>L20*10000</f>
        <v>0</v>
      </c>
      <c r="Z67" s="175"/>
      <c r="AA67" s="175">
        <f>N20*10000</f>
        <v>7483.87096774193</v>
      </c>
    </row>
    <row r="68" spans="1:27">
      <c r="A68" s="179"/>
      <c r="B68" s="178" t="s">
        <v>19</v>
      </c>
      <c r="C68" s="164">
        <f>D13*10000</f>
        <v>47334.2465753424</v>
      </c>
      <c r="D68" s="164">
        <f>E13</f>
        <v>1577.80821917808</v>
      </c>
      <c r="E68" s="164">
        <f>F13*10000</f>
        <v>36821.9178082191</v>
      </c>
      <c r="F68" s="164">
        <f>G13</f>
        <v>1227.39726027397</v>
      </c>
      <c r="G68" s="164">
        <f>H13*10000</f>
        <v>9920.54794520547</v>
      </c>
      <c r="H68" s="164">
        <f>I13</f>
        <v>330.684931506849</v>
      </c>
      <c r="I68" s="164">
        <f>J13*10000</f>
        <v>40273.9726027398</v>
      </c>
      <c r="J68" s="164">
        <f>K13</f>
        <v>1342.46575342466</v>
      </c>
      <c r="K68" s="164"/>
      <c r="L68" s="164"/>
      <c r="M68" s="164"/>
      <c r="N68" s="164"/>
      <c r="O68" s="175" t="s">
        <v>511</v>
      </c>
      <c r="P68" s="175">
        <f>D20*10000</f>
        <v>102739.726027397</v>
      </c>
      <c r="Q68" s="175"/>
      <c r="R68" s="175">
        <f>F20*10000</f>
        <v>102739.726027397</v>
      </c>
      <c r="S68" s="175"/>
      <c r="T68" s="175">
        <f>H20*10000</f>
        <v>0</v>
      </c>
      <c r="U68" s="175"/>
      <c r="V68" s="175">
        <f>J20*10000</f>
        <v>90410.9589041097</v>
      </c>
      <c r="W68" s="175"/>
      <c r="X68" s="175" t="s">
        <v>82</v>
      </c>
      <c r="Y68" s="175">
        <f>L27*10000</f>
        <v>0</v>
      </c>
      <c r="Z68" s="175"/>
      <c r="AA68" s="175">
        <f>N27*10000</f>
        <v>0</v>
      </c>
    </row>
    <row r="69" spans="1:27">
      <c r="A69" s="179"/>
      <c r="B69" s="178" t="s">
        <v>381</v>
      </c>
      <c r="C69" s="164">
        <f>D15*10000</f>
        <v>16504.1095890411</v>
      </c>
      <c r="D69" s="164">
        <f>E15</f>
        <v>550.13698630137</v>
      </c>
      <c r="E69" s="164">
        <f>F15*10000</f>
        <v>15295.8904109589</v>
      </c>
      <c r="F69" s="164">
        <f>G15</f>
        <v>509.86301369863</v>
      </c>
      <c r="G69" s="164">
        <f>H15*10000</f>
        <v>1142.46575342466</v>
      </c>
      <c r="H69" s="164">
        <f>I15</f>
        <v>38.0821917808219</v>
      </c>
      <c r="I69" s="164"/>
      <c r="J69" s="164"/>
      <c r="K69" s="164"/>
      <c r="L69" s="164"/>
      <c r="M69" s="164"/>
      <c r="N69" s="164"/>
      <c r="O69" s="175" t="s">
        <v>82</v>
      </c>
      <c r="P69" s="175">
        <f>D27*10000</f>
        <v>30468.4931506848</v>
      </c>
      <c r="Q69" s="175"/>
      <c r="R69" s="175">
        <f>F27*10000</f>
        <v>25676.7123287671</v>
      </c>
      <c r="S69" s="175"/>
      <c r="T69" s="175">
        <f>H27*10000</f>
        <v>4520.54794520547</v>
      </c>
      <c r="U69" s="175"/>
      <c r="V69" s="175">
        <f>J27*10000</f>
        <v>29589.0410958904</v>
      </c>
      <c r="W69" s="175"/>
      <c r="X69" s="175" t="s">
        <v>512</v>
      </c>
      <c r="Y69" s="175">
        <f>L31*10000</f>
        <v>0</v>
      </c>
      <c r="Z69" s="175"/>
      <c r="AA69" s="175"/>
    </row>
    <row r="70" spans="1:27">
      <c r="A70" s="180" t="s">
        <v>374</v>
      </c>
      <c r="B70" s="180"/>
      <c r="C70" s="164">
        <f t="shared" ref="C70:C75" si="10">D17*10000</f>
        <v>50843.8356164385</v>
      </c>
      <c r="D70" s="164">
        <f t="shared" ref="D70:D75" si="11">E17</f>
        <v>1694.79452054795</v>
      </c>
      <c r="E70" s="164">
        <f t="shared" ref="E70:E75" si="12">F17*10000</f>
        <v>43421.9178082191</v>
      </c>
      <c r="F70" s="164">
        <f t="shared" ref="F70:F75" si="13">G17</f>
        <v>1447.39726027397</v>
      </c>
      <c r="G70" s="164">
        <f>H17*10000</f>
        <v>7010.95890410958</v>
      </c>
      <c r="H70" s="164">
        <f>I17</f>
        <v>233.698630136986</v>
      </c>
      <c r="I70" s="164">
        <f t="shared" ref="I70:I75" si="14">J17*10000</f>
        <v>64380.8219178081</v>
      </c>
      <c r="J70" s="164">
        <f t="shared" ref="J70:J75" si="15">K17</f>
        <v>2146.02739726027</v>
      </c>
      <c r="K70" s="164"/>
      <c r="L70" s="164"/>
      <c r="M70" s="164"/>
      <c r="N70" s="164"/>
      <c r="O70" s="175" t="s">
        <v>512</v>
      </c>
      <c r="P70" s="175">
        <f>D31*10000</f>
        <v>121652.05479452</v>
      </c>
      <c r="Q70" s="175"/>
      <c r="R70" s="175">
        <f>F31*10000</f>
        <v>99435.6164383563</v>
      </c>
      <c r="S70" s="175"/>
      <c r="T70" s="175">
        <f>H31*10000</f>
        <v>20958.904109589</v>
      </c>
      <c r="U70" s="175"/>
      <c r="V70" s="175">
        <f>J31*10000</f>
        <v>120702.739726028</v>
      </c>
      <c r="W70" s="175"/>
      <c r="X70" s="175" t="s">
        <v>513</v>
      </c>
      <c r="Y70" s="175">
        <f>L34*10000</f>
        <v>0</v>
      </c>
      <c r="Z70" s="175"/>
      <c r="AA70" s="175">
        <f>N34*10000</f>
        <v>0</v>
      </c>
    </row>
    <row r="71" spans="1:27">
      <c r="A71" s="165" t="s">
        <v>466</v>
      </c>
      <c r="B71" s="178" t="s">
        <v>52</v>
      </c>
      <c r="C71" s="164">
        <f t="shared" si="10"/>
        <v>30813.6986301369</v>
      </c>
      <c r="D71" s="164">
        <f t="shared" si="11"/>
        <v>1027.12328767123</v>
      </c>
      <c r="E71" s="164">
        <f t="shared" si="12"/>
        <v>26194.5205479452</v>
      </c>
      <c r="F71" s="164">
        <f t="shared" si="13"/>
        <v>873.150684931507</v>
      </c>
      <c r="G71" s="164">
        <f>H18*10000</f>
        <v>4364.38356164385</v>
      </c>
      <c r="H71" s="164">
        <f>I18</f>
        <v>145.479452054795</v>
      </c>
      <c r="I71" s="164">
        <f t="shared" si="14"/>
        <v>35087.6712328767</v>
      </c>
      <c r="J71" s="164">
        <f t="shared" si="15"/>
        <v>1169.58904109589</v>
      </c>
      <c r="K71" s="164"/>
      <c r="L71" s="164"/>
      <c r="M71" s="164"/>
      <c r="N71" s="164"/>
      <c r="O71" s="175" t="s">
        <v>513</v>
      </c>
      <c r="P71" s="175">
        <f>D34*10000</f>
        <v>129863.01369863</v>
      </c>
      <c r="Q71" s="175"/>
      <c r="R71" s="175">
        <f>F34*10000</f>
        <v>65753.4246575343</v>
      </c>
      <c r="S71" s="175"/>
      <c r="T71" s="175">
        <f>H34*10000</f>
        <v>58191.7808219178</v>
      </c>
      <c r="U71" s="175"/>
      <c r="V71" s="175">
        <f>J34*10000</f>
        <v>90410.9589041097</v>
      </c>
      <c r="W71" s="175"/>
      <c r="X71" s="175" t="s">
        <v>137</v>
      </c>
      <c r="Y71" s="175">
        <f>L38*10000</f>
        <v>46800</v>
      </c>
      <c r="Z71" s="175"/>
      <c r="AA71" s="175">
        <f>N38*10000</f>
        <v>0</v>
      </c>
    </row>
    <row r="72" spans="1:27">
      <c r="A72" s="165"/>
      <c r="B72" s="178" t="s">
        <v>53</v>
      </c>
      <c r="C72" s="164">
        <f t="shared" si="10"/>
        <v>20030.1369863014</v>
      </c>
      <c r="D72" s="164">
        <f t="shared" si="11"/>
        <v>667.671232876712</v>
      </c>
      <c r="E72" s="164">
        <f t="shared" si="12"/>
        <v>17227.397260274</v>
      </c>
      <c r="F72" s="164">
        <f t="shared" si="13"/>
        <v>574.246575342466</v>
      </c>
      <c r="G72" s="164">
        <f>H19*10000</f>
        <v>2646.57534246575</v>
      </c>
      <c r="H72" s="164">
        <f>I19</f>
        <v>88.2191780821918</v>
      </c>
      <c r="I72" s="164">
        <f t="shared" si="14"/>
        <v>29293.1506849315</v>
      </c>
      <c r="J72" s="164">
        <f t="shared" si="15"/>
        <v>976.438356164384</v>
      </c>
      <c r="K72" s="164"/>
      <c r="L72" s="164"/>
      <c r="M72" s="164"/>
      <c r="N72" s="164"/>
      <c r="O72" s="175" t="s">
        <v>137</v>
      </c>
      <c r="P72" s="175">
        <f>D38*10000</f>
        <v>142426.02739726</v>
      </c>
      <c r="Q72" s="175"/>
      <c r="R72" s="175">
        <f>F38*10000</f>
        <v>97693.1506849314</v>
      </c>
      <c r="S72" s="175"/>
      <c r="T72" s="175">
        <f>H38*10000</f>
        <v>42205.4794520547</v>
      </c>
      <c r="U72" s="175"/>
      <c r="V72" s="175">
        <f>J38*10000</f>
        <v>103532.876712329</v>
      </c>
      <c r="W72" s="175"/>
      <c r="X72" s="175" t="s">
        <v>146</v>
      </c>
      <c r="Y72" s="175">
        <f>L42*10000</f>
        <v>46100</v>
      </c>
      <c r="Z72" s="175"/>
      <c r="AA72" s="175">
        <f>N42*10000</f>
        <v>0</v>
      </c>
    </row>
    <row r="73" spans="1:27">
      <c r="A73" s="180" t="s">
        <v>374</v>
      </c>
      <c r="B73" s="180"/>
      <c r="C73" s="164">
        <f t="shared" si="10"/>
        <v>102739.726027397</v>
      </c>
      <c r="D73" s="164">
        <f t="shared" si="11"/>
        <v>3424.65753424658</v>
      </c>
      <c r="E73" s="164">
        <f t="shared" si="12"/>
        <v>102739.726027397</v>
      </c>
      <c r="F73" s="164">
        <f t="shared" si="13"/>
        <v>3424.65753424658</v>
      </c>
      <c r="G73" s="164">
        <f>H20*10000</f>
        <v>0</v>
      </c>
      <c r="H73" s="164">
        <f>I20</f>
        <v>0</v>
      </c>
      <c r="I73" s="164">
        <f t="shared" si="14"/>
        <v>90410.9589041097</v>
      </c>
      <c r="J73" s="164">
        <f t="shared" si="15"/>
        <v>3013.69863013699</v>
      </c>
      <c r="K73" s="164"/>
      <c r="L73" s="164"/>
      <c r="M73" s="164"/>
      <c r="N73" s="164"/>
      <c r="O73" s="175" t="s">
        <v>146</v>
      </c>
      <c r="P73" s="175">
        <f>D42*10000</f>
        <v>198213.698630137</v>
      </c>
      <c r="Q73" s="175"/>
      <c r="R73" s="175">
        <f>F42*10000</f>
        <v>121191.780821918</v>
      </c>
      <c r="S73" s="175"/>
      <c r="T73" s="175">
        <f>H42*10000</f>
        <v>72665.7534246576</v>
      </c>
      <c r="U73" s="175"/>
      <c r="V73" s="175">
        <f>J42*10000</f>
        <v>124520.547945205</v>
      </c>
      <c r="W73" s="175"/>
      <c r="X73" s="175" t="s">
        <v>514</v>
      </c>
      <c r="Y73" s="175">
        <f>L45*10000</f>
        <v>69100</v>
      </c>
      <c r="Z73" s="175"/>
      <c r="AA73" s="175">
        <f>N45*10000</f>
        <v>189428</v>
      </c>
    </row>
    <row r="74" spans="1:27">
      <c r="A74" s="165" t="s">
        <v>385</v>
      </c>
      <c r="B74" s="178" t="s">
        <v>67</v>
      </c>
      <c r="C74" s="164">
        <f t="shared" si="10"/>
        <v>0</v>
      </c>
      <c r="D74" s="164">
        <f t="shared" si="11"/>
        <v>0</v>
      </c>
      <c r="E74" s="164">
        <f t="shared" si="12"/>
        <v>0</v>
      </c>
      <c r="F74" s="164">
        <f t="shared" si="13"/>
        <v>0</v>
      </c>
      <c r="G74" s="164">
        <f>H21*10000</f>
        <v>0</v>
      </c>
      <c r="H74" s="164">
        <f>I21</f>
        <v>0</v>
      </c>
      <c r="I74" s="164">
        <f t="shared" si="14"/>
        <v>0</v>
      </c>
      <c r="J74" s="164">
        <f t="shared" si="15"/>
        <v>0</v>
      </c>
      <c r="K74" s="164"/>
      <c r="L74" s="164"/>
      <c r="M74" s="164"/>
      <c r="N74" s="164"/>
      <c r="O74" s="175" t="s">
        <v>514</v>
      </c>
      <c r="P74" s="175">
        <f>D45*10000</f>
        <v>154403.835616439</v>
      </c>
      <c r="Q74" s="175"/>
      <c r="R74" s="175">
        <f>F45*10000</f>
        <v>108172.602739726</v>
      </c>
      <c r="S74" s="175"/>
      <c r="T74" s="175">
        <f>H45*10000</f>
        <v>16261.6438356164</v>
      </c>
      <c r="U74" s="175"/>
      <c r="V74" s="175">
        <f>J45*10000</f>
        <v>95917.808219178</v>
      </c>
      <c r="W74" s="175"/>
      <c r="X74" s="175" t="s">
        <v>515</v>
      </c>
      <c r="Y74" s="175">
        <f>L49*10000</f>
        <v>11900</v>
      </c>
      <c r="Z74" s="175"/>
      <c r="AA74" s="175">
        <f>N49*10000</f>
        <v>3929.03225806452</v>
      </c>
    </row>
    <row r="75" spans="1:27">
      <c r="A75" s="165"/>
      <c r="B75" s="178" t="s">
        <v>68</v>
      </c>
      <c r="C75" s="164">
        <f t="shared" si="10"/>
        <v>102739.726027397</v>
      </c>
      <c r="D75" s="164">
        <f t="shared" si="11"/>
        <v>3424.65753424658</v>
      </c>
      <c r="E75" s="164">
        <f t="shared" si="12"/>
        <v>102739.726027397</v>
      </c>
      <c r="F75" s="164">
        <f t="shared" si="13"/>
        <v>3424.65753424658</v>
      </c>
      <c r="G75" s="164"/>
      <c r="H75" s="164"/>
      <c r="I75" s="164">
        <f t="shared" si="14"/>
        <v>90410.9589041097</v>
      </c>
      <c r="J75" s="164">
        <f t="shared" si="15"/>
        <v>3013.69863013699</v>
      </c>
      <c r="K75" s="164"/>
      <c r="L75" s="164"/>
      <c r="M75" s="164"/>
      <c r="N75" s="164"/>
      <c r="O75" s="175" t="s">
        <v>515</v>
      </c>
      <c r="P75" s="175">
        <f>D49*10000</f>
        <v>29589.0410958904</v>
      </c>
      <c r="Q75" s="175"/>
      <c r="R75" s="175">
        <f>F49*10000</f>
        <v>16438.3561643836</v>
      </c>
      <c r="S75" s="175"/>
      <c r="T75" s="175">
        <f>H49*10000</f>
        <v>9863.01369863013</v>
      </c>
      <c r="U75" s="175"/>
      <c r="V75" s="175">
        <f>J49*10000</f>
        <v>2465.75342465753</v>
      </c>
      <c r="W75" s="175"/>
      <c r="X75" s="175" t="s">
        <v>197</v>
      </c>
      <c r="Y75" s="175"/>
      <c r="Z75" s="175"/>
      <c r="AA75" s="175"/>
    </row>
    <row r="76" spans="1:27">
      <c r="A76" s="165"/>
      <c r="B76" s="178" t="s">
        <v>69</v>
      </c>
      <c r="C76" s="164">
        <f>D25*10000</f>
        <v>0</v>
      </c>
      <c r="D76" s="164">
        <f>E25</f>
        <v>0</v>
      </c>
      <c r="E76" s="164">
        <f>F25*10000</f>
        <v>0</v>
      </c>
      <c r="F76" s="164">
        <f>G25</f>
        <v>0</v>
      </c>
      <c r="G76" s="164">
        <f>H25*10000</f>
        <v>0</v>
      </c>
      <c r="H76" s="164">
        <f>I25</f>
        <v>0</v>
      </c>
      <c r="I76" s="164">
        <f>J25*10000</f>
        <v>0</v>
      </c>
      <c r="J76" s="164">
        <f>K25</f>
        <v>0</v>
      </c>
      <c r="K76" s="164"/>
      <c r="L76" s="164"/>
      <c r="M76" s="164"/>
      <c r="N76" s="164"/>
      <c r="O76" s="175" t="s">
        <v>197</v>
      </c>
      <c r="P76" s="175">
        <f>D56*10000</f>
        <v>27879.4520547945</v>
      </c>
      <c r="Q76" s="175"/>
      <c r="R76" s="175"/>
      <c r="S76" s="175"/>
      <c r="T76" s="175">
        <f>H56*10000</f>
        <v>26301.3698630137</v>
      </c>
      <c r="U76" s="175"/>
      <c r="V76" s="175"/>
      <c r="W76" s="175"/>
      <c r="X76" s="175" t="s">
        <v>516</v>
      </c>
      <c r="Y76" s="175"/>
      <c r="Z76" s="175"/>
      <c r="AA76" s="175"/>
    </row>
    <row r="77" spans="1:27">
      <c r="A77" s="165"/>
      <c r="B77" s="178" t="s">
        <v>468</v>
      </c>
      <c r="C77" s="181"/>
      <c r="O77" s="175" t="s">
        <v>516</v>
      </c>
      <c r="P77" s="175">
        <f>D50*10000</f>
        <v>0</v>
      </c>
      <c r="Q77" s="175"/>
      <c r="R77" s="175">
        <f>F50*10000</f>
        <v>0</v>
      </c>
      <c r="S77" s="175"/>
      <c r="T77" s="175">
        <f>H50*10000</f>
        <v>0</v>
      </c>
      <c r="U77" s="175"/>
      <c r="V77" s="175">
        <f>J50*10000</f>
        <v>0</v>
      </c>
      <c r="W77" s="175"/>
      <c r="X77" s="175"/>
      <c r="Y77" s="175"/>
      <c r="Z77" s="175"/>
      <c r="AA77" s="175"/>
    </row>
    <row r="78" spans="1:27">
      <c r="A78" s="165"/>
      <c r="B78" s="178" t="s">
        <v>71</v>
      </c>
      <c r="C78" s="164">
        <f>D24*10000</f>
        <v>0</v>
      </c>
      <c r="D78" s="164">
        <f>E24</f>
        <v>0</v>
      </c>
      <c r="E78" s="164">
        <f>F24*10000</f>
        <v>0</v>
      </c>
      <c r="F78" s="164">
        <f>G24</f>
        <v>0</v>
      </c>
      <c r="G78" s="164">
        <f>H24*10000</f>
        <v>0</v>
      </c>
      <c r="H78" s="164">
        <f>I24</f>
        <v>0</v>
      </c>
      <c r="I78" s="164">
        <f>J24*10000</f>
        <v>0</v>
      </c>
      <c r="J78" s="164">
        <f>K24</f>
        <v>0</v>
      </c>
      <c r="K78" s="164"/>
      <c r="L78" s="164"/>
      <c r="M78" s="164"/>
      <c r="N78" s="164"/>
      <c r="O78" s="175" t="s">
        <v>204</v>
      </c>
      <c r="P78" s="175">
        <f>D52*10000</f>
        <v>24345.2054794521</v>
      </c>
      <c r="Q78" s="175"/>
      <c r="R78" s="175">
        <f>F52*10000</f>
        <v>22602.7397260274</v>
      </c>
      <c r="S78" s="175"/>
      <c r="T78" s="175">
        <f>H52*10000</f>
        <v>1643.83561643836</v>
      </c>
      <c r="U78" s="175"/>
      <c r="V78" s="175">
        <f>J52*10000</f>
        <v>36986.3013698631</v>
      </c>
      <c r="W78" s="175"/>
      <c r="X78" s="175"/>
      <c r="Y78" s="175"/>
      <c r="Z78" s="175"/>
      <c r="AA78" s="175"/>
    </row>
    <row r="79" spans="1:27">
      <c r="A79" s="165"/>
      <c r="B79" s="178" t="s">
        <v>72</v>
      </c>
      <c r="C79" s="164">
        <f>D23*10000</f>
        <v>0</v>
      </c>
      <c r="D79" s="164">
        <f>E23</f>
        <v>0</v>
      </c>
      <c r="E79" s="164">
        <f>F23*10000</f>
        <v>0</v>
      </c>
      <c r="F79" s="164">
        <f>G23</f>
        <v>0</v>
      </c>
      <c r="G79" s="164">
        <f>H23*10000</f>
        <v>0</v>
      </c>
      <c r="H79" s="164">
        <f>I23</f>
        <v>0</v>
      </c>
      <c r="I79" s="164"/>
      <c r="J79" s="164">
        <f>K23</f>
        <v>0</v>
      </c>
      <c r="K79" s="164"/>
      <c r="L79" s="164"/>
      <c r="M79" s="164"/>
      <c r="N79" s="164"/>
      <c r="O79" s="175" t="s">
        <v>205</v>
      </c>
      <c r="P79" s="175">
        <f>D53*10000</f>
        <v>27961.6438356164</v>
      </c>
      <c r="Q79" s="175"/>
      <c r="R79" s="175">
        <f>F53*10000</f>
        <v>23736.9863013699</v>
      </c>
      <c r="S79" s="175"/>
      <c r="T79" s="175">
        <f>H53*10000</f>
        <v>3986.30136986301</v>
      </c>
      <c r="U79" s="175"/>
      <c r="V79" s="175">
        <f>J53*10000</f>
        <v>33246.5753424657</v>
      </c>
      <c r="W79" s="175"/>
      <c r="X79" s="175"/>
      <c r="Y79" s="175"/>
      <c r="Z79" s="175"/>
      <c r="AA79" s="175"/>
    </row>
    <row r="80" spans="1:27">
      <c r="A80" s="180" t="s">
        <v>374</v>
      </c>
      <c r="B80" s="180"/>
      <c r="C80" s="164">
        <f>D27*10000</f>
        <v>30468.4931506848</v>
      </c>
      <c r="D80" s="164">
        <f>E27</f>
        <v>1015.61643835616</v>
      </c>
      <c r="E80" s="164">
        <f>F27*10000</f>
        <v>25676.7123287671</v>
      </c>
      <c r="F80" s="164">
        <f>G27</f>
        <v>855.890410958904</v>
      </c>
      <c r="G80" s="164">
        <f>H27*10000</f>
        <v>4520.54794520547</v>
      </c>
      <c r="H80" s="164">
        <f>I27</f>
        <v>150.684931506849</v>
      </c>
      <c r="I80" s="164">
        <f>J27*10000</f>
        <v>29589.0410958904</v>
      </c>
      <c r="J80" s="164">
        <f>K27</f>
        <v>986.301369863014</v>
      </c>
      <c r="K80" s="164"/>
      <c r="L80" s="164"/>
      <c r="M80" s="164"/>
      <c r="N80" s="164"/>
      <c r="O80" s="175" t="s">
        <v>317</v>
      </c>
      <c r="P80" s="175">
        <f>D54*10000</f>
        <v>41441.095890411</v>
      </c>
      <c r="Q80" s="175"/>
      <c r="R80" s="175">
        <f>F54*10000</f>
        <v>33443.8356164385</v>
      </c>
      <c r="S80" s="175"/>
      <c r="T80" s="175">
        <f>H54*10000</f>
        <v>7549.31506849314</v>
      </c>
      <c r="U80" s="175"/>
      <c r="V80" s="175">
        <f>J54*10000</f>
        <v>54369.8630136987</v>
      </c>
      <c r="W80" s="175"/>
      <c r="X80" s="175"/>
      <c r="Y80" s="175"/>
      <c r="Z80" s="175"/>
      <c r="AA80" s="175"/>
    </row>
    <row r="81" spans="1:27">
      <c r="A81" s="165" t="s">
        <v>393</v>
      </c>
      <c r="B81" s="178" t="s">
        <v>84</v>
      </c>
      <c r="C81" s="164">
        <f>D28*10000</f>
        <v>30468.4931506848</v>
      </c>
      <c r="D81" s="164">
        <f>E28</f>
        <v>1015.61643835616</v>
      </c>
      <c r="E81" s="164">
        <f>F28*10000</f>
        <v>25676.7123287671</v>
      </c>
      <c r="F81" s="164">
        <f>G28</f>
        <v>855.890410958904</v>
      </c>
      <c r="G81" s="164">
        <f>H28*10000</f>
        <v>4520.54794520547</v>
      </c>
      <c r="H81" s="164">
        <f>I28</f>
        <v>150.684931506849</v>
      </c>
      <c r="I81" s="164">
        <f>J28*10000</f>
        <v>29589.0410958904</v>
      </c>
      <c r="J81" s="164">
        <f>K28</f>
        <v>986.301369863014</v>
      </c>
      <c r="K81" s="164"/>
      <c r="L81" s="164"/>
      <c r="M81" s="164"/>
      <c r="N81" s="164"/>
      <c r="O81" s="175" t="s">
        <v>318</v>
      </c>
      <c r="P81" s="175">
        <f>D55*10000</f>
        <v>65753.4246575343</v>
      </c>
      <c r="Q81" s="175"/>
      <c r="R81" s="175">
        <f>F55*10000</f>
        <v>24657.5342465753</v>
      </c>
      <c r="S81" s="175"/>
      <c r="T81" s="175"/>
      <c r="U81" s="175"/>
      <c r="V81" s="175">
        <f>J55*10000</f>
        <v>42739.7260273974</v>
      </c>
      <c r="W81" s="175"/>
      <c r="X81" s="175"/>
      <c r="Y81" s="175"/>
      <c r="Z81" s="175"/>
      <c r="AA81" s="175"/>
    </row>
    <row r="82" spans="1:27">
      <c r="A82" s="165"/>
      <c r="B82" s="178" t="s">
        <v>85</v>
      </c>
      <c r="C82" s="181"/>
      <c r="D82" s="164">
        <f>E29</f>
        <v>0</v>
      </c>
      <c r="O82" s="175" t="s">
        <v>419</v>
      </c>
      <c r="P82" s="175">
        <f>D57*10000</f>
        <v>95835.6164383563</v>
      </c>
      <c r="Q82" s="175"/>
      <c r="R82" s="175"/>
      <c r="S82" s="175"/>
      <c r="T82" s="175">
        <f>H57*10000</f>
        <v>90410.9589041097</v>
      </c>
      <c r="U82" s="175"/>
      <c r="V82" s="175"/>
      <c r="W82" s="175"/>
      <c r="X82" s="175"/>
      <c r="Y82" s="175"/>
      <c r="Z82" s="175"/>
      <c r="AA82" s="175"/>
    </row>
    <row r="83" spans="1:15">
      <c r="A83" s="180" t="s">
        <v>374</v>
      </c>
      <c r="B83" s="180"/>
      <c r="C83" s="164">
        <f t="shared" ref="C83:C88" si="16">D31*10000</f>
        <v>121652.05479452</v>
      </c>
      <c r="D83" s="164">
        <f t="shared" ref="D83:D88" si="17">E31</f>
        <v>4055.06849315068</v>
      </c>
      <c r="E83" s="164">
        <f t="shared" ref="E83:E88" si="18">F31*10000</f>
        <v>99435.6164383563</v>
      </c>
      <c r="F83" s="164">
        <f t="shared" ref="F83:F88" si="19">G31</f>
        <v>3314.52054794521</v>
      </c>
      <c r="G83" s="164">
        <f t="shared" ref="G83:G88" si="20">H31*10000</f>
        <v>20958.904109589</v>
      </c>
      <c r="H83" s="164">
        <f t="shared" ref="H83:H88" si="21">I31</f>
        <v>698.630136986301</v>
      </c>
      <c r="I83" s="164">
        <f t="shared" ref="I83:I88" si="22">J31*10000</f>
        <v>120702.739726028</v>
      </c>
      <c r="J83" s="164">
        <f t="shared" ref="J83:J88" si="23">K31</f>
        <v>4023.42465753425</v>
      </c>
      <c r="K83" s="164"/>
      <c r="L83" s="164"/>
      <c r="M83" s="164"/>
      <c r="N83" s="164"/>
      <c r="O83" s="164"/>
    </row>
    <row r="84" spans="1:15">
      <c r="A84" s="182" t="s">
        <v>512</v>
      </c>
      <c r="B84" s="180" t="s">
        <v>90</v>
      </c>
      <c r="C84" s="164">
        <f t="shared" si="16"/>
        <v>60826.0273972602</v>
      </c>
      <c r="D84" s="164">
        <f t="shared" si="17"/>
        <v>2027.53424657534</v>
      </c>
      <c r="E84" s="164">
        <f t="shared" si="18"/>
        <v>49717.808219178</v>
      </c>
      <c r="F84" s="164">
        <f t="shared" si="19"/>
        <v>1657.2602739726</v>
      </c>
      <c r="G84" s="164">
        <f t="shared" si="20"/>
        <v>10479.4520547945</v>
      </c>
      <c r="H84" s="164">
        <f t="shared" si="21"/>
        <v>349.315068493151</v>
      </c>
      <c r="I84" s="164">
        <f t="shared" si="22"/>
        <v>60353.4246575343</v>
      </c>
      <c r="J84" s="164">
        <f t="shared" si="23"/>
        <v>2011.78082191781</v>
      </c>
      <c r="K84" s="164"/>
      <c r="L84" s="164"/>
      <c r="M84" s="164"/>
      <c r="N84" s="164"/>
      <c r="O84" s="164"/>
    </row>
    <row r="85" spans="1:15">
      <c r="A85" s="183"/>
      <c r="B85" s="180" t="s">
        <v>91</v>
      </c>
      <c r="C85" s="164">
        <f t="shared" si="16"/>
        <v>60826.0273972602</v>
      </c>
      <c r="D85" s="164">
        <f t="shared" si="17"/>
        <v>2027.53424657534</v>
      </c>
      <c r="E85" s="164">
        <f t="shared" si="18"/>
        <v>49717.808219178</v>
      </c>
      <c r="F85" s="164">
        <f t="shared" si="19"/>
        <v>1657.2602739726</v>
      </c>
      <c r="G85" s="164">
        <f t="shared" si="20"/>
        <v>10479.4520547945</v>
      </c>
      <c r="H85" s="164">
        <f t="shared" si="21"/>
        <v>349.315068493151</v>
      </c>
      <c r="I85" s="164">
        <f t="shared" si="22"/>
        <v>60353.4246575343</v>
      </c>
      <c r="J85" s="164">
        <f t="shared" si="23"/>
        <v>2011.78082191781</v>
      </c>
      <c r="K85" s="164"/>
      <c r="L85" s="164"/>
      <c r="M85" s="164"/>
      <c r="N85" s="164"/>
      <c r="O85" s="164"/>
    </row>
    <row r="86" spans="1:15">
      <c r="A86" s="180" t="s">
        <v>374</v>
      </c>
      <c r="B86" s="180"/>
      <c r="C86" s="164">
        <f t="shared" si="16"/>
        <v>129863.01369863</v>
      </c>
      <c r="D86" s="164">
        <f t="shared" si="17"/>
        <v>4328.76712328767</v>
      </c>
      <c r="E86" s="164">
        <f t="shared" si="18"/>
        <v>65753.4246575343</v>
      </c>
      <c r="F86" s="164">
        <f t="shared" si="19"/>
        <v>2191.78082191781</v>
      </c>
      <c r="G86" s="164">
        <f t="shared" si="20"/>
        <v>58191.7808219178</v>
      </c>
      <c r="H86" s="164">
        <f t="shared" si="21"/>
        <v>1939.72602739726</v>
      </c>
      <c r="I86" s="164">
        <f t="shared" si="22"/>
        <v>90410.9589041097</v>
      </c>
      <c r="J86" s="164">
        <f t="shared" si="23"/>
        <v>3013.69863013699</v>
      </c>
      <c r="K86" s="164"/>
      <c r="L86" s="164"/>
      <c r="M86" s="164"/>
      <c r="N86" s="164"/>
      <c r="O86" s="164"/>
    </row>
    <row r="87" spans="1:15">
      <c r="A87" s="177" t="s">
        <v>395</v>
      </c>
      <c r="B87" s="184" t="s">
        <v>84</v>
      </c>
      <c r="C87" s="164">
        <f t="shared" si="16"/>
        <v>129863.01369863</v>
      </c>
      <c r="D87" s="164">
        <f t="shared" si="17"/>
        <v>4328.76712328767</v>
      </c>
      <c r="E87" s="164">
        <f t="shared" si="18"/>
        <v>65753.4246575343</v>
      </c>
      <c r="F87" s="164">
        <f t="shared" si="19"/>
        <v>2191.78082191781</v>
      </c>
      <c r="G87" s="164">
        <f t="shared" si="20"/>
        <v>58191.7808219178</v>
      </c>
      <c r="H87" s="164">
        <f t="shared" si="21"/>
        <v>1939.72602739726</v>
      </c>
      <c r="I87" s="164">
        <f t="shared" si="22"/>
        <v>90410.9589041097</v>
      </c>
      <c r="J87" s="164">
        <f t="shared" si="23"/>
        <v>3013.69863013699</v>
      </c>
      <c r="K87" s="164"/>
      <c r="L87" s="164"/>
      <c r="M87" s="164"/>
      <c r="N87" s="164"/>
      <c r="O87" s="164"/>
    </row>
    <row r="88" spans="1:15">
      <c r="A88" s="179"/>
      <c r="B88" s="184" t="s">
        <v>103</v>
      </c>
      <c r="C88" s="164">
        <f t="shared" si="16"/>
        <v>0</v>
      </c>
      <c r="D88" s="164">
        <f t="shared" si="17"/>
        <v>0</v>
      </c>
      <c r="E88" s="164">
        <f t="shared" si="18"/>
        <v>0</v>
      </c>
      <c r="F88" s="164">
        <f t="shared" si="19"/>
        <v>0</v>
      </c>
      <c r="G88" s="164">
        <f t="shared" si="20"/>
        <v>0</v>
      </c>
      <c r="H88" s="164">
        <f t="shared" si="21"/>
        <v>0</v>
      </c>
      <c r="I88" s="164">
        <f t="shared" si="22"/>
        <v>0</v>
      </c>
      <c r="J88" s="164">
        <f t="shared" si="23"/>
        <v>0</v>
      </c>
      <c r="K88" s="164"/>
      <c r="L88" s="164"/>
      <c r="M88" s="164"/>
      <c r="N88" s="164"/>
      <c r="O88" s="164"/>
    </row>
    <row r="89" spans="1:3">
      <c r="A89" s="179"/>
      <c r="B89" s="184" t="s">
        <v>99</v>
      </c>
      <c r="C89" s="185"/>
    </row>
    <row r="90" spans="1:3">
      <c r="A90" s="179"/>
      <c r="B90" s="184" t="s">
        <v>472</v>
      </c>
      <c r="C90" s="185"/>
    </row>
    <row r="91" spans="1:3">
      <c r="A91" s="186"/>
      <c r="B91" s="184" t="s">
        <v>106</v>
      </c>
      <c r="C91" s="185"/>
    </row>
    <row r="92" spans="1:15">
      <c r="A92" s="180" t="s">
        <v>374</v>
      </c>
      <c r="B92" s="180"/>
      <c r="C92" s="164">
        <f>D49*10000</f>
        <v>29589.0410958904</v>
      </c>
      <c r="D92" s="164">
        <f>E49</f>
        <v>986.301369863014</v>
      </c>
      <c r="E92" s="164">
        <f>F49*10000</f>
        <v>16438.3561643836</v>
      </c>
      <c r="F92" s="164">
        <f>G49</f>
        <v>547.945205479452</v>
      </c>
      <c r="G92" s="164">
        <f>H49*10000</f>
        <v>9863.01369863013</v>
      </c>
      <c r="H92" s="164">
        <f>I49</f>
        <v>328.767123287671</v>
      </c>
      <c r="I92" s="164">
        <f>J49*10000</f>
        <v>2465.75342465753</v>
      </c>
      <c r="J92" s="164">
        <f>K49</f>
        <v>82.1917808219178</v>
      </c>
      <c r="K92" s="164"/>
      <c r="L92" s="164"/>
      <c r="M92" s="164"/>
      <c r="N92" s="164"/>
      <c r="O92" s="164"/>
    </row>
    <row r="93" spans="1:15">
      <c r="A93" s="165" t="s">
        <v>397</v>
      </c>
      <c r="B93" s="184" t="s">
        <v>84</v>
      </c>
      <c r="C93" s="164">
        <f>D50*10000</f>
        <v>0</v>
      </c>
      <c r="D93" s="164">
        <f t="shared" ref="D93:J93" si="24">D92</f>
        <v>986.301369863014</v>
      </c>
      <c r="E93" s="164">
        <f>F50*10000</f>
        <v>0</v>
      </c>
      <c r="F93" s="164">
        <f t="shared" si="24"/>
        <v>547.945205479452</v>
      </c>
      <c r="G93" s="164">
        <f>H50*10000</f>
        <v>0</v>
      </c>
      <c r="H93" s="164">
        <f t="shared" si="24"/>
        <v>328.767123287671</v>
      </c>
      <c r="I93" s="164">
        <f t="shared" si="24"/>
        <v>2465.75342465753</v>
      </c>
      <c r="J93" s="164">
        <f t="shared" si="24"/>
        <v>82.1917808219178</v>
      </c>
      <c r="K93" s="164"/>
      <c r="L93" s="164"/>
      <c r="M93" s="164"/>
      <c r="N93" s="164"/>
      <c r="O93" s="164"/>
    </row>
    <row r="94" spans="1:3">
      <c r="A94" s="165"/>
      <c r="B94" s="184" t="s">
        <v>187</v>
      </c>
      <c r="C94" s="185"/>
    </row>
    <row r="95" spans="1:15">
      <c r="A95" s="180" t="s">
        <v>374</v>
      </c>
      <c r="B95" s="180"/>
      <c r="C95" s="164">
        <f t="shared" ref="C95:C100" si="25">D38*10000</f>
        <v>142426.02739726</v>
      </c>
      <c r="D95" s="164">
        <f t="shared" ref="D95:D100" si="26">E38</f>
        <v>4747.53424657534</v>
      </c>
      <c r="E95" s="164">
        <f t="shared" ref="E95:E100" si="27">F38*10000</f>
        <v>97693.1506849314</v>
      </c>
      <c r="F95" s="164">
        <f t="shared" ref="F95:F100" si="28">G38</f>
        <v>3256.43835616438</v>
      </c>
      <c r="G95" s="164">
        <f>H38*10000</f>
        <v>42205.4794520547</v>
      </c>
      <c r="H95" s="164">
        <f>I38</f>
        <v>1406.84931506849</v>
      </c>
      <c r="I95" s="164">
        <f t="shared" ref="I95:I100" si="29">J38*10000</f>
        <v>103532.876712329</v>
      </c>
      <c r="J95" s="164">
        <f t="shared" ref="J95:J100" si="30">K38</f>
        <v>3451.09589041096</v>
      </c>
      <c r="K95" s="164"/>
      <c r="L95" s="164"/>
      <c r="M95" s="164"/>
      <c r="N95" s="164"/>
      <c r="O95" s="164"/>
    </row>
    <row r="96" spans="1:15">
      <c r="A96" s="177" t="s">
        <v>400</v>
      </c>
      <c r="B96" s="184" t="s">
        <v>84</v>
      </c>
      <c r="C96" s="164">
        <f t="shared" si="25"/>
        <v>85668.4931506848</v>
      </c>
      <c r="D96" s="164">
        <f t="shared" si="26"/>
        <v>2855.61643835616</v>
      </c>
      <c r="E96" s="164">
        <f t="shared" si="27"/>
        <v>44679.4520547945</v>
      </c>
      <c r="F96" s="164">
        <f t="shared" si="28"/>
        <v>1489.31506849315</v>
      </c>
      <c r="G96" s="164">
        <f>H39*10000</f>
        <v>38671.2328767123</v>
      </c>
      <c r="H96" s="164">
        <f>I39</f>
        <v>1289.04109589041</v>
      </c>
      <c r="I96" s="164">
        <f t="shared" si="29"/>
        <v>36575.3424657534</v>
      </c>
      <c r="J96" s="164">
        <f t="shared" si="30"/>
        <v>1219.17808219178</v>
      </c>
      <c r="K96" s="164"/>
      <c r="L96" s="164"/>
      <c r="M96" s="164"/>
      <c r="N96" s="164"/>
      <c r="O96" s="164"/>
    </row>
    <row r="97" spans="1:15">
      <c r="A97" s="179"/>
      <c r="B97" s="184" t="s">
        <v>125</v>
      </c>
      <c r="C97" s="164">
        <f t="shared" si="25"/>
        <v>26597.2602739726</v>
      </c>
      <c r="D97" s="164">
        <f t="shared" si="26"/>
        <v>886.575342465753</v>
      </c>
      <c r="E97" s="164">
        <f t="shared" si="27"/>
        <v>22849.3150684931</v>
      </c>
      <c r="F97" s="164">
        <f t="shared" si="28"/>
        <v>761.643835616438</v>
      </c>
      <c r="G97" s="164">
        <f>H40*10000</f>
        <v>3534.24657534246</v>
      </c>
      <c r="H97" s="164">
        <f>I40</f>
        <v>117.808219178082</v>
      </c>
      <c r="I97" s="164">
        <f t="shared" si="29"/>
        <v>19561.6438356164</v>
      </c>
      <c r="J97" s="164">
        <f t="shared" si="30"/>
        <v>652.054794520548</v>
      </c>
      <c r="K97" s="164"/>
      <c r="L97" s="164"/>
      <c r="M97" s="164"/>
      <c r="N97" s="164"/>
      <c r="O97" s="164"/>
    </row>
    <row r="98" spans="1:15">
      <c r="A98" s="186"/>
      <c r="B98" s="184" t="s">
        <v>469</v>
      </c>
      <c r="C98" s="164">
        <f t="shared" si="25"/>
        <v>30164.3835616437</v>
      </c>
      <c r="D98" s="164">
        <f t="shared" si="26"/>
        <v>1005.47945205479</v>
      </c>
      <c r="E98" s="164">
        <f t="shared" si="27"/>
        <v>30164.3835616437</v>
      </c>
      <c r="F98" s="164">
        <f t="shared" si="28"/>
        <v>1005.47945205479</v>
      </c>
      <c r="G98" s="164"/>
      <c r="H98" s="164"/>
      <c r="I98" s="164">
        <f t="shared" si="29"/>
        <v>47400</v>
      </c>
      <c r="J98" s="164">
        <f t="shared" si="30"/>
        <v>1580</v>
      </c>
      <c r="K98" s="164"/>
      <c r="L98" s="164"/>
      <c r="M98" s="164"/>
      <c r="N98" s="164"/>
      <c r="O98" s="164"/>
    </row>
    <row r="99" spans="1:15">
      <c r="A99" s="180" t="s">
        <v>374</v>
      </c>
      <c r="B99" s="180"/>
      <c r="C99" s="164">
        <f t="shared" si="25"/>
        <v>198213.698630137</v>
      </c>
      <c r="D99" s="164">
        <f t="shared" si="26"/>
        <v>6607.12328767123</v>
      </c>
      <c r="E99" s="164">
        <f t="shared" si="27"/>
        <v>121191.780821918</v>
      </c>
      <c r="F99" s="164">
        <f t="shared" si="28"/>
        <v>4039.72602739726</v>
      </c>
      <c r="G99" s="164">
        <f>H42*10000</f>
        <v>72665.7534246576</v>
      </c>
      <c r="H99" s="164">
        <f>I42</f>
        <v>2422.19178082192</v>
      </c>
      <c r="I99" s="164">
        <f t="shared" si="29"/>
        <v>124520.547945205</v>
      </c>
      <c r="J99" s="164">
        <f t="shared" si="30"/>
        <v>4150.68493150685</v>
      </c>
      <c r="K99" s="164"/>
      <c r="L99" s="164"/>
      <c r="M99" s="164"/>
      <c r="N99" s="164"/>
      <c r="O99" s="164"/>
    </row>
    <row r="100" spans="1:15">
      <c r="A100" s="165" t="s">
        <v>404</v>
      </c>
      <c r="B100" s="184" t="s">
        <v>84</v>
      </c>
      <c r="C100" s="164">
        <f t="shared" si="25"/>
        <v>198213.698630137</v>
      </c>
      <c r="D100" s="164">
        <f t="shared" si="26"/>
        <v>6607.12328767123</v>
      </c>
      <c r="E100" s="164">
        <f t="shared" si="27"/>
        <v>121191.780821918</v>
      </c>
      <c r="F100" s="164">
        <f t="shared" si="28"/>
        <v>4039.72602739726</v>
      </c>
      <c r="G100" s="164">
        <f>H43*10000</f>
        <v>72665.7534246576</v>
      </c>
      <c r="H100" s="164">
        <f>I43</f>
        <v>2422.19178082192</v>
      </c>
      <c r="I100" s="164">
        <f t="shared" si="29"/>
        <v>124520.547945205</v>
      </c>
      <c r="J100" s="164">
        <f t="shared" si="30"/>
        <v>4150.68493150685</v>
      </c>
      <c r="K100" s="164"/>
      <c r="L100" s="164"/>
      <c r="M100" s="164"/>
      <c r="N100" s="164"/>
      <c r="O100" s="164"/>
    </row>
    <row r="101" spans="1:3">
      <c r="A101" s="165"/>
      <c r="B101" s="178" t="s">
        <v>473</v>
      </c>
      <c r="C101" s="181"/>
    </row>
    <row r="102" spans="1:3">
      <c r="A102" s="165"/>
      <c r="B102" s="178" t="s">
        <v>474</v>
      </c>
      <c r="C102" s="181"/>
    </row>
    <row r="103" spans="1:3">
      <c r="A103" s="165"/>
      <c r="B103" s="184" t="s">
        <v>597</v>
      </c>
      <c r="C103" s="185"/>
    </row>
    <row r="104" spans="1:15">
      <c r="A104" s="180" t="s">
        <v>374</v>
      </c>
      <c r="B104" s="180"/>
      <c r="C104" s="164">
        <f>D45*10000</f>
        <v>154403.835616439</v>
      </c>
      <c r="D104" s="164">
        <f>E45</f>
        <v>5146.79452054795</v>
      </c>
      <c r="E104" s="164">
        <f>F45*10000</f>
        <v>108172.602739726</v>
      </c>
      <c r="F104" s="164">
        <f>G45</f>
        <v>3605.75342465754</v>
      </c>
      <c r="G104" s="164">
        <f>H45*10000</f>
        <v>16261.6438356164</v>
      </c>
      <c r="H104" s="164">
        <f>I45</f>
        <v>542.054794520548</v>
      </c>
      <c r="I104" s="164">
        <f>J45*10000</f>
        <v>95917.808219178</v>
      </c>
      <c r="J104" s="164">
        <f>K45</f>
        <v>3197.2602739726</v>
      </c>
      <c r="K104" s="164"/>
      <c r="L104" s="164"/>
      <c r="M104" s="164"/>
      <c r="N104" s="164"/>
      <c r="O104" s="164"/>
    </row>
    <row r="105" spans="1:15">
      <c r="A105" s="165" t="s">
        <v>409</v>
      </c>
      <c r="B105" s="178" t="s">
        <v>84</v>
      </c>
      <c r="C105" s="164">
        <f>D46*10000</f>
        <v>154403.835616439</v>
      </c>
      <c r="D105" s="164">
        <f>E46</f>
        <v>5146.79452054795</v>
      </c>
      <c r="E105" s="164">
        <f>F46*10000</f>
        <v>81193.5483870969</v>
      </c>
      <c r="F105" s="164">
        <f>G46</f>
        <v>2706.45161290323</v>
      </c>
      <c r="G105" s="164">
        <f>H46*10000</f>
        <v>16261.6438356164</v>
      </c>
      <c r="H105" s="164">
        <f>I46</f>
        <v>542.054794520548</v>
      </c>
      <c r="I105" s="164">
        <f>J46*10000</f>
        <v>95917.808219178</v>
      </c>
      <c r="J105" s="164">
        <f>K46</f>
        <v>3197.2602739726</v>
      </c>
      <c r="K105" s="164"/>
      <c r="L105" s="164"/>
      <c r="M105" s="164"/>
      <c r="N105" s="164"/>
      <c r="O105" s="164"/>
    </row>
    <row r="106" spans="1:15">
      <c r="A106" s="165"/>
      <c r="B106" s="178" t="s">
        <v>475</v>
      </c>
      <c r="C106" s="164">
        <f>D47*10000</f>
        <v>0</v>
      </c>
      <c r="D106" s="164">
        <f>E47</f>
        <v>0</v>
      </c>
      <c r="E106" s="164">
        <f>F47*10000</f>
        <v>0</v>
      </c>
      <c r="F106" s="164">
        <f>G47</f>
        <v>0</v>
      </c>
      <c r="G106" s="164">
        <f>H47*10000</f>
        <v>0</v>
      </c>
      <c r="H106" s="164">
        <f>I47</f>
        <v>0</v>
      </c>
      <c r="I106" s="164"/>
      <c r="J106" s="164"/>
      <c r="K106" s="164"/>
      <c r="L106" s="164"/>
      <c r="M106" s="164"/>
      <c r="N106" s="164"/>
      <c r="O106" s="164"/>
    </row>
    <row r="107" spans="1:15">
      <c r="A107" s="187" t="s">
        <v>412</v>
      </c>
      <c r="B107" s="188"/>
      <c r="C107" s="164">
        <f>D50*10000</f>
        <v>0</v>
      </c>
      <c r="D107" s="164">
        <f>E50</f>
        <v>0</v>
      </c>
      <c r="E107" s="164">
        <f>F50*10000</f>
        <v>0</v>
      </c>
      <c r="F107" s="164">
        <f>G50</f>
        <v>0</v>
      </c>
      <c r="G107" s="164">
        <f>H50*10000</f>
        <v>0</v>
      </c>
      <c r="H107" s="164">
        <f>I50</f>
        <v>0</v>
      </c>
      <c r="I107" s="164">
        <f>J50*10000</f>
        <v>0</v>
      </c>
      <c r="J107" s="164">
        <f>K50</f>
        <v>0</v>
      </c>
      <c r="K107" s="164"/>
      <c r="L107" s="164"/>
      <c r="M107" s="164"/>
      <c r="N107" s="164"/>
      <c r="O107" s="164"/>
    </row>
    <row r="108" spans="1:15">
      <c r="A108" s="187" t="s">
        <v>414</v>
      </c>
      <c r="B108" s="188"/>
      <c r="C108" s="164">
        <f>D52*10000</f>
        <v>24345.2054794521</v>
      </c>
      <c r="D108" s="164">
        <f>E52</f>
        <v>811.506849315069</v>
      </c>
      <c r="E108" s="164">
        <f>F52*10000</f>
        <v>22602.7397260274</v>
      </c>
      <c r="F108" s="164">
        <f>G52</f>
        <v>753.424657534247</v>
      </c>
      <c r="G108" s="164">
        <f>H52*10000</f>
        <v>1643.83561643836</v>
      </c>
      <c r="H108" s="164">
        <f>I52</f>
        <v>54.7945205479452</v>
      </c>
      <c r="I108" s="164">
        <f>J52*10000</f>
        <v>36986.3013698631</v>
      </c>
      <c r="J108" s="164">
        <f>K52</f>
        <v>1232.87671232877</v>
      </c>
      <c r="K108" s="164"/>
      <c r="L108" s="164"/>
      <c r="M108" s="164"/>
      <c r="N108" s="164"/>
      <c r="O108" s="164"/>
    </row>
    <row r="109" spans="1:15">
      <c r="A109" s="187" t="s">
        <v>415</v>
      </c>
      <c r="B109" s="188"/>
      <c r="C109" s="164">
        <f>D53*10000</f>
        <v>27961.6438356164</v>
      </c>
      <c r="D109" s="164">
        <f>E53</f>
        <v>932.054794520548</v>
      </c>
      <c r="E109" s="164">
        <f>F53*10000</f>
        <v>23736.9863013699</v>
      </c>
      <c r="F109" s="164">
        <f>G53</f>
        <v>791.232876712329</v>
      </c>
      <c r="G109" s="164">
        <f>H53*10000</f>
        <v>3986.30136986301</v>
      </c>
      <c r="H109" s="164">
        <f>I53</f>
        <v>132.876712328767</v>
      </c>
      <c r="I109" s="164">
        <f>J53*10000</f>
        <v>33246.5753424657</v>
      </c>
      <c r="J109" s="164">
        <f>K53</f>
        <v>1108.21917808219</v>
      </c>
      <c r="K109" s="164"/>
      <c r="L109" s="164"/>
      <c r="M109" s="164"/>
      <c r="N109" s="164"/>
      <c r="O109" s="164"/>
    </row>
    <row r="110" spans="1:15">
      <c r="A110" s="187" t="s">
        <v>416</v>
      </c>
      <c r="B110" s="188"/>
      <c r="C110" s="164">
        <f>D54*10000</f>
        <v>41441.095890411</v>
      </c>
      <c r="D110" s="164">
        <f>E54</f>
        <v>1381.3698630137</v>
      </c>
      <c r="E110" s="164">
        <f>F54*10000</f>
        <v>33443.8356164385</v>
      </c>
      <c r="F110" s="164">
        <f>G54</f>
        <v>1114.79452054795</v>
      </c>
      <c r="G110" s="164">
        <f>H54*10000</f>
        <v>7549.31506849314</v>
      </c>
      <c r="H110" s="164">
        <f>I54</f>
        <v>251.643835616438</v>
      </c>
      <c r="I110" s="164">
        <f>J54*10000</f>
        <v>54369.8630136987</v>
      </c>
      <c r="J110" s="164">
        <f>K54</f>
        <v>1812.32876712329</v>
      </c>
      <c r="K110" s="164"/>
      <c r="L110" s="164"/>
      <c r="M110" s="164"/>
      <c r="N110" s="164"/>
      <c r="O110" s="164"/>
    </row>
    <row r="111" spans="1:15">
      <c r="A111" s="189" t="s">
        <v>470</v>
      </c>
      <c r="B111" s="190"/>
      <c r="C111" s="164">
        <f>D56*10000</f>
        <v>27879.4520547945</v>
      </c>
      <c r="D111" s="164">
        <f>E56</f>
        <v>929.315068493151</v>
      </c>
      <c r="E111" s="164"/>
      <c r="F111" s="164"/>
      <c r="G111" s="164">
        <f>H56*10000</f>
        <v>26301.3698630137</v>
      </c>
      <c r="H111" s="164">
        <f>I56</f>
        <v>876.712328767123</v>
      </c>
      <c r="I111" s="164"/>
      <c r="J111" s="164">
        <f>K56</f>
        <v>0</v>
      </c>
      <c r="K111" s="164"/>
      <c r="L111" s="164"/>
      <c r="M111" s="164"/>
      <c r="N111" s="164"/>
      <c r="O111" s="164"/>
    </row>
    <row r="112" spans="1:15">
      <c r="A112" s="189" t="s">
        <v>318</v>
      </c>
      <c r="B112" s="190"/>
      <c r="C112" s="164">
        <f>D55*10000</f>
        <v>65753.4246575343</v>
      </c>
      <c r="D112" s="164">
        <f>E55</f>
        <v>2191.78082191781</v>
      </c>
      <c r="E112" s="164">
        <f>F55*10000</f>
        <v>24657.5342465753</v>
      </c>
      <c r="F112" s="164">
        <f>G55</f>
        <v>821.917808219178</v>
      </c>
      <c r="G112" s="164"/>
      <c r="H112" s="164"/>
      <c r="I112" s="164">
        <f>J55*10000</f>
        <v>42739.7260273974</v>
      </c>
      <c r="J112" s="164">
        <f>K55</f>
        <v>1424.65753424658</v>
      </c>
      <c r="K112" s="164"/>
      <c r="L112" s="164"/>
      <c r="M112" s="164"/>
      <c r="N112" s="164"/>
      <c r="O112" s="164"/>
    </row>
    <row r="113" spans="1:10">
      <c r="A113" s="189" t="s">
        <v>319</v>
      </c>
      <c r="B113" s="190"/>
      <c r="C113" s="127">
        <f>D57*10000</f>
        <v>95835.6164383563</v>
      </c>
      <c r="D113" s="127">
        <f>E57</f>
        <v>3194.52054794521</v>
      </c>
      <c r="E113" s="127"/>
      <c r="F113" s="127"/>
      <c r="G113" s="127">
        <f>H57*10000</f>
        <v>90410.9589041097</v>
      </c>
      <c r="H113" s="127">
        <f>I57</f>
        <v>3013.69863013699</v>
      </c>
      <c r="I113" s="127"/>
      <c r="J113" s="127"/>
    </row>
  </sheetData>
  <mergeCells count="59">
    <mergeCell ref="A1:I1"/>
    <mergeCell ref="J1:O1"/>
    <mergeCell ref="D3:E3"/>
    <mergeCell ref="F3:G3"/>
    <mergeCell ref="H3:I3"/>
    <mergeCell ref="J3:K3"/>
    <mergeCell ref="L3:M3"/>
    <mergeCell ref="N3:O3"/>
    <mergeCell ref="X4:Z4"/>
    <mergeCell ref="AA4:AC4"/>
    <mergeCell ref="AD4:AF4"/>
    <mergeCell ref="A5:B5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63:B63"/>
    <mergeCell ref="A64:B64"/>
    <mergeCell ref="A70:B70"/>
    <mergeCell ref="A73:B73"/>
    <mergeCell ref="A80:B80"/>
    <mergeCell ref="A83:B83"/>
    <mergeCell ref="A86:B86"/>
    <mergeCell ref="A92:B92"/>
    <mergeCell ref="A95:B95"/>
    <mergeCell ref="A99:B99"/>
    <mergeCell ref="A104:B104"/>
    <mergeCell ref="A107:B107"/>
    <mergeCell ref="A108:B108"/>
    <mergeCell ref="A109:B109"/>
    <mergeCell ref="A110:B110"/>
    <mergeCell ref="A111:B111"/>
    <mergeCell ref="A112:B112"/>
    <mergeCell ref="A113:B113"/>
    <mergeCell ref="A6:A16"/>
    <mergeCell ref="A17:A19"/>
    <mergeCell ref="A20:A26"/>
    <mergeCell ref="A27:A30"/>
    <mergeCell ref="A31:A33"/>
    <mergeCell ref="A34:A37"/>
    <mergeCell ref="A38:A41"/>
    <mergeCell ref="A42:A44"/>
    <mergeCell ref="A45:A48"/>
    <mergeCell ref="A65:A69"/>
    <mergeCell ref="A71:A72"/>
    <mergeCell ref="A74:A79"/>
    <mergeCell ref="A81:A82"/>
    <mergeCell ref="A84:A85"/>
    <mergeCell ref="A87:A91"/>
    <mergeCell ref="A93:A94"/>
    <mergeCell ref="A96:A98"/>
    <mergeCell ref="A100:A103"/>
    <mergeCell ref="A105:A106"/>
    <mergeCell ref="A3:B4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zoomScale="85" zoomScaleNormal="85" topLeftCell="A4" workbookViewId="0">
      <pane xSplit="1" topLeftCell="B1" activePane="topRight" state="frozen"/>
      <selection/>
      <selection pane="topRight" activeCell="R111" sqref="R111"/>
    </sheetView>
  </sheetViews>
  <sheetFormatPr defaultColWidth="9" defaultRowHeight="14.25"/>
  <cols>
    <col min="1" max="7" width="9" style="127"/>
    <col min="8" max="8" width="12.625" style="127" customWidth="1"/>
    <col min="9" max="9" width="14.75" style="127" customWidth="1"/>
    <col min="10" max="13" width="9" style="127"/>
    <col min="14" max="14" width="10.2916666666667" style="127" customWidth="1"/>
    <col min="15" max="15" width="13.875" style="127" customWidth="1"/>
    <col min="16" max="16384" width="9" style="127"/>
  </cols>
  <sheetData>
    <row r="1" ht="22.5" spans="1:20">
      <c r="A1" s="127" t="s">
        <v>598</v>
      </c>
      <c r="P1" s="133"/>
      <c r="Q1" s="133"/>
      <c r="R1" s="133"/>
      <c r="S1" s="133"/>
      <c r="T1" s="133"/>
    </row>
    <row r="2" spans="1:20">
      <c r="A2" s="108"/>
      <c r="B2" s="108" t="s">
        <v>599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34"/>
      <c r="Q2" s="134"/>
      <c r="R2" s="134"/>
      <c r="S2" s="108"/>
      <c r="T2" s="108"/>
    </row>
    <row r="3" spans="1:20">
      <c r="A3" s="128"/>
      <c r="B3" s="128" t="s">
        <v>600</v>
      </c>
      <c r="C3" s="128" t="s">
        <v>601</v>
      </c>
      <c r="D3" s="128" t="s">
        <v>602</v>
      </c>
      <c r="E3" s="128" t="s">
        <v>603</v>
      </c>
      <c r="F3" s="128" t="s">
        <v>604</v>
      </c>
      <c r="G3" s="128" t="s">
        <v>605</v>
      </c>
      <c r="H3" s="128" t="s">
        <v>606</v>
      </c>
      <c r="I3" s="128" t="s">
        <v>607</v>
      </c>
      <c r="J3" s="128" t="s">
        <v>608</v>
      </c>
      <c r="K3" s="128" t="s">
        <v>609</v>
      </c>
      <c r="L3" s="128" t="s">
        <v>610</v>
      </c>
      <c r="M3" s="128" t="s">
        <v>611</v>
      </c>
      <c r="N3" s="128" t="s">
        <v>612</v>
      </c>
      <c r="O3" s="128" t="s">
        <v>613</v>
      </c>
      <c r="P3" s="134"/>
      <c r="Q3" s="134"/>
      <c r="R3" s="134"/>
      <c r="S3" s="108"/>
      <c r="T3" s="108"/>
    </row>
    <row r="4" spans="1:20">
      <c r="A4" s="128" t="s">
        <v>509</v>
      </c>
      <c r="B4" s="128"/>
      <c r="C4" s="128">
        <v>147657.671232877</v>
      </c>
      <c r="D4" s="128">
        <v>133368.219178082</v>
      </c>
      <c r="E4" s="129">
        <v>147657.671232877</v>
      </c>
      <c r="F4" s="128">
        <v>142894.520547945</v>
      </c>
      <c r="G4" s="128"/>
      <c r="H4" s="128"/>
      <c r="I4" s="128"/>
      <c r="J4" s="128"/>
      <c r="K4" s="128"/>
      <c r="L4" s="128"/>
      <c r="M4" s="131"/>
      <c r="N4" s="129"/>
      <c r="O4" s="131">
        <f>SUM(C4:N4)</f>
        <v>571578.082191781</v>
      </c>
      <c r="P4" s="134"/>
      <c r="Q4" s="134"/>
      <c r="R4" s="134"/>
      <c r="S4" s="108"/>
      <c r="T4" s="108"/>
    </row>
    <row r="5" spans="1:20">
      <c r="A5" s="128" t="s">
        <v>510</v>
      </c>
      <c r="B5" s="128"/>
      <c r="C5" s="128">
        <v>52538.6301369863</v>
      </c>
      <c r="D5" s="128">
        <v>47454.2465753426</v>
      </c>
      <c r="E5" s="129">
        <v>52538.6301369864</v>
      </c>
      <c r="F5" s="128">
        <v>50843.8356164385</v>
      </c>
      <c r="G5" s="128"/>
      <c r="H5" s="128"/>
      <c r="I5" s="128"/>
      <c r="J5" s="128"/>
      <c r="K5" s="128"/>
      <c r="L5" s="128"/>
      <c r="M5" s="131"/>
      <c r="N5" s="129"/>
      <c r="O5" s="131">
        <f t="shared" ref="O5:O21" si="0">SUM(C5:N5)</f>
        <v>203375.342465754</v>
      </c>
      <c r="P5" s="134"/>
      <c r="Q5" s="134"/>
      <c r="R5" s="134"/>
      <c r="S5" s="108"/>
      <c r="T5" s="108"/>
    </row>
    <row r="6" spans="1:20">
      <c r="A6" s="128" t="s">
        <v>511</v>
      </c>
      <c r="B6" s="128"/>
      <c r="C6" s="128">
        <v>106164.383561644</v>
      </c>
      <c r="D6" s="128">
        <v>95890.4109589042</v>
      </c>
      <c r="E6" s="129">
        <v>106164.383561644</v>
      </c>
      <c r="F6" s="128">
        <v>102739.726027397</v>
      </c>
      <c r="G6" s="128"/>
      <c r="H6" s="128"/>
      <c r="I6" s="128"/>
      <c r="J6" s="128"/>
      <c r="K6" s="128"/>
      <c r="L6" s="128"/>
      <c r="M6" s="131"/>
      <c r="N6" s="129"/>
      <c r="O6" s="131">
        <f t="shared" si="0"/>
        <v>410958.90410959</v>
      </c>
      <c r="P6" s="134"/>
      <c r="Q6" s="134"/>
      <c r="R6" s="134"/>
      <c r="S6" s="108"/>
      <c r="T6" s="108"/>
    </row>
    <row r="7" spans="1:20">
      <c r="A7" s="128" t="s">
        <v>82</v>
      </c>
      <c r="B7" s="128"/>
      <c r="C7" s="128">
        <v>31484.1095890411</v>
      </c>
      <c r="D7" s="128">
        <v>28437.2602739725</v>
      </c>
      <c r="E7" s="129">
        <v>31484.109589041</v>
      </c>
      <c r="F7" s="128">
        <v>30468.4931506848</v>
      </c>
      <c r="G7" s="128"/>
      <c r="H7" s="128"/>
      <c r="I7" s="128"/>
      <c r="J7" s="128"/>
      <c r="K7" s="128"/>
      <c r="L7" s="128"/>
      <c r="M7" s="131"/>
      <c r="N7" s="129"/>
      <c r="O7" s="131">
        <f t="shared" si="0"/>
        <v>121873.972602739</v>
      </c>
      <c r="P7" s="134"/>
      <c r="Q7" s="134"/>
      <c r="R7" s="134"/>
      <c r="S7" s="108"/>
      <c r="T7" s="108"/>
    </row>
    <row r="8" spans="1:20">
      <c r="A8" s="128" t="s">
        <v>512</v>
      </c>
      <c r="B8" s="128"/>
      <c r="C8" s="128">
        <v>125707.123287671</v>
      </c>
      <c r="D8" s="128">
        <v>113541.917808219</v>
      </c>
      <c r="E8" s="129">
        <v>125707.123287671</v>
      </c>
      <c r="F8" s="128">
        <v>121652.05479452</v>
      </c>
      <c r="G8" s="128"/>
      <c r="H8" s="128"/>
      <c r="I8" s="128"/>
      <c r="J8" s="128"/>
      <c r="K8" s="128"/>
      <c r="L8" s="128"/>
      <c r="M8" s="131"/>
      <c r="N8" s="129"/>
      <c r="O8" s="131">
        <f t="shared" si="0"/>
        <v>486608.219178081</v>
      </c>
      <c r="P8" s="134"/>
      <c r="Q8" s="134"/>
      <c r="R8" s="134"/>
      <c r="S8" s="108"/>
      <c r="T8" s="108"/>
    </row>
    <row r="9" spans="1:20">
      <c r="A9" s="128" t="s">
        <v>513</v>
      </c>
      <c r="B9" s="128"/>
      <c r="C9" s="128">
        <v>134191.780821918</v>
      </c>
      <c r="D9" s="128">
        <v>121205.479452055</v>
      </c>
      <c r="E9" s="129">
        <v>134191.780821918</v>
      </c>
      <c r="F9" s="128">
        <v>129863.01369863</v>
      </c>
      <c r="G9" s="128"/>
      <c r="H9" s="128"/>
      <c r="I9" s="128"/>
      <c r="J9" s="128"/>
      <c r="K9" s="128"/>
      <c r="L9" s="128"/>
      <c r="M9" s="131"/>
      <c r="N9" s="129"/>
      <c r="O9" s="131">
        <f t="shared" si="0"/>
        <v>519452.054794521</v>
      </c>
      <c r="P9" s="134"/>
      <c r="Q9" s="134"/>
      <c r="R9" s="134"/>
      <c r="S9" s="108"/>
      <c r="T9" s="108"/>
    </row>
    <row r="10" spans="1:20">
      <c r="A10" s="128" t="s">
        <v>137</v>
      </c>
      <c r="B10" s="128"/>
      <c r="C10" s="128">
        <v>147173.561643836</v>
      </c>
      <c r="D10" s="128">
        <v>132930.95890411</v>
      </c>
      <c r="E10" s="129">
        <v>147173.561643836</v>
      </c>
      <c r="F10" s="128">
        <v>142426.02739726</v>
      </c>
      <c r="G10" s="128"/>
      <c r="H10" s="128"/>
      <c r="I10" s="128"/>
      <c r="J10" s="128"/>
      <c r="K10" s="128"/>
      <c r="L10" s="128"/>
      <c r="M10" s="131"/>
      <c r="N10" s="129"/>
      <c r="O10" s="131">
        <f t="shared" si="0"/>
        <v>569704.109589042</v>
      </c>
      <c r="P10" s="134"/>
      <c r="Q10" s="134"/>
      <c r="R10" s="134"/>
      <c r="S10" s="108"/>
      <c r="T10" s="108"/>
    </row>
    <row r="11" spans="1:20">
      <c r="A11" s="128" t="s">
        <v>146</v>
      </c>
      <c r="B11" s="128"/>
      <c r="C11" s="128">
        <v>204820.821917808</v>
      </c>
      <c r="D11" s="128">
        <v>184999.452054794</v>
      </c>
      <c r="E11" s="129">
        <v>204820.821917808</v>
      </c>
      <c r="F11" s="128">
        <v>198213.698630137</v>
      </c>
      <c r="G11" s="128"/>
      <c r="H11" s="128"/>
      <c r="I11" s="128"/>
      <c r="J11" s="128"/>
      <c r="K11" s="128"/>
      <c r="L11" s="128"/>
      <c r="M11" s="131"/>
      <c r="N11" s="129"/>
      <c r="O11" s="131">
        <f t="shared" si="0"/>
        <v>792854.794520547</v>
      </c>
      <c r="P11" s="134"/>
      <c r="Q11" s="134"/>
      <c r="R11" s="134"/>
      <c r="S11" s="108"/>
      <c r="T11" s="108"/>
    </row>
    <row r="12" spans="1:20">
      <c r="A12" s="128" t="s">
        <v>514</v>
      </c>
      <c r="B12" s="128"/>
      <c r="C12" s="128">
        <v>159550.630136986</v>
      </c>
      <c r="D12" s="128">
        <v>144110.246575343</v>
      </c>
      <c r="E12" s="129">
        <v>159550.630136986</v>
      </c>
      <c r="F12" s="128">
        <v>154403.835616439</v>
      </c>
      <c r="G12" s="128"/>
      <c r="H12" s="128"/>
      <c r="I12" s="128"/>
      <c r="J12" s="128"/>
      <c r="K12" s="128"/>
      <c r="L12" s="128"/>
      <c r="M12" s="131"/>
      <c r="N12" s="129"/>
      <c r="O12" s="131">
        <f t="shared" si="0"/>
        <v>617615.342465754</v>
      </c>
      <c r="P12" s="134"/>
      <c r="Q12" s="134"/>
      <c r="R12" s="134"/>
      <c r="S12" s="108"/>
      <c r="T12" s="108"/>
    </row>
    <row r="13" spans="1:20">
      <c r="A13" s="128" t="s">
        <v>515</v>
      </c>
      <c r="B13" s="128"/>
      <c r="C13" s="128">
        <v>30575.3424657534</v>
      </c>
      <c r="D13" s="128">
        <v>27616.4383561644</v>
      </c>
      <c r="E13" s="129">
        <v>30575.3424657534</v>
      </c>
      <c r="F13" s="128">
        <v>29589.0410958904</v>
      </c>
      <c r="G13" s="128"/>
      <c r="H13" s="128"/>
      <c r="I13" s="128"/>
      <c r="J13" s="128"/>
      <c r="K13" s="128"/>
      <c r="L13" s="128"/>
      <c r="M13" s="131"/>
      <c r="N13" s="129"/>
      <c r="O13" s="131">
        <f t="shared" si="0"/>
        <v>118356.164383562</v>
      </c>
      <c r="P13" s="134"/>
      <c r="Q13" s="134"/>
      <c r="R13" s="134"/>
      <c r="S13" s="108"/>
      <c r="T13" s="108"/>
    </row>
    <row r="14" spans="1:20">
      <c r="A14" s="128" t="s">
        <v>197</v>
      </c>
      <c r="B14" s="128"/>
      <c r="C14" s="128">
        <v>28808.7671232877</v>
      </c>
      <c r="D14" s="128">
        <v>26020.8219178082</v>
      </c>
      <c r="E14" s="128">
        <v>28808.7671232877</v>
      </c>
      <c r="F14" s="128">
        <v>27879.4520547945</v>
      </c>
      <c r="G14" s="128"/>
      <c r="H14" s="128"/>
      <c r="I14" s="128"/>
      <c r="J14" s="128"/>
      <c r="K14" s="128"/>
      <c r="L14" s="128"/>
      <c r="M14" s="131"/>
      <c r="N14" s="129"/>
      <c r="O14" s="131">
        <f t="shared" si="0"/>
        <v>111517.808219178</v>
      </c>
      <c r="P14" s="134"/>
      <c r="Q14" s="134"/>
      <c r="R14" s="134"/>
      <c r="S14" s="108"/>
      <c r="T14" s="108"/>
    </row>
    <row r="15" spans="1:20">
      <c r="A15" s="128" t="s">
        <v>516</v>
      </c>
      <c r="B15" s="128"/>
      <c r="C15" s="128">
        <v>0</v>
      </c>
      <c r="D15" s="128">
        <v>0</v>
      </c>
      <c r="E15" s="129">
        <v>0</v>
      </c>
      <c r="F15" s="128">
        <v>0</v>
      </c>
      <c r="G15" s="128"/>
      <c r="H15" s="128"/>
      <c r="I15" s="128"/>
      <c r="J15" s="128"/>
      <c r="K15" s="128"/>
      <c r="L15" s="128"/>
      <c r="M15" s="131"/>
      <c r="N15" s="129"/>
      <c r="O15" s="131">
        <f t="shared" si="0"/>
        <v>0</v>
      </c>
      <c r="P15" s="134"/>
      <c r="Q15" s="134"/>
      <c r="R15" s="134"/>
      <c r="S15" s="108"/>
      <c r="T15" s="108"/>
    </row>
    <row r="16" spans="1:20">
      <c r="A16" s="128" t="s">
        <v>204</v>
      </c>
      <c r="B16" s="128"/>
      <c r="C16" s="128">
        <v>25156.7123287671</v>
      </c>
      <c r="D16" s="128">
        <v>22722.1917808219</v>
      </c>
      <c r="E16" s="129">
        <v>25156.7123287671</v>
      </c>
      <c r="F16" s="128">
        <v>24345.2054794521</v>
      </c>
      <c r="G16" s="128"/>
      <c r="H16" s="128"/>
      <c r="I16" s="128"/>
      <c r="J16" s="128"/>
      <c r="K16" s="128"/>
      <c r="L16" s="128"/>
      <c r="M16" s="131"/>
      <c r="N16" s="129"/>
      <c r="O16" s="131">
        <f t="shared" si="0"/>
        <v>97380.8219178082</v>
      </c>
      <c r="P16" s="108"/>
      <c r="Q16" s="108"/>
      <c r="R16" s="108"/>
      <c r="S16" s="108"/>
      <c r="T16" s="108"/>
    </row>
    <row r="17" spans="1:20">
      <c r="A17" s="128" t="s">
        <v>205</v>
      </c>
      <c r="B17" s="128"/>
      <c r="C17" s="128">
        <v>28893.698630137</v>
      </c>
      <c r="D17" s="128">
        <v>26097.5342465753</v>
      </c>
      <c r="E17" s="129">
        <v>28893.698630137</v>
      </c>
      <c r="F17" s="128">
        <v>27961.6438356164</v>
      </c>
      <c r="G17" s="128"/>
      <c r="H17" s="128"/>
      <c r="I17" s="128"/>
      <c r="J17" s="128"/>
      <c r="K17" s="128"/>
      <c r="L17" s="128"/>
      <c r="M17" s="131"/>
      <c r="N17" s="129"/>
      <c r="O17" s="131">
        <f t="shared" si="0"/>
        <v>111846.575342466</v>
      </c>
      <c r="P17" s="108"/>
      <c r="Q17" s="108"/>
      <c r="R17" s="108"/>
      <c r="S17" s="108"/>
      <c r="T17" s="108"/>
    </row>
    <row r="18" spans="1:20">
      <c r="A18" s="128" t="s">
        <v>317</v>
      </c>
      <c r="B18" s="128"/>
      <c r="C18" s="128">
        <v>42822.4657534247</v>
      </c>
      <c r="D18" s="128">
        <v>38678.3561643836</v>
      </c>
      <c r="E18" s="129">
        <v>42822.4657534247</v>
      </c>
      <c r="F18" s="128">
        <v>41441.095890411</v>
      </c>
      <c r="G18" s="128"/>
      <c r="H18" s="128"/>
      <c r="I18" s="128"/>
      <c r="J18" s="128"/>
      <c r="K18" s="128"/>
      <c r="L18" s="128"/>
      <c r="M18" s="128"/>
      <c r="N18" s="129"/>
      <c r="O18" s="131">
        <f t="shared" si="0"/>
        <v>165764.383561644</v>
      </c>
      <c r="P18" s="108"/>
      <c r="Q18" s="108"/>
      <c r="R18" s="108"/>
      <c r="S18" s="108"/>
      <c r="T18" s="108"/>
    </row>
    <row r="19" spans="1:20">
      <c r="A19" s="128" t="s">
        <v>318</v>
      </c>
      <c r="B19" s="128"/>
      <c r="C19" s="128">
        <v>67945.2054794521</v>
      </c>
      <c r="D19" s="128">
        <v>61369.8630136987</v>
      </c>
      <c r="E19" s="129">
        <v>67945.2054794521</v>
      </c>
      <c r="F19" s="128">
        <v>65753.4246575343</v>
      </c>
      <c r="G19" s="128"/>
      <c r="H19" s="128"/>
      <c r="I19" s="128"/>
      <c r="J19" s="128"/>
      <c r="K19" s="128"/>
      <c r="L19" s="129"/>
      <c r="M19" s="128"/>
      <c r="N19" s="129"/>
      <c r="O19" s="131">
        <f t="shared" si="0"/>
        <v>263013.698630137</v>
      </c>
      <c r="P19" s="108"/>
      <c r="Q19" s="108"/>
      <c r="R19" s="108"/>
      <c r="S19" s="108"/>
      <c r="T19" s="108"/>
    </row>
    <row r="20" spans="1:20">
      <c r="A20" s="128" t="s">
        <v>319</v>
      </c>
      <c r="B20" s="128"/>
      <c r="C20" s="128">
        <v>99030.1369863014</v>
      </c>
      <c r="D20" s="128">
        <v>89446.5753424659</v>
      </c>
      <c r="E20" s="129">
        <v>99030.1369863015</v>
      </c>
      <c r="F20" s="128">
        <v>95835.6164383563</v>
      </c>
      <c r="G20" s="128"/>
      <c r="H20" s="128"/>
      <c r="I20" s="128"/>
      <c r="J20" s="128"/>
      <c r="K20" s="128"/>
      <c r="L20" s="129"/>
      <c r="M20" s="128"/>
      <c r="N20" s="129"/>
      <c r="O20" s="131">
        <f t="shared" si="0"/>
        <v>383342.465753425</v>
      </c>
      <c r="P20" s="108"/>
      <c r="Q20" s="108"/>
      <c r="R20" s="108"/>
      <c r="S20" s="108"/>
      <c r="T20" s="108"/>
    </row>
    <row r="21" spans="1:20">
      <c r="A21" s="130"/>
      <c r="B21" s="127" t="s">
        <v>614</v>
      </c>
      <c r="P21" s="134"/>
      <c r="Q21" s="134"/>
      <c r="R21" s="134"/>
      <c r="S21" s="108"/>
      <c r="T21" s="108"/>
    </row>
    <row r="22" spans="1:20">
      <c r="A22" s="128"/>
      <c r="B22" s="128" t="s">
        <v>600</v>
      </c>
      <c r="C22" s="128" t="s">
        <v>601</v>
      </c>
      <c r="D22" s="128" t="s">
        <v>602</v>
      </c>
      <c r="E22" s="128" t="s">
        <v>603</v>
      </c>
      <c r="F22" s="128" t="s">
        <v>604</v>
      </c>
      <c r="G22" s="128" t="s">
        <v>605</v>
      </c>
      <c r="H22" s="128" t="s">
        <v>606</v>
      </c>
      <c r="I22" s="128" t="s">
        <v>607</v>
      </c>
      <c r="J22" s="128" t="s">
        <v>608</v>
      </c>
      <c r="K22" s="128" t="s">
        <v>609</v>
      </c>
      <c r="L22" s="128" t="s">
        <v>610</v>
      </c>
      <c r="M22" s="128" t="s">
        <v>611</v>
      </c>
      <c r="N22" s="128" t="s">
        <v>612</v>
      </c>
      <c r="O22" s="128" t="s">
        <v>613</v>
      </c>
      <c r="P22" s="134"/>
      <c r="Q22" s="134"/>
      <c r="R22" s="134"/>
      <c r="S22" s="108"/>
      <c r="T22" s="108"/>
    </row>
    <row r="23" spans="1:20">
      <c r="A23" s="128" t="s">
        <v>509</v>
      </c>
      <c r="B23" s="128"/>
      <c r="C23" s="128">
        <v>106710.323287671</v>
      </c>
      <c r="D23" s="128">
        <v>96383.5178082193</v>
      </c>
      <c r="E23" s="129">
        <v>106710.323287671</v>
      </c>
      <c r="F23" s="128">
        <v>103268.054794521</v>
      </c>
      <c r="G23" s="128"/>
      <c r="H23" s="128"/>
      <c r="I23" s="128"/>
      <c r="J23" s="128"/>
      <c r="K23" s="128"/>
      <c r="L23" s="128"/>
      <c r="M23" s="131"/>
      <c r="N23" s="129"/>
      <c r="O23" s="131">
        <f>SUM(C23:N23)</f>
        <v>413072.219178082</v>
      </c>
      <c r="P23" s="134"/>
      <c r="Q23" s="134"/>
      <c r="R23" s="134"/>
      <c r="S23" s="108"/>
      <c r="T23" s="108"/>
    </row>
    <row r="24" spans="1:20">
      <c r="A24" s="128" t="s">
        <v>510</v>
      </c>
      <c r="B24" s="128"/>
      <c r="C24" s="128">
        <v>44869.3150684931</v>
      </c>
      <c r="D24" s="128">
        <v>40527.1232876712</v>
      </c>
      <c r="E24" s="129">
        <v>44869.3150684931</v>
      </c>
      <c r="F24" s="128">
        <v>43421.9178082191</v>
      </c>
      <c r="G24" s="128"/>
      <c r="H24" s="128"/>
      <c r="I24" s="128"/>
      <c r="J24" s="128"/>
      <c r="K24" s="128"/>
      <c r="L24" s="128"/>
      <c r="M24" s="131"/>
      <c r="N24" s="129"/>
      <c r="O24" s="131">
        <f t="shared" ref="O24:O40" si="1">SUM(C24:N24)</f>
        <v>173687.671232877</v>
      </c>
      <c r="P24" s="134"/>
      <c r="Q24" s="134"/>
      <c r="R24" s="134"/>
      <c r="S24" s="108"/>
      <c r="T24" s="108"/>
    </row>
    <row r="25" spans="1:20">
      <c r="A25" s="128" t="s">
        <v>511</v>
      </c>
      <c r="B25" s="128"/>
      <c r="C25" s="128">
        <v>106164.383561644</v>
      </c>
      <c r="D25" s="128">
        <v>95890.4109589042</v>
      </c>
      <c r="E25" s="129">
        <v>106164.383561644</v>
      </c>
      <c r="F25" s="128">
        <v>102739.726027397</v>
      </c>
      <c r="G25" s="128"/>
      <c r="H25" s="128"/>
      <c r="I25" s="128"/>
      <c r="J25" s="128"/>
      <c r="K25" s="128"/>
      <c r="L25" s="128"/>
      <c r="M25" s="131"/>
      <c r="N25" s="129"/>
      <c r="O25" s="131">
        <f t="shared" si="1"/>
        <v>410958.90410959</v>
      </c>
      <c r="P25" s="134"/>
      <c r="Q25" s="134"/>
      <c r="R25" s="134"/>
      <c r="S25" s="108"/>
      <c r="T25" s="108"/>
    </row>
    <row r="26" spans="1:20">
      <c r="A26" s="128" t="s">
        <v>82</v>
      </c>
      <c r="B26" s="128"/>
      <c r="C26" s="128">
        <v>26532.602739726</v>
      </c>
      <c r="D26" s="128">
        <v>23964.9315068493</v>
      </c>
      <c r="E26" s="129">
        <v>26532.602739726</v>
      </c>
      <c r="F26" s="128">
        <v>25676.7123287671</v>
      </c>
      <c r="G26" s="128"/>
      <c r="H26" s="128"/>
      <c r="I26" s="128"/>
      <c r="J26" s="128"/>
      <c r="K26" s="128"/>
      <c r="L26" s="128"/>
      <c r="M26" s="131"/>
      <c r="N26" s="129"/>
      <c r="O26" s="131">
        <f t="shared" si="1"/>
        <v>102706.849315068</v>
      </c>
      <c r="P26" s="134"/>
      <c r="Q26" s="134"/>
      <c r="R26" s="134"/>
      <c r="S26" s="108"/>
      <c r="T26" s="108"/>
    </row>
    <row r="27" spans="1:20">
      <c r="A27" s="128" t="s">
        <v>512</v>
      </c>
      <c r="B27" s="128"/>
      <c r="C27" s="128">
        <v>102750.136986301</v>
      </c>
      <c r="D27" s="128">
        <v>92806.5753424659</v>
      </c>
      <c r="E27" s="129">
        <v>102750.136986301</v>
      </c>
      <c r="F27" s="128">
        <v>99435.6164383563</v>
      </c>
      <c r="G27" s="128"/>
      <c r="H27" s="128"/>
      <c r="I27" s="128"/>
      <c r="J27" s="128"/>
      <c r="K27" s="128"/>
      <c r="L27" s="128"/>
      <c r="M27" s="131"/>
      <c r="N27" s="129"/>
      <c r="O27" s="131">
        <f t="shared" si="1"/>
        <v>397742.465753424</v>
      </c>
      <c r="P27" s="134"/>
      <c r="Q27" s="134"/>
      <c r="R27" s="134"/>
      <c r="S27" s="108"/>
      <c r="T27" s="108"/>
    </row>
    <row r="28" spans="1:20">
      <c r="A28" s="128" t="s">
        <v>513</v>
      </c>
      <c r="B28" s="128"/>
      <c r="C28" s="128">
        <v>67945.2054794521</v>
      </c>
      <c r="D28" s="128">
        <v>61369.8630136987</v>
      </c>
      <c r="E28" s="129">
        <v>67945.2054794521</v>
      </c>
      <c r="F28" s="128">
        <v>65753.4246575343</v>
      </c>
      <c r="G28" s="128"/>
      <c r="H28" s="128"/>
      <c r="I28" s="128"/>
      <c r="J28" s="128"/>
      <c r="K28" s="128"/>
      <c r="L28" s="128"/>
      <c r="M28" s="131"/>
      <c r="N28" s="129"/>
      <c r="O28" s="131">
        <f t="shared" si="1"/>
        <v>263013.698630137</v>
      </c>
      <c r="P28" s="134"/>
      <c r="Q28" s="134"/>
      <c r="R28" s="134"/>
      <c r="S28" s="108"/>
      <c r="T28" s="108"/>
    </row>
    <row r="29" spans="1:20">
      <c r="A29" s="128" t="s">
        <v>137</v>
      </c>
      <c r="B29" s="128"/>
      <c r="C29" s="128">
        <v>100949.589041096</v>
      </c>
      <c r="D29" s="128">
        <v>91180.2739726026</v>
      </c>
      <c r="E29" s="129">
        <v>100949.589041096</v>
      </c>
      <c r="F29" s="128">
        <v>97693.1506849314</v>
      </c>
      <c r="G29" s="128"/>
      <c r="H29" s="128"/>
      <c r="I29" s="128"/>
      <c r="J29" s="128"/>
      <c r="K29" s="128"/>
      <c r="L29" s="128"/>
      <c r="M29" s="131"/>
      <c r="N29" s="129"/>
      <c r="O29" s="131">
        <f t="shared" si="1"/>
        <v>390772.602739726</v>
      </c>
      <c r="P29" s="134"/>
      <c r="Q29" s="134"/>
      <c r="R29" s="134"/>
      <c r="S29" s="108"/>
      <c r="T29" s="108"/>
    </row>
    <row r="30" spans="1:20">
      <c r="A30" s="128" t="s">
        <v>146</v>
      </c>
      <c r="B30" s="128"/>
      <c r="C30" s="128">
        <v>125231.506849315</v>
      </c>
      <c r="D30" s="128">
        <v>113112.328767123</v>
      </c>
      <c r="E30" s="129">
        <v>125231.506849315</v>
      </c>
      <c r="F30" s="128">
        <v>121191.780821918</v>
      </c>
      <c r="G30" s="128"/>
      <c r="H30" s="128"/>
      <c r="I30" s="128"/>
      <c r="J30" s="128"/>
      <c r="K30" s="128"/>
      <c r="L30" s="128"/>
      <c r="M30" s="131"/>
      <c r="N30" s="129"/>
      <c r="O30" s="131">
        <f t="shared" si="1"/>
        <v>484767.123287671</v>
      </c>
      <c r="P30" s="134"/>
      <c r="Q30" s="134"/>
      <c r="R30" s="134"/>
      <c r="S30" s="108"/>
      <c r="T30" s="108"/>
    </row>
    <row r="31" spans="1:20">
      <c r="A31" s="128" t="s">
        <v>514</v>
      </c>
      <c r="B31" s="128"/>
      <c r="C31" s="128">
        <v>111778.356164384</v>
      </c>
      <c r="D31" s="128">
        <v>100961.095890411</v>
      </c>
      <c r="E31" s="129">
        <v>111778.356164384</v>
      </c>
      <c r="F31" s="128">
        <v>108172.602739726</v>
      </c>
      <c r="G31" s="128"/>
      <c r="H31" s="128"/>
      <c r="I31" s="128"/>
      <c r="J31" s="128"/>
      <c r="K31" s="128"/>
      <c r="L31" s="128"/>
      <c r="M31" s="131"/>
      <c r="N31" s="129"/>
      <c r="O31" s="131">
        <f t="shared" si="1"/>
        <v>432690.410958905</v>
      </c>
      <c r="P31" s="134"/>
      <c r="Q31" s="134"/>
      <c r="R31" s="134"/>
      <c r="S31" s="108"/>
      <c r="T31" s="108"/>
    </row>
    <row r="32" spans="1:20">
      <c r="A32" s="128" t="s">
        <v>515</v>
      </c>
      <c r="B32" s="128"/>
      <c r="C32" s="128">
        <v>16986.301369863</v>
      </c>
      <c r="D32" s="128">
        <v>15342.4657534247</v>
      </c>
      <c r="E32" s="129">
        <v>16986.301369863</v>
      </c>
      <c r="F32" s="128">
        <v>16438.3561643836</v>
      </c>
      <c r="G32" s="128"/>
      <c r="H32" s="128"/>
      <c r="I32" s="128"/>
      <c r="J32" s="128"/>
      <c r="K32" s="128"/>
      <c r="L32" s="128"/>
      <c r="M32" s="131"/>
      <c r="N32" s="129"/>
      <c r="O32" s="131">
        <f t="shared" si="1"/>
        <v>65753.4246575343</v>
      </c>
      <c r="P32" s="134"/>
      <c r="Q32" s="134"/>
      <c r="R32" s="134"/>
      <c r="S32" s="108"/>
      <c r="T32" s="108"/>
    </row>
    <row r="33" spans="1:20">
      <c r="A33" s="128" t="s">
        <v>197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31"/>
      <c r="N33" s="128"/>
      <c r="O33" s="131">
        <f t="shared" si="1"/>
        <v>0</v>
      </c>
      <c r="P33" s="134"/>
      <c r="Q33" s="134"/>
      <c r="R33" s="134"/>
      <c r="S33" s="108"/>
      <c r="T33" s="108"/>
    </row>
    <row r="34" spans="1:20">
      <c r="A34" s="128" t="s">
        <v>516</v>
      </c>
      <c r="B34" s="128"/>
      <c r="C34" s="128">
        <v>0</v>
      </c>
      <c r="D34" s="128">
        <v>0</v>
      </c>
      <c r="E34" s="129">
        <v>0</v>
      </c>
      <c r="F34" s="128">
        <v>0</v>
      </c>
      <c r="G34" s="128"/>
      <c r="H34" s="128"/>
      <c r="I34" s="128"/>
      <c r="J34" s="128"/>
      <c r="K34" s="128"/>
      <c r="L34" s="128"/>
      <c r="M34" s="131"/>
      <c r="N34" s="129"/>
      <c r="O34" s="131">
        <f t="shared" si="1"/>
        <v>0</v>
      </c>
      <c r="P34" s="134"/>
      <c r="Q34" s="134"/>
      <c r="R34" s="134"/>
      <c r="S34" s="108"/>
      <c r="T34" s="108"/>
    </row>
    <row r="35" spans="1:20">
      <c r="A35" s="128" t="s">
        <v>204</v>
      </c>
      <c r="B35" s="128"/>
      <c r="C35" s="128">
        <v>23356.1643835616</v>
      </c>
      <c r="D35" s="128">
        <v>21095.8904109589</v>
      </c>
      <c r="E35" s="129">
        <v>23356.1643835617</v>
      </c>
      <c r="F35" s="128">
        <v>22602.7397260274</v>
      </c>
      <c r="G35" s="128"/>
      <c r="H35" s="128"/>
      <c r="I35" s="128"/>
      <c r="J35" s="128"/>
      <c r="K35" s="128"/>
      <c r="L35" s="128"/>
      <c r="M35" s="131"/>
      <c r="N35" s="129"/>
      <c r="O35" s="131">
        <f t="shared" si="1"/>
        <v>90410.9589041096</v>
      </c>
      <c r="P35" s="108"/>
      <c r="Q35" s="108"/>
      <c r="R35" s="108"/>
      <c r="S35" s="108"/>
      <c r="T35" s="108"/>
    </row>
    <row r="36" spans="1:20">
      <c r="A36" s="128" t="s">
        <v>205</v>
      </c>
      <c r="B36" s="128"/>
      <c r="C36" s="128">
        <v>24528.2191780822</v>
      </c>
      <c r="D36" s="128">
        <v>22154.5205479452</v>
      </c>
      <c r="E36" s="129">
        <v>24528.2191780822</v>
      </c>
      <c r="F36" s="128">
        <v>23736.9863013699</v>
      </c>
      <c r="G36" s="128"/>
      <c r="H36" s="128"/>
      <c r="I36" s="128"/>
      <c r="J36" s="128"/>
      <c r="K36" s="128"/>
      <c r="L36" s="128"/>
      <c r="M36" s="131"/>
      <c r="N36" s="129"/>
      <c r="O36" s="131">
        <f t="shared" si="1"/>
        <v>94947.9452054795</v>
      </c>
      <c r="P36" s="108"/>
      <c r="Q36" s="108"/>
      <c r="R36" s="108"/>
      <c r="S36" s="108"/>
      <c r="T36" s="108"/>
    </row>
    <row r="37" spans="1:20">
      <c r="A37" s="128" t="s">
        <v>317</v>
      </c>
      <c r="B37" s="128"/>
      <c r="C37" s="128">
        <v>34558.6301369863</v>
      </c>
      <c r="D37" s="128">
        <v>31214.2465753426</v>
      </c>
      <c r="E37" s="129">
        <v>34558.6301369865</v>
      </c>
      <c r="F37" s="128">
        <v>33443.8356164385</v>
      </c>
      <c r="G37" s="128"/>
      <c r="H37" s="128"/>
      <c r="I37" s="128"/>
      <c r="J37" s="128"/>
      <c r="K37" s="128"/>
      <c r="L37" s="128"/>
      <c r="M37" s="128"/>
      <c r="N37" s="129"/>
      <c r="O37" s="131">
        <f t="shared" si="1"/>
        <v>133775.342465754</v>
      </c>
      <c r="P37" s="108"/>
      <c r="Q37" s="108"/>
      <c r="R37" s="108"/>
      <c r="S37" s="108"/>
      <c r="T37" s="108"/>
    </row>
    <row r="38" spans="1:20">
      <c r="A38" s="128" t="s">
        <v>318</v>
      </c>
      <c r="B38" s="128"/>
      <c r="C38" s="128">
        <v>25479.4520547945</v>
      </c>
      <c r="D38" s="128">
        <v>23013.698630137</v>
      </c>
      <c r="E38" s="129">
        <v>25479.4520547945</v>
      </c>
      <c r="F38" s="128">
        <v>24657.5342465753</v>
      </c>
      <c r="G38" s="128"/>
      <c r="H38" s="128"/>
      <c r="I38" s="128"/>
      <c r="J38" s="128"/>
      <c r="K38" s="128"/>
      <c r="L38" s="129"/>
      <c r="M38" s="128"/>
      <c r="N38" s="129"/>
      <c r="O38" s="131">
        <f t="shared" si="1"/>
        <v>98630.1369863013</v>
      </c>
      <c r="P38" s="108"/>
      <c r="Q38" s="108"/>
      <c r="R38" s="108"/>
      <c r="S38" s="108"/>
      <c r="T38" s="108"/>
    </row>
    <row r="39" spans="1:20">
      <c r="A39" s="128" t="s">
        <v>319</v>
      </c>
      <c r="B39" s="128"/>
      <c r="C39" s="128"/>
      <c r="D39" s="128"/>
      <c r="E39" s="129"/>
      <c r="F39" s="128"/>
      <c r="G39" s="128"/>
      <c r="H39" s="128"/>
      <c r="I39" s="128"/>
      <c r="J39" s="128"/>
      <c r="K39" s="128"/>
      <c r="L39" s="129"/>
      <c r="M39" s="128"/>
      <c r="N39" s="128"/>
      <c r="O39" s="131">
        <f t="shared" si="1"/>
        <v>0</v>
      </c>
      <c r="P39" s="108"/>
      <c r="Q39" s="108"/>
      <c r="R39" s="108"/>
      <c r="S39" s="108"/>
      <c r="T39" s="108"/>
    </row>
    <row r="40" spans="1:20">
      <c r="A40" s="130"/>
      <c r="B40" s="127" t="s">
        <v>615</v>
      </c>
      <c r="P40" s="108"/>
      <c r="Q40" s="108"/>
      <c r="R40" s="108"/>
      <c r="S40" s="108"/>
      <c r="T40" s="108"/>
    </row>
    <row r="41" spans="1:20">
      <c r="A41" s="131"/>
      <c r="B41" s="128" t="s">
        <v>600</v>
      </c>
      <c r="C41" s="128" t="s">
        <v>601</v>
      </c>
      <c r="D41" s="128" t="s">
        <v>602</v>
      </c>
      <c r="E41" s="128" t="s">
        <v>603</v>
      </c>
      <c r="F41" s="128" t="s">
        <v>604</v>
      </c>
      <c r="G41" s="128" t="s">
        <v>605</v>
      </c>
      <c r="H41" s="128" t="s">
        <v>606</v>
      </c>
      <c r="I41" s="128" t="s">
        <v>607</v>
      </c>
      <c r="J41" s="128" t="s">
        <v>608</v>
      </c>
      <c r="K41" s="128" t="s">
        <v>609</v>
      </c>
      <c r="L41" s="128" t="s">
        <v>610</v>
      </c>
      <c r="M41" s="128" t="s">
        <v>611</v>
      </c>
      <c r="N41" s="128" t="s">
        <v>612</v>
      </c>
      <c r="O41" s="128" t="s">
        <v>613</v>
      </c>
      <c r="P41" s="134"/>
      <c r="Q41" s="134"/>
      <c r="R41" s="134"/>
      <c r="S41" s="134"/>
      <c r="T41" s="134"/>
    </row>
    <row r="42" spans="1:20">
      <c r="A42" s="128" t="s">
        <v>509</v>
      </c>
      <c r="B42" s="128"/>
      <c r="C42" s="128">
        <v>53430.4109589041</v>
      </c>
      <c r="D42" s="128">
        <v>48259.7260273974</v>
      </c>
      <c r="E42" s="129">
        <v>53430.4109589042</v>
      </c>
      <c r="F42" s="128">
        <v>51706.8493150686</v>
      </c>
      <c r="G42" s="128"/>
      <c r="H42" s="128"/>
      <c r="I42" s="128"/>
      <c r="J42" s="128"/>
      <c r="K42" s="128"/>
      <c r="L42" s="128"/>
      <c r="M42" s="131"/>
      <c r="N42" s="129"/>
      <c r="O42" s="131">
        <f>SUM(C42:N42)</f>
        <v>206827.397260274</v>
      </c>
      <c r="P42" s="134"/>
      <c r="Q42" s="134"/>
      <c r="R42" s="134"/>
      <c r="S42" s="134"/>
      <c r="T42" s="134"/>
    </row>
    <row r="43" spans="1:20">
      <c r="A43" s="128" t="s">
        <v>510</v>
      </c>
      <c r="B43" s="128"/>
      <c r="C43" s="128">
        <v>66526.8493150685</v>
      </c>
      <c r="D43" s="128">
        <v>60088.7671232876</v>
      </c>
      <c r="E43" s="129">
        <v>66526.8493150684</v>
      </c>
      <c r="F43" s="128">
        <v>64380.8219178081</v>
      </c>
      <c r="G43" s="128"/>
      <c r="H43" s="128"/>
      <c r="I43" s="128"/>
      <c r="J43" s="128"/>
      <c r="K43" s="128"/>
      <c r="L43" s="128"/>
      <c r="M43" s="131"/>
      <c r="N43" s="129"/>
      <c r="O43" s="131">
        <f t="shared" ref="O43:O59" si="2">SUM(C43:N43)</f>
        <v>257523.287671233</v>
      </c>
      <c r="P43" s="134"/>
      <c r="Q43" s="134"/>
      <c r="R43" s="134"/>
      <c r="S43" s="134"/>
      <c r="T43" s="134"/>
    </row>
    <row r="44" spans="1:20">
      <c r="A44" s="128" t="s">
        <v>511</v>
      </c>
      <c r="B44" s="128"/>
      <c r="C44" s="128">
        <v>93424.6575342466</v>
      </c>
      <c r="D44" s="128">
        <v>84383.5616438357</v>
      </c>
      <c r="E44" s="129">
        <v>93424.6575342467</v>
      </c>
      <c r="F44" s="128">
        <v>90410.9589041097</v>
      </c>
      <c r="G44" s="128"/>
      <c r="H44" s="128"/>
      <c r="I44" s="128"/>
      <c r="J44" s="128"/>
      <c r="K44" s="128"/>
      <c r="L44" s="128"/>
      <c r="M44" s="131"/>
      <c r="N44" s="129"/>
      <c r="O44" s="131">
        <f t="shared" si="2"/>
        <v>361643.835616439</v>
      </c>
      <c r="P44" s="134"/>
      <c r="Q44" s="134"/>
      <c r="R44" s="134"/>
      <c r="S44" s="134"/>
      <c r="T44" s="134"/>
    </row>
    <row r="45" spans="1:20">
      <c r="A45" s="128" t="s">
        <v>82</v>
      </c>
      <c r="B45" s="128"/>
      <c r="C45" s="128">
        <v>30575.3424657534</v>
      </c>
      <c r="D45" s="128">
        <v>27616.4383561644</v>
      </c>
      <c r="E45" s="129">
        <v>30575.3424657534</v>
      </c>
      <c r="F45" s="128">
        <v>29589.0410958904</v>
      </c>
      <c r="G45" s="128"/>
      <c r="H45" s="128"/>
      <c r="I45" s="128"/>
      <c r="J45" s="128"/>
      <c r="K45" s="128"/>
      <c r="L45" s="128"/>
      <c r="M45" s="131"/>
      <c r="N45" s="129"/>
      <c r="O45" s="131">
        <f t="shared" si="2"/>
        <v>118356.164383562</v>
      </c>
      <c r="P45" s="134"/>
      <c r="Q45" s="134"/>
      <c r="R45" s="134"/>
      <c r="S45" s="134"/>
      <c r="T45" s="134"/>
    </row>
    <row r="46" spans="1:20">
      <c r="A46" s="128" t="s">
        <v>512</v>
      </c>
      <c r="B46" s="128"/>
      <c r="C46" s="128">
        <v>124726.164383562</v>
      </c>
      <c r="D46" s="128">
        <v>112655.890410959</v>
      </c>
      <c r="E46" s="129">
        <v>124726.164383562</v>
      </c>
      <c r="F46" s="128">
        <v>120702.739726028</v>
      </c>
      <c r="G46" s="128"/>
      <c r="H46" s="128"/>
      <c r="I46" s="128"/>
      <c r="J46" s="128"/>
      <c r="K46" s="128"/>
      <c r="L46" s="128"/>
      <c r="M46" s="131"/>
      <c r="N46" s="129"/>
      <c r="O46" s="131">
        <f t="shared" si="2"/>
        <v>482810.95890411</v>
      </c>
      <c r="P46" s="134"/>
      <c r="Q46" s="134"/>
      <c r="R46" s="134"/>
      <c r="S46" s="134"/>
      <c r="T46" s="134"/>
    </row>
    <row r="47" spans="1:20">
      <c r="A47" s="128" t="s">
        <v>513</v>
      </c>
      <c r="B47" s="128"/>
      <c r="C47" s="128">
        <v>93424.6575342466</v>
      </c>
      <c r="D47" s="128">
        <v>84383.5616438357</v>
      </c>
      <c r="E47" s="129">
        <v>93424.6575342467</v>
      </c>
      <c r="F47" s="128">
        <v>90410.9589041097</v>
      </c>
      <c r="G47" s="128"/>
      <c r="H47" s="128"/>
      <c r="I47" s="128"/>
      <c r="J47" s="128"/>
      <c r="K47" s="128"/>
      <c r="L47" s="128"/>
      <c r="M47" s="131"/>
      <c r="N47" s="129"/>
      <c r="O47" s="131">
        <f t="shared" si="2"/>
        <v>361643.835616439</v>
      </c>
      <c r="P47" s="134"/>
      <c r="Q47" s="134"/>
      <c r="R47" s="134"/>
      <c r="S47" s="134"/>
      <c r="T47" s="134"/>
    </row>
    <row r="48" spans="1:20">
      <c r="A48" s="128" t="s">
        <v>137</v>
      </c>
      <c r="B48" s="128"/>
      <c r="C48" s="128">
        <v>106983.97260274</v>
      </c>
      <c r="D48" s="128">
        <v>96630.6849315069</v>
      </c>
      <c r="E48" s="129">
        <v>106983.97260274</v>
      </c>
      <c r="F48" s="128">
        <v>103532.876712329</v>
      </c>
      <c r="G48" s="128"/>
      <c r="H48" s="128"/>
      <c r="I48" s="128"/>
      <c r="J48" s="128"/>
      <c r="K48" s="128"/>
      <c r="L48" s="128"/>
      <c r="M48" s="131"/>
      <c r="N48" s="129"/>
      <c r="O48" s="131">
        <f t="shared" si="2"/>
        <v>414131.506849316</v>
      </c>
      <c r="P48" s="134"/>
      <c r="Q48" s="134"/>
      <c r="R48" s="134"/>
      <c r="S48" s="134"/>
      <c r="T48" s="134"/>
    </row>
    <row r="49" spans="1:20">
      <c r="A49" s="128" t="s">
        <v>146</v>
      </c>
      <c r="B49" s="128"/>
      <c r="C49" s="128">
        <v>128671.232876712</v>
      </c>
      <c r="D49" s="128">
        <v>116219.178082192</v>
      </c>
      <c r="E49" s="129">
        <v>128671.232876712</v>
      </c>
      <c r="F49" s="128">
        <v>124520.547945205</v>
      </c>
      <c r="G49" s="128"/>
      <c r="H49" s="128"/>
      <c r="I49" s="128"/>
      <c r="J49" s="128"/>
      <c r="K49" s="128"/>
      <c r="L49" s="128"/>
      <c r="M49" s="131"/>
      <c r="N49" s="129"/>
      <c r="O49" s="131">
        <f t="shared" si="2"/>
        <v>498082.191780821</v>
      </c>
      <c r="P49" s="134"/>
      <c r="Q49" s="134"/>
      <c r="R49" s="134"/>
      <c r="S49" s="134"/>
      <c r="T49" s="134"/>
    </row>
    <row r="50" spans="1:20">
      <c r="A50" s="128" t="s">
        <v>514</v>
      </c>
      <c r="B50" s="128"/>
      <c r="C50" s="128">
        <v>99115.0684931507</v>
      </c>
      <c r="D50" s="128">
        <v>89523.2876712328</v>
      </c>
      <c r="E50" s="129">
        <v>99115.0684931506</v>
      </c>
      <c r="F50" s="128">
        <v>95917.808219178</v>
      </c>
      <c r="G50" s="128"/>
      <c r="H50" s="128"/>
      <c r="I50" s="128"/>
      <c r="J50" s="128"/>
      <c r="K50" s="128"/>
      <c r="L50" s="128"/>
      <c r="M50" s="131"/>
      <c r="N50" s="129"/>
      <c r="O50" s="131">
        <f t="shared" si="2"/>
        <v>383671.232876712</v>
      </c>
      <c r="P50" s="134"/>
      <c r="Q50" s="134"/>
      <c r="R50" s="134"/>
      <c r="S50" s="134"/>
      <c r="T50" s="134"/>
    </row>
    <row r="51" spans="1:20">
      <c r="A51" s="128" t="s">
        <v>515</v>
      </c>
      <c r="B51" s="128"/>
      <c r="C51" s="128">
        <v>2547.94520547945</v>
      </c>
      <c r="D51" s="128">
        <v>2301.3698630137</v>
      </c>
      <c r="E51" s="129">
        <v>2547.94520547945</v>
      </c>
      <c r="F51" s="128">
        <v>2465.75342465753</v>
      </c>
      <c r="G51" s="128"/>
      <c r="H51" s="128"/>
      <c r="I51" s="128"/>
      <c r="J51" s="128"/>
      <c r="K51" s="128"/>
      <c r="L51" s="128"/>
      <c r="M51" s="131"/>
      <c r="N51" s="129"/>
      <c r="O51" s="131">
        <f t="shared" si="2"/>
        <v>9863.01369863013</v>
      </c>
      <c r="P51" s="134"/>
      <c r="Q51" s="134"/>
      <c r="R51" s="134"/>
      <c r="S51" s="134"/>
      <c r="T51" s="134"/>
    </row>
    <row r="52" spans="1:20">
      <c r="A52" s="128" t="s">
        <v>197</v>
      </c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31"/>
      <c r="N52" s="128"/>
      <c r="O52" s="131">
        <f t="shared" si="2"/>
        <v>0</v>
      </c>
      <c r="P52" s="134"/>
      <c r="Q52" s="134"/>
      <c r="R52" s="134"/>
      <c r="S52" s="134"/>
      <c r="T52" s="134"/>
    </row>
    <row r="53" spans="1:20">
      <c r="A53" s="128" t="s">
        <v>516</v>
      </c>
      <c r="B53" s="128"/>
      <c r="C53" s="128">
        <v>0</v>
      </c>
      <c r="D53" s="128">
        <v>0</v>
      </c>
      <c r="E53" s="129">
        <v>0</v>
      </c>
      <c r="F53" s="128">
        <v>0</v>
      </c>
      <c r="G53" s="128"/>
      <c r="H53" s="128"/>
      <c r="I53" s="128"/>
      <c r="J53" s="128"/>
      <c r="K53" s="128"/>
      <c r="L53" s="128"/>
      <c r="M53" s="131"/>
      <c r="N53" s="129"/>
      <c r="O53" s="131">
        <f t="shared" si="2"/>
        <v>0</v>
      </c>
      <c r="P53" s="134"/>
      <c r="Q53" s="134"/>
      <c r="R53" s="134"/>
      <c r="S53" s="134"/>
      <c r="T53" s="134"/>
    </row>
    <row r="54" spans="1:20">
      <c r="A54" s="128" t="s">
        <v>204</v>
      </c>
      <c r="B54" s="128"/>
      <c r="C54" s="128">
        <v>38219.1780821918</v>
      </c>
      <c r="D54" s="128">
        <v>34520.5479452056</v>
      </c>
      <c r="E54" s="129">
        <v>38219.1780821919</v>
      </c>
      <c r="F54" s="128">
        <v>36986.3013698631</v>
      </c>
      <c r="G54" s="128"/>
      <c r="H54" s="128"/>
      <c r="I54" s="128"/>
      <c r="J54" s="128"/>
      <c r="K54" s="128"/>
      <c r="L54" s="128"/>
      <c r="M54" s="131"/>
      <c r="N54" s="129"/>
      <c r="O54" s="131">
        <f t="shared" si="2"/>
        <v>147945.205479452</v>
      </c>
      <c r="P54" s="134"/>
      <c r="Q54" s="134"/>
      <c r="R54" s="134"/>
      <c r="S54" s="134"/>
      <c r="T54" s="134"/>
    </row>
    <row r="55" spans="1:20">
      <c r="A55" s="128" t="s">
        <v>205</v>
      </c>
      <c r="B55" s="128"/>
      <c r="C55" s="128">
        <v>34354.7945205479</v>
      </c>
      <c r="D55" s="128">
        <v>31030.1369863013</v>
      </c>
      <c r="E55" s="129">
        <v>34354.7945205479</v>
      </c>
      <c r="F55" s="128">
        <v>33246.5753424657</v>
      </c>
      <c r="G55" s="128"/>
      <c r="H55" s="128"/>
      <c r="I55" s="128"/>
      <c r="J55" s="128"/>
      <c r="K55" s="128"/>
      <c r="L55" s="128"/>
      <c r="M55" s="131"/>
      <c r="N55" s="129"/>
      <c r="O55" s="131">
        <f t="shared" si="2"/>
        <v>132986.301369863</v>
      </c>
      <c r="P55" s="135"/>
      <c r="Q55" s="135"/>
      <c r="R55" s="135"/>
      <c r="S55" s="135"/>
      <c r="T55" s="135"/>
    </row>
    <row r="56" spans="1:20">
      <c r="A56" s="128" t="s">
        <v>317</v>
      </c>
      <c r="B56" s="128"/>
      <c r="C56" s="128">
        <v>56182.1917808219</v>
      </c>
      <c r="D56" s="128">
        <v>50745.2054794521</v>
      </c>
      <c r="E56" s="129">
        <v>56182.191780822</v>
      </c>
      <c r="F56" s="128">
        <v>54369.8630136987</v>
      </c>
      <c r="G56" s="128"/>
      <c r="H56" s="128"/>
      <c r="I56" s="128"/>
      <c r="J56" s="131"/>
      <c r="K56" s="128"/>
      <c r="L56" s="131"/>
      <c r="M56" s="131"/>
      <c r="N56" s="129"/>
      <c r="O56" s="131">
        <f t="shared" si="2"/>
        <v>217479.452054795</v>
      </c>
      <c r="P56" s="135"/>
      <c r="Q56" s="135"/>
      <c r="R56" s="135"/>
      <c r="S56" s="135"/>
      <c r="T56" s="135"/>
    </row>
    <row r="57" spans="1:20">
      <c r="A57" s="128" t="s">
        <v>318</v>
      </c>
      <c r="B57" s="128"/>
      <c r="C57" s="128">
        <v>44164.3835616438</v>
      </c>
      <c r="D57" s="128">
        <v>39890.4109589042</v>
      </c>
      <c r="E57" s="129">
        <v>44164.383561644</v>
      </c>
      <c r="F57" s="128">
        <v>42739.7260273974</v>
      </c>
      <c r="G57" s="128"/>
      <c r="H57" s="128"/>
      <c r="I57" s="128"/>
      <c r="J57" s="128"/>
      <c r="K57" s="128"/>
      <c r="L57" s="129"/>
      <c r="M57" s="128"/>
      <c r="N57" s="129"/>
      <c r="O57" s="131">
        <f t="shared" si="2"/>
        <v>170958.904109589</v>
      </c>
      <c r="P57" s="135"/>
      <c r="Q57" s="135"/>
      <c r="R57" s="135"/>
      <c r="S57" s="135"/>
      <c r="T57" s="135"/>
    </row>
    <row r="58" spans="1:20">
      <c r="A58" s="128" t="s">
        <v>319</v>
      </c>
      <c r="B58" s="128"/>
      <c r="C58" s="128"/>
      <c r="D58" s="128"/>
      <c r="E58" s="129"/>
      <c r="F58" s="128"/>
      <c r="G58" s="128"/>
      <c r="H58" s="128"/>
      <c r="I58" s="128"/>
      <c r="J58" s="128"/>
      <c r="K58" s="128"/>
      <c r="L58" s="129"/>
      <c r="M58" s="128"/>
      <c r="N58" s="128"/>
      <c r="O58" s="131">
        <f t="shared" si="2"/>
        <v>0</v>
      </c>
      <c r="P58" s="135"/>
      <c r="Q58" s="135"/>
      <c r="R58" s="135"/>
      <c r="S58" s="135"/>
      <c r="T58" s="135"/>
    </row>
    <row r="59" spans="1:20">
      <c r="A59" s="132"/>
      <c r="B59" s="127" t="s">
        <v>616</v>
      </c>
      <c r="P59" s="135"/>
      <c r="Q59" s="135"/>
      <c r="R59" s="135"/>
      <c r="S59" s="135"/>
      <c r="T59" s="135"/>
    </row>
    <row r="60" spans="1:20">
      <c r="A60" s="131"/>
      <c r="B60" s="128" t="s">
        <v>600</v>
      </c>
      <c r="C60" s="128" t="s">
        <v>601</v>
      </c>
      <c r="D60" s="128" t="s">
        <v>602</v>
      </c>
      <c r="E60" s="128" t="s">
        <v>603</v>
      </c>
      <c r="F60" s="128" t="s">
        <v>604</v>
      </c>
      <c r="G60" s="128" t="s">
        <v>605</v>
      </c>
      <c r="H60" s="128" t="s">
        <v>606</v>
      </c>
      <c r="I60" s="128" t="s">
        <v>607</v>
      </c>
      <c r="J60" s="128" t="s">
        <v>608</v>
      </c>
      <c r="K60" s="128" t="s">
        <v>609</v>
      </c>
      <c r="L60" s="128" t="s">
        <v>610</v>
      </c>
      <c r="M60" s="128" t="s">
        <v>611</v>
      </c>
      <c r="N60" s="128" t="s">
        <v>612</v>
      </c>
      <c r="O60" s="128" t="s">
        <v>613</v>
      </c>
      <c r="P60" s="135"/>
      <c r="Q60" s="135"/>
      <c r="R60" s="135"/>
      <c r="S60" s="135"/>
      <c r="T60" s="135"/>
    </row>
    <row r="61" spans="1:20">
      <c r="A61" s="128" t="s">
        <v>509</v>
      </c>
      <c r="B61" s="128"/>
      <c r="C61" s="128">
        <v>30974.2487671233</v>
      </c>
      <c r="D61" s="128">
        <v>27976.7408219178</v>
      </c>
      <c r="E61" s="129">
        <v>30974.2487671233</v>
      </c>
      <c r="F61" s="128">
        <v>29975.0794520548</v>
      </c>
      <c r="G61" s="128"/>
      <c r="H61" s="128"/>
      <c r="I61" s="128"/>
      <c r="J61" s="128"/>
      <c r="K61" s="128"/>
      <c r="L61" s="128"/>
      <c r="M61" s="131"/>
      <c r="N61" s="129"/>
      <c r="O61" s="131">
        <f>SUM(C61:N61)</f>
        <v>119900.317808219</v>
      </c>
      <c r="P61" s="135"/>
      <c r="Q61" s="135"/>
      <c r="R61" s="135"/>
      <c r="S61" s="135"/>
      <c r="T61" s="135"/>
    </row>
    <row r="62" spans="1:20">
      <c r="A62" s="128" t="s">
        <v>510</v>
      </c>
      <c r="B62" s="128"/>
      <c r="C62" s="128">
        <v>7244.65753424658</v>
      </c>
      <c r="D62" s="128">
        <v>6543.56164383561</v>
      </c>
      <c r="E62" s="129">
        <v>7244.65753424657</v>
      </c>
      <c r="F62" s="128">
        <v>7010.95890410958</v>
      </c>
      <c r="G62" s="128"/>
      <c r="H62" s="128"/>
      <c r="I62" s="128"/>
      <c r="J62" s="128"/>
      <c r="K62" s="128"/>
      <c r="L62" s="128"/>
      <c r="M62" s="131"/>
      <c r="N62" s="129"/>
      <c r="O62" s="131">
        <f t="shared" ref="O62:O76" si="3">SUM(C62:N62)</f>
        <v>28043.8356164383</v>
      </c>
      <c r="P62" s="135"/>
      <c r="Q62" s="135"/>
      <c r="R62" s="135"/>
      <c r="S62" s="135"/>
      <c r="T62" s="135"/>
    </row>
    <row r="63" spans="1:20">
      <c r="A63" s="128" t="s">
        <v>511</v>
      </c>
      <c r="B63" s="128"/>
      <c r="C63" s="128">
        <v>0</v>
      </c>
      <c r="D63" s="128">
        <v>0</v>
      </c>
      <c r="E63" s="129">
        <v>0</v>
      </c>
      <c r="F63" s="128">
        <v>0</v>
      </c>
      <c r="G63" s="128"/>
      <c r="H63" s="128"/>
      <c r="I63" s="128"/>
      <c r="J63" s="128"/>
      <c r="K63" s="128"/>
      <c r="L63" s="128"/>
      <c r="M63" s="131"/>
      <c r="N63" s="129"/>
      <c r="O63" s="131">
        <f t="shared" si="3"/>
        <v>0</v>
      </c>
      <c r="P63" s="135"/>
      <c r="Q63" s="135"/>
      <c r="R63" s="135"/>
      <c r="S63" s="135"/>
      <c r="T63" s="135"/>
    </row>
    <row r="64" spans="1:20">
      <c r="A64" s="128" t="s">
        <v>82</v>
      </c>
      <c r="B64" s="128"/>
      <c r="C64" s="128">
        <v>4671.23287671233</v>
      </c>
      <c r="D64" s="128">
        <v>4219.17808219177</v>
      </c>
      <c r="E64" s="129">
        <v>4671.23287671232</v>
      </c>
      <c r="F64" s="128">
        <v>4520.54794520547</v>
      </c>
      <c r="G64" s="128"/>
      <c r="H64" s="128"/>
      <c r="I64" s="128"/>
      <c r="J64" s="128"/>
      <c r="K64" s="128"/>
      <c r="L64" s="128"/>
      <c r="M64" s="131"/>
      <c r="N64" s="129"/>
      <c r="O64" s="131">
        <f t="shared" si="3"/>
        <v>18082.1917808219</v>
      </c>
      <c r="P64" s="135"/>
      <c r="Q64" s="135"/>
      <c r="R64" s="135"/>
      <c r="S64" s="135"/>
      <c r="T64" s="135"/>
    </row>
    <row r="65" spans="1:20">
      <c r="A65" s="128" t="s">
        <v>512</v>
      </c>
      <c r="B65" s="128"/>
      <c r="C65" s="128">
        <v>21657.5342465753</v>
      </c>
      <c r="D65" s="128">
        <v>19561.6438356164</v>
      </c>
      <c r="E65" s="129">
        <v>21657.5342465753</v>
      </c>
      <c r="F65" s="128">
        <v>20958.904109589</v>
      </c>
      <c r="G65" s="128"/>
      <c r="H65" s="128"/>
      <c r="I65" s="128"/>
      <c r="J65" s="128"/>
      <c r="K65" s="128"/>
      <c r="L65" s="128"/>
      <c r="M65" s="131"/>
      <c r="N65" s="129"/>
      <c r="O65" s="131">
        <f t="shared" si="3"/>
        <v>83835.616438356</v>
      </c>
      <c r="P65" s="135"/>
      <c r="Q65" s="135"/>
      <c r="R65" s="135"/>
      <c r="S65" s="135"/>
      <c r="T65" s="135"/>
    </row>
    <row r="66" spans="1:20">
      <c r="A66" s="128" t="s">
        <v>513</v>
      </c>
      <c r="B66" s="128"/>
      <c r="C66" s="128">
        <v>60131.5068493151</v>
      </c>
      <c r="D66" s="128">
        <v>54312.3287671233</v>
      </c>
      <c r="E66" s="129">
        <v>60131.5068493151</v>
      </c>
      <c r="F66" s="128">
        <v>58191.7808219178</v>
      </c>
      <c r="G66" s="128"/>
      <c r="H66" s="128"/>
      <c r="I66" s="128"/>
      <c r="J66" s="128"/>
      <c r="K66" s="128"/>
      <c r="L66" s="128"/>
      <c r="M66" s="131"/>
      <c r="N66" s="129"/>
      <c r="O66" s="131">
        <f t="shared" si="3"/>
        <v>232767.123287671</v>
      </c>
      <c r="P66" s="135"/>
      <c r="Q66" s="135"/>
      <c r="R66" s="135"/>
      <c r="S66" s="135"/>
      <c r="T66" s="135"/>
    </row>
    <row r="67" spans="1:20">
      <c r="A67" s="128" t="s">
        <v>137</v>
      </c>
      <c r="B67" s="128"/>
      <c r="C67" s="128">
        <v>43612.3287671233</v>
      </c>
      <c r="D67" s="128">
        <v>39391.7808219177</v>
      </c>
      <c r="E67" s="129">
        <v>43612.3287671232</v>
      </c>
      <c r="F67" s="128">
        <v>42205.4794520547</v>
      </c>
      <c r="G67" s="128"/>
      <c r="H67" s="128"/>
      <c r="I67" s="128"/>
      <c r="J67" s="128"/>
      <c r="K67" s="128"/>
      <c r="L67" s="128"/>
      <c r="M67" s="131"/>
      <c r="N67" s="129"/>
      <c r="O67" s="131">
        <f t="shared" si="3"/>
        <v>168821.917808219</v>
      </c>
      <c r="P67" s="135"/>
      <c r="Q67" s="135"/>
      <c r="R67" s="135"/>
      <c r="S67" s="135"/>
      <c r="T67" s="135"/>
    </row>
    <row r="68" spans="1:20">
      <c r="A68" s="128" t="s">
        <v>146</v>
      </c>
      <c r="B68" s="128"/>
      <c r="C68" s="128">
        <v>75087.9452054795</v>
      </c>
      <c r="D68" s="128">
        <v>67821.3698630138</v>
      </c>
      <c r="E68" s="129">
        <v>75087.9452054795</v>
      </c>
      <c r="F68" s="128">
        <v>72665.7534246576</v>
      </c>
      <c r="G68" s="128"/>
      <c r="H68" s="128"/>
      <c r="I68" s="128"/>
      <c r="J68" s="128"/>
      <c r="K68" s="128"/>
      <c r="L68" s="128"/>
      <c r="M68" s="131"/>
      <c r="N68" s="129"/>
      <c r="O68" s="131">
        <f t="shared" si="3"/>
        <v>290663.01369863</v>
      </c>
      <c r="P68" s="135"/>
      <c r="Q68" s="135"/>
      <c r="R68" s="135"/>
      <c r="S68" s="135"/>
      <c r="T68" s="135"/>
    </row>
    <row r="69" spans="1:20">
      <c r="A69" s="128" t="s">
        <v>514</v>
      </c>
      <c r="B69" s="128"/>
      <c r="C69" s="128">
        <v>16803.698630137</v>
      </c>
      <c r="D69" s="128">
        <v>15177.5342465753</v>
      </c>
      <c r="E69" s="129">
        <v>16803.698630137</v>
      </c>
      <c r="F69" s="128">
        <v>16261.6438356164</v>
      </c>
      <c r="G69" s="128"/>
      <c r="H69" s="128"/>
      <c r="I69" s="128"/>
      <c r="J69" s="128"/>
      <c r="K69" s="128"/>
      <c r="L69" s="128"/>
      <c r="M69" s="131"/>
      <c r="N69" s="129"/>
      <c r="O69" s="131">
        <f t="shared" si="3"/>
        <v>65046.5753424657</v>
      </c>
      <c r="P69" s="135"/>
      <c r="Q69" s="135"/>
      <c r="R69" s="135"/>
      <c r="S69" s="135"/>
      <c r="T69" s="135"/>
    </row>
    <row r="70" spans="1:20">
      <c r="A70" s="128" t="s">
        <v>515</v>
      </c>
      <c r="B70" s="128"/>
      <c r="C70" s="128">
        <v>10191.7808219178</v>
      </c>
      <c r="D70" s="128">
        <v>9205.47945205479</v>
      </c>
      <c r="E70" s="129">
        <v>10191.7808219178</v>
      </c>
      <c r="F70" s="128">
        <v>9863.01369863013</v>
      </c>
      <c r="G70" s="128"/>
      <c r="H70" s="128"/>
      <c r="I70" s="128"/>
      <c r="J70" s="128"/>
      <c r="K70" s="128"/>
      <c r="L70" s="128"/>
      <c r="M70" s="131"/>
      <c r="N70" s="129"/>
      <c r="O70" s="131">
        <f t="shared" si="3"/>
        <v>39452.0547945205</v>
      </c>
      <c r="P70" s="135"/>
      <c r="Q70" s="135"/>
      <c r="R70" s="135"/>
      <c r="S70" s="135"/>
      <c r="T70" s="135"/>
    </row>
    <row r="71" spans="1:20">
      <c r="A71" s="128" t="s">
        <v>197</v>
      </c>
      <c r="B71" s="128"/>
      <c r="C71" s="128">
        <v>27178.0821917808</v>
      </c>
      <c r="D71" s="128">
        <v>24547.9452054794</v>
      </c>
      <c r="E71" s="128">
        <v>27178.0821917808</v>
      </c>
      <c r="F71" s="128">
        <v>26301.3698630137</v>
      </c>
      <c r="G71" s="128"/>
      <c r="H71" s="128"/>
      <c r="I71" s="128"/>
      <c r="J71" s="128"/>
      <c r="K71" s="128"/>
      <c r="L71" s="128"/>
      <c r="M71" s="131"/>
      <c r="N71" s="129"/>
      <c r="O71" s="131">
        <f t="shared" si="3"/>
        <v>105205.479452055</v>
      </c>
      <c r="P71" s="135"/>
      <c r="Q71" s="135"/>
      <c r="R71" s="135"/>
      <c r="S71" s="135"/>
      <c r="T71" s="135"/>
    </row>
    <row r="72" spans="1:20">
      <c r="A72" s="128" t="s">
        <v>516</v>
      </c>
      <c r="B72" s="128"/>
      <c r="C72" s="128">
        <v>0</v>
      </c>
      <c r="D72" s="128">
        <v>0</v>
      </c>
      <c r="E72" s="129">
        <v>0</v>
      </c>
      <c r="F72" s="128">
        <v>0</v>
      </c>
      <c r="G72" s="128"/>
      <c r="H72" s="128"/>
      <c r="I72" s="128"/>
      <c r="J72" s="128"/>
      <c r="K72" s="128"/>
      <c r="L72" s="128"/>
      <c r="M72" s="131"/>
      <c r="N72" s="129"/>
      <c r="O72" s="131">
        <f t="shared" si="3"/>
        <v>0</v>
      </c>
      <c r="P72" s="135"/>
      <c r="Q72" s="135"/>
      <c r="R72" s="135"/>
      <c r="S72" s="135"/>
      <c r="T72" s="135"/>
    </row>
    <row r="73" spans="1:20">
      <c r="A73" s="128" t="s">
        <v>204</v>
      </c>
      <c r="B73" s="128"/>
      <c r="C73" s="128">
        <v>1698.6301369863</v>
      </c>
      <c r="D73" s="128">
        <v>1534.24657534247</v>
      </c>
      <c r="E73" s="129">
        <v>1698.6301369863</v>
      </c>
      <c r="F73" s="128">
        <v>1643.83561643836</v>
      </c>
      <c r="G73" s="128"/>
      <c r="H73" s="128"/>
      <c r="I73" s="128"/>
      <c r="J73" s="131"/>
      <c r="K73" s="128"/>
      <c r="L73" s="131"/>
      <c r="M73" s="131"/>
      <c r="N73" s="129"/>
      <c r="O73" s="131">
        <f t="shared" si="3"/>
        <v>6575.34246575343</v>
      </c>
      <c r="P73" s="135"/>
      <c r="Q73" s="135"/>
      <c r="R73" s="135"/>
      <c r="S73" s="135"/>
      <c r="T73" s="135"/>
    </row>
    <row r="74" spans="1:20">
      <c r="A74" s="128" t="s">
        <v>205</v>
      </c>
      <c r="B74" s="128"/>
      <c r="C74" s="128">
        <v>4119.17808219178</v>
      </c>
      <c r="D74" s="128">
        <v>3720.54794520548</v>
      </c>
      <c r="E74" s="129">
        <v>4119.17808219178</v>
      </c>
      <c r="F74" s="128">
        <v>3986.30136986301</v>
      </c>
      <c r="G74" s="128"/>
      <c r="H74" s="128"/>
      <c r="I74" s="128"/>
      <c r="J74" s="131"/>
      <c r="K74" s="128"/>
      <c r="L74" s="131"/>
      <c r="M74" s="131"/>
      <c r="N74" s="129"/>
      <c r="O74" s="131">
        <f t="shared" si="3"/>
        <v>15945.2054794521</v>
      </c>
      <c r="P74" s="135"/>
      <c r="Q74" s="135"/>
      <c r="R74" s="135"/>
      <c r="S74" s="135"/>
      <c r="T74" s="135"/>
    </row>
    <row r="75" spans="1:20">
      <c r="A75" s="128" t="s">
        <v>317</v>
      </c>
      <c r="B75" s="128"/>
      <c r="C75" s="128">
        <v>7800.95890410959</v>
      </c>
      <c r="D75" s="128">
        <v>7046.02739726026</v>
      </c>
      <c r="E75" s="129">
        <v>7800.95890410958</v>
      </c>
      <c r="F75" s="128">
        <v>7549.31506849314</v>
      </c>
      <c r="G75" s="128"/>
      <c r="H75" s="128"/>
      <c r="I75" s="128"/>
      <c r="J75" s="131"/>
      <c r="K75" s="128"/>
      <c r="L75" s="131"/>
      <c r="M75" s="131"/>
      <c r="N75" s="129"/>
      <c r="O75" s="131">
        <f t="shared" si="3"/>
        <v>30197.2602739726</v>
      </c>
      <c r="P75" s="135"/>
      <c r="Q75" s="135"/>
      <c r="R75" s="135"/>
      <c r="S75" s="135"/>
      <c r="T75" s="135"/>
    </row>
    <row r="76" spans="1:20">
      <c r="A76" s="128" t="s">
        <v>318</v>
      </c>
      <c r="B76" s="128"/>
      <c r="C76" s="128"/>
      <c r="D76" s="128"/>
      <c r="E76" s="129"/>
      <c r="F76" s="128"/>
      <c r="G76" s="128"/>
      <c r="H76" s="128"/>
      <c r="I76" s="128"/>
      <c r="J76" s="128"/>
      <c r="K76" s="128"/>
      <c r="L76" s="129"/>
      <c r="M76" s="128"/>
      <c r="N76" s="129"/>
      <c r="O76" s="131"/>
      <c r="P76" s="135"/>
      <c r="Q76" s="135"/>
      <c r="R76" s="135"/>
      <c r="S76" s="135"/>
      <c r="T76" s="135"/>
    </row>
    <row r="77" spans="1:20">
      <c r="A77" s="128" t="s">
        <v>319</v>
      </c>
      <c r="B77" s="128"/>
      <c r="C77" s="128">
        <v>93424.6575342466</v>
      </c>
      <c r="D77" s="128">
        <v>84383.5616438357</v>
      </c>
      <c r="E77" s="129">
        <v>93424.6575342467</v>
      </c>
      <c r="F77" s="128">
        <v>90410.9589041097</v>
      </c>
      <c r="G77" s="128"/>
      <c r="H77" s="128"/>
      <c r="I77" s="128"/>
      <c r="J77" s="128"/>
      <c r="K77" s="128"/>
      <c r="L77" s="129"/>
      <c r="M77" s="128"/>
      <c r="N77" s="129"/>
      <c r="O77" s="131">
        <f>SUM(C77:N77)</f>
        <v>361643.835616439</v>
      </c>
      <c r="P77" s="135"/>
      <c r="Q77" s="135"/>
      <c r="R77" s="135"/>
      <c r="S77" s="135"/>
      <c r="T77" s="135"/>
    </row>
    <row r="78" spans="1:20">
      <c r="A78" s="132"/>
      <c r="B78" s="127" t="s">
        <v>617</v>
      </c>
      <c r="P78" s="135"/>
      <c r="Q78" s="135"/>
      <c r="R78" s="135"/>
      <c r="S78" s="135"/>
      <c r="T78" s="135"/>
    </row>
    <row r="79" spans="1:20">
      <c r="A79" s="131"/>
      <c r="B79" s="128" t="s">
        <v>600</v>
      </c>
      <c r="C79" s="128" t="s">
        <v>601</v>
      </c>
      <c r="D79" s="128" t="s">
        <v>602</v>
      </c>
      <c r="E79" s="128" t="s">
        <v>603</v>
      </c>
      <c r="F79" s="128" t="s">
        <v>604</v>
      </c>
      <c r="G79" s="128" t="s">
        <v>605</v>
      </c>
      <c r="H79" s="128" t="s">
        <v>606</v>
      </c>
      <c r="I79" s="128" t="s">
        <v>607</v>
      </c>
      <c r="J79" s="128" t="s">
        <v>608</v>
      </c>
      <c r="K79" s="128" t="s">
        <v>609</v>
      </c>
      <c r="L79" s="128" t="s">
        <v>610</v>
      </c>
      <c r="M79" s="128" t="s">
        <v>611</v>
      </c>
      <c r="N79" s="128" t="s">
        <v>612</v>
      </c>
      <c r="O79" s="128" t="s">
        <v>613</v>
      </c>
      <c r="P79" s="135"/>
      <c r="Q79" s="135"/>
      <c r="R79" s="135"/>
      <c r="S79" s="135"/>
      <c r="T79" s="135"/>
    </row>
    <row r="80" spans="1:20">
      <c r="A80" s="128" t="s">
        <v>509</v>
      </c>
      <c r="B80" s="128"/>
      <c r="C80" s="128">
        <v>57953.2258064515</v>
      </c>
      <c r="D80" s="128">
        <v>57953.2258064515</v>
      </c>
      <c r="E80" s="128">
        <v>57953.2258064515</v>
      </c>
      <c r="F80" s="128">
        <v>57953.2258064515</v>
      </c>
      <c r="G80" s="128"/>
      <c r="H80" s="128"/>
      <c r="I80" s="128"/>
      <c r="J80" s="128"/>
      <c r="K80" s="128"/>
      <c r="L80" s="128"/>
      <c r="M80" s="131"/>
      <c r="N80" s="139"/>
      <c r="O80" s="131">
        <f>SUM(C80:N80)</f>
        <v>231812.903225806</v>
      </c>
      <c r="P80" s="135"/>
      <c r="Q80" s="135"/>
      <c r="R80" s="135"/>
      <c r="S80" s="135"/>
      <c r="T80" s="135"/>
    </row>
    <row r="81" spans="1:20">
      <c r="A81" s="128" t="s">
        <v>511</v>
      </c>
      <c r="B81" s="128"/>
      <c r="C81" s="128">
        <v>7483.87096774193</v>
      </c>
      <c r="D81" s="128">
        <v>7483.87096774193</v>
      </c>
      <c r="E81" s="128">
        <v>7483.87096774193</v>
      </c>
      <c r="F81" s="128">
        <v>7483.87096774193</v>
      </c>
      <c r="G81" s="128"/>
      <c r="H81" s="128"/>
      <c r="I81" s="128"/>
      <c r="J81" s="128"/>
      <c r="K81" s="128"/>
      <c r="L81" s="128"/>
      <c r="M81" s="131"/>
      <c r="N81" s="139"/>
      <c r="O81" s="131">
        <f t="shared" ref="O81:O88" si="4">SUM(C81:N81)</f>
        <v>29935.4838709677</v>
      </c>
      <c r="P81" s="135"/>
      <c r="Q81" s="135"/>
      <c r="R81" s="135"/>
      <c r="S81" s="135"/>
      <c r="T81" s="135"/>
    </row>
    <row r="82" spans="1:20">
      <c r="A82" s="128" t="s">
        <v>82</v>
      </c>
      <c r="B82" s="128"/>
      <c r="C82" s="128">
        <v>0</v>
      </c>
      <c r="D82" s="128">
        <v>0</v>
      </c>
      <c r="E82" s="128">
        <v>0</v>
      </c>
      <c r="F82" s="128">
        <v>0</v>
      </c>
      <c r="G82" s="128"/>
      <c r="H82" s="128"/>
      <c r="I82" s="128"/>
      <c r="J82" s="128"/>
      <c r="K82" s="128"/>
      <c r="L82" s="128"/>
      <c r="M82" s="131"/>
      <c r="N82" s="139"/>
      <c r="O82" s="131">
        <f t="shared" si="4"/>
        <v>0</v>
      </c>
      <c r="P82" s="135"/>
      <c r="Q82" s="135"/>
      <c r="R82" s="135"/>
      <c r="S82" s="135"/>
      <c r="T82" s="135"/>
    </row>
    <row r="83" spans="1:20">
      <c r="A83" s="128" t="s">
        <v>512</v>
      </c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31"/>
      <c r="N83" s="139"/>
      <c r="O83" s="131">
        <f t="shared" si="4"/>
        <v>0</v>
      </c>
      <c r="P83" s="135"/>
      <c r="Q83" s="135"/>
      <c r="R83" s="135"/>
      <c r="S83" s="135"/>
      <c r="T83" s="135"/>
    </row>
    <row r="84" spans="1:20">
      <c r="A84" s="128" t="s">
        <v>513</v>
      </c>
      <c r="B84" s="128"/>
      <c r="C84" s="128">
        <v>0</v>
      </c>
      <c r="D84" s="128">
        <v>0</v>
      </c>
      <c r="E84" s="128">
        <v>0</v>
      </c>
      <c r="F84" s="128">
        <v>0</v>
      </c>
      <c r="G84" s="128"/>
      <c r="H84" s="128"/>
      <c r="I84" s="128"/>
      <c r="J84" s="128"/>
      <c r="K84" s="128"/>
      <c r="L84" s="128"/>
      <c r="M84" s="131"/>
      <c r="N84" s="139"/>
      <c r="O84" s="131">
        <f t="shared" si="4"/>
        <v>0</v>
      </c>
      <c r="P84" s="135"/>
      <c r="Q84" s="135"/>
      <c r="R84" s="135"/>
      <c r="S84" s="135"/>
      <c r="T84" s="135"/>
    </row>
    <row r="85" spans="1:20">
      <c r="A85" s="128" t="s">
        <v>137</v>
      </c>
      <c r="B85" s="128"/>
      <c r="C85" s="128">
        <v>0</v>
      </c>
      <c r="D85" s="128">
        <v>0</v>
      </c>
      <c r="E85" s="128">
        <v>0</v>
      </c>
      <c r="F85" s="128">
        <v>0</v>
      </c>
      <c r="G85" s="128"/>
      <c r="H85" s="128"/>
      <c r="I85" s="128"/>
      <c r="J85" s="128"/>
      <c r="K85" s="128"/>
      <c r="L85" s="128"/>
      <c r="M85" s="131"/>
      <c r="N85" s="139"/>
      <c r="O85" s="131">
        <f t="shared" si="4"/>
        <v>0</v>
      </c>
      <c r="P85" s="135"/>
      <c r="Q85" s="135"/>
      <c r="R85" s="135"/>
      <c r="S85" s="135"/>
      <c r="T85" s="135"/>
    </row>
    <row r="86" spans="1:20">
      <c r="A86" s="128" t="s">
        <v>146</v>
      </c>
      <c r="B86" s="128"/>
      <c r="C86" s="128">
        <v>0</v>
      </c>
      <c r="D86" s="128">
        <v>0</v>
      </c>
      <c r="E86" s="128">
        <v>0</v>
      </c>
      <c r="F86" s="128">
        <v>0</v>
      </c>
      <c r="G86" s="128"/>
      <c r="H86" s="128"/>
      <c r="I86" s="128"/>
      <c r="J86" s="128"/>
      <c r="K86" s="128"/>
      <c r="L86" s="128"/>
      <c r="M86" s="131"/>
      <c r="N86" s="139"/>
      <c r="O86" s="131">
        <f t="shared" si="4"/>
        <v>0</v>
      </c>
      <c r="P86" s="135"/>
      <c r="Q86" s="135"/>
      <c r="R86" s="135"/>
      <c r="S86" s="135"/>
      <c r="T86" s="135"/>
    </row>
    <row r="87" spans="1:20">
      <c r="A87" s="128" t="s">
        <v>514</v>
      </c>
      <c r="B87" s="128"/>
      <c r="C87" s="128">
        <v>189428</v>
      </c>
      <c r="D87" s="128">
        <v>189428</v>
      </c>
      <c r="E87" s="128">
        <v>189428</v>
      </c>
      <c r="F87" s="128">
        <v>189428</v>
      </c>
      <c r="G87" s="128"/>
      <c r="H87" s="128"/>
      <c r="I87" s="128"/>
      <c r="J87" s="128"/>
      <c r="K87" s="128"/>
      <c r="L87" s="128"/>
      <c r="M87" s="131"/>
      <c r="N87" s="139"/>
      <c r="O87" s="131">
        <f t="shared" si="4"/>
        <v>757712</v>
      </c>
      <c r="P87" s="135"/>
      <c r="Q87" s="135"/>
      <c r="R87" s="135"/>
      <c r="S87" s="135"/>
      <c r="T87" s="135"/>
    </row>
    <row r="88" spans="1:20">
      <c r="A88" s="128" t="s">
        <v>515</v>
      </c>
      <c r="B88" s="128"/>
      <c r="C88" s="128">
        <v>3929.03225806452</v>
      </c>
      <c r="D88" s="128">
        <v>3929.03225806452</v>
      </c>
      <c r="E88" s="128">
        <v>3929.03225806452</v>
      </c>
      <c r="F88" s="128">
        <v>3929.03225806452</v>
      </c>
      <c r="G88" s="128"/>
      <c r="H88" s="128"/>
      <c r="I88" s="128"/>
      <c r="K88" s="128"/>
      <c r="L88" s="128"/>
      <c r="M88" s="131"/>
      <c r="N88" s="139"/>
      <c r="O88" s="131">
        <f t="shared" si="4"/>
        <v>15716.1290322581</v>
      </c>
      <c r="P88" s="135"/>
      <c r="Q88" s="135"/>
      <c r="R88" s="135"/>
      <c r="S88" s="135"/>
      <c r="T88" s="135"/>
    </row>
    <row r="89" spans="1:20">
      <c r="A89" s="128" t="s">
        <v>197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31"/>
      <c r="N89" s="131"/>
      <c r="O89" s="131"/>
      <c r="P89" s="135"/>
      <c r="Q89" s="135"/>
      <c r="R89" s="135"/>
      <c r="S89" s="135"/>
      <c r="T89" s="135"/>
    </row>
    <row r="90" spans="1:20">
      <c r="A90" s="128" t="s">
        <v>516</v>
      </c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31"/>
      <c r="N90" s="131"/>
      <c r="O90" s="131"/>
      <c r="P90" s="135"/>
      <c r="Q90" s="135"/>
      <c r="R90" s="135"/>
      <c r="S90" s="135"/>
      <c r="T90" s="135"/>
    </row>
    <row r="91" spans="1:20">
      <c r="A91" s="128" t="s">
        <v>204</v>
      </c>
      <c r="B91" s="128"/>
      <c r="C91" s="128"/>
      <c r="D91" s="128"/>
      <c r="E91" s="128"/>
      <c r="F91" s="128"/>
      <c r="G91" s="128"/>
      <c r="H91" s="128"/>
      <c r="I91" s="128"/>
      <c r="J91" s="131"/>
      <c r="K91" s="128"/>
      <c r="L91" s="131"/>
      <c r="M91" s="131"/>
      <c r="N91" s="131"/>
      <c r="O91" s="131"/>
      <c r="P91" s="135"/>
      <c r="Q91" s="135"/>
      <c r="R91" s="135"/>
      <c r="S91" s="135"/>
      <c r="T91" s="135"/>
    </row>
    <row r="92" spans="1:20">
      <c r="A92" s="128" t="s">
        <v>205</v>
      </c>
      <c r="B92" s="128"/>
      <c r="C92" s="128"/>
      <c r="D92" s="128"/>
      <c r="E92" s="128"/>
      <c r="F92" s="128"/>
      <c r="G92" s="128"/>
      <c r="H92" s="128"/>
      <c r="I92" s="128"/>
      <c r="J92" s="131"/>
      <c r="K92" s="128"/>
      <c r="L92" s="131"/>
      <c r="M92" s="131"/>
      <c r="N92" s="131"/>
      <c r="O92" s="131"/>
      <c r="P92" s="135"/>
      <c r="Q92" s="135"/>
      <c r="R92" s="135"/>
      <c r="S92" s="135"/>
      <c r="T92" s="135"/>
    </row>
    <row r="93" spans="1:20">
      <c r="A93" s="128" t="s">
        <v>304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31"/>
      <c r="M93" s="131"/>
      <c r="N93" s="131"/>
      <c r="O93" s="131"/>
      <c r="P93" s="135"/>
      <c r="Q93" s="135"/>
      <c r="R93" s="135"/>
      <c r="S93" s="135"/>
      <c r="T93" s="135"/>
    </row>
    <row r="94" spans="1:20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5"/>
      <c r="Q94" s="135"/>
      <c r="R94" s="135"/>
      <c r="S94" s="135"/>
      <c r="T94" s="135"/>
    </row>
    <row r="95" spans="1:20">
      <c r="A95" s="132"/>
      <c r="B95" s="127" t="s">
        <v>618</v>
      </c>
      <c r="P95" s="135"/>
      <c r="Q95" s="135"/>
      <c r="R95" s="135"/>
      <c r="S95" s="135"/>
      <c r="T95" s="135"/>
    </row>
    <row r="96" spans="1:20">
      <c r="A96" s="131"/>
      <c r="B96" s="128" t="s">
        <v>600</v>
      </c>
      <c r="C96" s="128" t="s">
        <v>601</v>
      </c>
      <c r="D96" s="128" t="s">
        <v>602</v>
      </c>
      <c r="E96" s="128" t="s">
        <v>603</v>
      </c>
      <c r="F96" s="128" t="s">
        <v>604</v>
      </c>
      <c r="G96" s="128" t="s">
        <v>605</v>
      </c>
      <c r="H96" s="128" t="s">
        <v>606</v>
      </c>
      <c r="I96" s="128" t="s">
        <v>607</v>
      </c>
      <c r="J96" s="128" t="s">
        <v>608</v>
      </c>
      <c r="K96" s="128" t="s">
        <v>609</v>
      </c>
      <c r="L96" s="128" t="s">
        <v>610</v>
      </c>
      <c r="M96" s="128" t="s">
        <v>611</v>
      </c>
      <c r="N96" s="128" t="s">
        <v>612</v>
      </c>
      <c r="O96" s="128" t="s">
        <v>613</v>
      </c>
      <c r="P96" s="135"/>
      <c r="Q96" s="135"/>
      <c r="R96" s="135"/>
      <c r="S96" s="135"/>
      <c r="T96" s="135"/>
    </row>
    <row r="97" spans="1:20">
      <c r="A97" s="128" t="s">
        <v>509</v>
      </c>
      <c r="B97" s="128"/>
      <c r="C97" s="128">
        <v>25070.9677419355</v>
      </c>
      <c r="D97" s="128">
        <v>25070.9677419355</v>
      </c>
      <c r="E97" s="128">
        <v>41000</v>
      </c>
      <c r="F97" s="128">
        <v>41000</v>
      </c>
      <c r="G97" s="128"/>
      <c r="H97" s="128"/>
      <c r="I97" s="128"/>
      <c r="J97" s="128"/>
      <c r="K97" s="128"/>
      <c r="L97" s="128"/>
      <c r="M97" s="131"/>
      <c r="N97" s="140"/>
      <c r="O97" s="131">
        <f>SUM(C97:N97)</f>
        <v>132141.935483871</v>
      </c>
      <c r="P97" s="135"/>
      <c r="Q97" s="135"/>
      <c r="R97" s="135"/>
      <c r="S97" s="135"/>
      <c r="T97" s="135"/>
    </row>
    <row r="98" spans="1:20">
      <c r="A98" s="128" t="s">
        <v>511</v>
      </c>
      <c r="B98" s="128"/>
      <c r="C98" s="128">
        <v>0</v>
      </c>
      <c r="D98" s="128">
        <v>0</v>
      </c>
      <c r="E98" s="128">
        <v>0</v>
      </c>
      <c r="F98" s="128">
        <v>0</v>
      </c>
      <c r="G98" s="128"/>
      <c r="H98" s="128"/>
      <c r="I98" s="128"/>
      <c r="J98" s="128"/>
      <c r="K98" s="128"/>
      <c r="L98" s="128"/>
      <c r="M98" s="131"/>
      <c r="N98" s="140"/>
      <c r="O98" s="131">
        <f t="shared" ref="O98:O108" si="5">SUM(C98:N98)</f>
        <v>0</v>
      </c>
      <c r="P98" s="135"/>
      <c r="Q98" s="135"/>
      <c r="R98" s="135"/>
      <c r="S98" s="135"/>
      <c r="T98" s="135"/>
    </row>
    <row r="99" spans="1:20">
      <c r="A99" s="128" t="s">
        <v>82</v>
      </c>
      <c r="B99" s="128"/>
      <c r="C99" s="128">
        <v>0</v>
      </c>
      <c r="D99" s="128">
        <v>0</v>
      </c>
      <c r="E99" s="128">
        <v>0</v>
      </c>
      <c r="F99" s="128">
        <v>0</v>
      </c>
      <c r="G99" s="128"/>
      <c r="H99" s="128"/>
      <c r="I99" s="128"/>
      <c r="J99" s="128"/>
      <c r="K99" s="128"/>
      <c r="L99" s="128"/>
      <c r="M99" s="131"/>
      <c r="N99" s="140"/>
      <c r="O99" s="131">
        <f t="shared" si="5"/>
        <v>0</v>
      </c>
      <c r="P99" s="135"/>
      <c r="Q99" s="135"/>
      <c r="R99" s="135"/>
      <c r="S99" s="135"/>
      <c r="T99" s="135"/>
    </row>
    <row r="100" spans="1:20">
      <c r="A100" s="128" t="s">
        <v>512</v>
      </c>
      <c r="B100" s="128"/>
      <c r="C100" s="128">
        <v>2712.90322580645</v>
      </c>
      <c r="D100" s="128">
        <v>2712.90322580645</v>
      </c>
      <c r="E100" s="128">
        <v>0</v>
      </c>
      <c r="F100" s="128">
        <v>0</v>
      </c>
      <c r="G100" s="128"/>
      <c r="H100" s="128"/>
      <c r="I100" s="128"/>
      <c r="J100" s="128"/>
      <c r="K100" s="128"/>
      <c r="L100" s="128"/>
      <c r="M100" s="131"/>
      <c r="N100" s="140"/>
      <c r="O100" s="131">
        <f t="shared" si="5"/>
        <v>5425.8064516129</v>
      </c>
      <c r="P100" s="135"/>
      <c r="Q100" s="135"/>
      <c r="R100" s="135"/>
      <c r="S100" s="135"/>
      <c r="T100" s="135"/>
    </row>
    <row r="101" spans="1:20">
      <c r="A101" s="128" t="s">
        <v>513</v>
      </c>
      <c r="B101" s="128"/>
      <c r="C101" s="128">
        <v>0</v>
      </c>
      <c r="D101" s="128">
        <v>0</v>
      </c>
      <c r="E101" s="128">
        <v>0</v>
      </c>
      <c r="F101" s="128">
        <v>0</v>
      </c>
      <c r="G101" s="128"/>
      <c r="H101" s="128"/>
      <c r="I101" s="128"/>
      <c r="J101" s="128"/>
      <c r="K101" s="128"/>
      <c r="L101" s="128"/>
      <c r="M101" s="131"/>
      <c r="N101" s="140"/>
      <c r="O101" s="131">
        <f t="shared" si="5"/>
        <v>0</v>
      </c>
      <c r="P101" s="135"/>
      <c r="Q101" s="135"/>
      <c r="R101" s="135"/>
      <c r="S101" s="135"/>
      <c r="T101" s="135"/>
    </row>
    <row r="102" spans="1:20">
      <c r="A102" s="128" t="s">
        <v>137</v>
      </c>
      <c r="B102" s="128"/>
      <c r="C102" s="128">
        <v>45464.5161290322</v>
      </c>
      <c r="D102" s="128">
        <v>45464.5161290322</v>
      </c>
      <c r="E102" s="128">
        <v>46800</v>
      </c>
      <c r="F102" s="128">
        <v>46800</v>
      </c>
      <c r="G102" s="128"/>
      <c r="H102" s="128"/>
      <c r="I102" s="128"/>
      <c r="J102" s="128"/>
      <c r="K102" s="128"/>
      <c r="L102" s="128"/>
      <c r="M102" s="131"/>
      <c r="N102" s="140"/>
      <c r="O102" s="131">
        <f t="shared" si="5"/>
        <v>184529.032258064</v>
      </c>
      <c r="P102" s="135"/>
      <c r="Q102" s="135"/>
      <c r="R102" s="135"/>
      <c r="S102" s="135"/>
      <c r="T102" s="135"/>
    </row>
    <row r="103" spans="1:20">
      <c r="A103" s="128" t="s">
        <v>146</v>
      </c>
      <c r="B103" s="128"/>
      <c r="C103" s="128">
        <v>39664.5161290322</v>
      </c>
      <c r="D103" s="128">
        <v>39664.5161290322</v>
      </c>
      <c r="E103" s="128">
        <v>46100</v>
      </c>
      <c r="F103" s="128">
        <v>46100</v>
      </c>
      <c r="G103" s="128"/>
      <c r="H103" s="128"/>
      <c r="I103" s="128"/>
      <c r="J103" s="128"/>
      <c r="K103" s="128"/>
      <c r="L103" s="128"/>
      <c r="M103" s="131"/>
      <c r="N103" s="140"/>
      <c r="O103" s="131">
        <f t="shared" si="5"/>
        <v>171529.032258064</v>
      </c>
      <c r="P103" s="135"/>
      <c r="Q103" s="135"/>
      <c r="R103" s="135"/>
      <c r="S103" s="135"/>
      <c r="T103" s="135"/>
    </row>
    <row r="104" spans="1:20">
      <c r="A104" s="128" t="s">
        <v>514</v>
      </c>
      <c r="B104" s="128"/>
      <c r="C104" s="128">
        <v>16240</v>
      </c>
      <c r="D104" s="128">
        <v>16240</v>
      </c>
      <c r="E104" s="128">
        <v>69100</v>
      </c>
      <c r="F104" s="128">
        <v>69100</v>
      </c>
      <c r="G104" s="128"/>
      <c r="H104" s="128"/>
      <c r="I104" s="128"/>
      <c r="J104" s="128"/>
      <c r="K104" s="128"/>
      <c r="L104" s="128"/>
      <c r="M104" s="131"/>
      <c r="N104" s="140"/>
      <c r="O104" s="131">
        <f t="shared" si="5"/>
        <v>170680</v>
      </c>
      <c r="P104" s="135"/>
      <c r="Q104" s="135"/>
      <c r="R104" s="135"/>
      <c r="S104" s="135"/>
      <c r="T104" s="135"/>
    </row>
    <row r="105" spans="1:20">
      <c r="A105" s="128" t="s">
        <v>515</v>
      </c>
      <c r="B105" s="128"/>
      <c r="C105" s="128">
        <v>22264.5161290323</v>
      </c>
      <c r="D105" s="128">
        <v>22264.5161290323</v>
      </c>
      <c r="E105" s="128">
        <v>11900</v>
      </c>
      <c r="F105" s="128">
        <v>11900</v>
      </c>
      <c r="G105" s="128"/>
      <c r="H105" s="128"/>
      <c r="I105" s="128"/>
      <c r="J105" s="128"/>
      <c r="K105" s="128"/>
      <c r="L105" s="128"/>
      <c r="M105" s="131"/>
      <c r="N105" s="140"/>
      <c r="O105" s="131">
        <f t="shared" si="5"/>
        <v>68329.0322580646</v>
      </c>
      <c r="P105" s="135"/>
      <c r="Q105" s="135"/>
      <c r="R105" s="135"/>
      <c r="S105" s="135"/>
      <c r="T105" s="135"/>
    </row>
    <row r="106" spans="1:20">
      <c r="A106" s="128" t="s">
        <v>197</v>
      </c>
      <c r="B106" s="128"/>
      <c r="C106" s="128"/>
      <c r="D106" s="128"/>
      <c r="E106" s="128"/>
      <c r="F106" s="128"/>
      <c r="G106" s="128"/>
      <c r="H106" s="128"/>
      <c r="K106" s="128"/>
      <c r="L106" s="128"/>
      <c r="M106" s="131"/>
      <c r="N106" s="131"/>
      <c r="O106" s="131">
        <f t="shared" si="5"/>
        <v>0</v>
      </c>
      <c r="P106" s="135"/>
      <c r="Q106" s="135"/>
      <c r="R106" s="135"/>
      <c r="S106" s="135"/>
      <c r="T106" s="135"/>
    </row>
    <row r="107" spans="1:20">
      <c r="A107" s="128" t="s">
        <v>516</v>
      </c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31"/>
      <c r="N107" s="131"/>
      <c r="O107" s="131">
        <f t="shared" si="5"/>
        <v>0</v>
      </c>
      <c r="P107" s="135"/>
      <c r="Q107" s="135"/>
      <c r="R107" s="135"/>
      <c r="S107" s="135"/>
      <c r="T107" s="135"/>
    </row>
    <row r="108" spans="1:20">
      <c r="A108" s="128" t="s">
        <v>204</v>
      </c>
      <c r="B108" s="128"/>
      <c r="C108" s="128"/>
      <c r="D108" s="128"/>
      <c r="E108" s="128"/>
      <c r="F108" s="128"/>
      <c r="G108" s="128"/>
      <c r="H108" s="128"/>
      <c r="I108" s="128"/>
      <c r="J108" s="131"/>
      <c r="K108" s="128"/>
      <c r="L108" s="131"/>
      <c r="M108" s="131"/>
      <c r="N108" s="131"/>
      <c r="O108" s="131"/>
      <c r="P108" s="135"/>
      <c r="Q108" s="135"/>
      <c r="R108" s="135"/>
      <c r="S108" s="135"/>
      <c r="T108" s="135"/>
    </row>
    <row r="109" spans="1:20">
      <c r="A109" s="128" t="s">
        <v>205</v>
      </c>
      <c r="B109" s="128"/>
      <c r="C109" s="128"/>
      <c r="D109" s="128"/>
      <c r="E109" s="128"/>
      <c r="F109" s="128"/>
      <c r="G109" s="128"/>
      <c r="H109" s="128"/>
      <c r="I109" s="128"/>
      <c r="J109" s="131"/>
      <c r="K109" s="128"/>
      <c r="L109" s="131"/>
      <c r="M109" s="131"/>
      <c r="N109" s="131"/>
      <c r="O109" s="131"/>
      <c r="P109" s="135"/>
      <c r="Q109" s="135"/>
      <c r="R109" s="135"/>
      <c r="S109" s="135"/>
      <c r="T109" s="135"/>
    </row>
    <row r="110" spans="1:20">
      <c r="A110" s="128" t="s">
        <v>317</v>
      </c>
      <c r="B110" s="128"/>
      <c r="C110" s="128"/>
      <c r="D110" s="128"/>
      <c r="E110" s="128"/>
      <c r="F110" s="128"/>
      <c r="G110" s="128"/>
      <c r="H110" s="128"/>
      <c r="I110" s="128"/>
      <c r="J110" s="131"/>
      <c r="K110" s="128"/>
      <c r="L110" s="131"/>
      <c r="M110" s="131"/>
      <c r="N110" s="131"/>
      <c r="O110" s="131"/>
      <c r="P110" s="135"/>
      <c r="Q110" s="135"/>
      <c r="R110" s="135"/>
      <c r="S110" s="135"/>
      <c r="T110" s="135"/>
    </row>
    <row r="111" spans="1:20">
      <c r="A111" s="130"/>
      <c r="B111" s="130"/>
      <c r="C111" s="130"/>
      <c r="D111" s="130"/>
      <c r="E111" s="130"/>
      <c r="F111" s="130"/>
      <c r="G111" s="130"/>
      <c r="H111" s="130"/>
      <c r="I111" s="130"/>
      <c r="J111" s="132"/>
      <c r="K111" s="132"/>
      <c r="L111" s="132"/>
      <c r="M111" s="132"/>
      <c r="N111" s="132"/>
      <c r="O111" s="132"/>
      <c r="P111" s="135"/>
      <c r="Q111" s="135"/>
      <c r="R111" s="135"/>
      <c r="S111" s="135"/>
      <c r="T111" s="135"/>
    </row>
    <row r="112" spans="1:20">
      <c r="A112" s="132"/>
      <c r="B112" s="127" t="s">
        <v>619</v>
      </c>
      <c r="P112" s="135"/>
      <c r="Q112" s="135"/>
      <c r="R112" s="135"/>
      <c r="S112" s="135"/>
      <c r="T112" s="135"/>
    </row>
    <row r="113" spans="1:20">
      <c r="A113" s="131"/>
      <c r="B113" s="128" t="s">
        <v>600</v>
      </c>
      <c r="C113" s="128" t="s">
        <v>601</v>
      </c>
      <c r="D113" s="128" t="s">
        <v>602</v>
      </c>
      <c r="E113" s="128" t="s">
        <v>603</v>
      </c>
      <c r="F113" s="128" t="s">
        <v>604</v>
      </c>
      <c r="G113" s="128" t="s">
        <v>605</v>
      </c>
      <c r="H113" s="128" t="s">
        <v>606</v>
      </c>
      <c r="I113" s="128" t="s">
        <v>607</v>
      </c>
      <c r="J113" s="128" t="s">
        <v>608</v>
      </c>
      <c r="K113" s="128" t="s">
        <v>609</v>
      </c>
      <c r="L113" s="128" t="s">
        <v>610</v>
      </c>
      <c r="M113" s="128" t="s">
        <v>611</v>
      </c>
      <c r="N113" s="128" t="s">
        <v>612</v>
      </c>
      <c r="O113" s="128" t="s">
        <v>613</v>
      </c>
      <c r="P113" s="135"/>
      <c r="Q113" s="135"/>
      <c r="R113" s="135"/>
      <c r="S113" s="135"/>
      <c r="T113" s="135"/>
    </row>
    <row r="114" spans="1:20">
      <c r="A114" s="128" t="s">
        <v>323</v>
      </c>
      <c r="B114" s="128"/>
      <c r="C114" s="128">
        <v>81534</v>
      </c>
      <c r="D114" s="128"/>
      <c r="E114" s="128">
        <v>33015</v>
      </c>
      <c r="F114" s="128"/>
      <c r="G114" s="128"/>
      <c r="H114" s="128"/>
      <c r="I114" s="128"/>
      <c r="J114" s="128"/>
      <c r="K114" s="128"/>
      <c r="L114" s="128"/>
      <c r="M114" s="128"/>
      <c r="N114" s="140"/>
      <c r="O114" s="131">
        <f>SUM(B114:N114)</f>
        <v>114549</v>
      </c>
      <c r="P114" s="135"/>
      <c r="Q114" s="135"/>
      <c r="R114" s="135"/>
      <c r="S114" s="135"/>
      <c r="T114" s="135"/>
    </row>
    <row r="115" spans="1:20">
      <c r="A115" s="130"/>
      <c r="B115" s="130"/>
      <c r="C115" s="130"/>
      <c r="D115" s="130"/>
      <c r="E115" s="130"/>
      <c r="F115" s="130"/>
      <c r="G115" s="130"/>
      <c r="H115" s="130"/>
      <c r="I115" s="130"/>
      <c r="J115" s="141"/>
      <c r="K115" s="141"/>
      <c r="L115" s="141"/>
      <c r="M115" s="132"/>
      <c r="N115" s="132"/>
      <c r="O115" s="132"/>
      <c r="P115" s="135"/>
      <c r="Q115" s="135"/>
      <c r="R115" s="135"/>
      <c r="S115" s="135"/>
      <c r="T115" s="135"/>
    </row>
    <row r="116" spans="1:2">
      <c r="A116" s="136"/>
      <c r="B116" s="127" t="s">
        <v>620</v>
      </c>
    </row>
    <row r="117" spans="1:20">
      <c r="A117" s="131"/>
      <c r="B117" s="128" t="s">
        <v>600</v>
      </c>
      <c r="C117" s="128" t="s">
        <v>601</v>
      </c>
      <c r="D117" s="128" t="s">
        <v>602</v>
      </c>
      <c r="E117" s="128" t="s">
        <v>603</v>
      </c>
      <c r="F117" s="128" t="s">
        <v>604</v>
      </c>
      <c r="G117" s="128" t="s">
        <v>605</v>
      </c>
      <c r="H117" s="128" t="s">
        <v>606</v>
      </c>
      <c r="I117" s="128" t="s">
        <v>607</v>
      </c>
      <c r="J117" s="128" t="s">
        <v>608</v>
      </c>
      <c r="K117" s="128" t="s">
        <v>609</v>
      </c>
      <c r="L117" s="128" t="s">
        <v>610</v>
      </c>
      <c r="M117" s="128" t="s">
        <v>611</v>
      </c>
      <c r="N117" s="128" t="s">
        <v>612</v>
      </c>
      <c r="O117" s="128" t="s">
        <v>613</v>
      </c>
      <c r="P117" s="135"/>
      <c r="Q117" s="135"/>
      <c r="R117" s="135"/>
      <c r="S117" s="135"/>
      <c r="T117" s="135"/>
    </row>
    <row r="118" spans="1:20">
      <c r="A118" s="128" t="s">
        <v>197</v>
      </c>
      <c r="B118" s="128"/>
      <c r="C118" s="137"/>
      <c r="D118" s="128"/>
      <c r="E118" s="128"/>
      <c r="F118" s="128"/>
      <c r="G118" s="128"/>
      <c r="H118" s="128"/>
      <c r="I118" s="128"/>
      <c r="J118" s="128"/>
      <c r="K118" s="128"/>
      <c r="L118" s="128"/>
      <c r="M118" s="131"/>
      <c r="N118" s="131"/>
      <c r="O118" s="131">
        <f>SUM(B118:N118)</f>
        <v>0</v>
      </c>
      <c r="P118" s="135"/>
      <c r="Q118" s="135"/>
      <c r="R118" s="135"/>
      <c r="S118" s="135"/>
      <c r="T118" s="135"/>
    </row>
    <row r="119" spans="1:15">
      <c r="A119" s="138" t="s">
        <v>419</v>
      </c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>
        <v>0</v>
      </c>
    </row>
    <row r="120" spans="1:15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</row>
    <row r="121" spans="1:15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</row>
    <row r="122" spans="1:15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</row>
    <row r="123" spans="1:15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</row>
    <row r="124" spans="1:15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</row>
    <row r="125" spans="1:1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</row>
    <row r="126" spans="1:15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</row>
    <row r="127" spans="1:15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</row>
    <row r="128" spans="1:15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</row>
    <row r="129" spans="1:15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</row>
    <row r="130" spans="1:15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</row>
    <row r="131" spans="1:15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</row>
    <row r="132" spans="1:15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</row>
    <row r="133" spans="1:15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</row>
    <row r="134" spans="1:15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</row>
    <row r="135" spans="1:1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</row>
    <row r="136" spans="1:15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</row>
    <row r="137" spans="1:15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</row>
    <row r="138" spans="1:15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</row>
    <row r="139" spans="1:15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</row>
    <row r="140" spans="1:15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</row>
    <row r="141" spans="1:15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</row>
    <row r="142" spans="1:15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</row>
    <row r="143" spans="1:15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</row>
    <row r="144" spans="1:15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</row>
    <row r="145" spans="1:1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</row>
    <row r="146" spans="1:15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</row>
    <row r="147" spans="1:15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</row>
    <row r="148" spans="1:15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</row>
    <row r="149" spans="1:15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</row>
    <row r="150" spans="1:15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</row>
    <row r="151" spans="1:15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</row>
    <row r="152" spans="1:15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</row>
    <row r="153" spans="1:15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</row>
    <row r="154" spans="1:15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</row>
    <row r="155" spans="1:1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</row>
    <row r="156" spans="1:15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</row>
    <row r="157" spans="1:15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</row>
    <row r="158" spans="1:15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</row>
    <row r="159" spans="1:15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</row>
    <row r="160" spans="1:15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</row>
    <row r="161" spans="1:15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</row>
    <row r="162" spans="1:15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</row>
    <row r="163" spans="1:15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</row>
    <row r="164" spans="1:15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</row>
    <row r="165" spans="1:1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</row>
    <row r="166" spans="1:15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</row>
    <row r="167" spans="1:15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</row>
    <row r="168" spans="1:15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</row>
    <row r="169" spans="1:15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</row>
    <row r="170" spans="1:15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</row>
    <row r="171" spans="1:15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</row>
    <row r="172" spans="1:15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</row>
    <row r="173" spans="1:15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</row>
    <row r="174" spans="1:15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</row>
    <row r="175" spans="1:1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</row>
    <row r="176" spans="1:15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</row>
    <row r="177" spans="1:15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</row>
    <row r="178" spans="1:15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</row>
    <row r="179" spans="1:15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</row>
    <row r="180" spans="1:15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</row>
    <row r="181" spans="1:15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</row>
    <row r="182" spans="1:15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</row>
    <row r="183" spans="1:15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</row>
    <row r="184" spans="1:15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</row>
    <row r="185" spans="1:1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</row>
    <row r="186" spans="1:15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</row>
    <row r="187" spans="1:15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</row>
    <row r="188" spans="1:15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</row>
    <row r="189" spans="1:15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</row>
    <row r="190" spans="1:15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</row>
    <row r="191" spans="1:15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</row>
    <row r="192" spans="1:15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</row>
    <row r="193" spans="1:15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</row>
    <row r="194" spans="1:15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</row>
    <row r="195" spans="1:1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</row>
    <row r="196" spans="1:15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</row>
    <row r="197" spans="1:15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</row>
    <row r="198" spans="1:15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</row>
    <row r="199" spans="1:15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</row>
    <row r="200" spans="1:15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</row>
    <row r="201" spans="1:15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</row>
    <row r="202" spans="1:15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</row>
    <row r="203" spans="1:15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</row>
    <row r="204" spans="1:15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</row>
    <row r="205" spans="1:1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</row>
    <row r="206" spans="1:15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</row>
    <row r="207" spans="1:15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</row>
    <row r="208" spans="1:15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</row>
    <row r="209" spans="1:15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</row>
    <row r="210" spans="1:15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</row>
    <row r="211" spans="1:15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</row>
    <row r="212" spans="1:15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</row>
    <row r="213" spans="1:15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</row>
    <row r="214" spans="1:15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</row>
    <row r="215" spans="1: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</row>
    <row r="216" spans="1:15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</row>
    <row r="217" spans="1:15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</row>
    <row r="218" spans="1:15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</row>
  </sheetData>
  <mergeCells count="9">
    <mergeCell ref="A1:O1"/>
    <mergeCell ref="B2:O2"/>
    <mergeCell ref="B21:O21"/>
    <mergeCell ref="B40:O40"/>
    <mergeCell ref="B59:O59"/>
    <mergeCell ref="B78:O78"/>
    <mergeCell ref="B95:O95"/>
    <mergeCell ref="B112:O112"/>
    <mergeCell ref="B116:O116"/>
  </mergeCell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8"/>
  <sheetViews>
    <sheetView zoomScale="90" zoomScaleNormal="90" workbookViewId="0">
      <pane xSplit="3" ySplit="4" topLeftCell="D10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4.25"/>
  <cols>
    <col min="1" max="1" width="7.625" style="110" customWidth="1"/>
    <col min="2" max="2" width="10.375" style="110" customWidth="1"/>
    <col min="3" max="3" width="9.375" style="110" customWidth="1"/>
    <col min="4" max="4" width="10.5" style="110" customWidth="1"/>
    <col min="5" max="5" width="14.1666666666667" style="110" customWidth="1"/>
    <col min="6" max="6" width="14.025" style="110" customWidth="1"/>
    <col min="7" max="7" width="9.725" style="110" customWidth="1"/>
    <col min="8" max="8" width="10.875" style="110" customWidth="1"/>
    <col min="9" max="9" width="8.875" style="110" customWidth="1"/>
    <col min="10" max="10" width="8" style="110" customWidth="1"/>
    <col min="11" max="11" width="9.5" style="110" customWidth="1"/>
    <col min="12" max="12" width="8" style="110" customWidth="1"/>
    <col min="13" max="13" width="42.75" style="112" customWidth="1"/>
    <col min="14" max="15" width="9" style="110"/>
    <col min="16" max="16" width="15.25" style="110" customWidth="1"/>
    <col min="17" max="17" width="9" style="110"/>
    <col min="18" max="18" width="14.6416666666667" style="110" customWidth="1"/>
    <col min="19" max="20" width="9" style="110"/>
    <col min="21" max="21" width="12.625" style="110"/>
    <col min="22" max="16384" width="9" style="110"/>
  </cols>
  <sheetData>
    <row r="1" s="110" customFormat="1" ht="20" customHeight="1" spans="1:16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="110" customFormat="1" ht="20" customHeight="1" spans="1:16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="111" customFormat="1" ht="25" customHeight="1" spans="1:6">
      <c r="A3" s="116"/>
      <c r="B3" s="116"/>
      <c r="C3" s="116"/>
      <c r="D3" s="117" t="s">
        <v>154</v>
      </c>
      <c r="E3" s="117"/>
      <c r="F3" s="117"/>
    </row>
    <row r="4" s="111" customFormat="1" ht="25" customHeight="1" spans="1:6">
      <c r="A4" s="116" t="s">
        <v>113</v>
      </c>
      <c r="B4" s="116" t="s">
        <v>114</v>
      </c>
      <c r="C4" s="116"/>
      <c r="D4" s="117" t="s">
        <v>40</v>
      </c>
      <c r="E4" s="117" t="s">
        <v>621</v>
      </c>
      <c r="F4" s="117" t="s">
        <v>622</v>
      </c>
    </row>
    <row r="5" s="111" customFormat="1" ht="25" customHeight="1" spans="1:11">
      <c r="A5" s="116" t="s">
        <v>371</v>
      </c>
      <c r="B5" s="116"/>
      <c r="C5" s="116"/>
      <c r="D5" s="118">
        <f>表二!K6</f>
        <v>99820.6174</v>
      </c>
      <c r="E5" s="119">
        <v>251256</v>
      </c>
      <c r="F5" s="119">
        <f t="shared" ref="F5:F11" si="0">D5/E5%</f>
        <v>39.7286502212882</v>
      </c>
      <c r="K5" s="126"/>
    </row>
    <row r="6" s="111" customFormat="1" ht="25" customHeight="1" spans="1:11">
      <c r="A6" s="120" t="s">
        <v>623</v>
      </c>
      <c r="B6" s="120" t="s">
        <v>376</v>
      </c>
      <c r="C6" s="120" t="s">
        <v>377</v>
      </c>
      <c r="D6" s="118">
        <f>数据基表!K15</f>
        <v>1312</v>
      </c>
      <c r="E6" s="119">
        <v>8000</v>
      </c>
      <c r="F6" s="119">
        <f t="shared" si="0"/>
        <v>16.4</v>
      </c>
      <c r="K6" s="126"/>
    </row>
    <row r="7" s="111" customFormat="1" ht="25" customHeight="1" spans="1:11">
      <c r="A7" s="120"/>
      <c r="B7" s="120" t="s">
        <v>379</v>
      </c>
      <c r="C7" s="120" t="s">
        <v>380</v>
      </c>
      <c r="D7" s="119">
        <f>数据基表!K17</f>
        <v>639</v>
      </c>
      <c r="E7" s="119">
        <v>6560</v>
      </c>
      <c r="F7" s="119">
        <f t="shared" si="0"/>
        <v>9.74085365853659</v>
      </c>
      <c r="K7" s="126"/>
    </row>
    <row r="8" s="111" customFormat="1" ht="25" customHeight="1" spans="1:11">
      <c r="A8" s="120"/>
      <c r="B8" s="120" t="s">
        <v>19</v>
      </c>
      <c r="C8" s="120" t="s">
        <v>380</v>
      </c>
      <c r="D8" s="118">
        <f>数据基表!K18</f>
        <v>854</v>
      </c>
      <c r="E8" s="119">
        <v>5000</v>
      </c>
      <c r="F8" s="119">
        <f t="shared" si="0"/>
        <v>17.08</v>
      </c>
      <c r="K8" s="126"/>
    </row>
    <row r="9" s="111" customFormat="1" ht="25" customHeight="1" spans="1:11">
      <c r="A9" s="120"/>
      <c r="B9" s="120" t="s">
        <v>381</v>
      </c>
      <c r="C9" s="120" t="s">
        <v>380</v>
      </c>
      <c r="D9" s="119">
        <f>数据基表!K19</f>
        <v>28</v>
      </c>
      <c r="E9" s="119">
        <v>1250</v>
      </c>
      <c r="F9" s="119">
        <f t="shared" si="0"/>
        <v>2.24</v>
      </c>
      <c r="K9" s="126"/>
    </row>
    <row r="10" s="111" customFormat="1" ht="25" customHeight="1" spans="1:11">
      <c r="A10" s="120" t="s">
        <v>624</v>
      </c>
      <c r="B10" s="120" t="s">
        <v>52</v>
      </c>
      <c r="C10" s="120" t="s">
        <v>625</v>
      </c>
      <c r="D10" s="119">
        <f>数据基表!K33+数据基表!K36</f>
        <v>1305</v>
      </c>
      <c r="E10" s="119">
        <v>4825</v>
      </c>
      <c r="F10" s="119">
        <f t="shared" si="0"/>
        <v>27.0466321243523</v>
      </c>
      <c r="K10" s="126"/>
    </row>
    <row r="11" s="111" customFormat="1" ht="25" customHeight="1" spans="1:11">
      <c r="A11" s="120"/>
      <c r="B11" s="120" t="s">
        <v>53</v>
      </c>
      <c r="C11" s="120" t="s">
        <v>380</v>
      </c>
      <c r="D11" s="118">
        <f>数据基表!K37</f>
        <v>0</v>
      </c>
      <c r="E11" s="119">
        <v>380</v>
      </c>
      <c r="F11" s="119">
        <f t="shared" si="0"/>
        <v>0</v>
      </c>
      <c r="K11" s="126"/>
    </row>
    <row r="12" s="111" customFormat="1" ht="25" customHeight="1" spans="1:11">
      <c r="A12" s="120" t="s">
        <v>305</v>
      </c>
      <c r="B12" s="120" t="s">
        <v>388</v>
      </c>
      <c r="C12" s="120" t="s">
        <v>380</v>
      </c>
      <c r="D12" s="119"/>
      <c r="E12" s="119"/>
      <c r="F12" s="119"/>
      <c r="K12" s="126"/>
    </row>
    <row r="13" s="111" customFormat="1" ht="25" customHeight="1" spans="1:6">
      <c r="A13" s="120" t="s">
        <v>306</v>
      </c>
      <c r="B13" s="120" t="s">
        <v>84</v>
      </c>
      <c r="C13" s="120" t="s">
        <v>380</v>
      </c>
      <c r="D13" s="119">
        <f>数据基表!K73</f>
        <v>1538</v>
      </c>
      <c r="E13" s="119">
        <v>9600</v>
      </c>
      <c r="F13" s="119">
        <f t="shared" ref="F13:F19" si="1">D13/E13%</f>
        <v>16.0208333333333</v>
      </c>
    </row>
    <row r="14" s="111" customFormat="1" ht="25" customHeight="1" spans="1:6">
      <c r="A14" s="120" t="s">
        <v>307</v>
      </c>
      <c r="B14" s="117" t="s">
        <v>258</v>
      </c>
      <c r="C14" s="120" t="s">
        <v>380</v>
      </c>
      <c r="D14" s="119">
        <f>数据基表!K87</f>
        <v>2240</v>
      </c>
      <c r="E14" s="119">
        <v>11000</v>
      </c>
      <c r="F14" s="119">
        <f t="shared" si="1"/>
        <v>20.3636363636364</v>
      </c>
    </row>
    <row r="15" s="111" customFormat="1" ht="25" customHeight="1" spans="1:6">
      <c r="A15" s="120" t="s">
        <v>308</v>
      </c>
      <c r="B15" s="117" t="s">
        <v>84</v>
      </c>
      <c r="C15" s="120" t="s">
        <v>380</v>
      </c>
      <c r="D15" s="121">
        <f>数据基表!K118</f>
        <v>5525</v>
      </c>
      <c r="E15" s="121">
        <v>31200</v>
      </c>
      <c r="F15" s="121">
        <f t="shared" si="1"/>
        <v>17.7083333333333</v>
      </c>
    </row>
    <row r="16" s="111" customFormat="1" ht="25" customHeight="1" spans="1:6">
      <c r="A16" s="120"/>
      <c r="B16" s="117" t="s">
        <v>99</v>
      </c>
      <c r="C16" s="120" t="s">
        <v>380</v>
      </c>
      <c r="D16" s="122"/>
      <c r="E16" s="122"/>
      <c r="F16" s="122"/>
    </row>
    <row r="17" s="111" customFormat="1" ht="25" customHeight="1" spans="1:6">
      <c r="A17" s="120" t="s">
        <v>312</v>
      </c>
      <c r="B17" s="117" t="s">
        <v>84</v>
      </c>
      <c r="C17" s="120" t="s">
        <v>377</v>
      </c>
      <c r="D17" s="119">
        <f>数据基表!K204</f>
        <v>569</v>
      </c>
      <c r="E17" s="119">
        <v>2250</v>
      </c>
      <c r="F17" s="119">
        <f t="shared" si="1"/>
        <v>25.2888888888889</v>
      </c>
    </row>
    <row r="18" s="111" customFormat="1" ht="25" customHeight="1" spans="1:6">
      <c r="A18" s="120" t="s">
        <v>309</v>
      </c>
      <c r="B18" s="117" t="s">
        <v>84</v>
      </c>
      <c r="C18" s="120" t="s">
        <v>380</v>
      </c>
      <c r="D18" s="121">
        <f>数据基表!K141</f>
        <v>22071</v>
      </c>
      <c r="E18" s="121">
        <v>46700</v>
      </c>
      <c r="F18" s="121">
        <f t="shared" si="1"/>
        <v>47.2612419700214</v>
      </c>
    </row>
    <row r="19" s="111" customFormat="1" ht="25" customHeight="1" spans="1:6">
      <c r="A19" s="120"/>
      <c r="B19" s="117" t="s">
        <v>125</v>
      </c>
      <c r="C19" s="120" t="s">
        <v>380</v>
      </c>
      <c r="D19" s="122"/>
      <c r="E19" s="122"/>
      <c r="F19" s="123"/>
    </row>
    <row r="20" s="111" customFormat="1" ht="25" customHeight="1" spans="1:6">
      <c r="A20" s="120"/>
      <c r="B20" s="117" t="s">
        <v>402</v>
      </c>
      <c r="C20" s="120" t="s">
        <v>380</v>
      </c>
      <c r="D20" s="119"/>
      <c r="E20" s="119"/>
      <c r="F20" s="119"/>
    </row>
    <row r="21" s="111" customFormat="1" ht="25" customHeight="1" spans="1:6">
      <c r="A21" s="120" t="s">
        <v>310</v>
      </c>
      <c r="B21" s="117" t="s">
        <v>405</v>
      </c>
      <c r="C21" s="120" t="s">
        <v>380</v>
      </c>
      <c r="D21" s="119">
        <f>数据基表!K164</f>
        <v>17264.36</v>
      </c>
      <c r="E21" s="119">
        <v>38000</v>
      </c>
      <c r="F21" s="119">
        <f t="shared" ref="F21:F26" si="2">D21/E21%</f>
        <v>45.4325263157895</v>
      </c>
    </row>
    <row r="22" s="111" customFormat="1" ht="25" customHeight="1" spans="1:6">
      <c r="A22" s="120" t="s">
        <v>311</v>
      </c>
      <c r="B22" s="120" t="s">
        <v>84</v>
      </c>
      <c r="C22" s="120" t="s">
        <v>380</v>
      </c>
      <c r="D22" s="119">
        <f>数据基表!K185</f>
        <v>18835.707</v>
      </c>
      <c r="E22" s="119">
        <v>12664</v>
      </c>
      <c r="F22" s="119">
        <f t="shared" si="2"/>
        <v>148.734262476311</v>
      </c>
    </row>
    <row r="23" s="111" customFormat="1" ht="25" customHeight="1" spans="1:6">
      <c r="A23" s="117" t="s">
        <v>315</v>
      </c>
      <c r="B23" s="117"/>
      <c r="C23" s="120" t="s">
        <v>380</v>
      </c>
      <c r="D23" s="119">
        <f>数据填报!BC20</f>
        <v>2022</v>
      </c>
      <c r="E23" s="119">
        <v>3562</v>
      </c>
      <c r="F23" s="119">
        <f t="shared" si="2"/>
        <v>56.7658618753509</v>
      </c>
    </row>
    <row r="24" s="111" customFormat="1" ht="25" customHeight="1" spans="1:6">
      <c r="A24" s="117" t="s">
        <v>316</v>
      </c>
      <c r="B24" s="117"/>
      <c r="C24" s="120" t="s">
        <v>625</v>
      </c>
      <c r="D24" s="119">
        <f>数据基表!K256</f>
        <v>1687</v>
      </c>
      <c r="E24" s="119">
        <v>5000</v>
      </c>
      <c r="F24" s="119">
        <f t="shared" si="2"/>
        <v>33.74</v>
      </c>
    </row>
    <row r="25" s="111" customFormat="1" ht="25" customHeight="1" spans="1:6">
      <c r="A25" s="117" t="s">
        <v>317</v>
      </c>
      <c r="B25" s="117"/>
      <c r="C25" s="120" t="s">
        <v>380</v>
      </c>
      <c r="D25" s="119">
        <f>数据基表!K270</f>
        <v>2371.9504</v>
      </c>
      <c r="E25" s="119">
        <v>3900</v>
      </c>
      <c r="F25" s="119">
        <f t="shared" si="2"/>
        <v>60.819241025641</v>
      </c>
    </row>
    <row r="26" s="111" customFormat="1" ht="25" customHeight="1" spans="1:6">
      <c r="A26" s="117" t="s">
        <v>197</v>
      </c>
      <c r="B26" s="117"/>
      <c r="C26" s="120" t="s">
        <v>380</v>
      </c>
      <c r="D26" s="119">
        <f>数据基表!F221+数据基表!F222</f>
        <v>6305</v>
      </c>
      <c r="E26" s="119">
        <v>17500</v>
      </c>
      <c r="F26" s="119">
        <f t="shared" si="2"/>
        <v>36.0285714285714</v>
      </c>
    </row>
    <row r="27" s="111" customFormat="1" ht="25" customHeight="1" spans="1:6">
      <c r="A27" s="124" t="s">
        <v>432</v>
      </c>
      <c r="B27" s="124"/>
      <c r="C27" s="116" t="s">
        <v>380</v>
      </c>
      <c r="D27" s="119"/>
      <c r="E27" s="119"/>
      <c r="F27" s="119"/>
    </row>
    <row r="28" s="111" customFormat="1" ht="25" customHeight="1" spans="1:6">
      <c r="A28" s="124" t="s">
        <v>419</v>
      </c>
      <c r="B28" s="124"/>
      <c r="C28" s="125" t="s">
        <v>380</v>
      </c>
      <c r="D28" s="119">
        <f>数据基表!F295</f>
        <v>15223.6</v>
      </c>
      <c r="E28" s="119">
        <v>63280</v>
      </c>
      <c r="F28" s="119">
        <f>D28/E28%</f>
        <v>24.0575221238938</v>
      </c>
    </row>
  </sheetData>
  <mergeCells count="22">
    <mergeCell ref="A1:P1"/>
    <mergeCell ref="A2:P2"/>
    <mergeCell ref="A3:B3"/>
    <mergeCell ref="D3:F3"/>
    <mergeCell ref="A5:B5"/>
    <mergeCell ref="A23:B23"/>
    <mergeCell ref="A24:B24"/>
    <mergeCell ref="A25:B25"/>
    <mergeCell ref="A26:B26"/>
    <mergeCell ref="A27:B27"/>
    <mergeCell ref="A28:B28"/>
    <mergeCell ref="A6:A9"/>
    <mergeCell ref="A10:A11"/>
    <mergeCell ref="A15:A16"/>
    <mergeCell ref="A18:A20"/>
    <mergeCell ref="C3:C4"/>
    <mergeCell ref="D15:D16"/>
    <mergeCell ref="D18:D19"/>
    <mergeCell ref="E15:E16"/>
    <mergeCell ref="E18:E19"/>
    <mergeCell ref="F15:F16"/>
    <mergeCell ref="F18:F19"/>
  </mergeCells>
  <pageMargins left="1.57430555555556" right="0.75" top="0.708333333333333" bottom="1" header="0.5" footer="0.5"/>
  <pageSetup paperSize="8" scale="86" orientation="landscape"/>
  <headerFooter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3"/>
  <sheetViews>
    <sheetView zoomScale="85" zoomScaleNormal="85" workbookViewId="0">
      <selection activeCell="E59" sqref="E59"/>
    </sheetView>
  </sheetViews>
  <sheetFormatPr defaultColWidth="9" defaultRowHeight="14.25"/>
  <cols>
    <col min="1" max="1" width="4.25833333333333" style="47" customWidth="1"/>
    <col min="2" max="2" width="9" style="47"/>
    <col min="3" max="4" width="17.375" style="47" customWidth="1"/>
    <col min="5" max="6" width="17.375" style="48" customWidth="1"/>
    <col min="7" max="7" width="17.375" style="47" customWidth="1"/>
    <col min="8" max="9" width="9" style="47"/>
    <col min="10" max="10" width="15" style="47" customWidth="1"/>
    <col min="11" max="11" width="14.875" style="47"/>
    <col min="12" max="12" width="12.625" style="47"/>
    <col min="13" max="13" width="9" style="47"/>
    <col min="14" max="14" width="12.625" style="47"/>
    <col min="15" max="16" width="9" style="47"/>
    <col min="17" max="17" width="12.625" style="47"/>
    <col min="18" max="16384" width="9" style="47"/>
  </cols>
  <sheetData>
    <row r="1" s="46" customFormat="1" ht="22.5" spans="1:7">
      <c r="A1" s="49" t="s">
        <v>367</v>
      </c>
      <c r="B1" s="49"/>
      <c r="C1" s="49"/>
      <c r="D1" s="49"/>
      <c r="E1" s="50"/>
      <c r="F1" s="50"/>
      <c r="G1" s="49"/>
    </row>
    <row r="2" s="46" customFormat="1" ht="22.5" spans="1:7">
      <c r="A2" s="51"/>
      <c r="B2" s="52"/>
      <c r="C2" s="52"/>
      <c r="D2" s="52"/>
      <c r="E2" s="51"/>
      <c r="F2" s="53"/>
      <c r="G2" s="54">
        <f>表一!N2</f>
        <v>44300</v>
      </c>
    </row>
    <row r="3" s="46" customFormat="1" spans="1:7">
      <c r="A3" s="55" t="s">
        <v>369</v>
      </c>
      <c r="B3" s="56" t="s">
        <v>109</v>
      </c>
      <c r="C3" s="56"/>
      <c r="D3" s="57" t="s">
        <v>87</v>
      </c>
      <c r="E3" s="58"/>
      <c r="F3" s="59" t="s">
        <v>111</v>
      </c>
      <c r="G3" s="60" t="s">
        <v>21</v>
      </c>
    </row>
    <row r="4" s="46" customFormat="1" spans="1:7">
      <c r="A4" s="61"/>
      <c r="B4" s="56"/>
      <c r="C4" s="56"/>
      <c r="D4" s="57" t="s">
        <v>135</v>
      </c>
      <c r="E4" s="59" t="s">
        <v>112</v>
      </c>
      <c r="F4" s="59" t="s">
        <v>93</v>
      </c>
      <c r="G4" s="60" t="s">
        <v>56</v>
      </c>
    </row>
    <row r="5" s="46" customFormat="1" spans="1:7">
      <c r="A5" s="62"/>
      <c r="B5" s="56" t="s">
        <v>113</v>
      </c>
      <c r="C5" s="56" t="s">
        <v>114</v>
      </c>
      <c r="D5" s="57" t="s">
        <v>56</v>
      </c>
      <c r="E5" s="63"/>
      <c r="F5" s="64"/>
      <c r="G5" s="60"/>
    </row>
    <row r="6" spans="1:25">
      <c r="A6" s="65"/>
      <c r="B6" s="66" t="s">
        <v>371</v>
      </c>
      <c r="C6" s="66"/>
      <c r="D6" s="67">
        <f>D7+D13+D16+D23+D26+D29+D35+D38+D42+D47+D50+D51+D52+D53+D54+D55</f>
        <v>267529.197</v>
      </c>
      <c r="E6" s="68">
        <f>E7+E13+E16+E23+E26+E29+E35+E38+E42+E47+E50+E51+E52+E53+E54+E55+E56</f>
        <v>376277.587</v>
      </c>
      <c r="F6" s="68">
        <f>F7+F13+F16+F23+F26+F29+F35+F38+F42+F47+F50+F51+F52+F53+F54+F55+F56</f>
        <v>250250.877</v>
      </c>
      <c r="G6" s="67">
        <f t="shared" ref="G6:G10" si="0">D6+E6+F6</f>
        <v>894057.661</v>
      </c>
      <c r="J6" s="95"/>
      <c r="K6" s="95"/>
      <c r="L6" s="96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="47" customFormat="1" spans="1:25">
      <c r="A7" s="69">
        <v>1</v>
      </c>
      <c r="B7" s="66" t="s">
        <v>374</v>
      </c>
      <c r="C7" s="66"/>
      <c r="D7" s="70">
        <f>SUM(D8:D12)</f>
        <v>65303</v>
      </c>
      <c r="E7" s="71">
        <f>SUM(E8:E12)</f>
        <v>5550</v>
      </c>
      <c r="F7" s="71">
        <f>SUM(F8:F12)</f>
        <v>41811</v>
      </c>
      <c r="G7" s="70">
        <f>SUM(G8:G12)</f>
        <v>112664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="47" customFormat="1" spans="1:25">
      <c r="A8" s="72"/>
      <c r="B8" s="73" t="s">
        <v>626</v>
      </c>
      <c r="C8" s="74" t="s">
        <v>376</v>
      </c>
      <c r="D8" s="70">
        <f>数据基表!AH15</f>
        <v>14516</v>
      </c>
      <c r="E8" s="75"/>
      <c r="F8" s="75">
        <f>数据基表!AL15</f>
        <v>10811</v>
      </c>
      <c r="G8" s="70">
        <f t="shared" si="0"/>
        <v>25327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="47" customFormat="1" ht="18" hidden="1" customHeight="1" spans="1:25">
      <c r="A9" s="72"/>
      <c r="B9" s="73"/>
      <c r="C9" s="74" t="s">
        <v>17</v>
      </c>
      <c r="D9" s="70">
        <f>数据基表!AH16</f>
        <v>0</v>
      </c>
      <c r="E9" s="75"/>
      <c r="F9" s="75">
        <f>数据基表!AL16</f>
        <v>0</v>
      </c>
      <c r="G9" s="70">
        <f t="shared" si="0"/>
        <v>0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="47" customFormat="1" ht="12" customHeight="1" spans="1:25">
      <c r="A10" s="72"/>
      <c r="B10" s="73"/>
      <c r="C10" s="74" t="s">
        <v>379</v>
      </c>
      <c r="D10" s="70">
        <f>数据基表!AH17</f>
        <v>12300</v>
      </c>
      <c r="E10" s="75"/>
      <c r="F10" s="75">
        <f>数据基表!AL17</f>
        <v>31000</v>
      </c>
      <c r="G10" s="70">
        <f t="shared" si="0"/>
        <v>43300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="47" customFormat="1" ht="18" customHeight="1" spans="1:25">
      <c r="A11" s="72"/>
      <c r="B11" s="73"/>
      <c r="C11" s="74" t="s">
        <v>19</v>
      </c>
      <c r="D11" s="70">
        <f>数据基表!AH18</f>
        <v>33101</v>
      </c>
      <c r="E11" s="75">
        <f>数据基表!AJ18</f>
        <v>0</v>
      </c>
      <c r="F11" s="75">
        <f>数据基表!AL18</f>
        <v>0</v>
      </c>
      <c r="G11" s="70">
        <f>E11+F11+D11</f>
        <v>33101</v>
      </c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25">
      <c r="A12" s="72"/>
      <c r="B12" s="73"/>
      <c r="C12" s="74" t="s">
        <v>381</v>
      </c>
      <c r="D12" s="70">
        <f>数据基表!AH19</f>
        <v>5386</v>
      </c>
      <c r="E12" s="75">
        <f>数据基表!AJ19</f>
        <v>5550</v>
      </c>
      <c r="F12" s="75">
        <f>数据基表!AL19</f>
        <v>0</v>
      </c>
      <c r="G12" s="70">
        <f t="shared" ref="G12:G19" si="1">D12+E12+F12</f>
        <v>10936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</row>
    <row r="13" s="47" customFormat="1" spans="1:25">
      <c r="A13" s="76">
        <v>2</v>
      </c>
      <c r="B13" s="77" t="s">
        <v>374</v>
      </c>
      <c r="C13" s="77"/>
      <c r="D13" s="70">
        <f>D14+D15</f>
        <v>17420</v>
      </c>
      <c r="E13" s="71">
        <f>E14+E15</f>
        <v>0</v>
      </c>
      <c r="F13" s="71">
        <f>F14+F15</f>
        <v>2844</v>
      </c>
      <c r="G13" s="70">
        <f t="shared" si="1"/>
        <v>20264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s="47" customFormat="1" spans="1:25">
      <c r="A14" s="76"/>
      <c r="B14" s="73" t="s">
        <v>382</v>
      </c>
      <c r="C14" s="74" t="s">
        <v>383</v>
      </c>
      <c r="D14" s="78">
        <f>数据基表!AH33</f>
        <v>11899</v>
      </c>
      <c r="E14" s="79">
        <f>数据基表!AJ33</f>
        <v>0</v>
      </c>
      <c r="F14" s="80">
        <f>数据基表!AL33</f>
        <v>1717</v>
      </c>
      <c r="G14" s="70">
        <f t="shared" si="1"/>
        <v>13616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s="47" customFormat="1" spans="1:25">
      <c r="A15" s="76"/>
      <c r="B15" s="73"/>
      <c r="C15" s="74" t="s">
        <v>384</v>
      </c>
      <c r="D15" s="78">
        <f>数据基表!AH34</f>
        <v>5521</v>
      </c>
      <c r="E15" s="79"/>
      <c r="F15" s="80">
        <f>数据基表!AL34</f>
        <v>1127</v>
      </c>
      <c r="G15" s="70">
        <f t="shared" si="1"/>
        <v>6648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="47" customFormat="1" spans="1:25">
      <c r="A16" s="76">
        <v>3</v>
      </c>
      <c r="B16" s="77" t="s">
        <v>374</v>
      </c>
      <c r="C16" s="77"/>
      <c r="D16" s="70">
        <f>D17+D18+D19+D20+D21+D22</f>
        <v>4466</v>
      </c>
      <c r="E16" s="71">
        <f>E17+E18+E19+E20+E21+E22</f>
        <v>42761</v>
      </c>
      <c r="F16" s="71">
        <f>F17+F18+F19+F20+F21+F22</f>
        <v>8933</v>
      </c>
      <c r="G16" s="70">
        <f t="shared" si="1"/>
        <v>56160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s="47" customFormat="1" hidden="1" spans="1:25">
      <c r="A17" s="76"/>
      <c r="B17" s="73" t="s">
        <v>385</v>
      </c>
      <c r="C17" s="74" t="s">
        <v>386</v>
      </c>
      <c r="D17" s="81">
        <f>数据基表!AH56</f>
        <v>2638</v>
      </c>
      <c r="E17" s="80">
        <f>数据基表!AJ56</f>
        <v>5384</v>
      </c>
      <c r="F17" s="80">
        <f>数据基表!AL56</f>
        <v>0</v>
      </c>
      <c r="G17" s="70">
        <f t="shared" si="1"/>
        <v>8022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="47" customFormat="1" ht="41" customHeight="1" spans="1:25">
      <c r="A18" s="76"/>
      <c r="B18" s="73"/>
      <c r="C18" s="74" t="s">
        <v>388</v>
      </c>
      <c r="D18" s="81">
        <f>数据基表!AH57</f>
        <v>0</v>
      </c>
      <c r="E18" s="80">
        <f>数据基表!AJ57</f>
        <v>36955</v>
      </c>
      <c r="F18" s="80">
        <f>数据基表!AL57</f>
        <v>5897</v>
      </c>
      <c r="G18" s="70">
        <f t="shared" si="1"/>
        <v>42852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s="47" customFormat="1" hidden="1" spans="1:25">
      <c r="A19" s="76"/>
      <c r="B19" s="73"/>
      <c r="C19" s="74" t="s">
        <v>389</v>
      </c>
      <c r="D19" s="81">
        <f>数据基表!AH58</f>
        <v>0</v>
      </c>
      <c r="E19" s="80"/>
      <c r="F19" s="80">
        <f>数据基表!AL58</f>
        <v>2505</v>
      </c>
      <c r="G19" s="70">
        <f t="shared" si="1"/>
        <v>2505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="47" customFormat="1" hidden="1" spans="1:25">
      <c r="A20" s="76"/>
      <c r="B20" s="73"/>
      <c r="C20" s="74" t="s">
        <v>390</v>
      </c>
      <c r="D20" s="81"/>
      <c r="E20" s="80"/>
      <c r="F20" s="80"/>
      <c r="G20" s="70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="47" customFormat="1" hidden="1" spans="1:25">
      <c r="A21" s="76"/>
      <c r="B21" s="73"/>
      <c r="C21" s="74" t="s">
        <v>391</v>
      </c>
      <c r="D21" s="81"/>
      <c r="E21" s="80"/>
      <c r="F21" s="80"/>
      <c r="G21" s="70">
        <f t="shared" ref="G21:G24" si="2">D21+E21+F21</f>
        <v>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="48" customFormat="1" hidden="1" spans="1:25">
      <c r="A22" s="76"/>
      <c r="B22" s="73"/>
      <c r="C22" s="74" t="s">
        <v>392</v>
      </c>
      <c r="D22" s="81">
        <f>数据基表!AH61</f>
        <v>1828</v>
      </c>
      <c r="E22" s="80">
        <f>数据基表!AJ61</f>
        <v>422</v>
      </c>
      <c r="F22" s="80">
        <f>数据基表!AL61</f>
        <v>531</v>
      </c>
      <c r="G22" s="71">
        <f t="shared" si="2"/>
        <v>2781</v>
      </c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="47" customFormat="1" spans="1:25">
      <c r="A23" s="76">
        <v>4</v>
      </c>
      <c r="B23" s="77" t="s">
        <v>374</v>
      </c>
      <c r="C23" s="77"/>
      <c r="D23" s="70">
        <f>D24</f>
        <v>7325</v>
      </c>
      <c r="E23" s="71">
        <f>E24</f>
        <v>123</v>
      </c>
      <c r="F23" s="71">
        <f>F24</f>
        <v>5919</v>
      </c>
      <c r="G23" s="70">
        <f t="shared" si="2"/>
        <v>13367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="47" customFormat="1" ht="49" customHeight="1" spans="1:25">
      <c r="A24" s="76"/>
      <c r="B24" s="73" t="s">
        <v>306</v>
      </c>
      <c r="C24" s="74" t="s">
        <v>84</v>
      </c>
      <c r="D24" s="81">
        <f>数据基表!AH73</f>
        <v>7325</v>
      </c>
      <c r="E24" s="80">
        <f>数据基表!AJ73</f>
        <v>123</v>
      </c>
      <c r="F24" s="71">
        <f>数据基表!AL73</f>
        <v>5919</v>
      </c>
      <c r="G24" s="70">
        <f t="shared" si="2"/>
        <v>13367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="47" customFormat="1" hidden="1" spans="1:25">
      <c r="A25" s="76"/>
      <c r="B25" s="82"/>
      <c r="C25" s="83" t="s">
        <v>85</v>
      </c>
      <c r="D25" s="70"/>
      <c r="E25" s="71"/>
      <c r="F25" s="71"/>
      <c r="G25" s="70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="47" customFormat="1" ht="15" customHeight="1" spans="1:25">
      <c r="A26" s="69">
        <v>5</v>
      </c>
      <c r="B26" s="84" t="s">
        <v>374</v>
      </c>
      <c r="C26" s="85"/>
      <c r="D26" s="70">
        <f>数据基表!AH87</f>
        <v>39044</v>
      </c>
      <c r="E26" s="71">
        <f>数据基表!AJ87</f>
        <v>15203</v>
      </c>
      <c r="F26" s="71">
        <f>数据基表!AL87</f>
        <v>26057.9</v>
      </c>
      <c r="G26" s="70">
        <f t="shared" ref="G26:G30" si="3">D26+E26+F26</f>
        <v>80304.9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="47" customFormat="1" ht="15" customHeight="1" spans="1:25">
      <c r="A27" s="72"/>
      <c r="B27" s="86" t="s">
        <v>394</v>
      </c>
      <c r="C27" s="87" t="s">
        <v>90</v>
      </c>
      <c r="D27" s="70">
        <f>数据基表!AH85</f>
        <v>39044</v>
      </c>
      <c r="E27" s="71"/>
      <c r="F27" s="71">
        <f>数据基表!AL85</f>
        <v>10359.9</v>
      </c>
      <c r="G27" s="70">
        <f>D27+F27</f>
        <v>49403.9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="47" customFormat="1" ht="15" customHeight="1" spans="1:25">
      <c r="A28" s="72"/>
      <c r="B28" s="88"/>
      <c r="C28" s="77" t="s">
        <v>91</v>
      </c>
      <c r="D28" s="70"/>
      <c r="E28" s="71">
        <f>数据基表!AJ86</f>
        <v>15203</v>
      </c>
      <c r="F28" s="71"/>
      <c r="G28" s="70">
        <f>E28</f>
        <v>15203</v>
      </c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="47" customFormat="1" spans="1:25">
      <c r="A29" s="69">
        <v>6</v>
      </c>
      <c r="B29" s="77" t="s">
        <v>374</v>
      </c>
      <c r="C29" s="77"/>
      <c r="D29" s="70">
        <f>D30+D31+D32+D33+D34</f>
        <v>12482</v>
      </c>
      <c r="E29" s="71">
        <f>E30+E33</f>
        <v>23304.15</v>
      </c>
      <c r="F29" s="71">
        <f>F30+F31+F32+F33+F34</f>
        <v>18088.82</v>
      </c>
      <c r="G29" s="70">
        <f t="shared" si="3"/>
        <v>53874.97</v>
      </c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="47" customFormat="1" ht="26" customHeight="1" spans="1:25">
      <c r="A30" s="72"/>
      <c r="B30" s="73" t="s">
        <v>395</v>
      </c>
      <c r="C30" s="77" t="s">
        <v>84</v>
      </c>
      <c r="D30" s="70">
        <f>数据基表!D124</f>
        <v>12482</v>
      </c>
      <c r="E30" s="71">
        <f>数据基表!G124</f>
        <v>0</v>
      </c>
      <c r="F30" s="71">
        <f>数据基表!J124</f>
        <v>5409</v>
      </c>
      <c r="G30" s="70">
        <f t="shared" si="3"/>
        <v>17891</v>
      </c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="47" customFormat="1" hidden="1" spans="1:25">
      <c r="A31" s="72"/>
      <c r="B31" s="73"/>
      <c r="C31" s="77" t="s">
        <v>104</v>
      </c>
      <c r="D31" s="70"/>
      <c r="E31" s="71">
        <f>数据基表!G125</f>
        <v>0</v>
      </c>
      <c r="F31" s="71">
        <f>数据基表!J125</f>
        <v>0</v>
      </c>
      <c r="G31" s="70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="47" customFormat="1" hidden="1" spans="1:25">
      <c r="A32" s="72"/>
      <c r="B32" s="73"/>
      <c r="C32" s="77" t="s">
        <v>103</v>
      </c>
      <c r="D32" s="70"/>
      <c r="E32" s="71">
        <f>数据基表!G126</f>
        <v>0</v>
      </c>
      <c r="F32" s="71">
        <f>数据基表!J126</f>
        <v>4303.23</v>
      </c>
      <c r="G32" s="70">
        <f t="shared" ref="G32:G41" si="4">D32+E32+F32</f>
        <v>4303.23</v>
      </c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="47" customFormat="1" ht="22" customHeight="1" spans="1:25">
      <c r="A33" s="72"/>
      <c r="B33" s="73"/>
      <c r="C33" s="89" t="s">
        <v>99</v>
      </c>
      <c r="D33" s="70"/>
      <c r="E33" s="71">
        <f>数据基表!G127</f>
        <v>23304.15</v>
      </c>
      <c r="F33" s="71">
        <f>数据基表!J127</f>
        <v>8376.59</v>
      </c>
      <c r="G33" s="70">
        <f>F33+E33</f>
        <v>31680.74</v>
      </c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="47" customFormat="1" ht="1" hidden="1" customHeight="1" spans="1:25">
      <c r="A34" s="65"/>
      <c r="B34" s="73"/>
      <c r="C34" s="89" t="s">
        <v>396</v>
      </c>
      <c r="D34" s="70"/>
      <c r="E34" s="71"/>
      <c r="F34" s="71"/>
      <c r="G34" s="70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="47" customFormat="1" spans="1:25">
      <c r="A35" s="76">
        <v>7</v>
      </c>
      <c r="B35" s="77" t="s">
        <v>374</v>
      </c>
      <c r="C35" s="77"/>
      <c r="D35" s="70">
        <f>D36</f>
        <v>1000</v>
      </c>
      <c r="E35" s="71"/>
      <c r="F35" s="71"/>
      <c r="G35" s="70">
        <f t="shared" si="4"/>
        <v>1000</v>
      </c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s="47" customFormat="1" ht="37" customHeight="1" spans="1:25">
      <c r="A36" s="76"/>
      <c r="B36" s="73" t="s">
        <v>397</v>
      </c>
      <c r="C36" s="77" t="s">
        <v>84</v>
      </c>
      <c r="D36" s="70">
        <f>数据基表!A209</f>
        <v>1000</v>
      </c>
      <c r="E36" s="68">
        <f>数据基表!C209</f>
        <v>2550</v>
      </c>
      <c r="F36" s="71">
        <f>数据基表!D209</f>
        <v>2550</v>
      </c>
      <c r="G36" s="70">
        <f t="shared" si="4"/>
        <v>6100</v>
      </c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</row>
    <row r="37" s="47" customFormat="1" hidden="1" spans="1:25">
      <c r="A37" s="76"/>
      <c r="B37" s="73"/>
      <c r="C37" s="77" t="s">
        <v>398</v>
      </c>
      <c r="D37" s="70"/>
      <c r="E37" s="71"/>
      <c r="F37" s="71"/>
      <c r="G37" s="70">
        <f t="shared" si="4"/>
        <v>0</v>
      </c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s="47" customFormat="1" spans="1:25">
      <c r="A38" s="69">
        <v>8</v>
      </c>
      <c r="B38" s="77" t="s">
        <v>374</v>
      </c>
      <c r="C38" s="77"/>
      <c r="D38" s="70">
        <f>D39+D40+D41</f>
        <v>42283</v>
      </c>
      <c r="E38" s="71">
        <f>E39+E40+E41</f>
        <v>90527</v>
      </c>
      <c r="F38" s="71">
        <f>SUM(F39:F41)</f>
        <v>43331</v>
      </c>
      <c r="G38" s="70">
        <f t="shared" si="4"/>
        <v>176141</v>
      </c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</row>
    <row r="39" s="47" customFormat="1" spans="1:25">
      <c r="A39" s="72"/>
      <c r="B39" s="73" t="s">
        <v>309</v>
      </c>
      <c r="C39" s="77" t="s">
        <v>84</v>
      </c>
      <c r="D39" s="70">
        <f>数据基表!D149</f>
        <v>15367</v>
      </c>
      <c r="E39" s="71">
        <f>数据基表!G149</f>
        <v>46290</v>
      </c>
      <c r="F39" s="71">
        <f>数据基表!J149</f>
        <v>36618</v>
      </c>
      <c r="G39" s="70">
        <f t="shared" si="4"/>
        <v>98275</v>
      </c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s="47" customFormat="1" spans="1:25">
      <c r="A40" s="72"/>
      <c r="B40" s="73"/>
      <c r="C40" s="77" t="s">
        <v>401</v>
      </c>
      <c r="D40" s="70">
        <f>数据基表!D150</f>
        <v>26916</v>
      </c>
      <c r="E40" s="71">
        <f>数据基表!G150</f>
        <v>7290</v>
      </c>
      <c r="F40" s="71">
        <f>数据基表!J150</f>
        <v>6713</v>
      </c>
      <c r="G40" s="70">
        <f t="shared" si="4"/>
        <v>40919</v>
      </c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</row>
    <row r="41" s="47" customFormat="1" spans="1:25">
      <c r="A41" s="65"/>
      <c r="B41" s="73"/>
      <c r="C41" s="77" t="s">
        <v>402</v>
      </c>
      <c r="D41" s="70">
        <f>数据基表!D151</f>
        <v>0</v>
      </c>
      <c r="E41" s="71">
        <f>数据基表!G151</f>
        <v>36947</v>
      </c>
      <c r="F41" s="71"/>
      <c r="G41" s="70">
        <f t="shared" si="4"/>
        <v>36947</v>
      </c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</row>
    <row r="42" s="47" customFormat="1" spans="1:25">
      <c r="A42" s="76">
        <v>9</v>
      </c>
      <c r="B42" s="77" t="s">
        <v>374</v>
      </c>
      <c r="C42" s="77"/>
      <c r="D42" s="70">
        <f>SUM(D43+D44+D45+D46)</f>
        <v>23240</v>
      </c>
      <c r="E42" s="71">
        <f>SUM(E43:E46)</f>
        <v>70024</v>
      </c>
      <c r="F42" s="71">
        <f>SUM(F43:F46)</f>
        <v>15558</v>
      </c>
      <c r="G42" s="70">
        <f>F42+E42+D42</f>
        <v>108822</v>
      </c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</row>
    <row r="43" s="47" customFormat="1" spans="1:25">
      <c r="A43" s="76"/>
      <c r="B43" s="73" t="s">
        <v>310</v>
      </c>
      <c r="C43" s="77" t="s">
        <v>405</v>
      </c>
      <c r="D43" s="70">
        <f>数据基表!C173</f>
        <v>23240</v>
      </c>
      <c r="E43" s="71">
        <f>数据基表!F173+数据基表!F174</f>
        <v>31325</v>
      </c>
      <c r="F43" s="71">
        <f>数据基表!I173</f>
        <v>7813</v>
      </c>
      <c r="G43" s="70">
        <f>F43+E43+D43</f>
        <v>62378</v>
      </c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s="47" customFormat="1" hidden="1" spans="1:25">
      <c r="A44" s="76"/>
      <c r="B44" s="73"/>
      <c r="C44" s="77" t="s">
        <v>406</v>
      </c>
      <c r="D44" s="70"/>
      <c r="E44" s="71"/>
      <c r="F44" s="71"/>
      <c r="G44" s="70">
        <f>E44</f>
        <v>0</v>
      </c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</row>
    <row r="45" s="47" customFormat="1" hidden="1" spans="1:25">
      <c r="A45" s="76"/>
      <c r="B45" s="73"/>
      <c r="C45" s="77" t="s">
        <v>407</v>
      </c>
      <c r="D45" s="70"/>
      <c r="E45" s="71"/>
      <c r="F45" s="71"/>
      <c r="G45" s="70">
        <f>E45+F45</f>
        <v>0</v>
      </c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</row>
    <row r="46" s="47" customFormat="1" ht="16" customHeight="1" spans="1:25">
      <c r="A46" s="76"/>
      <c r="B46" s="73"/>
      <c r="C46" s="77" t="s">
        <v>408</v>
      </c>
      <c r="D46" s="70"/>
      <c r="E46" s="71">
        <f>数据基表!F175</f>
        <v>38699</v>
      </c>
      <c r="F46" s="71">
        <f>数据基表!I175</f>
        <v>7745</v>
      </c>
      <c r="G46" s="70">
        <f>F46+E46</f>
        <v>46444</v>
      </c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</row>
    <row r="47" s="47" customFormat="1" spans="1:25">
      <c r="A47" s="69">
        <v>10</v>
      </c>
      <c r="B47" s="77" t="s">
        <v>374</v>
      </c>
      <c r="C47" s="77"/>
      <c r="D47" s="70"/>
      <c r="E47" s="90">
        <f>E48+E49</f>
        <v>59860.207</v>
      </c>
      <c r="F47" s="91">
        <f>F48+F49</f>
        <v>49813.827</v>
      </c>
      <c r="G47" s="70">
        <f t="shared" ref="G47:G56" si="5">D47+E47+F47</f>
        <v>109674.034</v>
      </c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</row>
    <row r="48" s="47" customFormat="1" ht="29" customHeight="1" spans="1:25">
      <c r="A48" s="72"/>
      <c r="B48" s="73" t="s">
        <v>311</v>
      </c>
      <c r="C48" s="74" t="s">
        <v>410</v>
      </c>
      <c r="D48" s="91"/>
      <c r="E48" s="90">
        <f>表二!R35</f>
        <v>59860.207</v>
      </c>
      <c r="F48" s="90">
        <f>数据基表!J190</f>
        <v>49813.827</v>
      </c>
      <c r="G48" s="70">
        <f t="shared" si="5"/>
        <v>109674.034</v>
      </c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s="47" customFormat="1" ht="17" hidden="1" customHeight="1" spans="1:25">
      <c r="A49" s="65"/>
      <c r="B49" s="73"/>
      <c r="C49" s="74" t="s">
        <v>411</v>
      </c>
      <c r="D49" s="91"/>
      <c r="E49" s="90"/>
      <c r="F49" s="90"/>
      <c r="G49" s="70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</row>
    <row r="50" s="47" customFormat="1" spans="1:25">
      <c r="A50" s="76">
        <v>11</v>
      </c>
      <c r="B50" s="77" t="s">
        <v>412</v>
      </c>
      <c r="C50" s="77"/>
      <c r="D50" s="91"/>
      <c r="E50" s="90"/>
      <c r="F50" s="90"/>
      <c r="G50" s="70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</row>
    <row r="51" s="47" customFormat="1" spans="1:25">
      <c r="A51" s="76">
        <v>12</v>
      </c>
      <c r="B51" s="77" t="s">
        <v>414</v>
      </c>
      <c r="C51" s="77"/>
      <c r="D51" s="91">
        <f>数据基表!D245</f>
        <v>17040</v>
      </c>
      <c r="E51" s="90"/>
      <c r="F51" s="90">
        <f>数据基表!J245</f>
        <v>8486</v>
      </c>
      <c r="G51" s="70">
        <f t="shared" si="5"/>
        <v>25526</v>
      </c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s="48" customFormat="1" spans="1:25">
      <c r="A52" s="76">
        <v>13</v>
      </c>
      <c r="B52" s="77" t="s">
        <v>415</v>
      </c>
      <c r="C52" s="77"/>
      <c r="D52" s="90">
        <f>煤炭库存统计表!E52</f>
        <v>8474.81</v>
      </c>
      <c r="E52" s="90">
        <v>0</v>
      </c>
      <c r="F52" s="90">
        <f>数据基表!J260</f>
        <v>1692.56</v>
      </c>
      <c r="G52" s="71">
        <f t="shared" si="5"/>
        <v>10167.37</v>
      </c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="47" customFormat="1" spans="1:25">
      <c r="A53" s="76">
        <v>14</v>
      </c>
      <c r="B53" s="77" t="s">
        <v>206</v>
      </c>
      <c r="C53" s="77"/>
      <c r="D53" s="91">
        <f>数据基表!AH270</f>
        <v>5331.08</v>
      </c>
      <c r="E53" s="90">
        <v>0</v>
      </c>
      <c r="F53" s="90">
        <f>数据基表!AL270</f>
        <v>2105.42</v>
      </c>
      <c r="G53" s="70">
        <f t="shared" si="5"/>
        <v>7436.5</v>
      </c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</row>
    <row r="54" s="48" customFormat="1" spans="1:25">
      <c r="A54" s="76">
        <v>15</v>
      </c>
      <c r="B54" s="76" t="s">
        <v>417</v>
      </c>
      <c r="C54" s="76"/>
      <c r="D54" s="91"/>
      <c r="E54" s="90">
        <f>数据基表!G226</f>
        <v>9700</v>
      </c>
      <c r="F54" s="90">
        <f>数据基表!J226</f>
        <v>3000</v>
      </c>
      <c r="G54" s="71">
        <f t="shared" si="5"/>
        <v>12700</v>
      </c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</row>
    <row r="55" s="47" customFormat="1" spans="1:25">
      <c r="A55" s="76">
        <v>16</v>
      </c>
      <c r="B55" s="92" t="s">
        <v>432</v>
      </c>
      <c r="C55" s="92"/>
      <c r="D55" s="91">
        <f>数据基表!AH280</f>
        <v>24120.307</v>
      </c>
      <c r="E55" s="93">
        <f>数据基表!AJ280</f>
        <v>0</v>
      </c>
      <c r="F55" s="90">
        <f>数据基表!AL280</f>
        <v>8997.7500000001</v>
      </c>
      <c r="G55" s="94">
        <f t="shared" si="5"/>
        <v>33118.0570000001</v>
      </c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</row>
    <row r="56" s="47" customFormat="1" spans="1:25">
      <c r="A56" s="76">
        <v>17</v>
      </c>
      <c r="B56" s="92" t="s">
        <v>419</v>
      </c>
      <c r="C56" s="92"/>
      <c r="D56" s="91"/>
      <c r="E56" s="93">
        <f>数据基表!U295</f>
        <v>59225.23</v>
      </c>
      <c r="F56" s="90">
        <f>数据基表!S295</f>
        <v>13612.6</v>
      </c>
      <c r="G56" s="94">
        <f t="shared" si="5"/>
        <v>72837.83</v>
      </c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</row>
    <row r="57" s="47" customFormat="1" spans="5:25">
      <c r="E57" s="48"/>
      <c r="F57" s="48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spans="10:25"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</row>
    <row r="59" ht="22.5" spans="10:25">
      <c r="J59" s="95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5"/>
      <c r="X59" s="95"/>
      <c r="Y59" s="95"/>
    </row>
    <row r="60" ht="22.5" spans="10:25">
      <c r="J60" s="95"/>
      <c r="K60" s="98"/>
      <c r="L60" s="97"/>
      <c r="M60" s="97"/>
      <c r="N60" s="97"/>
      <c r="O60" s="97"/>
      <c r="P60" s="97"/>
      <c r="Q60" s="104"/>
      <c r="R60" s="104"/>
      <c r="S60" s="104"/>
      <c r="T60" s="104"/>
      <c r="U60" s="104"/>
      <c r="V60" s="104"/>
      <c r="W60" s="95"/>
      <c r="X60" s="95"/>
      <c r="Y60" s="95"/>
    </row>
    <row r="61" spans="10:25">
      <c r="J61" s="95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105"/>
      <c r="V61" s="105"/>
      <c r="W61" s="95"/>
      <c r="X61" s="95"/>
      <c r="Y61" s="95"/>
    </row>
    <row r="62" spans="10:25">
      <c r="J62" s="95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105"/>
      <c r="V62" s="105"/>
      <c r="W62" s="95"/>
      <c r="X62" s="95"/>
      <c r="Y62" s="95"/>
    </row>
    <row r="63" spans="10:25">
      <c r="J63" s="95"/>
      <c r="K63" s="99"/>
      <c r="L63" s="99"/>
      <c r="M63" s="99"/>
      <c r="N63" s="100"/>
      <c r="O63" s="100"/>
      <c r="P63" s="99"/>
      <c r="Q63" s="100"/>
      <c r="R63" s="99"/>
      <c r="S63" s="100"/>
      <c r="T63" s="100"/>
      <c r="U63" s="105"/>
      <c r="V63" s="105"/>
      <c r="W63" s="95"/>
      <c r="X63" s="95"/>
      <c r="Y63" s="95"/>
    </row>
    <row r="64" spans="10:25">
      <c r="J64" s="99"/>
      <c r="K64" s="101"/>
      <c r="L64" s="99"/>
      <c r="M64" s="102"/>
      <c r="N64" s="103"/>
      <c r="O64" s="103"/>
      <c r="P64" s="102"/>
      <c r="Q64" s="103"/>
      <c r="R64" s="106"/>
      <c r="S64" s="103"/>
      <c r="T64" s="103"/>
      <c r="U64" s="103"/>
      <c r="V64" s="103"/>
      <c r="W64" s="103"/>
      <c r="X64" s="95"/>
      <c r="Y64" s="95"/>
    </row>
    <row r="65" spans="10:25">
      <c r="J65" s="99"/>
      <c r="K65" s="101"/>
      <c r="L65" s="99"/>
      <c r="M65" s="107"/>
      <c r="N65" s="105"/>
      <c r="O65" s="103"/>
      <c r="P65" s="107"/>
      <c r="Q65" s="103"/>
      <c r="R65" s="107"/>
      <c r="S65" s="103"/>
      <c r="T65" s="105"/>
      <c r="U65" s="103"/>
      <c r="V65" s="103"/>
      <c r="W65" s="103"/>
      <c r="X65" s="95"/>
      <c r="Y65" s="95"/>
    </row>
    <row r="66" spans="10:25">
      <c r="J66" s="99"/>
      <c r="K66" s="101"/>
      <c r="L66" s="99"/>
      <c r="M66" s="107"/>
      <c r="N66" s="105"/>
      <c r="O66" s="105"/>
      <c r="P66" s="107"/>
      <c r="Q66" s="103"/>
      <c r="R66" s="107"/>
      <c r="S66" s="103"/>
      <c r="T66" s="103"/>
      <c r="U66" s="103"/>
      <c r="V66" s="103"/>
      <c r="W66" s="103"/>
      <c r="X66" s="95"/>
      <c r="Y66" s="95"/>
    </row>
    <row r="67" spans="10:25">
      <c r="J67" s="99"/>
      <c r="K67" s="101"/>
      <c r="L67" s="99"/>
      <c r="M67" s="107"/>
      <c r="N67" s="103"/>
      <c r="O67" s="103"/>
      <c r="P67" s="107"/>
      <c r="Q67" s="103"/>
      <c r="R67" s="107"/>
      <c r="S67" s="103"/>
      <c r="T67" s="103"/>
      <c r="U67" s="103"/>
      <c r="V67" s="103"/>
      <c r="W67" s="103"/>
      <c r="X67" s="95"/>
      <c r="Y67" s="95"/>
    </row>
    <row r="68" spans="10:25">
      <c r="J68" s="99"/>
      <c r="K68" s="101"/>
      <c r="L68" s="99"/>
      <c r="M68" s="107"/>
      <c r="N68" s="103"/>
      <c r="O68" s="103"/>
      <c r="P68" s="108"/>
      <c r="Q68" s="103"/>
      <c r="R68" s="108"/>
      <c r="S68" s="103"/>
      <c r="T68" s="103"/>
      <c r="U68" s="103"/>
      <c r="V68" s="103"/>
      <c r="W68" s="103"/>
      <c r="X68" s="95"/>
      <c r="Y68" s="95"/>
    </row>
    <row r="69" spans="10:25">
      <c r="J69" s="99"/>
      <c r="K69" s="101"/>
      <c r="L69" s="99"/>
      <c r="M69" s="107"/>
      <c r="N69" s="103"/>
      <c r="O69" s="103"/>
      <c r="P69" s="108"/>
      <c r="Q69" s="103"/>
      <c r="R69" s="108"/>
      <c r="S69" s="103"/>
      <c r="T69" s="103"/>
      <c r="U69" s="103"/>
      <c r="V69" s="103"/>
      <c r="W69" s="103"/>
      <c r="X69" s="95"/>
      <c r="Y69" s="95"/>
    </row>
    <row r="70" spans="10:25">
      <c r="J70" s="95"/>
      <c r="K70" s="95"/>
      <c r="L70" s="95"/>
      <c r="M70" s="95"/>
      <c r="N70" s="109"/>
      <c r="O70" s="95"/>
      <c r="P70" s="95"/>
      <c r="Q70" s="109"/>
      <c r="R70" s="95"/>
      <c r="S70" s="95"/>
      <c r="T70" s="95"/>
      <c r="U70" s="95"/>
      <c r="V70" s="95"/>
      <c r="W70" s="95"/>
      <c r="X70" s="95"/>
      <c r="Y70" s="95"/>
    </row>
    <row r="71" spans="10:25"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</row>
    <row r="72" spans="10:25">
      <c r="J72" s="101"/>
      <c r="K72" s="99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</row>
    <row r="73" spans="10:25"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</row>
  </sheetData>
  <mergeCells count="57">
    <mergeCell ref="A1:G1"/>
    <mergeCell ref="D3:E3"/>
    <mergeCell ref="D5:F5"/>
    <mergeCell ref="B6:C6"/>
    <mergeCell ref="B7:C7"/>
    <mergeCell ref="B13:C13"/>
    <mergeCell ref="B16:C16"/>
    <mergeCell ref="B23:C23"/>
    <mergeCell ref="B26:C26"/>
    <mergeCell ref="B29:C29"/>
    <mergeCell ref="B35:C35"/>
    <mergeCell ref="B38:C38"/>
    <mergeCell ref="B42:C42"/>
    <mergeCell ref="B47:C47"/>
    <mergeCell ref="B50:C50"/>
    <mergeCell ref="B51:C51"/>
    <mergeCell ref="B52:C52"/>
    <mergeCell ref="B53:C53"/>
    <mergeCell ref="B54:C54"/>
    <mergeCell ref="B55:C55"/>
    <mergeCell ref="B56:C56"/>
    <mergeCell ref="K59:V59"/>
    <mergeCell ref="S60:V60"/>
    <mergeCell ref="M61:O61"/>
    <mergeCell ref="P61:T61"/>
    <mergeCell ref="M62:O62"/>
    <mergeCell ref="P62:Q62"/>
    <mergeCell ref="R62:S62"/>
    <mergeCell ref="A3:A4"/>
    <mergeCell ref="A5:A6"/>
    <mergeCell ref="A7:A12"/>
    <mergeCell ref="A13:A15"/>
    <mergeCell ref="A16:A22"/>
    <mergeCell ref="A23:A25"/>
    <mergeCell ref="A26:A28"/>
    <mergeCell ref="A29:A34"/>
    <mergeCell ref="A35:A37"/>
    <mergeCell ref="A38:A41"/>
    <mergeCell ref="A42:A46"/>
    <mergeCell ref="A47:A49"/>
    <mergeCell ref="B8:B12"/>
    <mergeCell ref="B14:B15"/>
    <mergeCell ref="B17:B22"/>
    <mergeCell ref="B24:B25"/>
    <mergeCell ref="B27:B28"/>
    <mergeCell ref="B30:B34"/>
    <mergeCell ref="B36:B37"/>
    <mergeCell ref="B39:B41"/>
    <mergeCell ref="B43:B46"/>
    <mergeCell ref="B48:B49"/>
    <mergeCell ref="G4:G5"/>
    <mergeCell ref="J61:J63"/>
    <mergeCell ref="K61:K63"/>
    <mergeCell ref="L61:L63"/>
    <mergeCell ref="U61:U63"/>
    <mergeCell ref="V61:V63"/>
    <mergeCell ref="B3:C4"/>
  </mergeCells>
  <dataValidations count="1">
    <dataValidation allowBlank="1" showErrorMessage="1" promptTitle="注意" prompt="请保留整数" sqref="E10 F10 E11 F11 E12 F12 E8:E9 F8:F9"/>
  </dataValidation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zoomScale="80" zoomScaleNormal="80" workbookViewId="0">
      <selection activeCell="K10" sqref="K10"/>
    </sheetView>
  </sheetViews>
  <sheetFormatPr defaultColWidth="9" defaultRowHeight="14.25"/>
  <cols>
    <col min="3" max="3" width="12.125"/>
    <col min="5" max="5" width="12.1833333333333" customWidth="1"/>
    <col min="7" max="7" width="14.125"/>
    <col min="8" max="8" width="14.25" customWidth="1"/>
    <col min="9" max="10" width="14.125"/>
    <col min="18" max="18" width="13.75"/>
    <col min="19" max="19" width="11.5"/>
    <col min="20" max="20" width="12.625"/>
    <col min="21" max="21" width="11.125"/>
    <col min="22" max="23" width="12.625"/>
    <col min="24" max="24" width="9.375"/>
  </cols>
  <sheetData>
    <row r="1" ht="36" customHeight="1" spans="1:23">
      <c r="A1" s="14"/>
      <c r="B1" s="15" t="s">
        <v>627</v>
      </c>
      <c r="C1" s="15" t="s">
        <v>157</v>
      </c>
      <c r="D1" s="15"/>
      <c r="E1" s="15" t="s">
        <v>628</v>
      </c>
      <c r="F1" s="15"/>
      <c r="G1" s="16"/>
      <c r="H1" s="16" t="s">
        <v>629</v>
      </c>
      <c r="I1" s="34" t="s">
        <v>630</v>
      </c>
      <c r="J1" s="16" t="s">
        <v>631</v>
      </c>
      <c r="Q1" s="36"/>
      <c r="R1" s="37" t="s">
        <v>165</v>
      </c>
      <c r="S1" s="37" t="s">
        <v>488</v>
      </c>
      <c r="T1" s="37" t="s">
        <v>489</v>
      </c>
      <c r="U1" s="37" t="s">
        <v>168</v>
      </c>
      <c r="V1" s="37" t="s">
        <v>490</v>
      </c>
      <c r="W1" s="37" t="s">
        <v>291</v>
      </c>
    </row>
    <row r="2" customHeight="1" spans="1:23">
      <c r="A2" s="17" t="s">
        <v>5</v>
      </c>
      <c r="B2" s="18">
        <v>46210</v>
      </c>
      <c r="C2" s="19">
        <f>数据填报!BQ55</f>
        <v>45947.0244428571</v>
      </c>
      <c r="D2" s="20"/>
      <c r="E2" s="21">
        <v>5192960.59035649</v>
      </c>
      <c r="F2" s="22"/>
      <c r="G2" s="23"/>
      <c r="H2" s="23">
        <f>C2+E2</f>
        <v>5238907.61479935</v>
      </c>
      <c r="I2" s="23">
        <f>46210*(数据填报!BD2+5)</f>
        <v>5036890</v>
      </c>
      <c r="J2" s="35">
        <f t="shared" ref="J2:J7" si="0">H2/I2</f>
        <v>1.04010760902052</v>
      </c>
      <c r="Q2" s="38" t="s">
        <v>491</v>
      </c>
      <c r="R2" s="39">
        <f>表二!B6</f>
        <v>30037.049</v>
      </c>
      <c r="S2" s="39">
        <f>表二!C6</f>
        <v>435228.9936</v>
      </c>
      <c r="T2" s="40">
        <f>表二!D6</f>
        <v>3062583.176</v>
      </c>
      <c r="U2" s="40">
        <f>表二!E6</f>
        <v>2084.2917345176</v>
      </c>
      <c r="V2" s="40">
        <f>表二!F6</f>
        <v>142654.183</v>
      </c>
      <c r="W2" s="39">
        <f>数据填报!CE52</f>
        <v>-250.094999999972</v>
      </c>
    </row>
    <row r="3" customHeight="1" spans="1:23">
      <c r="A3" s="17" t="s">
        <v>7</v>
      </c>
      <c r="B3" s="18">
        <v>31366</v>
      </c>
      <c r="C3" s="24">
        <f>数据填报!BQ57</f>
        <v>29786.814</v>
      </c>
      <c r="D3" s="25"/>
      <c r="E3" s="24">
        <v>3349005.669</v>
      </c>
      <c r="F3" s="22"/>
      <c r="G3" s="23"/>
      <c r="H3" s="23">
        <f>E3+C3</f>
        <v>3378792.483</v>
      </c>
      <c r="I3" s="23">
        <f>B3*(数据填报!BD2+5)</f>
        <v>3418894</v>
      </c>
      <c r="J3" s="35">
        <f t="shared" si="0"/>
        <v>0.988270617047501</v>
      </c>
      <c r="Q3" s="38" t="s">
        <v>492</v>
      </c>
      <c r="R3" s="39">
        <f>表二!G6</f>
        <v>10257.99</v>
      </c>
      <c r="S3" s="40">
        <f>表二!H6</f>
        <v>121206.77</v>
      </c>
      <c r="T3" s="40">
        <f>表二!I6</f>
        <v>1170667.26</v>
      </c>
      <c r="U3" s="40">
        <f>表二!J6</f>
        <v>2258.93367115406</v>
      </c>
      <c r="V3" s="40">
        <f>表二!K6</f>
        <v>99820.6174</v>
      </c>
      <c r="W3" s="39">
        <f>数据填报!CE53</f>
        <v>-1928.7769</v>
      </c>
    </row>
    <row r="4" customHeight="1" spans="1:23">
      <c r="A4" s="17" t="s">
        <v>8</v>
      </c>
      <c r="B4" s="18">
        <v>13051</v>
      </c>
      <c r="C4" s="24">
        <f>数据填报!BQ60</f>
        <v>10199.606</v>
      </c>
      <c r="D4" s="25"/>
      <c r="E4" s="24">
        <v>1514153.307</v>
      </c>
      <c r="F4" s="22"/>
      <c r="G4" s="23"/>
      <c r="H4" s="23">
        <f>E4+C4</f>
        <v>1524352.913</v>
      </c>
      <c r="I4" s="23">
        <f>B4*(数据填报!BD2+5)</f>
        <v>1422559</v>
      </c>
      <c r="J4" s="35">
        <f t="shared" si="0"/>
        <v>1.07155690062767</v>
      </c>
      <c r="Q4" s="41" t="s">
        <v>245</v>
      </c>
      <c r="R4" s="39">
        <f>表二!F26</f>
        <v>7521.87</v>
      </c>
      <c r="S4" s="40">
        <f>表二!G26</f>
        <v>34758.36</v>
      </c>
      <c r="T4" s="40">
        <f>表二!H26</f>
        <v>270071.71</v>
      </c>
      <c r="U4" s="42"/>
      <c r="V4" s="42"/>
      <c r="W4" s="43"/>
    </row>
    <row r="5" ht="27" customHeight="1" spans="1:10">
      <c r="A5" s="17" t="s">
        <v>6</v>
      </c>
      <c r="B5" s="18">
        <v>29608</v>
      </c>
      <c r="C5" s="26">
        <f>数据填报!BQ56</f>
        <v>32423.0473</v>
      </c>
      <c r="D5" s="25"/>
      <c r="E5" s="24">
        <v>3342683.6979</v>
      </c>
      <c r="F5" s="22"/>
      <c r="G5" s="23"/>
      <c r="H5" s="23">
        <f>E5+C5</f>
        <v>3375106.7452</v>
      </c>
      <c r="I5" s="23">
        <f>B5*(数据填报!BD2+5)</f>
        <v>3227272</v>
      </c>
      <c r="J5" s="35">
        <f t="shared" si="0"/>
        <v>1.04580795953982</v>
      </c>
    </row>
    <row r="6" ht="27" customHeight="1" spans="1:24">
      <c r="A6" s="17" t="s">
        <v>321</v>
      </c>
      <c r="B6" s="18">
        <v>6705</v>
      </c>
      <c r="C6" s="24">
        <f>数据填报!BQ63</f>
        <v>8929.87</v>
      </c>
      <c r="D6" s="25"/>
      <c r="E6" s="24">
        <v>729152.81</v>
      </c>
      <c r="F6" s="22"/>
      <c r="G6" s="23"/>
      <c r="H6" s="23">
        <f>E6+C6</f>
        <v>738082.68</v>
      </c>
      <c r="I6" s="23">
        <f>B6*(数据填报!BD2+5)</f>
        <v>730845</v>
      </c>
      <c r="J6" s="35">
        <f t="shared" si="0"/>
        <v>1.00990316688217</v>
      </c>
      <c r="Q6" s="44"/>
      <c r="R6" s="44" t="s">
        <v>632</v>
      </c>
      <c r="S6" s="44" t="s">
        <v>633</v>
      </c>
      <c r="T6" s="44" t="s">
        <v>634</v>
      </c>
      <c r="U6" s="44" t="s">
        <v>635</v>
      </c>
      <c r="V6" s="44" t="s">
        <v>636</v>
      </c>
      <c r="W6" s="44" t="s">
        <v>637</v>
      </c>
      <c r="X6" s="44" t="s">
        <v>638</v>
      </c>
    </row>
    <row r="7" ht="27" customHeight="1" spans="1:24">
      <c r="A7" s="17" t="s">
        <v>66</v>
      </c>
      <c r="B7" s="18">
        <v>7725</v>
      </c>
      <c r="C7" s="24">
        <f>数据填报!BQ71</f>
        <v>4819.48</v>
      </c>
      <c r="D7" s="25"/>
      <c r="E7" s="24">
        <v>676645.61</v>
      </c>
      <c r="F7" s="22"/>
      <c r="G7" s="23"/>
      <c r="H7" s="23">
        <f>E7+C7</f>
        <v>681465.09</v>
      </c>
      <c r="I7" s="23">
        <f>B7*(数据填报!BD2+5)</f>
        <v>842025</v>
      </c>
      <c r="J7" s="35">
        <f t="shared" si="0"/>
        <v>0.809316932395119</v>
      </c>
      <c r="Q7" s="44" t="s">
        <v>491</v>
      </c>
      <c r="R7" s="45">
        <f>R16/R15</f>
        <v>2007.55531423917</v>
      </c>
      <c r="S7" s="45">
        <f>(S12+S13)/(表二!B7+表二!B19)</f>
        <v>2091.40580528809</v>
      </c>
      <c r="T7" s="45">
        <f>(T12+T13)/(表二!B9+表二!B22)</f>
        <v>2058.62981716746</v>
      </c>
      <c r="U7" s="45">
        <f>表二!E10</f>
        <v>0</v>
      </c>
      <c r="V7" s="45">
        <f>(V12+V13)/(表二!B12+表二!B11)</f>
        <v>2105.0219927096</v>
      </c>
      <c r="W7" s="45">
        <f>(W12+W13)/(表二!B13+表二!B14)</f>
        <v>2172.01038997453</v>
      </c>
      <c r="X7" s="45">
        <f>表二!E15</f>
        <v>2091.064</v>
      </c>
    </row>
    <row r="8" customHeight="1" spans="17:24">
      <c r="Q8" s="44" t="s">
        <v>492</v>
      </c>
      <c r="R8" s="45">
        <f>(R18+R19+R20+R21+R22)/(表二!G8+表二!G17+表二!G20+表二!G21+表二!G23)</f>
        <v>2148.27798164486</v>
      </c>
      <c r="S8" s="45">
        <f>(S15+S16)/(表二!G7+表二!G19)</f>
        <v>2234.44690265487</v>
      </c>
      <c r="T8" s="45"/>
      <c r="U8" s="45">
        <f>表二!J10</f>
        <v>2350</v>
      </c>
      <c r="V8" s="45">
        <f>(V15+V16+V17)/(表二!G11+表二!G12+表二!G16)</f>
        <v>2293.9582400372</v>
      </c>
      <c r="W8" s="45">
        <f>(W15+W16)/(表二!G13+表二!G14)</f>
        <v>2302.39056317348</v>
      </c>
      <c r="X8" s="45">
        <f>表二!J15</f>
        <v>2360</v>
      </c>
    </row>
    <row r="9" customHeight="1" spans="17:24">
      <c r="Q9" s="44" t="s">
        <v>163</v>
      </c>
      <c r="R9" s="45">
        <f>(R25+R26+R27)/(表二!B28+表二!B40+表二!B41)</f>
        <v>3250</v>
      </c>
      <c r="S9" s="45">
        <f>(S18+S19)/(表二!B27+表二!B39)</f>
        <v>3508.65265388884</v>
      </c>
      <c r="T9" s="45">
        <f>(T18+T19)/(表二!B29+表二!B42)</f>
        <v>3434.85496676514</v>
      </c>
      <c r="U9" s="45">
        <f>表二!E30</f>
        <v>3530</v>
      </c>
      <c r="V9" s="45">
        <f>(V19+V20+V21)/(表二!B31+表二!B32+表二!B36)</f>
        <v>3512.28652798171</v>
      </c>
      <c r="W9" s="45">
        <f>(W18+W19)/(表二!B33+表二!B34)</f>
        <v>3497.42156482283</v>
      </c>
      <c r="X9" s="45">
        <f>表二!E35</f>
        <v>3600</v>
      </c>
    </row>
    <row r="10" customHeight="1"/>
    <row r="11" ht="15.75" customHeight="1"/>
    <row r="12" ht="15.75" customHeight="1" spans="1:23">
      <c r="A12" s="27"/>
      <c r="B12" s="28" t="s">
        <v>32</v>
      </c>
      <c r="C12" s="28"/>
      <c r="D12" s="28"/>
      <c r="E12" s="28" t="s">
        <v>33</v>
      </c>
      <c r="F12" s="28"/>
      <c r="G12" s="28"/>
      <c r="H12" s="28"/>
      <c r="I12" s="28" t="s">
        <v>34</v>
      </c>
      <c r="J12" s="28"/>
      <c r="K12" s="28"/>
      <c r="L12" s="28"/>
      <c r="M12" s="28" t="s">
        <v>35</v>
      </c>
      <c r="N12" s="28"/>
      <c r="O12" s="28"/>
      <c r="R12">
        <f>表二!E8*表二!B8</f>
        <v>6071980</v>
      </c>
      <c r="S12">
        <f>表二!E7*表二!B7</f>
        <v>1777528.84</v>
      </c>
      <c r="T12">
        <f>表二!E9*表二!B9</f>
        <v>3435600</v>
      </c>
      <c r="V12">
        <f>表二!E11*表二!B11</f>
        <v>8775162</v>
      </c>
      <c r="W12">
        <f>表二!E13*表二!B13</f>
        <v>4543136</v>
      </c>
    </row>
    <row r="13" ht="15.75" customHeight="1" spans="1:23">
      <c r="A13" s="29"/>
      <c r="B13" s="30" t="s">
        <v>11</v>
      </c>
      <c r="C13" s="30" t="s">
        <v>253</v>
      </c>
      <c r="D13" s="30" t="s">
        <v>254</v>
      </c>
      <c r="E13" s="30" t="s">
        <v>11</v>
      </c>
      <c r="F13" s="28" t="s">
        <v>253</v>
      </c>
      <c r="G13" s="28" t="s">
        <v>254</v>
      </c>
      <c r="H13" s="28" t="s">
        <v>11</v>
      </c>
      <c r="I13" s="28"/>
      <c r="J13" s="28" t="s">
        <v>253</v>
      </c>
      <c r="K13" s="28" t="s">
        <v>254</v>
      </c>
      <c r="L13" s="28" t="s">
        <v>11</v>
      </c>
      <c r="M13" s="28"/>
      <c r="N13" s="28" t="s">
        <v>253</v>
      </c>
      <c r="O13" s="28" t="s">
        <v>254</v>
      </c>
      <c r="R13">
        <f>表二!E20*表二!B20</f>
        <v>2997680</v>
      </c>
      <c r="S13">
        <f>表二!E19*表二!B19</f>
        <v>4372160</v>
      </c>
      <c r="T13">
        <f>表二!E22*表二!B22</f>
        <v>4168715.04</v>
      </c>
      <c r="V13">
        <f>表二!E12*表二!B12</f>
        <v>8549169</v>
      </c>
      <c r="W13">
        <f>表二!E14*表二!B14</f>
        <v>6611701.2</v>
      </c>
    </row>
    <row r="14" ht="15.75" customHeight="1" spans="1:18">
      <c r="A14" s="31" t="s">
        <v>255</v>
      </c>
      <c r="B14" s="32">
        <v>1138</v>
      </c>
      <c r="C14" s="32">
        <v>1144</v>
      </c>
      <c r="D14" s="32">
        <v>1183</v>
      </c>
      <c r="E14" s="32">
        <v>1042</v>
      </c>
      <c r="F14" s="32">
        <v>1053</v>
      </c>
      <c r="G14" s="32">
        <v>1149</v>
      </c>
      <c r="H14" s="32">
        <v>894</v>
      </c>
      <c r="I14" s="32"/>
      <c r="J14" s="32">
        <v>882</v>
      </c>
      <c r="K14" s="32">
        <v>975</v>
      </c>
      <c r="L14" s="32">
        <v>163</v>
      </c>
      <c r="M14" s="32"/>
      <c r="N14" s="32">
        <v>157</v>
      </c>
      <c r="O14" s="32">
        <v>164</v>
      </c>
      <c r="R14">
        <f>表二!E21*表二!B21</f>
        <v>5720000</v>
      </c>
    </row>
    <row r="15" ht="15.75" customHeight="1" spans="1:23">
      <c r="A15" s="31" t="s">
        <v>51</v>
      </c>
      <c r="B15" s="32">
        <v>1274</v>
      </c>
      <c r="C15" s="32">
        <v>1168</v>
      </c>
      <c r="D15" s="32">
        <v>1170</v>
      </c>
      <c r="E15" s="32">
        <v>1388</v>
      </c>
      <c r="F15" s="32">
        <v>1448</v>
      </c>
      <c r="G15" s="32">
        <v>1469</v>
      </c>
      <c r="H15" s="32">
        <v>967</v>
      </c>
      <c r="I15" s="32"/>
      <c r="J15" s="32">
        <v>972</v>
      </c>
      <c r="K15" s="32">
        <v>982</v>
      </c>
      <c r="L15" s="32">
        <v>163</v>
      </c>
      <c r="M15" s="32"/>
      <c r="N15" s="32">
        <v>178</v>
      </c>
      <c r="O15" s="32">
        <v>165</v>
      </c>
      <c r="R15">
        <f>表二!B8+表二!B20+表二!B21</f>
        <v>7367</v>
      </c>
      <c r="S15">
        <f>表二!J7*表二!G7</f>
        <v>1009970</v>
      </c>
      <c r="V15">
        <f>表二!J12*表二!G12</f>
        <v>3632289.65</v>
      </c>
      <c r="W15">
        <f>表二!J13*表二!G13</f>
        <v>3691906</v>
      </c>
    </row>
    <row r="16" ht="15.75" customHeight="1" spans="1:23">
      <c r="A16" s="31" t="s">
        <v>256</v>
      </c>
      <c r="B16" s="32">
        <v>1360</v>
      </c>
      <c r="C16" s="32">
        <v>1364</v>
      </c>
      <c r="D16" s="32">
        <v>1365</v>
      </c>
      <c r="E16" s="32">
        <v>182</v>
      </c>
      <c r="F16" s="32">
        <v>182</v>
      </c>
      <c r="G16" s="32">
        <v>184</v>
      </c>
      <c r="H16" s="32">
        <v>1064</v>
      </c>
      <c r="I16" s="32"/>
      <c r="J16" s="32">
        <v>1012</v>
      </c>
      <c r="K16" s="32">
        <v>1031</v>
      </c>
      <c r="L16" s="32">
        <v>158</v>
      </c>
      <c r="M16" s="32"/>
      <c r="N16" s="32">
        <v>142</v>
      </c>
      <c r="O16" s="32">
        <v>139</v>
      </c>
      <c r="R16">
        <f>R12+R13+R14</f>
        <v>14789660</v>
      </c>
      <c r="S16">
        <f>表二!J19*表二!G19</f>
        <v>0</v>
      </c>
      <c r="V16">
        <f>表二!J11*表二!G11</f>
        <v>1992197.74</v>
      </c>
      <c r="W16">
        <f>表二!J14*表二!G14</f>
        <v>5559790</v>
      </c>
    </row>
    <row r="17" ht="15.75" customHeight="1" spans="1:22">
      <c r="A17" s="31" t="s">
        <v>257</v>
      </c>
      <c r="B17" s="32">
        <v>1068</v>
      </c>
      <c r="C17" s="32">
        <v>1106</v>
      </c>
      <c r="D17" s="32">
        <v>1110</v>
      </c>
      <c r="E17" s="32">
        <v>1238</v>
      </c>
      <c r="F17" s="32">
        <v>1234</v>
      </c>
      <c r="G17" s="32">
        <v>1240</v>
      </c>
      <c r="H17" s="32">
        <v>1089</v>
      </c>
      <c r="I17" s="32"/>
      <c r="J17" s="32">
        <v>1089</v>
      </c>
      <c r="K17" s="32">
        <v>1090</v>
      </c>
      <c r="L17" s="32">
        <v>130</v>
      </c>
      <c r="M17" s="32"/>
      <c r="N17" s="32">
        <v>131</v>
      </c>
      <c r="O17" s="32">
        <v>144</v>
      </c>
      <c r="V17">
        <f>表二!J16*表二!G16</f>
        <v>0</v>
      </c>
    </row>
    <row r="18" ht="15.75" customHeight="1" spans="1:23">
      <c r="A18" s="31" t="s">
        <v>258</v>
      </c>
      <c r="B18" s="32">
        <v>1224</v>
      </c>
      <c r="C18" s="32">
        <v>1217</v>
      </c>
      <c r="D18" s="32">
        <v>1210</v>
      </c>
      <c r="E18" s="32">
        <v>812</v>
      </c>
      <c r="F18" s="32">
        <v>804</v>
      </c>
      <c r="G18" s="32">
        <v>795</v>
      </c>
      <c r="H18" s="32">
        <v>924</v>
      </c>
      <c r="I18" s="32"/>
      <c r="J18" s="32">
        <v>921</v>
      </c>
      <c r="K18" s="32">
        <v>934</v>
      </c>
      <c r="L18" s="32">
        <v>100</v>
      </c>
      <c r="M18" s="32"/>
      <c r="N18" s="32">
        <v>99</v>
      </c>
      <c r="O18" s="32">
        <v>101</v>
      </c>
      <c r="R18">
        <f>表二!J8*表二!G8</f>
        <v>930680</v>
      </c>
      <c r="S18">
        <f>表二!E27*表二!B27</f>
        <v>7872749.2</v>
      </c>
      <c r="T18">
        <f>表二!E29*表二!B29</f>
        <v>4996900.86</v>
      </c>
      <c r="W18">
        <f>表二!E33*表二!B33</f>
        <v>2604186</v>
      </c>
    </row>
    <row r="19" ht="15.75" customHeight="1" spans="1:23">
      <c r="A19" s="31" t="s">
        <v>259</v>
      </c>
      <c r="B19" s="32">
        <v>1272</v>
      </c>
      <c r="C19" s="32">
        <v>1298</v>
      </c>
      <c r="D19" s="32">
        <v>1293</v>
      </c>
      <c r="E19" s="32">
        <v>344</v>
      </c>
      <c r="F19" s="32">
        <v>354</v>
      </c>
      <c r="G19" s="32">
        <v>364</v>
      </c>
      <c r="H19" s="33"/>
      <c r="I19" s="33"/>
      <c r="J19" s="32">
        <v>1056</v>
      </c>
      <c r="K19" s="32">
        <v>1077</v>
      </c>
      <c r="L19" s="33"/>
      <c r="M19" s="33"/>
      <c r="N19" s="32">
        <v>73</v>
      </c>
      <c r="O19" s="32">
        <v>73</v>
      </c>
      <c r="R19">
        <f>表二!J20*表二!G20</f>
        <v>69960</v>
      </c>
      <c r="S19">
        <f>表二!E39*表二!B39</f>
        <v>537000</v>
      </c>
      <c r="T19">
        <f>表二!E42*表二!B42</f>
        <v>211988</v>
      </c>
      <c r="V19">
        <f>表二!E31*表二!B31</f>
        <v>3932501</v>
      </c>
      <c r="W19">
        <f>表二!E34*表二!B34</f>
        <v>6768624</v>
      </c>
    </row>
    <row r="20" ht="15.75" customHeight="1" spans="1:22">
      <c r="A20" s="31" t="s">
        <v>260</v>
      </c>
      <c r="B20" s="32">
        <v>1137</v>
      </c>
      <c r="C20" s="32">
        <v>1110</v>
      </c>
      <c r="D20" s="32">
        <v>1111</v>
      </c>
      <c r="E20" s="32">
        <v>1267</v>
      </c>
      <c r="F20" s="32">
        <v>1175</v>
      </c>
      <c r="G20" s="32">
        <v>1155</v>
      </c>
      <c r="H20" s="32">
        <v>980</v>
      </c>
      <c r="I20" s="32"/>
      <c r="J20" s="32">
        <v>1023</v>
      </c>
      <c r="K20" s="32">
        <v>1054</v>
      </c>
      <c r="L20" s="32">
        <v>147</v>
      </c>
      <c r="M20" s="32"/>
      <c r="N20" s="32">
        <v>146</v>
      </c>
      <c r="O20" s="32">
        <v>145</v>
      </c>
      <c r="R20">
        <f>表二!J21*表二!G21</f>
        <v>1335472.8</v>
      </c>
      <c r="V20">
        <f>表二!E32*表二!B32</f>
        <v>2172705</v>
      </c>
    </row>
    <row r="21" ht="15" spans="1:22">
      <c r="A21" s="31" t="s">
        <v>261</v>
      </c>
      <c r="B21" s="32">
        <v>1199</v>
      </c>
      <c r="C21" s="32">
        <v>1196</v>
      </c>
      <c r="D21" s="32">
        <v>1204</v>
      </c>
      <c r="E21" s="32">
        <v>923</v>
      </c>
      <c r="F21" s="32">
        <v>913</v>
      </c>
      <c r="G21" s="32">
        <v>932</v>
      </c>
      <c r="H21" s="32">
        <v>977</v>
      </c>
      <c r="I21" s="32"/>
      <c r="J21" s="32">
        <v>1627</v>
      </c>
      <c r="K21" s="32">
        <v>996</v>
      </c>
      <c r="L21" s="32">
        <v>155</v>
      </c>
      <c r="M21" s="32"/>
      <c r="N21" s="32">
        <v>155</v>
      </c>
      <c r="O21" s="32">
        <v>155</v>
      </c>
      <c r="R21">
        <f>表二!J23*表二!G23</f>
        <v>1768896</v>
      </c>
      <c r="V21">
        <f>表二!E36*表二!B36</f>
        <v>1023120</v>
      </c>
    </row>
    <row r="22" ht="15" spans="1:18">
      <c r="A22" s="31" t="s">
        <v>162</v>
      </c>
      <c r="B22" s="32">
        <v>1225</v>
      </c>
      <c r="C22" s="32">
        <v>1057</v>
      </c>
      <c r="D22" s="32">
        <v>1197</v>
      </c>
      <c r="E22" s="32">
        <v>740</v>
      </c>
      <c r="F22" s="32">
        <v>1</v>
      </c>
      <c r="G22" s="32">
        <v>1</v>
      </c>
      <c r="H22" s="32">
        <v>1197</v>
      </c>
      <c r="I22" s="32"/>
      <c r="J22" s="32">
        <v>1050</v>
      </c>
      <c r="K22" s="32">
        <v>1050</v>
      </c>
      <c r="L22" s="32">
        <v>134</v>
      </c>
      <c r="M22" s="32"/>
      <c r="N22" s="32">
        <v>138</v>
      </c>
      <c r="O22" s="32">
        <v>132</v>
      </c>
      <c r="R22">
        <f>表二!J17*表二!G17</f>
        <v>1948280</v>
      </c>
    </row>
    <row r="23" ht="15" spans="1:15">
      <c r="A23" s="31" t="s">
        <v>186</v>
      </c>
      <c r="B23" s="32">
        <v>0</v>
      </c>
      <c r="C23" s="32">
        <v>0</v>
      </c>
      <c r="D23" s="32">
        <v>0</v>
      </c>
      <c r="E23" s="32">
        <v>1151</v>
      </c>
      <c r="F23" s="32">
        <v>0</v>
      </c>
      <c r="G23" s="32">
        <v>0</v>
      </c>
      <c r="H23" s="32">
        <v>0</v>
      </c>
      <c r="I23" s="32"/>
      <c r="J23" s="32">
        <v>0</v>
      </c>
      <c r="K23" s="32">
        <v>0</v>
      </c>
      <c r="L23" s="32">
        <v>0</v>
      </c>
      <c r="M23" s="32"/>
      <c r="N23" s="32">
        <v>0</v>
      </c>
      <c r="O23" s="32">
        <v>0</v>
      </c>
    </row>
    <row r="24" ht="15" spans="1:15">
      <c r="A24" s="31" t="s">
        <v>262</v>
      </c>
      <c r="B24" s="32">
        <v>0</v>
      </c>
      <c r="C24" s="32">
        <v>1580</v>
      </c>
      <c r="D24" s="32">
        <v>1550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ht="15" spans="1:18">
      <c r="A25" s="31" t="s">
        <v>263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R25">
        <f>表二!E28*表二!B28</f>
        <v>1810250</v>
      </c>
    </row>
    <row r="26" ht="15" spans="1:18">
      <c r="A26" s="31" t="s">
        <v>265</v>
      </c>
      <c r="B26" s="32">
        <v>1177</v>
      </c>
      <c r="C26" s="32">
        <v>1192</v>
      </c>
      <c r="D26" s="32">
        <v>1181</v>
      </c>
      <c r="E26" s="32">
        <v>1305</v>
      </c>
      <c r="F26" s="32">
        <v>1312</v>
      </c>
      <c r="G26" s="32">
        <v>1289</v>
      </c>
      <c r="H26" s="32">
        <v>1109</v>
      </c>
      <c r="I26" s="32"/>
      <c r="J26" s="32">
        <v>1111</v>
      </c>
      <c r="K26" s="32">
        <v>1111</v>
      </c>
      <c r="L26" s="32">
        <v>138</v>
      </c>
      <c r="M26" s="32"/>
      <c r="N26" s="32">
        <v>140</v>
      </c>
      <c r="O26" s="32">
        <v>147</v>
      </c>
      <c r="R26">
        <f>表二!E40*表二!B40</f>
        <v>1023750</v>
      </c>
    </row>
    <row r="27" ht="15" spans="1:18">
      <c r="A27" s="31" t="s">
        <v>266</v>
      </c>
      <c r="B27" s="32">
        <v>1146</v>
      </c>
      <c r="C27" s="32">
        <v>1151</v>
      </c>
      <c r="D27" s="32">
        <v>1247</v>
      </c>
      <c r="E27" s="32">
        <v>1166</v>
      </c>
      <c r="F27" s="32">
        <v>1163</v>
      </c>
      <c r="G27" s="32">
        <v>1252</v>
      </c>
      <c r="H27" s="32">
        <v>962</v>
      </c>
      <c r="I27" s="32"/>
      <c r="J27" s="32">
        <v>966</v>
      </c>
      <c r="K27" s="32">
        <v>997</v>
      </c>
      <c r="L27" s="32">
        <v>150</v>
      </c>
      <c r="M27" s="32"/>
      <c r="N27" s="32">
        <v>150</v>
      </c>
      <c r="O27" s="32">
        <v>158</v>
      </c>
      <c r="R27">
        <f>表二!B41*表二!E41</f>
        <v>1059045</v>
      </c>
    </row>
    <row r="28" ht="15" spans="1:15">
      <c r="A28" s="31" t="s">
        <v>267</v>
      </c>
      <c r="B28" s="32">
        <v>1114</v>
      </c>
      <c r="C28" s="32">
        <v>1111</v>
      </c>
      <c r="D28" s="32">
        <v>1117</v>
      </c>
      <c r="E28" s="32">
        <v>930</v>
      </c>
      <c r="F28" s="32">
        <v>913</v>
      </c>
      <c r="G28" s="32">
        <v>920</v>
      </c>
      <c r="H28" s="32">
        <v>904</v>
      </c>
      <c r="I28" s="32"/>
      <c r="J28" s="32">
        <v>902</v>
      </c>
      <c r="K28" s="32">
        <v>925</v>
      </c>
      <c r="L28" s="32">
        <v>172</v>
      </c>
      <c r="M28" s="32"/>
      <c r="N28" s="32">
        <v>173</v>
      </c>
      <c r="O28" s="32">
        <v>175</v>
      </c>
    </row>
    <row r="29" ht="15" spans="1:15">
      <c r="A29" s="31" t="s">
        <v>268</v>
      </c>
      <c r="B29" s="32">
        <v>1074</v>
      </c>
      <c r="C29" s="32">
        <v>1071</v>
      </c>
      <c r="D29" s="32">
        <v>0</v>
      </c>
      <c r="E29" s="32">
        <v>229</v>
      </c>
      <c r="F29" s="32">
        <v>237</v>
      </c>
      <c r="G29" s="32">
        <v>0</v>
      </c>
      <c r="H29" s="32">
        <v>818</v>
      </c>
      <c r="I29" s="32"/>
      <c r="J29" s="32">
        <v>818</v>
      </c>
      <c r="K29" s="32">
        <v>0</v>
      </c>
      <c r="L29" s="32">
        <v>141</v>
      </c>
      <c r="M29" s="32"/>
      <c r="N29" s="32">
        <v>141</v>
      </c>
      <c r="O29" s="32">
        <v>0</v>
      </c>
    </row>
    <row r="30" ht="15" spans="1:15">
      <c r="A30" s="31" t="s">
        <v>269</v>
      </c>
      <c r="B30" s="32">
        <v>1382</v>
      </c>
      <c r="C30" s="32">
        <v>1393</v>
      </c>
      <c r="D30" s="32">
        <v>1399</v>
      </c>
      <c r="E30" s="32">
        <v>223</v>
      </c>
      <c r="F30" s="32">
        <v>230</v>
      </c>
      <c r="G30" s="32">
        <v>245</v>
      </c>
      <c r="H30" s="33"/>
      <c r="I30" s="33"/>
      <c r="J30" s="33"/>
      <c r="K30" s="33"/>
      <c r="L30" s="33"/>
      <c r="M30" s="33"/>
      <c r="N30" s="33"/>
      <c r="O30" s="33"/>
    </row>
    <row r="31" ht="15" spans="1:15">
      <c r="A31" s="31" t="s">
        <v>639</v>
      </c>
      <c r="B31" s="32" t="s">
        <v>640</v>
      </c>
      <c r="C31" s="32" t="s">
        <v>641</v>
      </c>
      <c r="D31" s="32" t="s">
        <v>642</v>
      </c>
      <c r="E31" s="32">
        <v>863</v>
      </c>
      <c r="F31" s="32">
        <v>859</v>
      </c>
      <c r="G31" s="32">
        <v>926</v>
      </c>
      <c r="H31" s="33">
        <v>990</v>
      </c>
      <c r="I31" s="33"/>
      <c r="J31" s="33">
        <v>1033</v>
      </c>
      <c r="K31" s="33">
        <v>1019</v>
      </c>
      <c r="L31" s="33">
        <v>146</v>
      </c>
      <c r="M31" s="33"/>
      <c r="N31" s="33">
        <v>140</v>
      </c>
      <c r="O31" s="33">
        <v>142</v>
      </c>
    </row>
  </sheetData>
  <mergeCells count="42">
    <mergeCell ref="B12:D12"/>
    <mergeCell ref="E12:H12"/>
    <mergeCell ref="I12:L12"/>
    <mergeCell ref="M12:O12"/>
    <mergeCell ref="H13:I13"/>
    <mergeCell ref="L13:M13"/>
    <mergeCell ref="H14:I14"/>
    <mergeCell ref="L14:M14"/>
    <mergeCell ref="H15:I15"/>
    <mergeCell ref="L15:M15"/>
    <mergeCell ref="H16:I16"/>
    <mergeCell ref="L16:M16"/>
    <mergeCell ref="H17:I17"/>
    <mergeCell ref="L17:M17"/>
    <mergeCell ref="H18:I18"/>
    <mergeCell ref="L18:M18"/>
    <mergeCell ref="H19:I19"/>
    <mergeCell ref="L19:M19"/>
    <mergeCell ref="H20:I20"/>
    <mergeCell ref="L20:M20"/>
    <mergeCell ref="H21:I21"/>
    <mergeCell ref="L21:M21"/>
    <mergeCell ref="H22:I22"/>
    <mergeCell ref="L22:M22"/>
    <mergeCell ref="H23:I23"/>
    <mergeCell ref="L23:M23"/>
    <mergeCell ref="H24:I24"/>
    <mergeCell ref="L24:M24"/>
    <mergeCell ref="H25:I25"/>
    <mergeCell ref="L25:M25"/>
    <mergeCell ref="H26:I26"/>
    <mergeCell ref="L26:M26"/>
    <mergeCell ref="H27:I27"/>
    <mergeCell ref="L27:M27"/>
    <mergeCell ref="H28:I28"/>
    <mergeCell ref="L28:M28"/>
    <mergeCell ref="H29:I29"/>
    <mergeCell ref="L29:M29"/>
    <mergeCell ref="H30:I30"/>
    <mergeCell ref="L30:M30"/>
    <mergeCell ref="H31:I31"/>
    <mergeCell ref="L31:M3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AG2" sqref="AG2:AL2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G2" sqref="AG2:AL2"/>
    </sheetView>
  </sheetViews>
  <sheetFormatPr defaultColWidth="9" defaultRowHeight="14.25"/>
  <cols>
    <col min="1" max="1" width="11.5" style="1" customWidth="1"/>
    <col min="2" max="2" width="15.875" style="1" customWidth="1"/>
    <col min="3" max="3" width="13.5" style="1" customWidth="1"/>
    <col min="4" max="4" width="14.375" style="1" customWidth="1"/>
    <col min="5" max="5" width="12.25" style="1" customWidth="1"/>
    <col min="6" max="6" width="11.125" style="1" customWidth="1"/>
    <col min="7" max="7" width="13.75" style="1" customWidth="1"/>
    <col min="8" max="8" width="15" style="1" customWidth="1"/>
    <col min="9" max="9" width="14.75" style="1" customWidth="1"/>
    <col min="10" max="16384" width="9" style="1"/>
  </cols>
  <sheetData>
    <row r="1" spans="1:9">
      <c r="A1" t="s">
        <v>643</v>
      </c>
      <c r="B1"/>
      <c r="C1"/>
      <c r="D1"/>
      <c r="E1"/>
      <c r="F1"/>
      <c r="G1"/>
      <c r="H1"/>
      <c r="I1"/>
    </row>
    <row r="2" spans="1:9">
      <c r="A2">
        <f>表一!N2</f>
        <v>44300</v>
      </c>
      <c r="B2"/>
      <c r="C2"/>
      <c r="D2"/>
      <c r="E2"/>
      <c r="F2"/>
      <c r="G2"/>
      <c r="H2"/>
      <c r="I2"/>
    </row>
    <row r="3" ht="18.75" spans="1:9">
      <c r="A3" t="s">
        <v>477</v>
      </c>
      <c r="B3"/>
      <c r="C3"/>
      <c r="D3"/>
      <c r="E3" s="2"/>
      <c r="F3" s="2"/>
      <c r="G3" s="3"/>
      <c r="H3" s="3"/>
      <c r="I3" s="13" t="s">
        <v>478</v>
      </c>
    </row>
    <row r="4" ht="24.95" customHeight="1" spans="1:9">
      <c r="A4" s="4"/>
      <c r="B4" s="4"/>
      <c r="C4" s="4" t="s">
        <v>128</v>
      </c>
      <c r="D4" s="4" t="s">
        <v>153</v>
      </c>
      <c r="E4" s="4" t="s">
        <v>154</v>
      </c>
      <c r="F4" s="4" t="s">
        <v>246</v>
      </c>
      <c r="G4" s="4" t="s">
        <v>245</v>
      </c>
      <c r="H4" s="4" t="s">
        <v>191</v>
      </c>
      <c r="I4" s="4" t="s">
        <v>644</v>
      </c>
    </row>
    <row r="5" ht="24.95" customHeight="1" spans="1:9">
      <c r="A5" t="s">
        <v>293</v>
      </c>
      <c r="B5" s="4" t="s">
        <v>645</v>
      </c>
      <c r="C5" s="5">
        <v>42246</v>
      </c>
      <c r="D5" s="5">
        <v>37769</v>
      </c>
      <c r="E5" s="5">
        <v>10726</v>
      </c>
      <c r="F5" s="5">
        <v>4677</v>
      </c>
      <c r="G5" s="5">
        <v>10592</v>
      </c>
      <c r="H5" s="5"/>
      <c r="I5" s="5"/>
    </row>
    <row r="6" ht="24.95" customHeight="1" spans="1:9">
      <c r="A6"/>
      <c r="B6" s="4" t="s">
        <v>646</v>
      </c>
      <c r="C6" s="6">
        <f>表一!B5</f>
        <v>45947.0244428571</v>
      </c>
      <c r="D6" s="6">
        <f>表一!B25</f>
        <v>29786.814</v>
      </c>
      <c r="E6" s="6">
        <f>表一!J25</f>
        <v>10199.606</v>
      </c>
      <c r="F6" s="6">
        <f>表一!J45</f>
        <v>4819.48</v>
      </c>
      <c r="G6" s="6">
        <f>表一!B45</f>
        <v>8929.87</v>
      </c>
      <c r="H6" s="6">
        <v>0</v>
      </c>
      <c r="I6" s="6">
        <f>表一!J36</f>
        <v>1100</v>
      </c>
    </row>
    <row r="7" ht="24.95" customHeight="1" spans="1:9">
      <c r="A7" s="4" t="s">
        <v>288</v>
      </c>
      <c r="B7" s="4"/>
      <c r="C7" s="6"/>
      <c r="D7" s="6">
        <f>表二!B6</f>
        <v>30037.049</v>
      </c>
      <c r="E7" s="6">
        <f>表二!G6</f>
        <v>10257.99</v>
      </c>
      <c r="F7" s="6">
        <f>表二!I26</f>
        <v>4184.63</v>
      </c>
      <c r="G7" s="6">
        <f>表二!F26</f>
        <v>7521.87</v>
      </c>
      <c r="H7" s="6">
        <f>表二!G46</f>
        <v>0</v>
      </c>
      <c r="I7" s="6">
        <f>表二!G17</f>
        <v>919</v>
      </c>
    </row>
    <row r="8" ht="24.95" customHeight="1" spans="1:9">
      <c r="A8" t="s">
        <v>479</v>
      </c>
      <c r="B8"/>
      <c r="C8"/>
      <c r="D8"/>
      <c r="E8"/>
      <c r="F8" t="s">
        <v>440</v>
      </c>
      <c r="G8"/>
      <c r="H8"/>
      <c r="I8"/>
    </row>
    <row r="9" ht="24.95" customHeight="1" spans="1:9">
      <c r="A9" s="7" t="s">
        <v>21</v>
      </c>
      <c r="B9" s="8" t="s">
        <v>135</v>
      </c>
      <c r="C9" s="9" t="s">
        <v>112</v>
      </c>
      <c r="D9" s="9" t="s">
        <v>93</v>
      </c>
      <c r="E9" s="9"/>
      <c r="F9" s="9" t="s">
        <v>21</v>
      </c>
      <c r="G9" s="9" t="s">
        <v>135</v>
      </c>
      <c r="H9" s="9" t="s">
        <v>112</v>
      </c>
      <c r="I9" s="9" t="s">
        <v>93</v>
      </c>
    </row>
    <row r="10" ht="24.95" customHeight="1" spans="1:9">
      <c r="A10">
        <v>71017</v>
      </c>
      <c r="B10" s="10">
        <v>34433</v>
      </c>
      <c r="C10" s="6">
        <v>22414</v>
      </c>
      <c r="D10" s="11">
        <v>14170</v>
      </c>
      <c r="E10" s="11"/>
      <c r="F10">
        <v>1744013</v>
      </c>
      <c r="G10" s="6">
        <v>629039</v>
      </c>
      <c r="H10" s="6">
        <v>817625</v>
      </c>
      <c r="I10" s="6">
        <v>297349</v>
      </c>
    </row>
    <row r="11" ht="24.95" customHeight="1" spans="1:9">
      <c r="A11"/>
      <c r="B11" t="s">
        <v>480</v>
      </c>
      <c r="C11"/>
      <c r="D11" t="s">
        <v>481</v>
      </c>
      <c r="E11"/>
      <c r="F11"/>
      <c r="G11" s="9" t="s">
        <v>480</v>
      </c>
      <c r="H11" s="9" t="s">
        <v>481</v>
      </c>
      <c r="I11" s="9"/>
    </row>
    <row r="12" ht="24.95" customHeight="1" spans="1:9">
      <c r="A12"/>
      <c r="B12">
        <f>A10-D12</f>
        <v>56103.43</v>
      </c>
      <c r="C12"/>
      <c r="D12">
        <f>A10*0.21</f>
        <v>14913.57</v>
      </c>
      <c r="E12"/>
      <c r="F12"/>
      <c r="G12" s="6">
        <f>F10-H12</f>
        <v>1515547.297</v>
      </c>
      <c r="H12" s="6">
        <f>F10*0.131</f>
        <v>228465.703</v>
      </c>
      <c r="I12" s="6"/>
    </row>
    <row r="13" ht="50.1" customHeight="1" spans="1:9">
      <c r="A13" s="12" t="s">
        <v>647</v>
      </c>
      <c r="B13" t="e">
        <v>#REF!</v>
      </c>
      <c r="C13"/>
      <c r="D13"/>
      <c r="E13"/>
      <c r="F13"/>
      <c r="G13"/>
      <c r="H13"/>
      <c r="I13"/>
    </row>
    <row r="14" ht="39.95" customHeight="1" spans="1:9">
      <c r="A14" s="5" t="s">
        <v>483</v>
      </c>
      <c r="B14" t="str">
        <f>数据填报!AG2</f>
        <v>尚志宏 闫军</v>
      </c>
      <c r="C14"/>
      <c r="D14"/>
      <c r="E14"/>
      <c r="F14"/>
      <c r="G14"/>
      <c r="H14"/>
      <c r="I14"/>
    </row>
    <row r="15" ht="18.75" spans="1:9">
      <c r="A15" t="s">
        <v>648</v>
      </c>
      <c r="B15"/>
      <c r="C15"/>
      <c r="D15"/>
      <c r="E15"/>
      <c r="F15"/>
      <c r="G15"/>
      <c r="H15"/>
      <c r="I15"/>
    </row>
    <row r="16" ht="18.75" spans="1:9">
      <c r="A16" t="s">
        <v>649</v>
      </c>
      <c r="B16"/>
      <c r="C16"/>
      <c r="D16"/>
      <c r="E16"/>
      <c r="F16"/>
      <c r="G16"/>
      <c r="H16"/>
      <c r="I16"/>
    </row>
  </sheetData>
  <mergeCells count="16">
    <mergeCell ref="A1:I1"/>
    <mergeCell ref="A2:I2"/>
    <mergeCell ref="A3:D3"/>
    <mergeCell ref="A8:E8"/>
    <mergeCell ref="F8:I8"/>
    <mergeCell ref="B11:C11"/>
    <mergeCell ref="D11:E11"/>
    <mergeCell ref="B12:C12"/>
    <mergeCell ref="D12:E12"/>
    <mergeCell ref="B13:I13"/>
    <mergeCell ref="B14:I14"/>
    <mergeCell ref="A15:I15"/>
    <mergeCell ref="A16:I16"/>
    <mergeCell ref="A5:A6"/>
    <mergeCell ref="A10:A12"/>
    <mergeCell ref="F10:F12"/>
  </mergeCells>
  <pageMargins left="0.75" right="0.75" top="0.979166666666667" bottom="0.979166666666667" header="0.509027777777778" footer="0.509027777777778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07"/>
  <sheetViews>
    <sheetView zoomScale="85" zoomScaleNormal="85" topLeftCell="A166" workbookViewId="0">
      <selection activeCell="N188" sqref="N188"/>
    </sheetView>
  </sheetViews>
  <sheetFormatPr defaultColWidth="9" defaultRowHeight="14.25"/>
  <cols>
    <col min="1" max="1" width="12.75" customWidth="1"/>
    <col min="2" max="2" width="8.58333333333333" customWidth="1"/>
    <col min="3" max="3" width="8.81666666666667" customWidth="1"/>
    <col min="4" max="4" width="9.36666666666667" customWidth="1"/>
    <col min="5" max="5" width="8.125" customWidth="1"/>
    <col min="6" max="6" width="10.1583333333333" customWidth="1"/>
    <col min="7" max="7" width="9.68333333333333" customWidth="1"/>
    <col min="8" max="8" width="9.05833333333333" customWidth="1"/>
    <col min="9" max="9" width="8.59166666666667" customWidth="1"/>
    <col min="10" max="10" width="8.125" customWidth="1"/>
    <col min="11" max="11" width="9.375" customWidth="1"/>
    <col min="12" max="12" width="6.4" customWidth="1"/>
    <col min="13" max="13" width="7.125" customWidth="1"/>
    <col min="14" max="14" width="7.9" customWidth="1"/>
    <col min="15" max="15" width="7.65" customWidth="1"/>
    <col min="16" max="16" width="9.53333333333333" customWidth="1"/>
    <col min="17" max="17" width="5.75" customWidth="1"/>
    <col min="18" max="19" width="7.125" customWidth="1"/>
    <col min="20" max="21" width="8.125" customWidth="1"/>
    <col min="22" max="22" width="8.23333333333333" customWidth="1"/>
    <col min="23" max="24" width="7.125" customWidth="1"/>
    <col min="25" max="26" width="8.125" customWidth="1"/>
    <col min="27" max="27" width="5.75" customWidth="1"/>
    <col min="28" max="29" width="6.625" customWidth="1"/>
    <col min="30" max="31" width="7.625" customWidth="1"/>
    <col min="32" max="32" width="11.125"/>
    <col min="34" max="34" width="9.25"/>
    <col min="46" max="46" width="10.125"/>
  </cols>
  <sheetData>
    <row r="1" ht="24" customHeight="1" spans="1:31">
      <c r="A1" s="111"/>
      <c r="B1" s="406" t="s">
        <v>0</v>
      </c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  <c r="AD1" s="406"/>
      <c r="AE1" s="406"/>
    </row>
    <row r="2" ht="18" customHeight="1" spans="1:31">
      <c r="A2" s="674" t="s">
        <v>1</v>
      </c>
      <c r="B2" s="675"/>
      <c r="C2" s="676" t="s">
        <v>2</v>
      </c>
      <c r="D2" s="676"/>
      <c r="E2" s="676"/>
      <c r="F2" s="676"/>
      <c r="G2" s="676"/>
      <c r="H2" s="676"/>
      <c r="I2" s="676"/>
      <c r="J2" s="676"/>
      <c r="K2" s="676"/>
      <c r="L2" s="703" t="s">
        <v>3</v>
      </c>
      <c r="M2" s="703"/>
      <c r="N2" s="703"/>
      <c r="O2" s="703"/>
      <c r="P2" s="703"/>
      <c r="Q2" s="703"/>
      <c r="R2" s="703"/>
      <c r="S2" s="703"/>
      <c r="T2" s="703"/>
      <c r="U2" s="703"/>
      <c r="V2" s="795"/>
      <c r="W2" s="795"/>
      <c r="X2" s="795"/>
      <c r="Y2" s="795"/>
      <c r="Z2" s="795"/>
      <c r="AA2" s="827" t="s">
        <v>4</v>
      </c>
      <c r="AB2" s="828"/>
      <c r="AC2" s="827">
        <v>43589</v>
      </c>
      <c r="AD2" s="828"/>
      <c r="AE2" s="828"/>
    </row>
    <row r="3" customHeight="1" spans="1:31">
      <c r="A3" s="677"/>
      <c r="B3" s="678" t="s">
        <v>5</v>
      </c>
      <c r="C3" s="679"/>
      <c r="D3" s="679"/>
      <c r="E3" s="679"/>
      <c r="F3" s="680"/>
      <c r="G3" s="681" t="s">
        <v>6</v>
      </c>
      <c r="H3" s="682"/>
      <c r="I3" s="682"/>
      <c r="J3" s="682"/>
      <c r="K3" s="772"/>
      <c r="L3" s="773" t="s">
        <v>7</v>
      </c>
      <c r="M3" s="774"/>
      <c r="N3" s="774"/>
      <c r="O3" s="774"/>
      <c r="P3" s="775"/>
      <c r="Q3" s="796" t="s">
        <v>8</v>
      </c>
      <c r="R3" s="797"/>
      <c r="S3" s="797"/>
      <c r="T3" s="797"/>
      <c r="U3" s="798"/>
      <c r="V3" s="799" t="s">
        <v>9</v>
      </c>
      <c r="W3" s="800"/>
      <c r="X3" s="800"/>
      <c r="Y3" s="800"/>
      <c r="Z3" s="829"/>
      <c r="AA3" s="830" t="s">
        <v>10</v>
      </c>
      <c r="AB3" s="831"/>
      <c r="AC3" s="831"/>
      <c r="AD3" s="831"/>
      <c r="AE3" s="832"/>
    </row>
    <row r="4" ht="28.5" spans="1:31">
      <c r="A4" s="683"/>
      <c r="B4" s="684" t="s">
        <v>11</v>
      </c>
      <c r="C4" s="685" t="s">
        <v>12</v>
      </c>
      <c r="D4" s="685" t="s">
        <v>13</v>
      </c>
      <c r="E4" s="685" t="s">
        <v>14</v>
      </c>
      <c r="F4" s="686" t="s">
        <v>15</v>
      </c>
      <c r="G4" s="687" t="s">
        <v>11</v>
      </c>
      <c r="H4" s="685" t="s">
        <v>12</v>
      </c>
      <c r="I4" s="685" t="s">
        <v>13</v>
      </c>
      <c r="J4" s="685" t="s">
        <v>14</v>
      </c>
      <c r="K4" s="686" t="s">
        <v>15</v>
      </c>
      <c r="L4" s="687" t="s">
        <v>11</v>
      </c>
      <c r="M4" s="685" t="s">
        <v>12</v>
      </c>
      <c r="N4" s="685" t="s">
        <v>13</v>
      </c>
      <c r="O4" s="685" t="s">
        <v>14</v>
      </c>
      <c r="P4" s="686" t="s">
        <v>15</v>
      </c>
      <c r="Q4" s="687" t="s">
        <v>11</v>
      </c>
      <c r="R4" s="685" t="s">
        <v>12</v>
      </c>
      <c r="S4" s="685" t="s">
        <v>13</v>
      </c>
      <c r="T4" s="685" t="s">
        <v>14</v>
      </c>
      <c r="U4" s="686" t="s">
        <v>15</v>
      </c>
      <c r="V4" s="687" t="s">
        <v>11</v>
      </c>
      <c r="W4" s="685" t="s">
        <v>12</v>
      </c>
      <c r="X4" s="685" t="s">
        <v>13</v>
      </c>
      <c r="Y4" s="685" t="s">
        <v>14</v>
      </c>
      <c r="Z4" s="686" t="s">
        <v>15</v>
      </c>
      <c r="AA4" s="687" t="s">
        <v>11</v>
      </c>
      <c r="AB4" s="685" t="s">
        <v>12</v>
      </c>
      <c r="AC4" s="685" t="s">
        <v>13</v>
      </c>
      <c r="AD4" s="685" t="s">
        <v>14</v>
      </c>
      <c r="AE4" s="686" t="s">
        <v>15</v>
      </c>
    </row>
    <row r="5" customHeight="1" spans="1:31">
      <c r="A5" s="688" t="s">
        <v>16</v>
      </c>
      <c r="B5" s="689">
        <v>744</v>
      </c>
      <c r="C5" s="690">
        <v>31050</v>
      </c>
      <c r="D5" s="690">
        <v>16267</v>
      </c>
      <c r="E5" s="690">
        <v>377552</v>
      </c>
      <c r="F5" s="690">
        <v>73768</v>
      </c>
      <c r="G5" s="689">
        <v>529</v>
      </c>
      <c r="H5" s="690">
        <v>17496</v>
      </c>
      <c r="I5" s="690">
        <v>10165</v>
      </c>
      <c r="J5" s="690">
        <v>191290</v>
      </c>
      <c r="K5" s="690">
        <v>46020</v>
      </c>
      <c r="L5" s="689"/>
      <c r="M5" s="690"/>
      <c r="N5" s="690"/>
      <c r="O5" s="690"/>
      <c r="P5" s="690"/>
      <c r="Q5" s="689">
        <v>129</v>
      </c>
      <c r="R5" s="690">
        <v>10004</v>
      </c>
      <c r="S5" s="690">
        <v>3326</v>
      </c>
      <c r="T5" s="690">
        <v>156565</v>
      </c>
      <c r="U5" s="690">
        <v>17040</v>
      </c>
      <c r="V5" s="689"/>
      <c r="W5" s="690"/>
      <c r="X5" s="690"/>
      <c r="Y5" s="690"/>
      <c r="Z5" s="690"/>
      <c r="AA5" s="689"/>
      <c r="AB5" s="690"/>
      <c r="AC5" s="690"/>
      <c r="AD5" s="690"/>
      <c r="AE5" s="690"/>
    </row>
    <row r="6" spans="1:33">
      <c r="A6" s="688" t="s">
        <v>17</v>
      </c>
      <c r="B6" s="689">
        <v>0</v>
      </c>
      <c r="C6" s="691">
        <v>0</v>
      </c>
      <c r="D6" s="690">
        <v>0</v>
      </c>
      <c r="E6" s="691">
        <v>0</v>
      </c>
      <c r="F6" s="691">
        <v>0</v>
      </c>
      <c r="G6" s="689">
        <v>0</v>
      </c>
      <c r="H6" s="691">
        <v>0</v>
      </c>
      <c r="I6" s="691">
        <v>0</v>
      </c>
      <c r="J6" s="691">
        <v>0</v>
      </c>
      <c r="K6" s="691">
        <v>0</v>
      </c>
      <c r="L6" s="689">
        <v>0</v>
      </c>
      <c r="M6" s="691">
        <v>0</v>
      </c>
      <c r="N6" s="691">
        <v>0</v>
      </c>
      <c r="O6" s="691">
        <v>0</v>
      </c>
      <c r="P6" s="691">
        <v>0</v>
      </c>
      <c r="Q6" s="689">
        <v>0</v>
      </c>
      <c r="R6" s="691">
        <v>0</v>
      </c>
      <c r="S6" s="691">
        <v>0</v>
      </c>
      <c r="T6" s="691">
        <v>0</v>
      </c>
      <c r="U6" s="691">
        <v>0</v>
      </c>
      <c r="V6" s="801">
        <v>0</v>
      </c>
      <c r="W6" s="691">
        <v>0</v>
      </c>
      <c r="X6" s="802">
        <v>0</v>
      </c>
      <c r="Y6" s="691">
        <v>0</v>
      </c>
      <c r="Z6" s="802">
        <v>0</v>
      </c>
      <c r="AA6" s="689"/>
      <c r="AB6" s="690"/>
      <c r="AC6" s="690"/>
      <c r="AD6" s="690"/>
      <c r="AE6" s="690"/>
      <c r="AG6" s="845"/>
    </row>
    <row r="7" spans="1:31">
      <c r="A7" s="688" t="s">
        <v>18</v>
      </c>
      <c r="B7" s="692">
        <v>1454</v>
      </c>
      <c r="C7" s="693">
        <v>43900</v>
      </c>
      <c r="D7" s="693">
        <v>29657</v>
      </c>
      <c r="E7" s="693">
        <v>500691</v>
      </c>
      <c r="F7" s="693">
        <v>165072</v>
      </c>
      <c r="G7" s="692">
        <v>1194</v>
      </c>
      <c r="H7" s="693">
        <v>36100</v>
      </c>
      <c r="I7" s="693">
        <v>24426</v>
      </c>
      <c r="J7" s="693">
        <v>412369</v>
      </c>
      <c r="K7" s="693">
        <v>135553</v>
      </c>
      <c r="L7" s="692">
        <v>507</v>
      </c>
      <c r="M7" s="693">
        <v>30600</v>
      </c>
      <c r="N7" s="693">
        <v>16152</v>
      </c>
      <c r="O7" s="693">
        <v>139108</v>
      </c>
      <c r="P7" s="693">
        <v>76955</v>
      </c>
      <c r="Q7" s="689">
        <v>171</v>
      </c>
      <c r="R7" s="691">
        <v>7900</v>
      </c>
      <c r="S7" s="691">
        <v>3521</v>
      </c>
      <c r="T7" s="691">
        <v>72100</v>
      </c>
      <c r="U7" s="691">
        <v>20003</v>
      </c>
      <c r="V7" s="692">
        <v>1834</v>
      </c>
      <c r="W7" s="693">
        <v>55000</v>
      </c>
      <c r="X7" s="693">
        <v>47886</v>
      </c>
      <c r="Y7" s="693">
        <v>561400</v>
      </c>
      <c r="Z7" s="693">
        <v>207210</v>
      </c>
      <c r="AA7" s="692">
        <v>1344</v>
      </c>
      <c r="AB7" s="693">
        <v>38000</v>
      </c>
      <c r="AC7" s="693">
        <v>24906</v>
      </c>
      <c r="AD7" s="693">
        <v>412000</v>
      </c>
      <c r="AE7" s="693">
        <v>129404</v>
      </c>
    </row>
    <row r="8" spans="1:31">
      <c r="A8" s="688" t="s">
        <v>19</v>
      </c>
      <c r="B8" s="692">
        <v>1772</v>
      </c>
      <c r="C8" s="693">
        <v>53940</v>
      </c>
      <c r="D8" s="693">
        <v>32995.28</v>
      </c>
      <c r="E8" s="693">
        <v>580000</v>
      </c>
      <c r="F8" s="693">
        <v>190994.61</v>
      </c>
      <c r="G8" s="692">
        <v>1383.92</v>
      </c>
      <c r="H8" s="693">
        <v>41540</v>
      </c>
      <c r="I8" s="693">
        <v>25745</v>
      </c>
      <c r="J8" s="693">
        <v>468000</v>
      </c>
      <c r="K8" s="693">
        <v>148655.83</v>
      </c>
      <c r="L8" s="692">
        <v>1105.8</v>
      </c>
      <c r="M8" s="693">
        <v>37200</v>
      </c>
      <c r="N8" s="693">
        <v>21016</v>
      </c>
      <c r="O8" s="693">
        <v>490000</v>
      </c>
      <c r="P8" s="693">
        <v>138515.389</v>
      </c>
      <c r="Q8" s="689">
        <v>388.18</v>
      </c>
      <c r="R8" s="691">
        <v>12400</v>
      </c>
      <c r="S8" s="691">
        <v>7250</v>
      </c>
      <c r="T8" s="691">
        <v>111800</v>
      </c>
      <c r="U8" s="691">
        <v>42338.78</v>
      </c>
      <c r="V8" s="692"/>
      <c r="W8" s="693"/>
      <c r="X8" s="693"/>
      <c r="Y8" s="693"/>
      <c r="Z8" s="693"/>
      <c r="AA8" s="692"/>
      <c r="AB8" s="693"/>
      <c r="AC8" s="693"/>
      <c r="AD8" s="693"/>
      <c r="AE8" s="693"/>
    </row>
    <row r="9" spans="1:31">
      <c r="A9" s="688" t="s">
        <v>20</v>
      </c>
      <c r="B9" s="689">
        <v>565</v>
      </c>
      <c r="C9" s="691">
        <v>16000</v>
      </c>
      <c r="D9" s="691">
        <v>10811</v>
      </c>
      <c r="E9" s="691">
        <v>180000</v>
      </c>
      <c r="F9" s="691">
        <v>56437</v>
      </c>
      <c r="G9" s="689">
        <v>421</v>
      </c>
      <c r="H9" s="691">
        <v>12000</v>
      </c>
      <c r="I9" s="691">
        <v>8154</v>
      </c>
      <c r="J9" s="691">
        <v>144000</v>
      </c>
      <c r="K9" s="691">
        <v>42936</v>
      </c>
      <c r="L9" s="689"/>
      <c r="M9" s="691"/>
      <c r="N9" s="691"/>
      <c r="O9" s="691"/>
      <c r="P9" s="691"/>
      <c r="Q9" s="689">
        <v>49</v>
      </c>
      <c r="R9" s="691">
        <v>900</v>
      </c>
      <c r="S9" s="691">
        <v>949</v>
      </c>
      <c r="T9" s="691">
        <v>10800</v>
      </c>
      <c r="U9" s="691">
        <v>5002</v>
      </c>
      <c r="V9" s="689">
        <v>220</v>
      </c>
      <c r="W9" s="691">
        <v>8000</v>
      </c>
      <c r="X9" s="691">
        <v>4090</v>
      </c>
      <c r="Y9" s="691">
        <v>96000</v>
      </c>
      <c r="Z9" s="691">
        <v>23386</v>
      </c>
      <c r="AA9" s="689"/>
      <c r="AB9" s="691"/>
      <c r="AC9" s="691"/>
      <c r="AD9" s="691"/>
      <c r="AE9" s="691"/>
    </row>
    <row r="10" spans="1:31">
      <c r="A10" s="688" t="s">
        <v>21</v>
      </c>
      <c r="B10" s="689">
        <v>4535</v>
      </c>
      <c r="C10" s="689">
        <v>144890</v>
      </c>
      <c r="D10" s="689">
        <v>89730.28</v>
      </c>
      <c r="E10" s="689">
        <v>1638243</v>
      </c>
      <c r="F10" s="689">
        <v>486271.61</v>
      </c>
      <c r="G10" s="689">
        <v>3527.92</v>
      </c>
      <c r="H10" s="689">
        <v>107136</v>
      </c>
      <c r="I10" s="689">
        <v>68490</v>
      </c>
      <c r="J10" s="689">
        <v>1215659</v>
      </c>
      <c r="K10" s="689">
        <v>373164.83</v>
      </c>
      <c r="L10" s="689">
        <v>1612.8</v>
      </c>
      <c r="M10" s="689">
        <v>67800</v>
      </c>
      <c r="N10" s="689">
        <v>37168</v>
      </c>
      <c r="O10" s="689">
        <v>629108</v>
      </c>
      <c r="P10" s="689">
        <v>215470.389</v>
      </c>
      <c r="Q10" s="689">
        <v>737.18</v>
      </c>
      <c r="R10" s="689">
        <v>31204</v>
      </c>
      <c r="S10" s="689">
        <v>15046</v>
      </c>
      <c r="T10" s="689">
        <v>351265</v>
      </c>
      <c r="U10" s="689">
        <v>84383.78</v>
      </c>
      <c r="V10" s="689">
        <v>2054</v>
      </c>
      <c r="W10" s="689">
        <v>63000</v>
      </c>
      <c r="X10" s="689">
        <v>51976</v>
      </c>
      <c r="Y10" s="689">
        <v>657400</v>
      </c>
      <c r="Z10" s="689">
        <v>230596</v>
      </c>
      <c r="AA10" s="689">
        <v>1344</v>
      </c>
      <c r="AB10" s="689">
        <v>38000</v>
      </c>
      <c r="AC10" s="689">
        <v>24906</v>
      </c>
      <c r="AD10" s="689">
        <v>412000</v>
      </c>
      <c r="AE10" s="689">
        <v>129404</v>
      </c>
    </row>
    <row r="11" ht="24" spans="1:39">
      <c r="A11" s="406" t="s">
        <v>22</v>
      </c>
      <c r="B11" s="406"/>
      <c r="C11" s="406"/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  <c r="AK11" s="406"/>
      <c r="AL11" s="111"/>
      <c r="AM11" s="111"/>
    </row>
    <row r="12" spans="1:39">
      <c r="A12" s="497" t="s">
        <v>1</v>
      </c>
      <c r="B12" s="497"/>
      <c r="C12" s="694" t="s">
        <v>2</v>
      </c>
      <c r="D12" s="694"/>
      <c r="E12" s="694"/>
      <c r="F12" s="694"/>
      <c r="G12" s="694"/>
      <c r="H12" s="694"/>
      <c r="I12" s="694"/>
      <c r="J12" s="694"/>
      <c r="K12" s="694"/>
      <c r="L12" s="694"/>
      <c r="M12" s="756"/>
      <c r="N12" s="756"/>
      <c r="O12" s="776" t="s">
        <v>23</v>
      </c>
      <c r="P12" s="497"/>
      <c r="Q12" s="497"/>
      <c r="R12" s="497"/>
      <c r="S12" s="497"/>
      <c r="T12" s="497"/>
      <c r="U12" s="497"/>
      <c r="V12" s="497"/>
      <c r="W12" s="497"/>
      <c r="X12" s="497"/>
      <c r="Y12" s="111"/>
      <c r="Z12" s="111"/>
      <c r="AA12" s="111"/>
      <c r="AB12" s="111"/>
      <c r="AC12" s="111"/>
      <c r="AD12" s="111"/>
      <c r="AE12" s="497" t="s">
        <v>4</v>
      </c>
      <c r="AF12" s="497"/>
      <c r="AG12" s="497"/>
      <c r="AH12" s="846" t="s">
        <v>24</v>
      </c>
      <c r="AI12" s="846"/>
      <c r="AJ12" s="846"/>
      <c r="AK12" s="846"/>
      <c r="AL12" s="111"/>
      <c r="AM12" s="111"/>
    </row>
    <row r="13" ht="40.5" spans="1:39">
      <c r="A13" s="695"/>
      <c r="B13" s="696" t="s">
        <v>25</v>
      </c>
      <c r="C13" s="697" t="s">
        <v>26</v>
      </c>
      <c r="D13" s="697"/>
      <c r="E13" s="697">
        <v>9500</v>
      </c>
      <c r="F13" s="697" t="s">
        <v>27</v>
      </c>
      <c r="G13" s="696" t="s">
        <v>28</v>
      </c>
      <c r="H13" s="697"/>
      <c r="I13" s="697"/>
      <c r="J13" s="697"/>
      <c r="K13" s="777"/>
      <c r="L13" s="778" t="s">
        <v>29</v>
      </c>
      <c r="M13" s="779"/>
      <c r="N13" s="779"/>
      <c r="O13" s="779"/>
      <c r="P13" s="696" t="s">
        <v>30</v>
      </c>
      <c r="Q13" s="697"/>
      <c r="R13" s="697"/>
      <c r="S13" s="696" t="s">
        <v>31</v>
      </c>
      <c r="T13" s="697"/>
      <c r="U13" s="697"/>
      <c r="V13" s="561" t="s">
        <v>32</v>
      </c>
      <c r="W13" s="561"/>
      <c r="X13" s="561"/>
      <c r="Y13" s="561" t="s">
        <v>33</v>
      </c>
      <c r="Z13" s="561"/>
      <c r="AA13" s="561"/>
      <c r="AB13" s="561" t="s">
        <v>34</v>
      </c>
      <c r="AC13" s="561"/>
      <c r="AD13" s="561"/>
      <c r="AE13" s="561" t="s">
        <v>35</v>
      </c>
      <c r="AF13" s="561"/>
      <c r="AG13" s="561"/>
      <c r="AH13" s="847" t="s">
        <v>36</v>
      </c>
      <c r="AI13" s="847"/>
      <c r="AJ13" s="847"/>
      <c r="AK13" s="847"/>
      <c r="AL13" s="847"/>
      <c r="AM13" s="847"/>
    </row>
    <row r="14" ht="24" spans="1:39">
      <c r="A14" s="698"/>
      <c r="B14" s="200" t="s">
        <v>11</v>
      </c>
      <c r="C14" s="200" t="s">
        <v>37</v>
      </c>
      <c r="D14" s="200" t="s">
        <v>38</v>
      </c>
      <c r="E14" s="415" t="s">
        <v>39</v>
      </c>
      <c r="F14" s="415" t="s">
        <v>40</v>
      </c>
      <c r="G14" s="200" t="s">
        <v>11</v>
      </c>
      <c r="H14" s="200" t="s">
        <v>37</v>
      </c>
      <c r="I14" s="200" t="s">
        <v>38</v>
      </c>
      <c r="J14" s="415" t="s">
        <v>41</v>
      </c>
      <c r="K14" s="415" t="s">
        <v>40</v>
      </c>
      <c r="L14" s="200" t="s">
        <v>11</v>
      </c>
      <c r="M14" s="200" t="s">
        <v>37</v>
      </c>
      <c r="N14" s="200" t="s">
        <v>38</v>
      </c>
      <c r="O14" s="415" t="s">
        <v>41</v>
      </c>
      <c r="P14" s="200" t="s">
        <v>11</v>
      </c>
      <c r="Q14" s="200" t="s">
        <v>37</v>
      </c>
      <c r="R14" s="200" t="s">
        <v>38</v>
      </c>
      <c r="S14" s="415" t="s">
        <v>11</v>
      </c>
      <c r="T14" s="200" t="s">
        <v>37</v>
      </c>
      <c r="U14" s="200" t="s">
        <v>38</v>
      </c>
      <c r="V14" s="200" t="s">
        <v>11</v>
      </c>
      <c r="W14" s="200" t="s">
        <v>37</v>
      </c>
      <c r="X14" s="200" t="s">
        <v>38</v>
      </c>
      <c r="Y14" s="200" t="s">
        <v>11</v>
      </c>
      <c r="Z14" s="200" t="s">
        <v>37</v>
      </c>
      <c r="AA14" s="200" t="s">
        <v>38</v>
      </c>
      <c r="AB14" s="417" t="s">
        <v>11</v>
      </c>
      <c r="AC14" s="417" t="s">
        <v>37</v>
      </c>
      <c r="AD14" s="200" t="s">
        <v>38</v>
      </c>
      <c r="AE14" s="200" t="s">
        <v>11</v>
      </c>
      <c r="AF14" s="200" t="s">
        <v>37</v>
      </c>
      <c r="AG14" s="200" t="s">
        <v>38</v>
      </c>
      <c r="AH14" s="415" t="s">
        <v>42</v>
      </c>
      <c r="AI14" s="415" t="s">
        <v>43</v>
      </c>
      <c r="AJ14" s="415" t="s">
        <v>44</v>
      </c>
      <c r="AK14" s="415" t="s">
        <v>45</v>
      </c>
      <c r="AL14" s="415" t="s">
        <v>46</v>
      </c>
      <c r="AM14" s="415" t="s">
        <v>47</v>
      </c>
    </row>
    <row r="15" spans="1:39">
      <c r="A15" s="685" t="s">
        <v>16</v>
      </c>
      <c r="B15" s="699"/>
      <c r="C15" s="690"/>
      <c r="D15" s="690"/>
      <c r="E15" s="690"/>
      <c r="F15" s="690"/>
      <c r="G15" s="699">
        <v>62</v>
      </c>
      <c r="H15" s="690">
        <v>6502</v>
      </c>
      <c r="I15" s="690">
        <v>15798</v>
      </c>
      <c r="J15" s="690">
        <v>2035</v>
      </c>
      <c r="K15" s="690">
        <v>1312</v>
      </c>
      <c r="L15" s="699">
        <v>443</v>
      </c>
      <c r="M15" s="690">
        <v>9892</v>
      </c>
      <c r="N15" s="690">
        <v>44687</v>
      </c>
      <c r="O15" s="690">
        <v>3053</v>
      </c>
      <c r="P15" s="699"/>
      <c r="Q15" s="690"/>
      <c r="R15" s="690"/>
      <c r="S15" s="699"/>
      <c r="T15" s="690"/>
      <c r="U15" s="690"/>
      <c r="V15" s="803">
        <v>1682</v>
      </c>
      <c r="W15" s="690">
        <v>1443</v>
      </c>
      <c r="X15" s="690">
        <v>1446</v>
      </c>
      <c r="Y15" s="803">
        <v>647</v>
      </c>
      <c r="Z15" s="690">
        <v>588</v>
      </c>
      <c r="AA15" s="690">
        <v>684</v>
      </c>
      <c r="AB15" s="803"/>
      <c r="AC15" s="833" t="s">
        <v>48</v>
      </c>
      <c r="AD15" s="833"/>
      <c r="AE15" s="803"/>
      <c r="AF15" s="690"/>
      <c r="AG15" s="690"/>
      <c r="AH15" s="690">
        <v>14516</v>
      </c>
      <c r="AI15" s="690">
        <v>1706</v>
      </c>
      <c r="AJ15" s="690"/>
      <c r="AK15" s="690"/>
      <c r="AL15" s="690">
        <v>10811</v>
      </c>
      <c r="AM15" s="690">
        <v>1132</v>
      </c>
    </row>
    <row r="16" spans="1:39">
      <c r="A16" s="685" t="s">
        <v>17</v>
      </c>
      <c r="B16" s="699">
        <v>0</v>
      </c>
      <c r="C16" s="690">
        <v>0</v>
      </c>
      <c r="D16" s="690">
        <v>0</v>
      </c>
      <c r="E16" s="690"/>
      <c r="F16" s="690">
        <v>0</v>
      </c>
      <c r="G16" s="699">
        <v>0</v>
      </c>
      <c r="H16" s="690">
        <v>0</v>
      </c>
      <c r="I16" s="690">
        <v>0</v>
      </c>
      <c r="J16" s="690"/>
      <c r="K16" s="690"/>
      <c r="L16" s="699">
        <v>0</v>
      </c>
      <c r="M16" s="690">
        <v>0</v>
      </c>
      <c r="N16" s="690">
        <v>0</v>
      </c>
      <c r="O16" s="690"/>
      <c r="P16" s="699"/>
      <c r="Q16" s="690"/>
      <c r="R16" s="690"/>
      <c r="S16" s="699"/>
      <c r="T16" s="701"/>
      <c r="U16" s="690"/>
      <c r="V16" s="803"/>
      <c r="W16" s="690"/>
      <c r="X16" s="690"/>
      <c r="Y16" s="803"/>
      <c r="Z16" s="690"/>
      <c r="AA16" s="690"/>
      <c r="AB16" s="803"/>
      <c r="AC16" s="690"/>
      <c r="AD16" s="690"/>
      <c r="AE16" s="803"/>
      <c r="AF16" s="690"/>
      <c r="AG16" s="690"/>
      <c r="AH16" s="690"/>
      <c r="AI16" s="690"/>
      <c r="AJ16" s="690"/>
      <c r="AK16" s="690"/>
      <c r="AL16" s="690"/>
      <c r="AM16" s="690"/>
    </row>
    <row r="17" spans="1:39">
      <c r="A17" s="685" t="s">
        <v>18</v>
      </c>
      <c r="B17" s="700">
        <v>0</v>
      </c>
      <c r="C17" s="701">
        <v>0</v>
      </c>
      <c r="D17" s="701">
        <v>15633</v>
      </c>
      <c r="E17" s="701">
        <v>2129</v>
      </c>
      <c r="F17" s="701">
        <v>7</v>
      </c>
      <c r="G17" s="700">
        <v>324</v>
      </c>
      <c r="H17" s="701">
        <v>3029</v>
      </c>
      <c r="I17" s="701">
        <v>17598</v>
      </c>
      <c r="J17" s="701">
        <v>2300</v>
      </c>
      <c r="K17" s="701">
        <v>639</v>
      </c>
      <c r="L17" s="700">
        <v>694</v>
      </c>
      <c r="M17" s="701">
        <v>10619</v>
      </c>
      <c r="N17" s="701">
        <v>67606</v>
      </c>
      <c r="O17" s="701">
        <v>3600</v>
      </c>
      <c r="P17" s="700">
        <v>1700</v>
      </c>
      <c r="Q17" s="701">
        <v>33062</v>
      </c>
      <c r="R17" s="701">
        <v>203261</v>
      </c>
      <c r="S17" s="700">
        <v>820</v>
      </c>
      <c r="T17" s="701">
        <v>15468</v>
      </c>
      <c r="U17" s="701">
        <v>90825</v>
      </c>
      <c r="V17" s="804">
        <v>1086</v>
      </c>
      <c r="W17" s="701">
        <v>1040</v>
      </c>
      <c r="X17" s="701">
        <v>1080</v>
      </c>
      <c r="Y17" s="804">
        <v>1304</v>
      </c>
      <c r="Z17" s="701">
        <v>1330</v>
      </c>
      <c r="AA17" s="701">
        <v>1299</v>
      </c>
      <c r="AB17" s="804">
        <v>766</v>
      </c>
      <c r="AC17" s="701">
        <v>766</v>
      </c>
      <c r="AD17" s="701">
        <v>980</v>
      </c>
      <c r="AE17" s="804">
        <v>175</v>
      </c>
      <c r="AF17" s="701">
        <v>175</v>
      </c>
      <c r="AG17" s="701">
        <v>216</v>
      </c>
      <c r="AH17" s="690">
        <v>12300</v>
      </c>
      <c r="AI17" s="690">
        <v>1598</v>
      </c>
      <c r="AJ17" s="690" t="s">
        <v>49</v>
      </c>
      <c r="AK17" s="690" t="s">
        <v>49</v>
      </c>
      <c r="AL17" s="690">
        <v>31000</v>
      </c>
      <c r="AM17" s="690">
        <v>820</v>
      </c>
    </row>
    <row r="18" spans="1:39">
      <c r="A18" s="685" t="s">
        <v>19</v>
      </c>
      <c r="B18" s="700">
        <v>838.457</v>
      </c>
      <c r="C18" s="701">
        <v>19463.765</v>
      </c>
      <c r="D18" s="701">
        <v>134035.654</v>
      </c>
      <c r="E18" s="701">
        <v>2120</v>
      </c>
      <c r="F18" s="701">
        <v>5614.135</v>
      </c>
      <c r="G18" s="700">
        <v>0</v>
      </c>
      <c r="H18" s="701">
        <v>690.6</v>
      </c>
      <c r="I18" s="701">
        <v>1378.78</v>
      </c>
      <c r="J18" s="701">
        <v>1800</v>
      </c>
      <c r="K18" s="701">
        <v>854</v>
      </c>
      <c r="L18" s="700">
        <v>650.86</v>
      </c>
      <c r="M18" s="701">
        <v>13131.66</v>
      </c>
      <c r="N18" s="701">
        <v>66574.88</v>
      </c>
      <c r="O18" s="701">
        <v>3570</v>
      </c>
      <c r="P18" s="700"/>
      <c r="Q18" s="701"/>
      <c r="R18" s="701"/>
      <c r="S18" s="700">
        <v>206.14</v>
      </c>
      <c r="T18" s="701">
        <v>4687.48</v>
      </c>
      <c r="U18" s="701">
        <v>27324.14</v>
      </c>
      <c r="V18" s="804">
        <v>1080</v>
      </c>
      <c r="W18" s="701">
        <v>1124</v>
      </c>
      <c r="X18" s="701">
        <v>1091</v>
      </c>
      <c r="Y18" s="804">
        <v>1108</v>
      </c>
      <c r="Z18" s="701">
        <v>1108</v>
      </c>
      <c r="AA18" s="701">
        <v>1087</v>
      </c>
      <c r="AB18" s="804">
        <v>956</v>
      </c>
      <c r="AC18" s="701">
        <v>959</v>
      </c>
      <c r="AD18" s="701">
        <v>976</v>
      </c>
      <c r="AE18" s="804">
        <v>150</v>
      </c>
      <c r="AF18" s="701">
        <v>152</v>
      </c>
      <c r="AG18" s="701">
        <v>142</v>
      </c>
      <c r="AH18" s="690">
        <v>33101</v>
      </c>
      <c r="AI18" s="690">
        <v>1914.07</v>
      </c>
      <c r="AJ18" s="690"/>
      <c r="AK18" s="690"/>
      <c r="AL18" s="690"/>
      <c r="AM18" s="690">
        <v>67.5</v>
      </c>
    </row>
    <row r="19" spans="1:39">
      <c r="A19" s="685" t="s">
        <v>20</v>
      </c>
      <c r="B19" s="700"/>
      <c r="C19" s="701"/>
      <c r="D19" s="701"/>
      <c r="E19" s="701"/>
      <c r="F19" s="701"/>
      <c r="G19" s="700">
        <v>66</v>
      </c>
      <c r="H19" s="701">
        <v>988</v>
      </c>
      <c r="I19" s="701">
        <v>4974</v>
      </c>
      <c r="J19" s="701">
        <v>2100</v>
      </c>
      <c r="K19" s="701">
        <v>28</v>
      </c>
      <c r="L19" s="700">
        <v>459</v>
      </c>
      <c r="M19" s="701">
        <v>8151</v>
      </c>
      <c r="N19" s="701">
        <v>43216</v>
      </c>
      <c r="O19" s="701">
        <v>3700</v>
      </c>
      <c r="P19" s="700"/>
      <c r="Q19" s="701"/>
      <c r="R19" s="701"/>
      <c r="S19" s="700"/>
      <c r="T19" s="701"/>
      <c r="U19" s="701"/>
      <c r="V19" s="804">
        <v>1299</v>
      </c>
      <c r="W19" s="701">
        <v>1348</v>
      </c>
      <c r="X19" s="701">
        <v>1409</v>
      </c>
      <c r="Y19" s="804">
        <v>1269</v>
      </c>
      <c r="Z19" s="701">
        <v>1278</v>
      </c>
      <c r="AA19" s="701">
        <v>1353</v>
      </c>
      <c r="AB19" s="804"/>
      <c r="AC19" s="701"/>
      <c r="AD19" s="701"/>
      <c r="AE19" s="804"/>
      <c r="AF19" s="701"/>
      <c r="AG19" s="701"/>
      <c r="AH19" s="690">
        <v>5386</v>
      </c>
      <c r="AI19" s="690">
        <v>734</v>
      </c>
      <c r="AJ19" s="690">
        <v>5550</v>
      </c>
      <c r="AK19" s="690">
        <v>0</v>
      </c>
      <c r="AL19" s="690"/>
      <c r="AM19" s="690"/>
    </row>
    <row r="20" spans="1:39">
      <c r="A20" s="685" t="s">
        <v>21</v>
      </c>
      <c r="B20" s="689">
        <v>838.457</v>
      </c>
      <c r="C20" s="689">
        <v>19463.765</v>
      </c>
      <c r="D20" s="689">
        <v>149668.654</v>
      </c>
      <c r="E20" s="689">
        <v>2120</v>
      </c>
      <c r="F20" s="689">
        <v>5621.135</v>
      </c>
      <c r="G20" s="702">
        <v>452</v>
      </c>
      <c r="H20" s="702">
        <v>11209.6</v>
      </c>
      <c r="I20" s="702">
        <v>39748.78</v>
      </c>
      <c r="J20" s="702">
        <v>2234.44690265487</v>
      </c>
      <c r="K20" s="702">
        <v>2833</v>
      </c>
      <c r="L20" s="702">
        <v>2246.86</v>
      </c>
      <c r="M20" s="702">
        <v>41793.66</v>
      </c>
      <c r="N20" s="702">
        <v>222083.88</v>
      </c>
      <c r="O20" s="702">
        <v>3503.88951692584</v>
      </c>
      <c r="P20" s="702">
        <v>1700</v>
      </c>
      <c r="Q20" s="702">
        <v>33062</v>
      </c>
      <c r="R20" s="702">
        <v>203261</v>
      </c>
      <c r="S20" s="702">
        <v>1026.14</v>
      </c>
      <c r="T20" s="702">
        <v>20155.48</v>
      </c>
      <c r="U20" s="702">
        <v>118149.14</v>
      </c>
      <c r="V20" s="702">
        <v>1207.97067254686</v>
      </c>
      <c r="W20" s="702">
        <v>1181.05597931936</v>
      </c>
      <c r="X20" s="702">
        <v>1178.02711227579</v>
      </c>
      <c r="Y20" s="702">
        <v>1115.26901874311</v>
      </c>
      <c r="Z20" s="702">
        <v>1107.58636036798</v>
      </c>
      <c r="AA20" s="702">
        <v>1128.70303505895</v>
      </c>
      <c r="AB20" s="702">
        <v>896.271577380952</v>
      </c>
      <c r="AC20" s="702">
        <v>875.128497632372</v>
      </c>
      <c r="AD20" s="702">
        <v>977.428595369548</v>
      </c>
      <c r="AE20" s="702">
        <v>157.85900297619</v>
      </c>
      <c r="AF20" s="702">
        <v>161.99504950495</v>
      </c>
      <c r="AG20" s="702">
        <v>168.429014336629</v>
      </c>
      <c r="AH20" s="702">
        <v>65303</v>
      </c>
      <c r="AI20" s="702">
        <v>5952.07</v>
      </c>
      <c r="AJ20" s="702">
        <v>5550</v>
      </c>
      <c r="AK20" s="702">
        <v>0</v>
      </c>
      <c r="AL20" s="702">
        <v>41811</v>
      </c>
      <c r="AM20" s="702">
        <v>2019.5</v>
      </c>
    </row>
    <row r="21" ht="24" spans="1:31">
      <c r="A21" s="111"/>
      <c r="B21" s="406" t="s">
        <v>0</v>
      </c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</row>
    <row r="22" ht="15" spans="1:43">
      <c r="A22" s="703" t="s">
        <v>1</v>
      </c>
      <c r="B22" s="704"/>
      <c r="C22" s="705" t="s">
        <v>50</v>
      </c>
      <c r="D22" s="705"/>
      <c r="E22" s="705"/>
      <c r="F22" s="104"/>
      <c r="G22" s="104"/>
      <c r="H22" s="104"/>
      <c r="I22" s="452"/>
      <c r="J22" s="104"/>
      <c r="K22" s="780"/>
      <c r="L22" s="780"/>
      <c r="M22" s="780"/>
      <c r="N22" s="452"/>
      <c r="O22" s="104"/>
      <c r="P22" s="452"/>
      <c r="Q22" s="452"/>
      <c r="R22" s="452"/>
      <c r="S22" s="452"/>
      <c r="T22" s="104"/>
      <c r="U22" s="104"/>
      <c r="V22" s="805"/>
      <c r="W22" s="492"/>
      <c r="X22" s="104"/>
      <c r="Y22" s="104"/>
      <c r="Z22" s="834"/>
      <c r="AA22" s="834"/>
      <c r="AB22" s="834"/>
      <c r="AC22" s="834"/>
      <c r="AD22" s="834"/>
      <c r="AE22" s="834"/>
      <c r="AF22" s="834"/>
      <c r="AG22" s="834"/>
      <c r="AH22" s="834"/>
      <c r="AI22" s="834"/>
      <c r="AJ22" s="834"/>
      <c r="AK22" s="834"/>
      <c r="AL22" s="848"/>
      <c r="AM22" s="848"/>
      <c r="AN22" s="848"/>
      <c r="AO22" s="848"/>
      <c r="AP22" s="106"/>
      <c r="AQ22" s="104"/>
    </row>
    <row r="23" ht="28.5" spans="1:43">
      <c r="A23" s="706"/>
      <c r="B23" s="707" t="s">
        <v>5</v>
      </c>
      <c r="C23" s="707"/>
      <c r="D23" s="707"/>
      <c r="E23" s="707"/>
      <c r="F23" s="708"/>
      <c r="G23" s="708" t="s">
        <v>6</v>
      </c>
      <c r="H23" s="708"/>
      <c r="I23" s="724"/>
      <c r="J23" s="708"/>
      <c r="K23" s="711"/>
      <c r="L23" s="712" t="s">
        <v>7</v>
      </c>
      <c r="M23" s="712"/>
      <c r="N23" s="196"/>
      <c r="O23" s="781"/>
      <c r="P23" s="724"/>
      <c r="Q23" s="786" t="s">
        <v>8</v>
      </c>
      <c r="R23" s="786"/>
      <c r="S23" s="786"/>
      <c r="T23" s="708"/>
      <c r="U23" s="733"/>
      <c r="V23" s="806" t="s">
        <v>9</v>
      </c>
      <c r="W23" s="807"/>
      <c r="X23" s="196"/>
      <c r="Y23" s="196"/>
      <c r="Z23" s="810"/>
      <c r="AA23" s="810" t="s">
        <v>10</v>
      </c>
      <c r="AB23" s="729"/>
      <c r="AC23" s="810"/>
      <c r="AD23" s="810"/>
      <c r="AE23" s="729"/>
      <c r="AF23" s="834"/>
      <c r="AG23" s="834"/>
      <c r="AH23" s="834"/>
      <c r="AI23" s="834"/>
      <c r="AJ23" s="834"/>
      <c r="AK23" s="834"/>
      <c r="AL23" s="848"/>
      <c r="AM23" s="848"/>
      <c r="AN23" s="849"/>
      <c r="AO23" s="848"/>
      <c r="AP23" s="106"/>
      <c r="AQ23" s="104"/>
    </row>
    <row r="24" ht="29.25" spans="1:43">
      <c r="A24" s="709"/>
      <c r="B24" s="76" t="s">
        <v>11</v>
      </c>
      <c r="C24" s="710" t="s">
        <v>12</v>
      </c>
      <c r="D24" s="710" t="s">
        <v>13</v>
      </c>
      <c r="E24" s="710" t="s">
        <v>14</v>
      </c>
      <c r="F24" s="711" t="s">
        <v>15</v>
      </c>
      <c r="G24" s="712" t="s">
        <v>11</v>
      </c>
      <c r="H24" s="712" t="s">
        <v>12</v>
      </c>
      <c r="I24" s="725" t="s">
        <v>13</v>
      </c>
      <c r="J24" s="128" t="s">
        <v>14</v>
      </c>
      <c r="K24" s="731" t="s">
        <v>15</v>
      </c>
      <c r="L24" s="730" t="s">
        <v>11</v>
      </c>
      <c r="M24" s="196" t="s">
        <v>12</v>
      </c>
      <c r="N24" s="730" t="s">
        <v>13</v>
      </c>
      <c r="O24" s="730" t="s">
        <v>14</v>
      </c>
      <c r="P24" s="724" t="s">
        <v>15</v>
      </c>
      <c r="Q24" s="728" t="s">
        <v>11</v>
      </c>
      <c r="R24" s="728" t="s">
        <v>12</v>
      </c>
      <c r="S24" s="728" t="s">
        <v>13</v>
      </c>
      <c r="T24" s="708" t="s">
        <v>14</v>
      </c>
      <c r="U24" s="730" t="s">
        <v>15</v>
      </c>
      <c r="V24" s="730" t="s">
        <v>11</v>
      </c>
      <c r="W24" s="807" t="s">
        <v>12</v>
      </c>
      <c r="X24" s="431" t="s">
        <v>13</v>
      </c>
      <c r="Y24" s="431" t="s">
        <v>14</v>
      </c>
      <c r="Z24" s="810" t="s">
        <v>15</v>
      </c>
      <c r="AA24" s="835" t="s">
        <v>11</v>
      </c>
      <c r="AB24" s="729" t="s">
        <v>12</v>
      </c>
      <c r="AC24" s="810" t="s">
        <v>13</v>
      </c>
      <c r="AD24" s="810" t="s">
        <v>14</v>
      </c>
      <c r="AE24" s="729" t="s">
        <v>15</v>
      </c>
      <c r="AF24" s="834"/>
      <c r="AG24" s="834"/>
      <c r="AH24" s="834"/>
      <c r="AI24" s="834"/>
      <c r="AJ24" s="834"/>
      <c r="AK24" s="834"/>
      <c r="AL24" s="834"/>
      <c r="AM24" s="848"/>
      <c r="AN24" s="834"/>
      <c r="AO24" s="834"/>
      <c r="AP24" s="873"/>
      <c r="AQ24" s="719"/>
    </row>
    <row r="25" spans="1:43">
      <c r="A25" s="496" t="s">
        <v>51</v>
      </c>
      <c r="B25" s="543">
        <v>1513</v>
      </c>
      <c r="C25" s="713">
        <v>0</v>
      </c>
      <c r="D25" s="714">
        <v>35532</v>
      </c>
      <c r="E25" s="713">
        <v>0</v>
      </c>
      <c r="F25" s="714">
        <v>126977</v>
      </c>
      <c r="G25" s="543">
        <v>1303</v>
      </c>
      <c r="H25" s="713">
        <v>0</v>
      </c>
      <c r="I25" s="718">
        <v>30640</v>
      </c>
      <c r="J25" s="713">
        <v>0</v>
      </c>
      <c r="K25" s="543">
        <v>111007</v>
      </c>
      <c r="L25" s="93">
        <v>1937</v>
      </c>
      <c r="M25" s="713">
        <v>0</v>
      </c>
      <c r="N25" s="543">
        <v>38318</v>
      </c>
      <c r="O25" s="713">
        <v>0</v>
      </c>
      <c r="P25" s="543">
        <v>157986.91</v>
      </c>
      <c r="Q25" s="93">
        <v>147</v>
      </c>
      <c r="R25" s="713">
        <v>0</v>
      </c>
      <c r="S25" s="128">
        <v>4258</v>
      </c>
      <c r="T25" s="713">
        <v>0</v>
      </c>
      <c r="U25" s="128">
        <v>14701</v>
      </c>
      <c r="V25" s="730"/>
      <c r="W25" s="807"/>
      <c r="X25" s="431"/>
      <c r="Y25" s="431"/>
      <c r="Z25" s="431"/>
      <c r="AA25" s="431"/>
      <c r="AB25" s="514"/>
      <c r="AC25" s="431"/>
      <c r="AD25" s="431"/>
      <c r="AE25" s="836"/>
      <c r="AF25" s="719"/>
      <c r="AG25" s="719"/>
      <c r="AH25" s="452"/>
      <c r="AI25" s="719"/>
      <c r="AJ25" s="719"/>
      <c r="AK25" s="104"/>
      <c r="AL25" s="719"/>
      <c r="AM25" s="850"/>
      <c r="AN25" s="851"/>
      <c r="AO25" s="719"/>
      <c r="AP25" s="110"/>
      <c r="AQ25" s="110"/>
    </row>
    <row r="26" spans="1:43">
      <c r="A26" s="496" t="s">
        <v>52</v>
      </c>
      <c r="B26" s="543">
        <v>1513</v>
      </c>
      <c r="C26" s="715">
        <v>0</v>
      </c>
      <c r="D26" s="93">
        <v>31340</v>
      </c>
      <c r="E26" s="715">
        <v>0</v>
      </c>
      <c r="F26" s="93">
        <v>60928</v>
      </c>
      <c r="G26" s="543">
        <v>1303</v>
      </c>
      <c r="H26" s="715">
        <v>0</v>
      </c>
      <c r="I26" s="93">
        <v>26748</v>
      </c>
      <c r="J26" s="715">
        <v>0</v>
      </c>
      <c r="K26" s="93">
        <v>52572</v>
      </c>
      <c r="L26" s="93">
        <v>1937</v>
      </c>
      <c r="M26" s="715">
        <v>0</v>
      </c>
      <c r="N26" s="93">
        <v>36412</v>
      </c>
      <c r="O26" s="715">
        <v>0</v>
      </c>
      <c r="P26" s="93">
        <v>73308</v>
      </c>
      <c r="Q26" s="93">
        <v>147</v>
      </c>
      <c r="R26" s="715">
        <v>0</v>
      </c>
      <c r="S26" s="93">
        <v>4063</v>
      </c>
      <c r="T26" s="715">
        <v>0</v>
      </c>
      <c r="U26" s="93">
        <v>7385</v>
      </c>
      <c r="V26" s="730"/>
      <c r="W26" s="807"/>
      <c r="X26" s="431"/>
      <c r="Y26" s="431"/>
      <c r="Z26" s="431"/>
      <c r="AA26" s="431"/>
      <c r="AB26" s="514"/>
      <c r="AC26" s="431"/>
      <c r="AD26" s="431"/>
      <c r="AE26" s="836"/>
      <c r="AF26" s="719"/>
      <c r="AG26" s="719"/>
      <c r="AH26" s="452"/>
      <c r="AI26" s="719"/>
      <c r="AJ26" s="719"/>
      <c r="AK26" s="104"/>
      <c r="AL26" s="719"/>
      <c r="AM26" s="850"/>
      <c r="AN26" s="851"/>
      <c r="AO26" s="719"/>
      <c r="AP26" s="111"/>
      <c r="AQ26" s="111"/>
    </row>
    <row r="27" spans="1:43">
      <c r="A27" s="716" t="s">
        <v>53</v>
      </c>
      <c r="B27" s="543">
        <v>0</v>
      </c>
      <c r="C27" s="715">
        <v>0</v>
      </c>
      <c r="D27" s="93">
        <v>4192</v>
      </c>
      <c r="E27" s="717">
        <v>0</v>
      </c>
      <c r="F27" s="93">
        <v>66049</v>
      </c>
      <c r="G27" s="718">
        <v>0</v>
      </c>
      <c r="H27" s="715">
        <v>0</v>
      </c>
      <c r="I27" s="93">
        <v>3892</v>
      </c>
      <c r="J27" s="715">
        <v>0</v>
      </c>
      <c r="K27" s="93">
        <v>58435</v>
      </c>
      <c r="L27" s="93">
        <v>0</v>
      </c>
      <c r="M27" s="715">
        <v>0</v>
      </c>
      <c r="N27" s="93">
        <v>1906</v>
      </c>
      <c r="O27" s="717">
        <v>0</v>
      </c>
      <c r="P27" s="93">
        <v>84678.91</v>
      </c>
      <c r="Q27" s="93">
        <v>0</v>
      </c>
      <c r="R27" s="715">
        <v>0</v>
      </c>
      <c r="S27" s="93">
        <v>195</v>
      </c>
      <c r="T27" s="717">
        <v>0</v>
      </c>
      <c r="U27" s="93">
        <v>7316</v>
      </c>
      <c r="V27" s="730"/>
      <c r="W27" s="807"/>
      <c r="X27" s="431"/>
      <c r="Y27" s="431"/>
      <c r="Z27" s="431"/>
      <c r="AA27" s="431"/>
      <c r="AB27" s="301"/>
      <c r="AC27" s="431"/>
      <c r="AD27" s="431"/>
      <c r="AE27" s="301"/>
      <c r="AF27" s="719"/>
      <c r="AG27" s="719"/>
      <c r="AH27" s="837"/>
      <c r="AI27" s="719"/>
      <c r="AJ27" s="719"/>
      <c r="AK27" s="837"/>
      <c r="AL27" s="719"/>
      <c r="AM27" s="850"/>
      <c r="AN27" s="719"/>
      <c r="AO27" s="719"/>
      <c r="AP27" s="111"/>
      <c r="AQ27" s="111"/>
    </row>
    <row r="28" ht="24" spans="1:43">
      <c r="A28" s="406" t="s">
        <v>22</v>
      </c>
      <c r="B28" s="406"/>
      <c r="C28" s="406"/>
      <c r="D28" s="406"/>
      <c r="E28" s="406"/>
      <c r="F28" s="719"/>
      <c r="G28" s="719"/>
      <c r="H28" s="104"/>
      <c r="I28" s="719"/>
      <c r="J28" s="719"/>
      <c r="K28" s="719"/>
      <c r="L28" s="719"/>
      <c r="M28" s="104"/>
      <c r="N28" s="719"/>
      <c r="O28" s="719"/>
      <c r="P28" s="104"/>
      <c r="Q28" s="719"/>
      <c r="R28" s="719"/>
      <c r="S28" s="719"/>
      <c r="T28" s="104"/>
      <c r="U28" s="719"/>
      <c r="V28" s="719"/>
      <c r="W28" s="492"/>
      <c r="X28" s="719"/>
      <c r="Y28" s="719"/>
      <c r="Z28" s="719"/>
      <c r="AA28" s="719"/>
      <c r="AB28" s="104"/>
      <c r="AC28" s="719"/>
      <c r="AD28" s="719"/>
      <c r="AE28" s="837"/>
      <c r="AF28" s="719"/>
      <c r="AG28" s="719"/>
      <c r="AH28" s="837"/>
      <c r="AI28" s="719"/>
      <c r="AJ28" s="719"/>
      <c r="AK28" s="837"/>
      <c r="AL28" s="719"/>
      <c r="AM28" s="719"/>
      <c r="AN28" s="719"/>
      <c r="AO28" s="719"/>
      <c r="AP28" s="111"/>
      <c r="AQ28" s="111"/>
    </row>
    <row r="29" spans="1:43">
      <c r="A29" s="497" t="s">
        <v>1</v>
      </c>
      <c r="B29" s="497"/>
      <c r="C29" s="497"/>
      <c r="D29" s="497"/>
      <c r="E29" s="497"/>
      <c r="F29" s="719"/>
      <c r="G29" s="719"/>
      <c r="H29" s="104"/>
      <c r="I29" s="719"/>
      <c r="J29" s="719"/>
      <c r="K29" s="719"/>
      <c r="L29" s="719"/>
      <c r="M29" s="104"/>
      <c r="N29" s="719"/>
      <c r="O29" s="719"/>
      <c r="P29" s="104"/>
      <c r="Q29" s="719"/>
      <c r="R29" s="719"/>
      <c r="S29" s="719"/>
      <c r="T29" s="104"/>
      <c r="U29" s="719"/>
      <c r="V29" s="719"/>
      <c r="W29" s="492"/>
      <c r="X29" s="719"/>
      <c r="Y29" s="719"/>
      <c r="Z29" s="719"/>
      <c r="AA29" s="719"/>
      <c r="AB29" s="104"/>
      <c r="AC29" s="719"/>
      <c r="AD29" s="719"/>
      <c r="AE29" s="102"/>
      <c r="AF29" s="719"/>
      <c r="AG29" s="719"/>
      <c r="AH29" s="452"/>
      <c r="AI29" s="719"/>
      <c r="AJ29" s="719"/>
      <c r="AK29" s="104"/>
      <c r="AL29" s="719"/>
      <c r="AM29" s="719"/>
      <c r="AN29" s="719"/>
      <c r="AO29" s="719"/>
      <c r="AP29" s="864"/>
      <c r="AQ29" s="111"/>
    </row>
    <row r="30" ht="40.5" spans="1:39">
      <c r="A30" s="720"/>
      <c r="B30" s="696" t="s">
        <v>25</v>
      </c>
      <c r="C30" s="697"/>
      <c r="D30" s="697"/>
      <c r="E30" s="697"/>
      <c r="F30" s="721"/>
      <c r="G30" s="722" t="s">
        <v>28</v>
      </c>
      <c r="H30" s="721"/>
      <c r="I30" s="721"/>
      <c r="J30" s="721"/>
      <c r="K30" s="782"/>
      <c r="L30" s="783" t="s">
        <v>29</v>
      </c>
      <c r="M30" s="784"/>
      <c r="N30" s="784"/>
      <c r="O30" s="785"/>
      <c r="P30" s="722" t="s">
        <v>30</v>
      </c>
      <c r="Q30" s="721"/>
      <c r="R30" s="721"/>
      <c r="S30" s="722" t="s">
        <v>31</v>
      </c>
      <c r="T30" s="721"/>
      <c r="U30" s="721"/>
      <c r="V30" s="808" t="s">
        <v>32</v>
      </c>
      <c r="W30" s="808"/>
      <c r="X30" s="808"/>
      <c r="Y30" s="808" t="s">
        <v>33</v>
      </c>
      <c r="Z30" s="808"/>
      <c r="AA30" s="808"/>
      <c r="AB30" s="808" t="s">
        <v>34</v>
      </c>
      <c r="AC30" s="808"/>
      <c r="AD30" s="808"/>
      <c r="AE30" s="808" t="s">
        <v>35</v>
      </c>
      <c r="AF30" s="808"/>
      <c r="AG30" s="808"/>
      <c r="AH30" s="852" t="s">
        <v>54</v>
      </c>
      <c r="AI30" s="853"/>
      <c r="AJ30" s="853"/>
      <c r="AK30" s="854"/>
      <c r="AL30" s="855" t="s">
        <v>55</v>
      </c>
      <c r="AM30" s="856"/>
    </row>
    <row r="31" ht="24" spans="1:39">
      <c r="A31" s="723"/>
      <c r="B31" s="196" t="s">
        <v>11</v>
      </c>
      <c r="C31" s="196" t="s">
        <v>37</v>
      </c>
      <c r="D31" s="196" t="s">
        <v>38</v>
      </c>
      <c r="E31" s="413" t="s">
        <v>39</v>
      </c>
      <c r="F31" s="413" t="s">
        <v>40</v>
      </c>
      <c r="G31" s="196" t="s">
        <v>11</v>
      </c>
      <c r="H31" s="196" t="s">
        <v>37</v>
      </c>
      <c r="I31" s="196" t="s">
        <v>38</v>
      </c>
      <c r="J31" s="432" t="s">
        <v>41</v>
      </c>
      <c r="K31" s="432" t="s">
        <v>40</v>
      </c>
      <c r="L31" s="196" t="s">
        <v>11</v>
      </c>
      <c r="M31" s="196" t="s">
        <v>37</v>
      </c>
      <c r="N31" s="196" t="s">
        <v>38</v>
      </c>
      <c r="O31" s="432" t="s">
        <v>41</v>
      </c>
      <c r="P31" s="196" t="s">
        <v>11</v>
      </c>
      <c r="Q31" s="196" t="s">
        <v>37</v>
      </c>
      <c r="R31" s="196" t="s">
        <v>38</v>
      </c>
      <c r="S31" s="432" t="s">
        <v>11</v>
      </c>
      <c r="T31" s="196" t="s">
        <v>37</v>
      </c>
      <c r="U31" s="196" t="s">
        <v>38</v>
      </c>
      <c r="V31" s="196" t="s">
        <v>11</v>
      </c>
      <c r="W31" s="196" t="s">
        <v>37</v>
      </c>
      <c r="X31" s="196" t="s">
        <v>38</v>
      </c>
      <c r="Y31" s="196" t="s">
        <v>11</v>
      </c>
      <c r="Z31" s="196" t="s">
        <v>37</v>
      </c>
      <c r="AA31" s="196" t="s">
        <v>38</v>
      </c>
      <c r="AB31" s="196" t="s">
        <v>11</v>
      </c>
      <c r="AC31" s="196" t="s">
        <v>37</v>
      </c>
      <c r="AD31" s="196" t="s">
        <v>38</v>
      </c>
      <c r="AE31" s="196" t="s">
        <v>11</v>
      </c>
      <c r="AF31" s="196" t="s">
        <v>37</v>
      </c>
      <c r="AG31" s="196" t="s">
        <v>38</v>
      </c>
      <c r="AH31" s="432" t="s">
        <v>42</v>
      </c>
      <c r="AI31" s="432" t="s">
        <v>43</v>
      </c>
      <c r="AJ31" s="432" t="s">
        <v>44</v>
      </c>
      <c r="AK31" s="432" t="s">
        <v>45</v>
      </c>
      <c r="AL31" s="857" t="s">
        <v>56</v>
      </c>
      <c r="AM31" s="858" t="s">
        <v>57</v>
      </c>
    </row>
    <row r="32" spans="1:71">
      <c r="A32" s="698" t="s">
        <v>51</v>
      </c>
      <c r="B32" s="724">
        <v>3023</v>
      </c>
      <c r="C32" s="724">
        <v>47146</v>
      </c>
      <c r="D32" s="724">
        <v>157655</v>
      </c>
      <c r="E32" s="724">
        <v>2008.59411180946</v>
      </c>
      <c r="F32" s="724">
        <v>2944</v>
      </c>
      <c r="G32" s="711">
        <v>439</v>
      </c>
      <c r="H32" s="711">
        <v>4082</v>
      </c>
      <c r="I32" s="711">
        <v>14519</v>
      </c>
      <c r="J32" s="724">
        <v>2120</v>
      </c>
      <c r="K32" s="708">
        <v>1335</v>
      </c>
      <c r="L32" s="724">
        <v>557</v>
      </c>
      <c r="M32" s="724">
        <v>8166</v>
      </c>
      <c r="N32" s="724">
        <v>17824</v>
      </c>
      <c r="O32" s="724">
        <v>3250</v>
      </c>
      <c r="P32" s="708"/>
      <c r="Q32" s="733"/>
      <c r="R32" s="806"/>
      <c r="S32" s="807"/>
      <c r="T32" s="196"/>
      <c r="U32" s="196"/>
      <c r="V32" s="809">
        <v>1168</v>
      </c>
      <c r="W32" s="809">
        <v>1127.54497354497</v>
      </c>
      <c r="X32" s="809">
        <v>1150.16544728573</v>
      </c>
      <c r="Y32" s="809">
        <v>1191</v>
      </c>
      <c r="Z32" s="809">
        <v>1236.52842508162</v>
      </c>
      <c r="AA32" s="809">
        <v>1375.76308307804</v>
      </c>
      <c r="AB32" s="809">
        <v>990</v>
      </c>
      <c r="AC32" s="809">
        <v>997.557492562242</v>
      </c>
      <c r="AD32" s="809">
        <v>983.456380658372</v>
      </c>
      <c r="AE32" s="809">
        <v>169</v>
      </c>
      <c r="AF32" s="809">
        <v>167.733080536562</v>
      </c>
      <c r="AG32" s="809">
        <v>165.141674896357</v>
      </c>
      <c r="AH32" s="859">
        <v>17420</v>
      </c>
      <c r="AI32" s="859">
        <v>1551</v>
      </c>
      <c r="AJ32" s="859">
        <v>0</v>
      </c>
      <c r="AK32" s="859">
        <v>0</v>
      </c>
      <c r="AL32" s="306">
        <v>2844</v>
      </c>
      <c r="AM32" s="514">
        <v>483</v>
      </c>
      <c r="AN32" s="817"/>
      <c r="AO32" s="874"/>
      <c r="AP32" s="875"/>
      <c r="AQ32" s="817"/>
      <c r="AR32" s="817"/>
      <c r="AS32" s="817"/>
      <c r="AT32" s="817"/>
      <c r="AU32" s="875"/>
      <c r="AV32" s="817"/>
      <c r="AW32" s="196"/>
      <c r="AX32" s="432"/>
      <c r="AY32" s="877"/>
      <c r="AZ32" s="196"/>
      <c r="BA32" s="196"/>
      <c r="BB32" s="878"/>
      <c r="BC32" s="878"/>
      <c r="BD32" s="878"/>
      <c r="BE32" s="878"/>
      <c r="BF32" s="878"/>
      <c r="BG32" s="878"/>
      <c r="BH32" s="878"/>
      <c r="BI32" s="878"/>
      <c r="BJ32" s="878"/>
      <c r="BK32" s="878"/>
      <c r="BL32" s="878"/>
      <c r="BM32" s="878"/>
      <c r="BN32" s="859"/>
      <c r="BO32" s="859"/>
      <c r="BP32" s="859"/>
      <c r="BQ32" s="859"/>
      <c r="BR32" s="857"/>
      <c r="BS32" s="858"/>
    </row>
    <row r="33" spans="1:71">
      <c r="A33" s="698" t="s">
        <v>52</v>
      </c>
      <c r="B33" s="724">
        <v>3014</v>
      </c>
      <c r="C33" s="724">
        <v>44150</v>
      </c>
      <c r="D33" s="724">
        <v>71455</v>
      </c>
      <c r="E33" s="724">
        <v>2008.5600530856</v>
      </c>
      <c r="F33" s="724">
        <v>2807</v>
      </c>
      <c r="G33" s="711">
        <v>425</v>
      </c>
      <c r="H33" s="712">
        <v>3826</v>
      </c>
      <c r="I33" s="712">
        <v>7222</v>
      </c>
      <c r="J33" s="104">
        <v>2120</v>
      </c>
      <c r="K33" s="781">
        <v>1305</v>
      </c>
      <c r="L33" s="724">
        <v>557</v>
      </c>
      <c r="M33" s="786">
        <v>5377</v>
      </c>
      <c r="N33" s="786">
        <v>9214</v>
      </c>
      <c r="O33" s="786">
        <v>3250</v>
      </c>
      <c r="P33" s="708"/>
      <c r="Q33" s="733"/>
      <c r="R33" s="806"/>
      <c r="S33" s="807"/>
      <c r="T33" s="196"/>
      <c r="U33" s="196"/>
      <c r="V33" s="810">
        <v>1168</v>
      </c>
      <c r="W33" s="810">
        <v>1122</v>
      </c>
      <c r="X33" s="729">
        <v>1133</v>
      </c>
      <c r="Y33" s="810">
        <v>1191</v>
      </c>
      <c r="Z33" s="810">
        <v>1174</v>
      </c>
      <c r="AA33" s="729">
        <v>1240</v>
      </c>
      <c r="AB33" s="810">
        <v>990</v>
      </c>
      <c r="AC33" s="810">
        <v>999</v>
      </c>
      <c r="AD33" s="729">
        <v>999</v>
      </c>
      <c r="AE33" s="810">
        <v>169</v>
      </c>
      <c r="AF33" s="810">
        <v>169</v>
      </c>
      <c r="AG33" s="729">
        <v>178</v>
      </c>
      <c r="AH33" s="860">
        <v>11899</v>
      </c>
      <c r="AI33" s="860">
        <v>1551</v>
      </c>
      <c r="AJ33" s="861"/>
      <c r="AK33" s="860"/>
      <c r="AL33" s="862">
        <v>1717</v>
      </c>
      <c r="AM33" s="225">
        <v>483</v>
      </c>
      <c r="AN33" s="196"/>
      <c r="AO33" s="196"/>
      <c r="AP33" s="79"/>
      <c r="AQ33" s="79"/>
      <c r="AR33" s="817"/>
      <c r="AS33" s="196"/>
      <c r="AT33" s="196"/>
      <c r="AU33" s="80"/>
      <c r="AV33" s="817"/>
      <c r="AW33" s="196"/>
      <c r="AX33" s="432"/>
      <c r="AY33" s="877"/>
      <c r="AZ33" s="196"/>
      <c r="BA33" s="196"/>
      <c r="BB33" s="860"/>
      <c r="BC33" s="860"/>
      <c r="BD33" s="879"/>
      <c r="BE33" s="860"/>
      <c r="BF33" s="860"/>
      <c r="BG33" s="879"/>
      <c r="BH33" s="860"/>
      <c r="BI33" s="860"/>
      <c r="BJ33" s="879"/>
      <c r="BK33" s="860"/>
      <c r="BL33" s="860"/>
      <c r="BM33" s="879"/>
      <c r="BN33" s="860"/>
      <c r="BO33" s="860"/>
      <c r="BP33" s="860"/>
      <c r="BQ33" s="860"/>
      <c r="BR33" s="306"/>
      <c r="BS33" s="858"/>
    </row>
    <row r="34" spans="1:71">
      <c r="A34" s="529" t="s">
        <v>53</v>
      </c>
      <c r="B34" s="711">
        <v>9</v>
      </c>
      <c r="C34" s="712">
        <v>2996</v>
      </c>
      <c r="D34" s="712">
        <v>86200</v>
      </c>
      <c r="E34" s="725">
        <v>2020</v>
      </c>
      <c r="F34" s="726">
        <v>137</v>
      </c>
      <c r="G34" s="727">
        <v>14</v>
      </c>
      <c r="H34" s="728">
        <v>256</v>
      </c>
      <c r="I34" s="632">
        <v>7297</v>
      </c>
      <c r="J34" s="730">
        <v>2120</v>
      </c>
      <c r="K34" s="728">
        <v>30</v>
      </c>
      <c r="L34" s="724">
        <v>0</v>
      </c>
      <c r="M34" s="728">
        <v>2789</v>
      </c>
      <c r="N34" s="728">
        <v>8610</v>
      </c>
      <c r="O34" s="728"/>
      <c r="P34" s="708"/>
      <c r="Q34" s="730"/>
      <c r="R34" s="730"/>
      <c r="S34" s="807"/>
      <c r="T34" s="431"/>
      <c r="U34" s="431"/>
      <c r="V34" s="810">
        <v>0</v>
      </c>
      <c r="W34" s="431">
        <v>1169</v>
      </c>
      <c r="X34" s="729">
        <v>1166</v>
      </c>
      <c r="Y34" s="810">
        <v>0</v>
      </c>
      <c r="Z34" s="810">
        <v>1704</v>
      </c>
      <c r="AA34" s="729">
        <v>1501</v>
      </c>
      <c r="AB34" s="810">
        <v>0</v>
      </c>
      <c r="AC34" s="810">
        <v>970</v>
      </c>
      <c r="AD34" s="729">
        <v>970</v>
      </c>
      <c r="AE34" s="810">
        <v>0</v>
      </c>
      <c r="AF34" s="810">
        <v>143.53</v>
      </c>
      <c r="AG34" s="729">
        <v>154.01</v>
      </c>
      <c r="AH34" s="810">
        <v>5521</v>
      </c>
      <c r="AI34" s="860">
        <v>0</v>
      </c>
      <c r="AJ34" s="810">
        <v>0</v>
      </c>
      <c r="AK34" s="810">
        <v>0</v>
      </c>
      <c r="AL34" s="862">
        <v>1127</v>
      </c>
      <c r="AM34" s="862">
        <v>0</v>
      </c>
      <c r="AN34" s="431"/>
      <c r="AO34" s="196"/>
      <c r="AP34" s="431"/>
      <c r="AQ34" s="431"/>
      <c r="AR34" s="876"/>
      <c r="AS34" s="431"/>
      <c r="AT34" s="431"/>
      <c r="AU34" s="431"/>
      <c r="AV34" s="876"/>
      <c r="AW34" s="431"/>
      <c r="AX34" s="431"/>
      <c r="AY34" s="876"/>
      <c r="AZ34" s="431"/>
      <c r="BA34" s="431"/>
      <c r="BB34" s="835"/>
      <c r="BC34" s="810"/>
      <c r="BD34" s="879"/>
      <c r="BE34" s="810"/>
      <c r="BF34" s="860"/>
      <c r="BG34" s="879"/>
      <c r="BH34" s="810"/>
      <c r="BI34" s="810"/>
      <c r="BJ34" s="879"/>
      <c r="BK34" s="810"/>
      <c r="BL34" s="810"/>
      <c r="BM34" s="879"/>
      <c r="BN34" s="810"/>
      <c r="BO34" s="860"/>
      <c r="BP34" s="810"/>
      <c r="BQ34" s="810"/>
      <c r="BR34" s="880"/>
      <c r="BS34" s="881"/>
    </row>
    <row r="35" spans="1:39">
      <c r="A35" s="729" t="s">
        <v>58</v>
      </c>
      <c r="B35" s="727">
        <v>1724</v>
      </c>
      <c r="C35" s="728">
        <v>20252</v>
      </c>
      <c r="D35" s="728">
        <v>41553</v>
      </c>
      <c r="E35" s="730">
        <v>2000</v>
      </c>
      <c r="F35" s="728">
        <v>511</v>
      </c>
      <c r="G35" s="731"/>
      <c r="H35" s="730"/>
      <c r="I35" s="196"/>
      <c r="J35" s="730"/>
      <c r="K35" s="730"/>
      <c r="L35" s="708"/>
      <c r="M35" s="730"/>
      <c r="N35" s="730"/>
      <c r="O35" s="730"/>
      <c r="P35" s="708"/>
      <c r="Q35" s="730"/>
      <c r="R35" s="730"/>
      <c r="S35" s="807"/>
      <c r="T35" s="431"/>
      <c r="U35" s="431"/>
      <c r="V35" s="431"/>
      <c r="W35" s="431"/>
      <c r="X35" s="514"/>
      <c r="Y35" s="431"/>
      <c r="Z35" s="431"/>
      <c r="AA35" s="836"/>
      <c r="AB35" s="431" t="s">
        <v>48</v>
      </c>
      <c r="AC35" s="431"/>
      <c r="AD35" s="225"/>
      <c r="AE35" s="431"/>
      <c r="AF35" s="431"/>
      <c r="AG35" s="514"/>
      <c r="AH35" s="431"/>
      <c r="AI35" s="863" t="s">
        <v>48</v>
      </c>
      <c r="AJ35" s="529" t="s">
        <v>59</v>
      </c>
      <c r="AK35" s="431"/>
      <c r="AL35" s="110"/>
      <c r="AM35" s="110"/>
    </row>
    <row r="36" spans="1:39">
      <c r="A36" s="729" t="s">
        <v>60</v>
      </c>
      <c r="B36" s="731">
        <v>0</v>
      </c>
      <c r="C36" s="712">
        <v>0</v>
      </c>
      <c r="D36" s="712">
        <v>0</v>
      </c>
      <c r="E36" s="730"/>
      <c r="F36" s="730"/>
      <c r="G36" s="731"/>
      <c r="H36" s="730"/>
      <c r="I36" s="196"/>
      <c r="J36" s="730"/>
      <c r="K36" s="730"/>
      <c r="L36" s="708"/>
      <c r="M36" s="730"/>
      <c r="N36" s="730"/>
      <c r="O36" s="730"/>
      <c r="P36" s="708"/>
      <c r="Q36" s="730"/>
      <c r="R36" s="730"/>
      <c r="S36" s="807"/>
      <c r="T36" s="431"/>
      <c r="U36" s="431"/>
      <c r="V36" s="431"/>
      <c r="W36" s="431"/>
      <c r="X36" s="514"/>
      <c r="Y36" s="431"/>
      <c r="Z36" s="431"/>
      <c r="AA36" s="836"/>
      <c r="AB36" s="431"/>
      <c r="AC36" s="431"/>
      <c r="AD36" s="225"/>
      <c r="AE36" s="431"/>
      <c r="AF36" s="431"/>
      <c r="AG36" s="514"/>
      <c r="AH36" s="431"/>
      <c r="AI36" s="863"/>
      <c r="AJ36" s="529"/>
      <c r="AK36" s="431"/>
      <c r="AL36" s="111"/>
      <c r="AM36" s="111"/>
    </row>
    <row r="37" spans="1:39">
      <c r="A37" s="729" t="s">
        <v>61</v>
      </c>
      <c r="B37" s="727">
        <v>1290</v>
      </c>
      <c r="C37" s="728">
        <v>23898</v>
      </c>
      <c r="D37" s="728">
        <v>29902</v>
      </c>
      <c r="E37" s="730">
        <v>2020</v>
      </c>
      <c r="F37" s="728">
        <v>2296</v>
      </c>
      <c r="G37" s="731"/>
      <c r="H37" s="730"/>
      <c r="I37" s="196"/>
      <c r="J37" s="730"/>
      <c r="K37" s="730"/>
      <c r="L37" s="708"/>
      <c r="M37" s="730"/>
      <c r="N37" s="730"/>
      <c r="O37" s="730"/>
      <c r="P37" s="708"/>
      <c r="Q37" s="730"/>
      <c r="R37" s="730"/>
      <c r="S37" s="807"/>
      <c r="T37" s="431"/>
      <c r="U37" s="431"/>
      <c r="V37" s="431"/>
      <c r="W37" s="431"/>
      <c r="X37" s="301"/>
      <c r="Y37" s="431"/>
      <c r="Z37" s="431"/>
      <c r="AA37" s="301"/>
      <c r="AB37" s="431"/>
      <c r="AC37" s="431"/>
      <c r="AD37" s="301"/>
      <c r="AE37" s="431"/>
      <c r="AF37" s="431"/>
      <c r="AG37" s="301"/>
      <c r="AH37" s="431"/>
      <c r="AI37" s="863"/>
      <c r="AJ37" s="431"/>
      <c r="AK37" s="431"/>
      <c r="AL37" s="111"/>
      <c r="AM37" s="849"/>
    </row>
    <row r="38" ht="27" spans="1:39">
      <c r="A38" s="732" t="s">
        <v>62</v>
      </c>
      <c r="B38" s="731">
        <v>0</v>
      </c>
      <c r="C38" s="730">
        <v>0</v>
      </c>
      <c r="D38" s="733">
        <v>0</v>
      </c>
      <c r="E38" s="730"/>
      <c r="F38" s="730"/>
      <c r="G38" s="731"/>
      <c r="H38" s="730"/>
      <c r="I38" s="196"/>
      <c r="J38" s="730"/>
      <c r="K38" s="730"/>
      <c r="L38" s="708"/>
      <c r="M38" s="730"/>
      <c r="N38" s="730"/>
      <c r="O38" s="730"/>
      <c r="P38" s="708"/>
      <c r="Q38" s="730"/>
      <c r="R38" s="730"/>
      <c r="S38" s="807"/>
      <c r="T38" s="431"/>
      <c r="U38" s="431"/>
      <c r="V38" s="431"/>
      <c r="W38" s="431"/>
      <c r="X38" s="514"/>
      <c r="Y38" s="431"/>
      <c r="Z38" s="431"/>
      <c r="AA38" s="301"/>
      <c r="AB38" s="431"/>
      <c r="AC38" s="431"/>
      <c r="AD38" s="301"/>
      <c r="AE38" s="431"/>
      <c r="AF38" s="431"/>
      <c r="AG38" s="301"/>
      <c r="AH38" s="431"/>
      <c r="AI38" s="431"/>
      <c r="AJ38" s="431"/>
      <c r="AK38" s="431"/>
      <c r="AL38" s="111"/>
      <c r="AM38" s="849"/>
    </row>
    <row r="39" spans="1:39">
      <c r="A39" s="729" t="s">
        <v>63</v>
      </c>
      <c r="B39" s="731">
        <v>0</v>
      </c>
      <c r="C39" s="730">
        <v>0</v>
      </c>
      <c r="D39" s="733">
        <v>0</v>
      </c>
      <c r="E39" s="730"/>
      <c r="F39" s="730"/>
      <c r="G39" s="731"/>
      <c r="H39" s="730"/>
      <c r="I39" s="733"/>
      <c r="J39" s="730"/>
      <c r="K39" s="730"/>
      <c r="L39" s="708"/>
      <c r="M39" s="730"/>
      <c r="N39" s="730"/>
      <c r="O39" s="730"/>
      <c r="P39" s="708"/>
      <c r="Q39" s="730"/>
      <c r="R39" s="730"/>
      <c r="S39" s="807"/>
      <c r="T39" s="431"/>
      <c r="U39" s="431"/>
      <c r="V39" s="431"/>
      <c r="W39" s="431"/>
      <c r="X39" s="514"/>
      <c r="Y39" s="431"/>
      <c r="Z39" s="431"/>
      <c r="AA39" s="836"/>
      <c r="AB39" s="431"/>
      <c r="AC39" s="431"/>
      <c r="AD39" s="225"/>
      <c r="AE39" s="431"/>
      <c r="AF39" s="431"/>
      <c r="AG39" s="514"/>
      <c r="AH39" s="431"/>
      <c r="AI39" s="431"/>
      <c r="AJ39" s="431"/>
      <c r="AK39" s="431"/>
      <c r="AL39" s="864"/>
      <c r="AM39" s="111"/>
    </row>
    <row r="40" ht="24" spans="1:31">
      <c r="A40" s="734"/>
      <c r="B40" s="406" t="s">
        <v>64</v>
      </c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406"/>
      <c r="AC40" s="406"/>
      <c r="AD40" s="406"/>
      <c r="AE40" s="406"/>
    </row>
    <row r="41" ht="15" spans="1:31">
      <c r="A41" s="735" t="s">
        <v>65</v>
      </c>
      <c r="B41" s="736"/>
      <c r="C41" s="735"/>
      <c r="D41" s="735"/>
      <c r="E41" s="735"/>
      <c r="F41" s="735"/>
      <c r="G41" s="737"/>
      <c r="H41" s="737"/>
      <c r="I41" s="737"/>
      <c r="J41" s="737"/>
      <c r="K41" s="737"/>
      <c r="L41" s="703" t="s">
        <v>3</v>
      </c>
      <c r="M41" s="703"/>
      <c r="N41" s="703"/>
      <c r="O41" s="703"/>
      <c r="P41" s="703"/>
      <c r="Q41" s="703"/>
      <c r="R41" s="703"/>
      <c r="S41" s="703"/>
      <c r="T41" s="703"/>
      <c r="U41" s="703"/>
      <c r="V41" s="795"/>
      <c r="W41" s="795"/>
      <c r="X41" s="795"/>
      <c r="Y41" s="795"/>
      <c r="Z41" s="795"/>
      <c r="AA41" s="828" t="s">
        <v>4</v>
      </c>
      <c r="AB41" s="828"/>
      <c r="AC41" s="827">
        <v>43590</v>
      </c>
      <c r="AD41" s="828"/>
      <c r="AE41" s="828"/>
    </row>
    <row r="42" ht="28.5" spans="1:31">
      <c r="A42" s="738"/>
      <c r="B42" s="739" t="s">
        <v>5</v>
      </c>
      <c r="C42" s="740"/>
      <c r="D42" s="740"/>
      <c r="E42" s="740"/>
      <c r="F42" s="741"/>
      <c r="G42" s="742" t="s">
        <v>6</v>
      </c>
      <c r="H42" s="743"/>
      <c r="I42" s="743"/>
      <c r="J42" s="743"/>
      <c r="K42" s="787"/>
      <c r="L42" s="788" t="s">
        <v>7</v>
      </c>
      <c r="M42" s="789"/>
      <c r="N42" s="789"/>
      <c r="O42" s="789"/>
      <c r="P42" s="790"/>
      <c r="Q42" s="811" t="s">
        <v>8</v>
      </c>
      <c r="R42" s="812"/>
      <c r="S42" s="812"/>
      <c r="T42" s="812"/>
      <c r="U42" s="813"/>
      <c r="V42" s="814" t="s">
        <v>9</v>
      </c>
      <c r="W42" s="815"/>
      <c r="X42" s="815"/>
      <c r="Y42" s="815"/>
      <c r="Z42" s="838"/>
      <c r="AA42" s="839" t="s">
        <v>66</v>
      </c>
      <c r="AB42" s="840"/>
      <c r="AC42" s="840"/>
      <c r="AD42" s="840"/>
      <c r="AE42" s="841"/>
    </row>
    <row r="43" ht="29.25" spans="1:31">
      <c r="A43" s="744"/>
      <c r="B43" s="745" t="s">
        <v>11</v>
      </c>
      <c r="C43" s="746" t="s">
        <v>12</v>
      </c>
      <c r="D43" s="746" t="s">
        <v>13</v>
      </c>
      <c r="E43" s="746" t="s">
        <v>14</v>
      </c>
      <c r="F43" s="747" t="s">
        <v>15</v>
      </c>
      <c r="G43" s="748" t="s">
        <v>11</v>
      </c>
      <c r="H43" s="746" t="s">
        <v>12</v>
      </c>
      <c r="I43" s="746" t="s">
        <v>13</v>
      </c>
      <c r="J43" s="746" t="s">
        <v>14</v>
      </c>
      <c r="K43" s="747" t="s">
        <v>15</v>
      </c>
      <c r="L43" s="748" t="s">
        <v>11</v>
      </c>
      <c r="M43" s="746" t="s">
        <v>12</v>
      </c>
      <c r="N43" s="746" t="s">
        <v>13</v>
      </c>
      <c r="O43" s="746" t="s">
        <v>14</v>
      </c>
      <c r="P43" s="747" t="s">
        <v>15</v>
      </c>
      <c r="Q43" s="748" t="s">
        <v>11</v>
      </c>
      <c r="R43" s="746" t="s">
        <v>12</v>
      </c>
      <c r="S43" s="746" t="s">
        <v>13</v>
      </c>
      <c r="T43" s="746" t="s">
        <v>14</v>
      </c>
      <c r="U43" s="747" t="s">
        <v>15</v>
      </c>
      <c r="V43" s="748" t="s">
        <v>11</v>
      </c>
      <c r="W43" s="746" t="s">
        <v>12</v>
      </c>
      <c r="X43" s="746" t="s">
        <v>13</v>
      </c>
      <c r="Y43" s="746" t="s">
        <v>14</v>
      </c>
      <c r="Z43" s="747" t="s">
        <v>15</v>
      </c>
      <c r="AA43" s="748" t="s">
        <v>11</v>
      </c>
      <c r="AB43" s="746" t="s">
        <v>12</v>
      </c>
      <c r="AC43" s="746" t="s">
        <v>13</v>
      </c>
      <c r="AD43" s="746" t="s">
        <v>14</v>
      </c>
      <c r="AE43" s="747" t="s">
        <v>15</v>
      </c>
    </row>
    <row r="44" spans="1:39">
      <c r="A44" s="65"/>
      <c r="B44" s="749">
        <v>4019</v>
      </c>
      <c r="C44" s="750"/>
      <c r="D44" s="751">
        <v>61456</v>
      </c>
      <c r="E44" s="663"/>
      <c r="F44" s="751">
        <v>419996</v>
      </c>
      <c r="G44" s="223">
        <v>4019</v>
      </c>
      <c r="H44" s="752"/>
      <c r="I44" s="663">
        <v>61456</v>
      </c>
      <c r="J44" s="752"/>
      <c r="K44" s="663">
        <v>419996</v>
      </c>
      <c r="L44" s="197">
        <v>2645</v>
      </c>
      <c r="M44" s="750"/>
      <c r="N44" s="751">
        <v>28664</v>
      </c>
      <c r="O44" s="663"/>
      <c r="P44" s="197">
        <v>276476</v>
      </c>
      <c r="Q44" s="197"/>
      <c r="R44" s="816"/>
      <c r="S44" s="197"/>
      <c r="T44" s="663"/>
      <c r="U44" s="197"/>
      <c r="V44" s="197">
        <v>360</v>
      </c>
      <c r="W44" s="750"/>
      <c r="X44" s="197">
        <v>20975</v>
      </c>
      <c r="Y44" s="663"/>
      <c r="Z44" s="663">
        <v>86851</v>
      </c>
      <c r="AA44" s="842"/>
      <c r="AB44" s="750"/>
      <c r="AC44" s="197">
        <v>0</v>
      </c>
      <c r="AD44" s="663"/>
      <c r="AE44" s="663">
        <v>0</v>
      </c>
      <c r="AF44">
        <v>142</v>
      </c>
      <c r="AG44">
        <v>140</v>
      </c>
      <c r="AH44">
        <v>4466</v>
      </c>
      <c r="AI44">
        <v>0</v>
      </c>
      <c r="AJ44">
        <v>40204</v>
      </c>
      <c r="AK44">
        <v>5638</v>
      </c>
      <c r="AL44">
        <v>10517</v>
      </c>
      <c r="AM44">
        <v>2892</v>
      </c>
    </row>
    <row r="45" spans="1:39">
      <c r="A45" s="563" t="s">
        <v>67</v>
      </c>
      <c r="B45" s="223"/>
      <c r="C45" s="750"/>
      <c r="D45" s="751"/>
      <c r="E45" s="663"/>
      <c r="F45" s="751"/>
      <c r="G45" s="223"/>
      <c r="H45" s="752"/>
      <c r="I45" s="663"/>
      <c r="J45" s="752"/>
      <c r="K45" s="663"/>
      <c r="L45" s="197"/>
      <c r="M45" s="750"/>
      <c r="N45" s="751"/>
      <c r="O45" s="663"/>
      <c r="P45" s="197"/>
      <c r="Q45" s="197"/>
      <c r="R45" s="816"/>
      <c r="S45" s="197"/>
      <c r="T45" s="197"/>
      <c r="U45" s="197"/>
      <c r="V45" s="197"/>
      <c r="W45" s="750"/>
      <c r="X45" s="197"/>
      <c r="Y45" s="663"/>
      <c r="Z45" s="663"/>
      <c r="AA45" s="842"/>
      <c r="AB45" s="750"/>
      <c r="AC45" s="197"/>
      <c r="AD45" s="663"/>
      <c r="AE45" s="663"/>
      <c r="AH45">
        <v>2638</v>
      </c>
      <c r="AJ45">
        <v>5384</v>
      </c>
      <c r="AK45">
        <v>0</v>
      </c>
      <c r="AL45">
        <v>0</v>
      </c>
      <c r="AM45">
        <v>0</v>
      </c>
    </row>
    <row r="46" spans="1:39">
      <c r="A46" s="563" t="s">
        <v>68</v>
      </c>
      <c r="B46" s="223">
        <v>4019</v>
      </c>
      <c r="C46" s="750"/>
      <c r="D46" s="751"/>
      <c r="E46" s="663"/>
      <c r="F46" s="751"/>
      <c r="G46" s="223">
        <v>4019</v>
      </c>
      <c r="H46" s="752"/>
      <c r="I46" s="663"/>
      <c r="J46" s="752"/>
      <c r="K46" s="663"/>
      <c r="L46" s="197">
        <v>2645</v>
      </c>
      <c r="M46" s="750"/>
      <c r="N46" s="751"/>
      <c r="O46" s="663"/>
      <c r="P46" s="197"/>
      <c r="Q46" s="197"/>
      <c r="R46" s="816"/>
      <c r="S46" s="197"/>
      <c r="T46" s="663"/>
      <c r="U46" s="197"/>
      <c r="V46" s="197">
        <v>322</v>
      </c>
      <c r="W46" s="750"/>
      <c r="X46" s="197"/>
      <c r="Y46" s="663"/>
      <c r="Z46" s="663"/>
      <c r="AA46" s="842"/>
      <c r="AB46" s="750"/>
      <c r="AC46" s="197"/>
      <c r="AD46" s="663"/>
      <c r="AE46" s="663"/>
      <c r="AF46">
        <v>142</v>
      </c>
      <c r="AJ46">
        <v>34398</v>
      </c>
      <c r="AK46">
        <v>5638</v>
      </c>
      <c r="AL46">
        <v>7481</v>
      </c>
      <c r="AM46">
        <v>2892</v>
      </c>
    </row>
    <row r="47" spans="1:39">
      <c r="A47" s="563" t="s">
        <v>69</v>
      </c>
      <c r="B47" s="223"/>
      <c r="C47" s="750"/>
      <c r="D47" s="751"/>
      <c r="E47" s="663"/>
      <c r="F47" s="751"/>
      <c r="G47" s="223"/>
      <c r="H47" s="752"/>
      <c r="I47" s="663"/>
      <c r="J47" s="752"/>
      <c r="K47" s="663"/>
      <c r="L47" s="197"/>
      <c r="M47" s="750"/>
      <c r="N47" s="751"/>
      <c r="O47" s="663"/>
      <c r="P47" s="197"/>
      <c r="Q47" s="197"/>
      <c r="R47" s="663"/>
      <c r="S47" s="197"/>
      <c r="T47" s="111"/>
      <c r="U47" s="197"/>
      <c r="V47" s="197"/>
      <c r="W47" s="750"/>
      <c r="X47" s="197"/>
      <c r="Y47" s="663"/>
      <c r="Z47" s="663"/>
      <c r="AA47" s="842"/>
      <c r="AB47" s="750"/>
      <c r="AC47" s="197"/>
      <c r="AD47" s="663"/>
      <c r="AE47" s="663"/>
      <c r="AF47">
        <v>0</v>
      </c>
      <c r="AH47">
        <v>0</v>
      </c>
      <c r="AI47">
        <v>0</v>
      </c>
      <c r="AJ47">
        <v>0</v>
      </c>
      <c r="AK47">
        <v>0</v>
      </c>
      <c r="AL47">
        <v>2505</v>
      </c>
      <c r="AM47">
        <v>0</v>
      </c>
    </row>
    <row r="48" spans="1:31">
      <c r="A48" s="753" t="s">
        <v>70</v>
      </c>
      <c r="B48" s="223"/>
      <c r="C48" s="750"/>
      <c r="D48" s="751"/>
      <c r="E48" s="663"/>
      <c r="F48" s="751"/>
      <c r="G48" s="223"/>
      <c r="H48" s="752"/>
      <c r="I48" s="663"/>
      <c r="J48" s="752"/>
      <c r="K48" s="663"/>
      <c r="L48" s="197"/>
      <c r="M48" s="750"/>
      <c r="N48" s="751"/>
      <c r="O48" s="663"/>
      <c r="P48" s="197"/>
      <c r="Q48" s="197"/>
      <c r="R48" s="816"/>
      <c r="S48" s="197"/>
      <c r="T48" s="663"/>
      <c r="U48" s="197"/>
      <c r="V48" s="197">
        <v>38</v>
      </c>
      <c r="W48" s="750"/>
      <c r="X48" s="197"/>
      <c r="Y48" s="663"/>
      <c r="Z48" s="663"/>
      <c r="AA48" s="842"/>
      <c r="AB48" s="750"/>
      <c r="AC48" s="197"/>
      <c r="AD48" s="663"/>
      <c r="AE48" s="663"/>
    </row>
    <row r="49" spans="1:31">
      <c r="A49" s="563" t="s">
        <v>71</v>
      </c>
      <c r="B49" s="223">
        <v>0</v>
      </c>
      <c r="C49" s="750"/>
      <c r="D49" s="751"/>
      <c r="E49" s="663"/>
      <c r="F49" s="751"/>
      <c r="G49" s="223">
        <v>0</v>
      </c>
      <c r="H49" s="752"/>
      <c r="I49" s="197"/>
      <c r="J49" s="752"/>
      <c r="K49" s="663"/>
      <c r="L49" s="197">
        <v>0</v>
      </c>
      <c r="M49" s="750"/>
      <c r="N49" s="751"/>
      <c r="O49" s="663"/>
      <c r="P49" s="197"/>
      <c r="Q49" s="197">
        <v>0</v>
      </c>
      <c r="R49" s="816"/>
      <c r="S49" s="197"/>
      <c r="T49" s="663"/>
      <c r="U49" s="197"/>
      <c r="V49" s="197"/>
      <c r="W49" s="750"/>
      <c r="X49" s="197"/>
      <c r="Y49" s="663"/>
      <c r="Z49" s="663"/>
      <c r="AA49" s="842"/>
      <c r="AB49" s="750"/>
      <c r="AC49" s="197"/>
      <c r="AD49" s="663"/>
      <c r="AE49" s="663"/>
    </row>
    <row r="50" spans="1:39">
      <c r="A50" s="431" t="s">
        <v>72</v>
      </c>
      <c r="B50" s="223">
        <v>0</v>
      </c>
      <c r="C50" s="750"/>
      <c r="D50" s="751"/>
      <c r="E50" s="663"/>
      <c r="F50" s="751"/>
      <c r="G50" s="223">
        <v>0</v>
      </c>
      <c r="H50" s="752"/>
      <c r="I50" s="197"/>
      <c r="J50" s="752"/>
      <c r="K50" s="663"/>
      <c r="L50" s="197">
        <v>0</v>
      </c>
      <c r="M50" s="750"/>
      <c r="N50" s="751"/>
      <c r="O50" s="663"/>
      <c r="P50" s="197"/>
      <c r="Q50" s="197">
        <v>0</v>
      </c>
      <c r="R50" s="196"/>
      <c r="S50" s="196"/>
      <c r="T50" s="196"/>
      <c r="U50" s="196"/>
      <c r="V50" s="817"/>
      <c r="W50" s="196"/>
      <c r="X50" s="196"/>
      <c r="Y50" s="196"/>
      <c r="Z50" s="196"/>
      <c r="AA50" s="817"/>
      <c r="AB50" s="196"/>
      <c r="AC50" s="196"/>
      <c r="AD50" s="196"/>
      <c r="AE50" s="196"/>
      <c r="AF50">
        <v>0</v>
      </c>
      <c r="AH50">
        <v>1828</v>
      </c>
      <c r="AI50">
        <v>0</v>
      </c>
      <c r="AJ50">
        <v>422</v>
      </c>
      <c r="AK50">
        <v>0</v>
      </c>
      <c r="AL50">
        <v>531</v>
      </c>
      <c r="AM50">
        <v>0</v>
      </c>
    </row>
    <row r="51" ht="24" spans="1:39">
      <c r="A51" s="406" t="s">
        <v>22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  <c r="AK51" s="406"/>
      <c r="AL51" s="445"/>
      <c r="AM51" s="111"/>
    </row>
    <row r="52" spans="1:39">
      <c r="A52" s="754" t="s">
        <v>65</v>
      </c>
      <c r="B52" s="755"/>
      <c r="C52" s="755"/>
      <c r="D52" s="755"/>
      <c r="E52" s="755"/>
      <c r="F52" s="755"/>
      <c r="G52" s="756"/>
      <c r="H52" s="756"/>
      <c r="I52" s="756"/>
      <c r="J52" s="756"/>
      <c r="K52" s="756"/>
      <c r="L52" s="756"/>
      <c r="M52" s="756"/>
      <c r="N52" s="756"/>
      <c r="O52" s="497" t="s">
        <v>23</v>
      </c>
      <c r="P52" s="497"/>
      <c r="Q52" s="497"/>
      <c r="R52" s="497"/>
      <c r="S52" s="497"/>
      <c r="T52" s="497"/>
      <c r="U52" s="497"/>
      <c r="V52" s="497"/>
      <c r="W52" s="497"/>
      <c r="X52" s="497"/>
      <c r="Y52" s="111"/>
      <c r="Z52" s="111"/>
      <c r="AA52" s="111"/>
      <c r="AB52" s="111"/>
      <c r="AC52" s="111"/>
      <c r="AD52" s="111"/>
      <c r="AE52" s="497" t="s">
        <v>4</v>
      </c>
      <c r="AF52" s="497"/>
      <c r="AG52" s="497"/>
      <c r="AH52" s="865" t="s">
        <v>24</v>
      </c>
      <c r="AI52" s="865"/>
      <c r="AJ52" s="865"/>
      <c r="AK52" s="865"/>
      <c r="AL52" s="111"/>
      <c r="AM52" s="111"/>
    </row>
    <row r="53" ht="40.5" spans="1:39">
      <c r="A53" s="695"/>
      <c r="B53" s="696" t="s">
        <v>25</v>
      </c>
      <c r="C53" s="697"/>
      <c r="D53" s="697"/>
      <c r="E53" s="697"/>
      <c r="F53" s="697"/>
      <c r="G53" s="696" t="s">
        <v>28</v>
      </c>
      <c r="H53" s="697"/>
      <c r="I53" s="697"/>
      <c r="J53" s="697"/>
      <c r="K53" s="777"/>
      <c r="L53" s="778" t="s">
        <v>29</v>
      </c>
      <c r="M53" s="779"/>
      <c r="N53" s="779"/>
      <c r="O53" s="791"/>
      <c r="P53" s="696" t="s">
        <v>30</v>
      </c>
      <c r="Q53" s="697"/>
      <c r="R53" s="697"/>
      <c r="S53" s="696" t="s">
        <v>73</v>
      </c>
      <c r="T53" s="697"/>
      <c r="U53" s="777"/>
      <c r="V53" s="561" t="s">
        <v>74</v>
      </c>
      <c r="W53" s="561"/>
      <c r="X53" s="561"/>
      <c r="Y53" s="561" t="s">
        <v>33</v>
      </c>
      <c r="Z53" s="561"/>
      <c r="AA53" s="561"/>
      <c r="AB53" s="561" t="s">
        <v>34</v>
      </c>
      <c r="AC53" s="561"/>
      <c r="AD53" s="561"/>
      <c r="AE53" s="561" t="s">
        <v>35</v>
      </c>
      <c r="AF53" s="561"/>
      <c r="AG53" s="561"/>
      <c r="AH53" s="866" t="s">
        <v>54</v>
      </c>
      <c r="AI53" s="867"/>
      <c r="AJ53" s="867"/>
      <c r="AK53" s="868"/>
      <c r="AL53" s="869" t="s">
        <v>55</v>
      </c>
      <c r="AM53" s="870"/>
    </row>
    <row r="54" ht="24" spans="1:39">
      <c r="A54" s="698"/>
      <c r="B54" s="196" t="s">
        <v>11</v>
      </c>
      <c r="C54" s="196" t="s">
        <v>37</v>
      </c>
      <c r="D54" s="196" t="s">
        <v>38</v>
      </c>
      <c r="E54" s="413" t="s">
        <v>39</v>
      </c>
      <c r="F54" s="413" t="s">
        <v>40</v>
      </c>
      <c r="G54" s="196" t="s">
        <v>11</v>
      </c>
      <c r="H54" s="196" t="s">
        <v>37</v>
      </c>
      <c r="I54" s="196" t="s">
        <v>38</v>
      </c>
      <c r="J54" s="432" t="s">
        <v>41</v>
      </c>
      <c r="K54" s="432" t="s">
        <v>40</v>
      </c>
      <c r="L54" s="196" t="s">
        <v>11</v>
      </c>
      <c r="M54" s="196" t="s">
        <v>37</v>
      </c>
      <c r="N54" s="196" t="s">
        <v>38</v>
      </c>
      <c r="O54" s="432" t="s">
        <v>41</v>
      </c>
      <c r="P54" s="196" t="s">
        <v>11</v>
      </c>
      <c r="Q54" s="196" t="s">
        <v>37</v>
      </c>
      <c r="R54" s="196" t="s">
        <v>38</v>
      </c>
      <c r="S54" s="432" t="s">
        <v>75</v>
      </c>
      <c r="T54" s="196" t="s">
        <v>76</v>
      </c>
      <c r="U54" s="196" t="s">
        <v>77</v>
      </c>
      <c r="V54" s="196" t="s">
        <v>11</v>
      </c>
      <c r="W54" s="196" t="s">
        <v>37</v>
      </c>
      <c r="X54" s="196" t="s">
        <v>38</v>
      </c>
      <c r="Y54" s="196" t="s">
        <v>11</v>
      </c>
      <c r="Z54" s="196" t="s">
        <v>37</v>
      </c>
      <c r="AA54" s="196" t="s">
        <v>38</v>
      </c>
      <c r="AB54" s="196" t="s">
        <v>11</v>
      </c>
      <c r="AC54" s="196" t="s">
        <v>37</v>
      </c>
      <c r="AD54" s="196" t="s">
        <v>38</v>
      </c>
      <c r="AE54" s="196" t="s">
        <v>11</v>
      </c>
      <c r="AF54" s="196" t="s">
        <v>37</v>
      </c>
      <c r="AG54" s="196" t="s">
        <v>38</v>
      </c>
      <c r="AH54" s="432" t="s">
        <v>42</v>
      </c>
      <c r="AI54" s="432" t="s">
        <v>43</v>
      </c>
      <c r="AJ54" s="432" t="s">
        <v>44</v>
      </c>
      <c r="AK54" s="432" t="s">
        <v>45</v>
      </c>
      <c r="AL54" s="432" t="s">
        <v>44</v>
      </c>
      <c r="AM54" s="432" t="s">
        <v>45</v>
      </c>
    </row>
    <row r="55" spans="1:39">
      <c r="A55" s="698"/>
      <c r="B55" s="757">
        <v>1680</v>
      </c>
      <c r="C55" s="758">
        <v>28146</v>
      </c>
      <c r="D55" s="758">
        <v>245058</v>
      </c>
      <c r="E55" s="759">
        <v>2045</v>
      </c>
      <c r="F55" s="760">
        <v>32549</v>
      </c>
      <c r="G55" s="757"/>
      <c r="H55" s="758">
        <v>0</v>
      </c>
      <c r="I55" s="758">
        <v>0</v>
      </c>
      <c r="J55" s="764"/>
      <c r="K55" s="792">
        <v>0</v>
      </c>
      <c r="L55" s="758">
        <v>1453.2</v>
      </c>
      <c r="M55" s="793">
        <v>23391.44</v>
      </c>
      <c r="N55" s="793">
        <v>137763.44</v>
      </c>
      <c r="O55" s="792">
        <v>3438.55</v>
      </c>
      <c r="P55" s="794">
        <v>1027.2</v>
      </c>
      <c r="Q55" s="758">
        <v>12556.36</v>
      </c>
      <c r="R55" s="758">
        <v>79136.36</v>
      </c>
      <c r="S55" s="758">
        <v>1866.6793029595</v>
      </c>
      <c r="T55" s="818">
        <v>1842.58</v>
      </c>
      <c r="U55" s="819">
        <v>1867.74</v>
      </c>
      <c r="V55" s="819">
        <v>1361</v>
      </c>
      <c r="W55" s="819">
        <v>1367</v>
      </c>
      <c r="X55" s="820">
        <v>1365</v>
      </c>
      <c r="Y55" s="819">
        <v>183</v>
      </c>
      <c r="Z55" s="819">
        <v>191</v>
      </c>
      <c r="AA55" s="820">
        <v>185</v>
      </c>
      <c r="AB55" s="819">
        <v>1033</v>
      </c>
      <c r="AC55" s="819">
        <v>1018</v>
      </c>
      <c r="AD55" s="820">
        <v>1031</v>
      </c>
      <c r="AE55" s="819">
        <v>156</v>
      </c>
      <c r="AF55" s="819">
        <v>144</v>
      </c>
      <c r="AG55" s="820">
        <v>140</v>
      </c>
      <c r="AH55" s="758">
        <v>4466</v>
      </c>
      <c r="AI55" s="758">
        <v>0</v>
      </c>
      <c r="AJ55" s="758">
        <v>42761</v>
      </c>
      <c r="AK55" s="758">
        <v>5722</v>
      </c>
      <c r="AL55" s="758">
        <v>8933</v>
      </c>
      <c r="AM55" s="758">
        <v>2656</v>
      </c>
    </row>
    <row r="56" ht="27" spans="1:39">
      <c r="A56" s="761" t="s">
        <v>78</v>
      </c>
      <c r="B56" s="762"/>
      <c r="C56" s="758"/>
      <c r="D56" s="758"/>
      <c r="E56" s="763"/>
      <c r="F56" s="764"/>
      <c r="G56" s="765"/>
      <c r="H56" s="758"/>
      <c r="I56" s="758"/>
      <c r="J56" s="764"/>
      <c r="K56" s="764"/>
      <c r="L56" s="767"/>
      <c r="M56" s="758"/>
      <c r="N56" s="758"/>
      <c r="O56" s="764"/>
      <c r="P56" s="767"/>
      <c r="Q56" s="758"/>
      <c r="R56" s="764"/>
      <c r="S56" s="821"/>
      <c r="T56" s="822"/>
      <c r="U56" s="822"/>
      <c r="V56" s="823"/>
      <c r="W56" s="758"/>
      <c r="X56" s="758"/>
      <c r="Y56" s="823"/>
      <c r="Z56" s="758"/>
      <c r="AA56" s="758"/>
      <c r="AB56" s="823"/>
      <c r="AC56" s="758"/>
      <c r="AD56" s="758"/>
      <c r="AE56" s="823"/>
      <c r="AF56" s="758"/>
      <c r="AG56" s="758"/>
      <c r="AH56" s="764">
        <v>2638</v>
      </c>
      <c r="AI56" s="764"/>
      <c r="AJ56" s="764">
        <v>5384</v>
      </c>
      <c r="AK56" s="764">
        <v>0</v>
      </c>
      <c r="AL56" s="764">
        <v>0</v>
      </c>
      <c r="AM56" s="822">
        <v>0</v>
      </c>
    </row>
    <row r="57" spans="1:39">
      <c r="A57" s="761" t="s">
        <v>68</v>
      </c>
      <c r="B57" s="766">
        <v>1680</v>
      </c>
      <c r="C57" s="758"/>
      <c r="D57" s="758"/>
      <c r="E57" s="763">
        <v>2045</v>
      </c>
      <c r="F57" s="764">
        <v>32549</v>
      </c>
      <c r="G57" s="767"/>
      <c r="H57" s="758"/>
      <c r="I57" s="758"/>
      <c r="J57" s="758"/>
      <c r="K57" s="764"/>
      <c r="L57" s="767">
        <v>1453.2</v>
      </c>
      <c r="M57" s="758"/>
      <c r="N57" s="758"/>
      <c r="O57" s="764">
        <v>3438.55</v>
      </c>
      <c r="P57" s="767">
        <v>0</v>
      </c>
      <c r="Q57" s="758"/>
      <c r="R57" s="764"/>
      <c r="S57" s="821"/>
      <c r="T57" s="822"/>
      <c r="U57" s="822"/>
      <c r="V57" s="823">
        <v>1361</v>
      </c>
      <c r="W57" s="758">
        <v>1367</v>
      </c>
      <c r="X57" s="758"/>
      <c r="Y57" s="823">
        <v>183</v>
      </c>
      <c r="Z57" s="758">
        <v>191</v>
      </c>
      <c r="AA57" s="758"/>
      <c r="AB57" s="823">
        <v>1033</v>
      </c>
      <c r="AC57" s="758">
        <v>1018</v>
      </c>
      <c r="AD57" s="758"/>
      <c r="AE57" s="823">
        <v>156</v>
      </c>
      <c r="AF57" s="758">
        <v>144</v>
      </c>
      <c r="AG57" s="758"/>
      <c r="AH57" s="764"/>
      <c r="AI57" s="764"/>
      <c r="AJ57" s="763">
        <v>36955</v>
      </c>
      <c r="AK57" s="763">
        <v>5722</v>
      </c>
      <c r="AL57" s="763">
        <v>5897</v>
      </c>
      <c r="AM57" s="871">
        <v>2656</v>
      </c>
    </row>
    <row r="58" ht="27" spans="1:39">
      <c r="A58" s="761" t="s">
        <v>79</v>
      </c>
      <c r="B58" s="767"/>
      <c r="C58" s="758"/>
      <c r="D58" s="758"/>
      <c r="E58" s="763"/>
      <c r="F58" s="764">
        <v>0</v>
      </c>
      <c r="G58" s="767"/>
      <c r="H58" s="758">
        <v>0</v>
      </c>
      <c r="I58" s="758"/>
      <c r="J58" s="758"/>
      <c r="K58" s="764"/>
      <c r="L58" s="767">
        <v>0</v>
      </c>
      <c r="M58" s="758"/>
      <c r="N58" s="758"/>
      <c r="O58" s="764">
        <v>0</v>
      </c>
      <c r="P58" s="767"/>
      <c r="Q58" s="758"/>
      <c r="R58" s="764"/>
      <c r="S58" s="821"/>
      <c r="T58" s="822"/>
      <c r="U58" s="822"/>
      <c r="V58" s="824">
        <v>0</v>
      </c>
      <c r="W58" s="822">
        <v>0</v>
      </c>
      <c r="X58" s="822"/>
      <c r="Y58" s="824">
        <v>0</v>
      </c>
      <c r="Z58" s="822">
        <v>0</v>
      </c>
      <c r="AA58" s="822"/>
      <c r="AB58" s="824">
        <v>0</v>
      </c>
      <c r="AC58" s="822">
        <v>0</v>
      </c>
      <c r="AD58" s="822"/>
      <c r="AE58" s="824">
        <v>0</v>
      </c>
      <c r="AF58" s="822">
        <v>0</v>
      </c>
      <c r="AG58" s="822"/>
      <c r="AH58" s="764">
        <v>0</v>
      </c>
      <c r="AI58" s="764">
        <v>0</v>
      </c>
      <c r="AJ58" s="764">
        <v>0</v>
      </c>
      <c r="AK58" s="764">
        <v>0</v>
      </c>
      <c r="AL58" s="764">
        <v>2505</v>
      </c>
      <c r="AM58" s="820">
        <v>0</v>
      </c>
    </row>
    <row r="59" spans="1:39">
      <c r="A59" s="753" t="s">
        <v>70</v>
      </c>
      <c r="B59" s="762"/>
      <c r="C59" s="758"/>
      <c r="D59" s="758"/>
      <c r="E59" s="763"/>
      <c r="F59" s="764"/>
      <c r="G59" s="767"/>
      <c r="H59" s="758"/>
      <c r="I59" s="758"/>
      <c r="J59" s="758"/>
      <c r="K59" s="764"/>
      <c r="L59" s="767"/>
      <c r="M59" s="758"/>
      <c r="N59" s="758"/>
      <c r="O59" s="764"/>
      <c r="P59" s="767">
        <v>1027.2</v>
      </c>
      <c r="Q59" s="758"/>
      <c r="R59" s="764"/>
      <c r="S59" s="821"/>
      <c r="T59" s="822"/>
      <c r="U59" s="822"/>
      <c r="V59" s="824"/>
      <c r="W59" s="822"/>
      <c r="X59" s="822"/>
      <c r="Y59" s="824"/>
      <c r="Z59" s="822"/>
      <c r="AA59" s="822"/>
      <c r="AB59" s="824"/>
      <c r="AC59" s="822"/>
      <c r="AD59" s="822"/>
      <c r="AE59" s="824"/>
      <c r="AF59" s="822"/>
      <c r="AG59" s="822"/>
      <c r="AH59" s="764"/>
      <c r="AI59" s="764"/>
      <c r="AJ59" s="764"/>
      <c r="AK59" s="764"/>
      <c r="AL59" s="872"/>
      <c r="AM59" s="822"/>
    </row>
    <row r="60" ht="27" spans="1:39">
      <c r="A60" s="753" t="s">
        <v>80</v>
      </c>
      <c r="B60" s="767">
        <v>0</v>
      </c>
      <c r="C60" s="758"/>
      <c r="D60" s="758"/>
      <c r="E60" s="763">
        <v>0</v>
      </c>
      <c r="F60" s="764">
        <v>0</v>
      </c>
      <c r="G60" s="765">
        <v>0</v>
      </c>
      <c r="H60" s="758"/>
      <c r="I60" s="758"/>
      <c r="J60" s="764"/>
      <c r="K60" s="764"/>
      <c r="L60" s="767"/>
      <c r="M60" s="758"/>
      <c r="N60" s="758"/>
      <c r="O60" s="764"/>
      <c r="P60" s="767"/>
      <c r="Q60" s="758"/>
      <c r="R60" s="764"/>
      <c r="S60" s="821"/>
      <c r="T60" s="822"/>
      <c r="U60" s="822"/>
      <c r="V60" s="824"/>
      <c r="W60" s="822"/>
      <c r="X60" s="822"/>
      <c r="Y60" s="824"/>
      <c r="Z60" s="822"/>
      <c r="AA60" s="822"/>
      <c r="AB60" s="824"/>
      <c r="AC60" s="822"/>
      <c r="AD60" s="822"/>
      <c r="AE60" s="824"/>
      <c r="AF60" s="822"/>
      <c r="AG60" s="822"/>
      <c r="AH60" s="764"/>
      <c r="AI60" s="764"/>
      <c r="AJ60" s="764"/>
      <c r="AK60" s="764"/>
      <c r="AL60" s="872"/>
      <c r="AM60" s="822"/>
    </row>
    <row r="61" ht="27" spans="1:39">
      <c r="A61" s="753" t="s">
        <v>81</v>
      </c>
      <c r="B61" s="762">
        <v>0</v>
      </c>
      <c r="C61" s="758"/>
      <c r="D61" s="758"/>
      <c r="E61" s="763">
        <v>0</v>
      </c>
      <c r="F61" s="764">
        <v>0</v>
      </c>
      <c r="G61" s="765"/>
      <c r="H61" s="758">
        <v>0</v>
      </c>
      <c r="I61" s="758"/>
      <c r="J61" s="764"/>
      <c r="K61" s="764"/>
      <c r="L61" s="767">
        <v>0</v>
      </c>
      <c r="M61" s="758"/>
      <c r="N61" s="758"/>
      <c r="O61" s="764">
        <v>0</v>
      </c>
      <c r="P61" s="767"/>
      <c r="Q61" s="758"/>
      <c r="R61" s="764"/>
      <c r="S61" s="825"/>
      <c r="T61" s="822"/>
      <c r="U61" s="822"/>
      <c r="V61" s="824">
        <v>0</v>
      </c>
      <c r="W61" s="822">
        <v>0</v>
      </c>
      <c r="X61" s="822"/>
      <c r="Y61" s="824">
        <v>0</v>
      </c>
      <c r="Z61" s="843">
        <v>0</v>
      </c>
      <c r="AA61" s="822"/>
      <c r="AB61" s="824">
        <v>0</v>
      </c>
      <c r="AC61" s="822">
        <v>0</v>
      </c>
      <c r="AD61" s="822"/>
      <c r="AE61" s="824">
        <v>0</v>
      </c>
      <c r="AF61" s="822">
        <v>0</v>
      </c>
      <c r="AG61" s="822"/>
      <c r="AH61" s="764">
        <v>1828</v>
      </c>
      <c r="AI61" s="764">
        <v>0</v>
      </c>
      <c r="AJ61" s="764">
        <v>422</v>
      </c>
      <c r="AK61" s="764">
        <v>0</v>
      </c>
      <c r="AL61" s="764">
        <v>531</v>
      </c>
      <c r="AM61" s="764">
        <v>0</v>
      </c>
    </row>
    <row r="62" ht="24" spans="1:31">
      <c r="A62" s="768"/>
      <c r="B62" s="406" t="s">
        <v>0</v>
      </c>
      <c r="C62" s="406"/>
      <c r="D62" s="406"/>
      <c r="E62" s="406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/>
      <c r="S62" s="406"/>
      <c r="T62" s="406"/>
      <c r="U62" s="406"/>
      <c r="V62" s="406"/>
      <c r="W62" s="406"/>
      <c r="X62" s="406"/>
      <c r="Y62" s="406"/>
      <c r="Z62" s="406"/>
      <c r="AA62" s="406"/>
      <c r="AB62" s="406"/>
      <c r="AC62" s="406"/>
      <c r="AD62" s="406"/>
      <c r="AE62" s="406"/>
    </row>
    <row r="63" ht="16.5" spans="1:31">
      <c r="A63" s="703" t="s">
        <v>1</v>
      </c>
      <c r="B63" s="769"/>
      <c r="C63" s="770" t="s">
        <v>82</v>
      </c>
      <c r="D63" s="770"/>
      <c r="E63" s="770"/>
      <c r="F63" s="770"/>
      <c r="G63" s="770"/>
      <c r="H63" s="770"/>
      <c r="I63" s="770"/>
      <c r="J63" s="770"/>
      <c r="K63" s="770"/>
      <c r="L63" s="703" t="s">
        <v>3</v>
      </c>
      <c r="M63" s="703"/>
      <c r="N63" s="703"/>
      <c r="O63" s="703"/>
      <c r="P63" s="703"/>
      <c r="Q63" s="703"/>
      <c r="R63" s="703"/>
      <c r="S63" s="703"/>
      <c r="T63" s="703"/>
      <c r="U63" s="703"/>
      <c r="V63" s="795"/>
      <c r="W63" s="795"/>
      <c r="X63" s="826" t="s">
        <v>83</v>
      </c>
      <c r="Y63" s="844"/>
      <c r="Z63" s="844"/>
      <c r="AA63" s="844"/>
      <c r="AB63" s="844"/>
      <c r="AC63" s="844"/>
      <c r="AD63" s="844"/>
      <c r="AE63" s="795"/>
    </row>
    <row r="64" ht="28.5" spans="1:31">
      <c r="A64" s="771"/>
      <c r="B64" s="740" t="s">
        <v>5</v>
      </c>
      <c r="C64" s="740"/>
      <c r="D64" s="740"/>
      <c r="E64" s="740"/>
      <c r="F64" s="740"/>
      <c r="G64" s="743" t="s">
        <v>6</v>
      </c>
      <c r="H64" s="743"/>
      <c r="I64" s="743"/>
      <c r="J64" s="743"/>
      <c r="K64" s="743"/>
      <c r="L64" s="789" t="s">
        <v>7</v>
      </c>
      <c r="M64" s="789"/>
      <c r="N64" s="789"/>
      <c r="O64" s="789"/>
      <c r="P64" s="789"/>
      <c r="Q64" s="812" t="s">
        <v>8</v>
      </c>
      <c r="R64" s="812"/>
      <c r="S64" s="812"/>
      <c r="T64" s="812"/>
      <c r="U64" s="812"/>
      <c r="V64" s="815" t="s">
        <v>9</v>
      </c>
      <c r="W64" s="815"/>
      <c r="X64" s="815"/>
      <c r="Y64" s="815"/>
      <c r="Z64" s="815"/>
      <c r="AA64" s="840"/>
      <c r="AB64" s="840"/>
      <c r="AC64" s="840"/>
      <c r="AD64" s="840"/>
      <c r="AE64" s="841"/>
    </row>
    <row r="65" ht="28.5" spans="1:31">
      <c r="A65" s="882"/>
      <c r="B65" s="76" t="s">
        <v>11</v>
      </c>
      <c r="C65" s="710" t="s">
        <v>12</v>
      </c>
      <c r="D65" s="710" t="s">
        <v>13</v>
      </c>
      <c r="E65" s="710" t="s">
        <v>14</v>
      </c>
      <c r="F65" s="710" t="s">
        <v>15</v>
      </c>
      <c r="G65" s="76" t="s">
        <v>11</v>
      </c>
      <c r="H65" s="710" t="s">
        <v>12</v>
      </c>
      <c r="I65" s="710" t="s">
        <v>13</v>
      </c>
      <c r="J65" s="710" t="s">
        <v>14</v>
      </c>
      <c r="K65" s="710" t="s">
        <v>15</v>
      </c>
      <c r="L65" s="76" t="s">
        <v>11</v>
      </c>
      <c r="M65" s="710" t="s">
        <v>12</v>
      </c>
      <c r="N65" s="710" t="s">
        <v>13</v>
      </c>
      <c r="O65" s="710" t="s">
        <v>14</v>
      </c>
      <c r="P65" s="710" t="s">
        <v>15</v>
      </c>
      <c r="Q65" s="76" t="s">
        <v>11</v>
      </c>
      <c r="R65" s="710" t="s">
        <v>12</v>
      </c>
      <c r="S65" s="710" t="s">
        <v>13</v>
      </c>
      <c r="T65" s="710" t="s">
        <v>14</v>
      </c>
      <c r="U65" s="710" t="s">
        <v>15</v>
      </c>
      <c r="V65" s="76" t="s">
        <v>11</v>
      </c>
      <c r="W65" s="710" t="s">
        <v>12</v>
      </c>
      <c r="X65" s="710" t="s">
        <v>13</v>
      </c>
      <c r="Y65" s="710" t="s">
        <v>14</v>
      </c>
      <c r="Z65" s="710" t="s">
        <v>15</v>
      </c>
      <c r="AA65" s="76" t="s">
        <v>11</v>
      </c>
      <c r="AB65" s="710" t="s">
        <v>12</v>
      </c>
      <c r="AC65" s="710" t="s">
        <v>13</v>
      </c>
      <c r="AD65" s="710" t="s">
        <v>14</v>
      </c>
      <c r="AE65" s="995" t="s">
        <v>15</v>
      </c>
    </row>
    <row r="66" ht="15.75" spans="1:31">
      <c r="A66" s="882"/>
      <c r="B66" s="883">
        <v>1143</v>
      </c>
      <c r="C66" s="710"/>
      <c r="D66" s="710">
        <v>20574</v>
      </c>
      <c r="E66" s="710"/>
      <c r="F66" s="710">
        <v>122567</v>
      </c>
      <c r="G66" s="76">
        <v>888</v>
      </c>
      <c r="H66" s="710"/>
      <c r="I66" s="710">
        <v>16160</v>
      </c>
      <c r="J66" s="710"/>
      <c r="K66" s="195">
        <v>98468</v>
      </c>
      <c r="L66" s="76">
        <v>0</v>
      </c>
      <c r="M66" s="710"/>
      <c r="N66" s="710">
        <v>4604</v>
      </c>
      <c r="O66" s="710">
        <v>0</v>
      </c>
      <c r="P66" s="710">
        <v>108041</v>
      </c>
      <c r="Q66" s="76">
        <v>241</v>
      </c>
      <c r="R66" s="710"/>
      <c r="S66" s="195">
        <v>4164</v>
      </c>
      <c r="T66" s="195">
        <v>0</v>
      </c>
      <c r="U66" s="710">
        <v>22877</v>
      </c>
      <c r="V66" s="76">
        <v>0</v>
      </c>
      <c r="W66" s="710"/>
      <c r="X66" s="710">
        <v>0</v>
      </c>
      <c r="Y66" s="710"/>
      <c r="Z66" s="710">
        <v>0</v>
      </c>
      <c r="AA66" s="76"/>
      <c r="AB66" s="710"/>
      <c r="AC66" s="710"/>
      <c r="AD66" s="710"/>
      <c r="AE66" s="995"/>
    </row>
    <row r="67" ht="15.75" spans="1:31">
      <c r="A67" s="884" t="s">
        <v>84</v>
      </c>
      <c r="B67" s="76">
        <v>1143</v>
      </c>
      <c r="C67" s="710"/>
      <c r="D67" s="710"/>
      <c r="E67" s="710"/>
      <c r="F67" s="710"/>
      <c r="G67" s="76">
        <v>888</v>
      </c>
      <c r="H67" s="710"/>
      <c r="I67" s="710"/>
      <c r="J67" s="710"/>
      <c r="K67" s="710"/>
      <c r="L67" s="76">
        <v>0</v>
      </c>
      <c r="M67" s="710"/>
      <c r="N67" s="710"/>
      <c r="O67" s="710"/>
      <c r="P67" s="710">
        <v>0</v>
      </c>
      <c r="Q67" s="76">
        <v>241</v>
      </c>
      <c r="R67" s="710"/>
      <c r="S67" s="710">
        <v>0</v>
      </c>
      <c r="T67" s="710"/>
      <c r="U67" s="710"/>
      <c r="V67" s="76">
        <v>0</v>
      </c>
      <c r="W67" s="710"/>
      <c r="X67" s="710"/>
      <c r="Y67" s="710"/>
      <c r="Z67" s="710"/>
      <c r="AA67" s="76"/>
      <c r="AB67" s="710"/>
      <c r="AC67" s="710"/>
      <c r="AD67" s="710"/>
      <c r="AE67" s="995"/>
    </row>
    <row r="68" spans="1:31">
      <c r="A68" s="885" t="s">
        <v>85</v>
      </c>
      <c r="B68" s="876">
        <v>0</v>
      </c>
      <c r="C68" s="431"/>
      <c r="D68" s="431"/>
      <c r="E68" s="431"/>
      <c r="F68" s="431"/>
      <c r="G68" s="876">
        <v>0</v>
      </c>
      <c r="H68" s="431"/>
      <c r="I68" s="431"/>
      <c r="J68" s="431"/>
      <c r="K68" s="951"/>
      <c r="L68" s="431"/>
      <c r="M68" s="431"/>
      <c r="N68" s="431"/>
      <c r="O68" s="431"/>
      <c r="P68" s="431"/>
      <c r="Q68" s="876">
        <v>0</v>
      </c>
      <c r="R68" s="431"/>
      <c r="S68" s="431"/>
      <c r="T68" s="431"/>
      <c r="U68" s="431"/>
      <c r="V68" s="431">
        <v>0</v>
      </c>
      <c r="W68" s="431"/>
      <c r="X68" s="431"/>
      <c r="Y68" s="431"/>
      <c r="Z68" s="431"/>
      <c r="AA68" s="876"/>
      <c r="AB68" s="431"/>
      <c r="AC68" s="431"/>
      <c r="AD68" s="431"/>
      <c r="AE68" s="996"/>
    </row>
    <row r="69" ht="24" spans="1:39">
      <c r="A69" s="445" t="s">
        <v>22</v>
      </c>
      <c r="B69" s="445"/>
      <c r="C69" s="445"/>
      <c r="D69" s="445"/>
      <c r="E69" s="445"/>
      <c r="F69" s="445"/>
      <c r="G69" s="445"/>
      <c r="H69" s="445"/>
      <c r="I69" s="445"/>
      <c r="J69" s="445"/>
      <c r="K69" s="445"/>
      <c r="L69" s="445"/>
      <c r="M69" s="445"/>
      <c r="N69" s="445"/>
      <c r="O69" s="445"/>
      <c r="P69" s="445"/>
      <c r="Q69" s="445"/>
      <c r="R69" s="445"/>
      <c r="S69" s="445"/>
      <c r="T69" s="445"/>
      <c r="U69" s="445"/>
      <c r="V69" s="445"/>
      <c r="W69" s="445"/>
      <c r="X69" s="445"/>
      <c r="Y69" s="445"/>
      <c r="Z69" s="445"/>
      <c r="AA69" s="445"/>
      <c r="AB69" s="445"/>
      <c r="AC69" s="445"/>
      <c r="AD69" s="445"/>
      <c r="AE69" s="445"/>
      <c r="AF69" s="445"/>
      <c r="AG69" s="445"/>
      <c r="AH69" s="445"/>
      <c r="AI69" s="445"/>
      <c r="AJ69" s="445"/>
      <c r="AK69" s="445"/>
      <c r="AL69" s="445"/>
      <c r="AM69" s="111"/>
    </row>
    <row r="70" spans="1:39">
      <c r="A70" s="756" t="s">
        <v>1</v>
      </c>
      <c r="B70" s="756"/>
      <c r="C70" s="756"/>
      <c r="D70" s="756"/>
      <c r="E70" s="756"/>
      <c r="F70" s="756"/>
      <c r="G70" s="756"/>
      <c r="H70" s="756"/>
      <c r="I70" s="756"/>
      <c r="J70" s="756"/>
      <c r="K70" s="756"/>
      <c r="L70" s="756"/>
      <c r="M70" s="756"/>
      <c r="N70" s="756"/>
      <c r="O70" s="756" t="s">
        <v>23</v>
      </c>
      <c r="P70" s="756"/>
      <c r="Q70" s="756"/>
      <c r="R70" s="756"/>
      <c r="S70" s="756"/>
      <c r="T70" s="756"/>
      <c r="U70" s="756"/>
      <c r="V70" s="756"/>
      <c r="W70" s="756"/>
      <c r="X70" s="756"/>
      <c r="Y70" s="111"/>
      <c r="Z70" s="111"/>
      <c r="AA70" s="111"/>
      <c r="AB70" s="111"/>
      <c r="AC70" s="111"/>
      <c r="AD70" s="111"/>
      <c r="AE70" s="997" t="s">
        <v>86</v>
      </c>
      <c r="AF70" s="998"/>
      <c r="AG70" s="1014"/>
      <c r="AH70" s="1015"/>
      <c r="AI70" s="1016"/>
      <c r="AJ70" s="1016"/>
      <c r="AK70" s="1016"/>
      <c r="AL70" s="111"/>
      <c r="AM70" s="111"/>
    </row>
    <row r="71" ht="27" spans="1:39">
      <c r="A71" s="886"/>
      <c r="B71" s="887" t="s">
        <v>25</v>
      </c>
      <c r="C71" s="888"/>
      <c r="D71" s="888"/>
      <c r="E71" s="888"/>
      <c r="F71" s="889"/>
      <c r="G71" s="887" t="s">
        <v>28</v>
      </c>
      <c r="H71" s="888"/>
      <c r="I71" s="888"/>
      <c r="J71" s="888"/>
      <c r="K71" s="889"/>
      <c r="L71" s="952" t="s">
        <v>29</v>
      </c>
      <c r="M71" s="953"/>
      <c r="N71" s="953"/>
      <c r="O71" s="954"/>
      <c r="P71" s="887" t="s">
        <v>30</v>
      </c>
      <c r="Q71" s="888"/>
      <c r="R71" s="889"/>
      <c r="S71" s="887" t="s">
        <v>31</v>
      </c>
      <c r="T71" s="888"/>
      <c r="U71" s="889"/>
      <c r="V71" s="977" t="s">
        <v>32</v>
      </c>
      <c r="W71" s="978"/>
      <c r="X71" s="979"/>
      <c r="Y71" s="977" t="s">
        <v>33</v>
      </c>
      <c r="Z71" s="978"/>
      <c r="AA71" s="979"/>
      <c r="AB71" s="977" t="s">
        <v>34</v>
      </c>
      <c r="AC71" s="978"/>
      <c r="AD71" s="979"/>
      <c r="AE71" s="977"/>
      <c r="AF71" s="978"/>
      <c r="AG71" s="979"/>
      <c r="AH71" s="1017" t="s">
        <v>87</v>
      </c>
      <c r="AI71" s="1018"/>
      <c r="AJ71" s="1018"/>
      <c r="AK71" s="1018"/>
      <c r="AL71" s="1018"/>
      <c r="AM71" s="1019"/>
    </row>
    <row r="72" ht="24" spans="1:39">
      <c r="A72" s="890"/>
      <c r="B72" s="196" t="s">
        <v>11</v>
      </c>
      <c r="C72" s="196" t="s">
        <v>37</v>
      </c>
      <c r="D72" s="196" t="s">
        <v>38</v>
      </c>
      <c r="E72" s="413" t="s">
        <v>39</v>
      </c>
      <c r="F72" s="413" t="s">
        <v>40</v>
      </c>
      <c r="G72" s="196" t="s">
        <v>11</v>
      </c>
      <c r="H72" s="196" t="s">
        <v>37</v>
      </c>
      <c r="I72" s="196" t="s">
        <v>38</v>
      </c>
      <c r="J72" s="432" t="s">
        <v>41</v>
      </c>
      <c r="K72" s="432" t="s">
        <v>40</v>
      </c>
      <c r="L72" s="196" t="s">
        <v>11</v>
      </c>
      <c r="M72" s="196" t="s">
        <v>37</v>
      </c>
      <c r="N72" s="196" t="s">
        <v>38</v>
      </c>
      <c r="O72" s="432" t="s">
        <v>41</v>
      </c>
      <c r="P72" s="196" t="s">
        <v>11</v>
      </c>
      <c r="Q72" s="196" t="s">
        <v>37</v>
      </c>
      <c r="R72" s="196" t="s">
        <v>38</v>
      </c>
      <c r="S72" s="432" t="s">
        <v>11</v>
      </c>
      <c r="T72" s="196" t="s">
        <v>37</v>
      </c>
      <c r="U72" s="196" t="s">
        <v>38</v>
      </c>
      <c r="V72" s="196" t="s">
        <v>11</v>
      </c>
      <c r="W72" s="196" t="s">
        <v>37</v>
      </c>
      <c r="X72" s="196" t="s">
        <v>38</v>
      </c>
      <c r="Y72" s="196" t="s">
        <v>11</v>
      </c>
      <c r="Z72" s="196" t="s">
        <v>37</v>
      </c>
      <c r="AA72" s="196" t="s">
        <v>38</v>
      </c>
      <c r="AB72" s="196" t="s">
        <v>11</v>
      </c>
      <c r="AC72" s="196" t="s">
        <v>37</v>
      </c>
      <c r="AD72" s="196" t="s">
        <v>38</v>
      </c>
      <c r="AE72" s="196" t="s">
        <v>11</v>
      </c>
      <c r="AF72" s="196" t="s">
        <v>37</v>
      </c>
      <c r="AG72" s="196" t="s">
        <v>38</v>
      </c>
      <c r="AH72" s="432" t="s">
        <v>42</v>
      </c>
      <c r="AI72" s="432" t="s">
        <v>43</v>
      </c>
      <c r="AJ72" s="432" t="s">
        <v>44</v>
      </c>
      <c r="AK72" s="432" t="s">
        <v>45</v>
      </c>
      <c r="AL72" s="432" t="s">
        <v>46</v>
      </c>
      <c r="AM72" s="432" t="s">
        <v>88</v>
      </c>
    </row>
    <row r="73" spans="1:39">
      <c r="A73" s="698"/>
      <c r="B73" s="891">
        <v>0</v>
      </c>
      <c r="C73" s="892">
        <v>4835</v>
      </c>
      <c r="D73" s="892">
        <v>164168</v>
      </c>
      <c r="E73" s="893">
        <v>0</v>
      </c>
      <c r="F73" s="893">
        <v>0</v>
      </c>
      <c r="G73" s="891">
        <v>106</v>
      </c>
      <c r="H73" s="892">
        <v>2412</v>
      </c>
      <c r="I73" s="892">
        <v>18625</v>
      </c>
      <c r="J73" s="955">
        <v>2350</v>
      </c>
      <c r="K73" s="955">
        <v>1538</v>
      </c>
      <c r="L73" s="891">
        <v>932</v>
      </c>
      <c r="M73" s="892">
        <v>13745</v>
      </c>
      <c r="N73" s="892">
        <v>36560</v>
      </c>
      <c r="O73" s="955">
        <v>3530</v>
      </c>
      <c r="P73" s="891">
        <v>0</v>
      </c>
      <c r="Q73" s="892">
        <v>0</v>
      </c>
      <c r="R73" s="955">
        <v>0</v>
      </c>
      <c r="S73" s="980"/>
      <c r="T73" s="892"/>
      <c r="U73" s="892"/>
      <c r="V73" s="981">
        <v>1112</v>
      </c>
      <c r="W73" s="892">
        <v>1112</v>
      </c>
      <c r="X73" s="892">
        <v>1109</v>
      </c>
      <c r="Y73" s="981">
        <v>1228</v>
      </c>
      <c r="Z73" s="892">
        <v>1228</v>
      </c>
      <c r="AA73" s="892">
        <v>1240</v>
      </c>
      <c r="AB73" s="981">
        <v>0</v>
      </c>
      <c r="AC73" s="892">
        <v>0</v>
      </c>
      <c r="AD73" s="892">
        <v>1097</v>
      </c>
      <c r="AE73" s="981">
        <v>0</v>
      </c>
      <c r="AF73" s="892">
        <v>0</v>
      </c>
      <c r="AG73" s="892">
        <v>140</v>
      </c>
      <c r="AH73" s="955">
        <v>7325</v>
      </c>
      <c r="AI73" s="955">
        <v>1206</v>
      </c>
      <c r="AJ73" s="955">
        <v>123</v>
      </c>
      <c r="AK73" s="955">
        <v>0</v>
      </c>
      <c r="AL73" s="955">
        <v>5919</v>
      </c>
      <c r="AM73" s="892">
        <v>127</v>
      </c>
    </row>
    <row r="74" ht="24" spans="1:31">
      <c r="A74" s="111"/>
      <c r="B74" s="406"/>
      <c r="C74" s="406"/>
      <c r="D74" s="406"/>
      <c r="E74" s="406"/>
      <c r="F74" s="406"/>
      <c r="G74" s="406"/>
      <c r="H74" s="406"/>
      <c r="I74" s="406"/>
      <c r="J74" s="406"/>
      <c r="K74" s="406"/>
      <c r="L74" s="406"/>
      <c r="M74" s="406"/>
      <c r="N74" s="406"/>
      <c r="O74" s="406"/>
      <c r="P74" s="406"/>
      <c r="Q74" s="406"/>
      <c r="R74" s="406"/>
      <c r="S74" s="406"/>
      <c r="T74" s="406"/>
      <c r="U74" s="406"/>
      <c r="V74" s="406"/>
      <c r="W74" s="406"/>
      <c r="X74" s="406"/>
      <c r="Y74" s="406"/>
      <c r="Z74" s="406"/>
      <c r="AA74" s="406"/>
      <c r="AB74" s="406"/>
      <c r="AC74" s="406"/>
      <c r="AD74" s="406"/>
      <c r="AE74" s="406"/>
    </row>
    <row r="75" ht="15" spans="1:31">
      <c r="A75" s="703" t="s">
        <v>1</v>
      </c>
      <c r="B75" s="703"/>
      <c r="C75" s="894"/>
      <c r="D75" s="894" t="s">
        <v>89</v>
      </c>
      <c r="E75" s="894"/>
      <c r="F75" s="894"/>
      <c r="G75" s="894"/>
      <c r="H75" s="894"/>
      <c r="I75" s="894"/>
      <c r="J75" s="894"/>
      <c r="K75" s="894"/>
      <c r="L75" s="674"/>
      <c r="M75" s="703"/>
      <c r="N75" s="703"/>
      <c r="O75" s="703"/>
      <c r="P75" s="703"/>
      <c r="Q75" s="703"/>
      <c r="R75" s="703"/>
      <c r="S75" s="703"/>
      <c r="T75" s="703"/>
      <c r="U75" s="703"/>
      <c r="V75" s="795"/>
      <c r="W75" s="795"/>
      <c r="X75" s="795"/>
      <c r="Y75" s="795"/>
      <c r="Z75" s="795"/>
      <c r="AA75" s="828"/>
      <c r="AB75" s="828"/>
      <c r="AC75" s="827"/>
      <c r="AD75" s="828"/>
      <c r="AE75" s="828"/>
    </row>
    <row r="76" ht="28.5" spans="1:31">
      <c r="A76" s="895"/>
      <c r="B76" s="739" t="s">
        <v>5</v>
      </c>
      <c r="C76" s="740"/>
      <c r="D76" s="740"/>
      <c r="E76" s="740"/>
      <c r="F76" s="741"/>
      <c r="G76" s="742" t="s">
        <v>6</v>
      </c>
      <c r="H76" s="743"/>
      <c r="I76" s="743"/>
      <c r="J76" s="743"/>
      <c r="K76" s="787"/>
      <c r="L76" s="788" t="s">
        <v>7</v>
      </c>
      <c r="M76" s="789"/>
      <c r="N76" s="789"/>
      <c r="O76" s="789"/>
      <c r="P76" s="790"/>
      <c r="Q76" s="811" t="s">
        <v>8</v>
      </c>
      <c r="R76" s="812"/>
      <c r="S76" s="812"/>
      <c r="T76" s="812"/>
      <c r="U76" s="813"/>
      <c r="V76" s="814" t="s">
        <v>9</v>
      </c>
      <c r="W76" s="815"/>
      <c r="X76" s="815"/>
      <c r="Y76" s="815"/>
      <c r="Z76" s="838"/>
      <c r="AA76" s="999" t="s">
        <v>10</v>
      </c>
      <c r="AB76" s="1000"/>
      <c r="AC76" s="1000"/>
      <c r="AD76" s="1000"/>
      <c r="AE76" s="1001"/>
    </row>
    <row r="77" ht="29.25" spans="1:31">
      <c r="A77" s="744"/>
      <c r="B77" s="745" t="s">
        <v>11</v>
      </c>
      <c r="C77" s="746" t="s">
        <v>12</v>
      </c>
      <c r="D77" s="746" t="s">
        <v>13</v>
      </c>
      <c r="E77" s="746" t="s">
        <v>14</v>
      </c>
      <c r="F77" s="747" t="s">
        <v>15</v>
      </c>
      <c r="G77" s="748" t="s">
        <v>11</v>
      </c>
      <c r="H77" s="746" t="s">
        <v>12</v>
      </c>
      <c r="I77" s="746" t="s">
        <v>13</v>
      </c>
      <c r="J77" s="746" t="s">
        <v>14</v>
      </c>
      <c r="K77" s="747" t="s">
        <v>15</v>
      </c>
      <c r="L77" s="748" t="s">
        <v>11</v>
      </c>
      <c r="M77" s="746" t="s">
        <v>12</v>
      </c>
      <c r="N77" s="746" t="s">
        <v>13</v>
      </c>
      <c r="O77" s="746" t="s">
        <v>14</v>
      </c>
      <c r="P77" s="747" t="s">
        <v>15</v>
      </c>
      <c r="Q77" s="748" t="s">
        <v>11</v>
      </c>
      <c r="R77" s="746" t="s">
        <v>12</v>
      </c>
      <c r="S77" s="746" t="s">
        <v>13</v>
      </c>
      <c r="T77" s="746" t="s">
        <v>14</v>
      </c>
      <c r="U77" s="747" t="s">
        <v>15</v>
      </c>
      <c r="V77" s="748" t="s">
        <v>11</v>
      </c>
      <c r="W77" s="746" t="s">
        <v>12</v>
      </c>
      <c r="X77" s="746" t="s">
        <v>13</v>
      </c>
      <c r="Y77" s="746" t="s">
        <v>14</v>
      </c>
      <c r="Z77" s="747" t="s">
        <v>15</v>
      </c>
      <c r="AA77" s="748" t="s">
        <v>11</v>
      </c>
      <c r="AB77" s="746" t="s">
        <v>12</v>
      </c>
      <c r="AC77" s="746" t="s">
        <v>13</v>
      </c>
      <c r="AD77" s="746" t="s">
        <v>14</v>
      </c>
      <c r="AE77" s="747" t="s">
        <v>15</v>
      </c>
    </row>
    <row r="78" spans="1:31">
      <c r="A78" s="101" t="s">
        <v>90</v>
      </c>
      <c r="B78" s="896">
        <v>2124.4651</v>
      </c>
      <c r="C78" s="897"/>
      <c r="D78" s="896">
        <v>48547.8629</v>
      </c>
      <c r="E78" s="897"/>
      <c r="F78" s="896">
        <v>270409.5898</v>
      </c>
      <c r="G78" s="898">
        <v>1769.4445</v>
      </c>
      <c r="H78" s="897"/>
      <c r="I78" s="956">
        <v>39297.711</v>
      </c>
      <c r="J78" s="897"/>
      <c r="K78" s="957">
        <v>215898.1603</v>
      </c>
      <c r="L78" s="958">
        <v>1751.9</v>
      </c>
      <c r="M78" s="959"/>
      <c r="N78" s="960">
        <v>39846.3</v>
      </c>
      <c r="O78" s="490"/>
      <c r="P78" s="961">
        <v>226932.85</v>
      </c>
      <c r="Q78" s="982">
        <v>322.746</v>
      </c>
      <c r="R78" s="897"/>
      <c r="S78" s="983">
        <v>8409.229</v>
      </c>
      <c r="T78" s="897"/>
      <c r="U78" s="984">
        <v>49555.845</v>
      </c>
      <c r="V78" s="985"/>
      <c r="W78" s="986"/>
      <c r="X78" s="987"/>
      <c r="Y78" s="987"/>
      <c r="Z78" s="985"/>
      <c r="AA78" s="87"/>
      <c r="AB78" s="88"/>
      <c r="AC78" s="87"/>
      <c r="AD78" s="88"/>
      <c r="AE78" s="87"/>
    </row>
    <row r="79" spans="1:31">
      <c r="A79" s="101" t="s">
        <v>91</v>
      </c>
      <c r="B79" s="899">
        <v>2072</v>
      </c>
      <c r="C79" s="431"/>
      <c r="D79" s="899">
        <v>44193</v>
      </c>
      <c r="E79" s="431"/>
      <c r="F79" s="899">
        <v>250818</v>
      </c>
      <c r="G79" s="899">
        <v>1817</v>
      </c>
      <c r="H79" s="431"/>
      <c r="I79" s="962" t="s">
        <v>92</v>
      </c>
      <c r="J79" s="431"/>
      <c r="K79" s="899">
        <v>206584</v>
      </c>
      <c r="L79" s="876">
        <v>2441</v>
      </c>
      <c r="M79" s="431"/>
      <c r="N79" s="876">
        <v>51139</v>
      </c>
      <c r="O79" s="431"/>
      <c r="P79" s="876">
        <v>274278</v>
      </c>
      <c r="Q79" s="876">
        <v>231</v>
      </c>
      <c r="R79" s="431"/>
      <c r="S79" s="876">
        <v>5440</v>
      </c>
      <c r="T79" s="431"/>
      <c r="U79" s="876">
        <v>40213</v>
      </c>
      <c r="V79" s="988"/>
      <c r="W79" s="989"/>
      <c r="X79" s="989"/>
      <c r="Y79" s="1002"/>
      <c r="Z79" s="1003"/>
      <c r="AA79" s="1004">
        <v>125</v>
      </c>
      <c r="AB79" s="76"/>
      <c r="AC79" s="1005">
        <v>2613</v>
      </c>
      <c r="AD79" s="137"/>
      <c r="AE79" s="1006">
        <v>13196</v>
      </c>
    </row>
    <row r="80" spans="1:31">
      <c r="A80" s="900" t="s">
        <v>21</v>
      </c>
      <c r="B80" s="901">
        <v>4196.4651</v>
      </c>
      <c r="C80" s="901"/>
      <c r="D80" s="901">
        <v>92740.8629</v>
      </c>
      <c r="E80" s="901"/>
      <c r="F80" s="901">
        <v>521227.5898</v>
      </c>
      <c r="G80" s="901">
        <v>3586.4445</v>
      </c>
      <c r="H80" s="901"/>
      <c r="I80" s="901">
        <v>77506.711</v>
      </c>
      <c r="J80" s="901"/>
      <c r="K80" s="901">
        <v>422482.1603</v>
      </c>
      <c r="L80" s="901">
        <v>4192.9</v>
      </c>
      <c r="M80" s="901"/>
      <c r="N80" s="901">
        <v>90985.3</v>
      </c>
      <c r="O80" s="901"/>
      <c r="P80" s="901">
        <v>501210.85</v>
      </c>
      <c r="Q80" s="901">
        <v>553.746</v>
      </c>
      <c r="R80" s="901"/>
      <c r="S80" s="901">
        <v>13849.229</v>
      </c>
      <c r="T80" s="901"/>
      <c r="U80" s="901">
        <v>89768.845</v>
      </c>
      <c r="V80" s="901"/>
      <c r="W80" s="901"/>
      <c r="X80" s="901"/>
      <c r="Y80" s="901"/>
      <c r="Z80" s="901"/>
      <c r="AA80" s="901">
        <v>125</v>
      </c>
      <c r="AB80" s="901"/>
      <c r="AC80" s="901">
        <v>2613</v>
      </c>
      <c r="AD80" s="901"/>
      <c r="AE80" s="901">
        <v>13196</v>
      </c>
    </row>
    <row r="81" ht="24" spans="1:37">
      <c r="A81" s="406" t="s">
        <v>22</v>
      </c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  <c r="U81" s="406"/>
      <c r="V81" s="406"/>
      <c r="W81" s="406"/>
      <c r="X81" s="406"/>
      <c r="Y81" s="406"/>
      <c r="Z81" s="406"/>
      <c r="AA81" s="406"/>
      <c r="AB81" s="406"/>
      <c r="AC81" s="406"/>
      <c r="AD81" s="406"/>
      <c r="AE81" s="406"/>
      <c r="AF81" s="406"/>
      <c r="AG81" s="406"/>
      <c r="AH81" s="406"/>
      <c r="AI81" s="406"/>
      <c r="AJ81" s="406"/>
      <c r="AK81" s="406"/>
    </row>
    <row r="82" spans="1:37">
      <c r="A82" s="497" t="s">
        <v>1</v>
      </c>
      <c r="B82" s="497"/>
      <c r="C82" s="497"/>
      <c r="D82" s="497"/>
      <c r="E82" s="497"/>
      <c r="F82" s="497"/>
      <c r="G82" s="497"/>
      <c r="H82" s="497"/>
      <c r="I82" s="497"/>
      <c r="J82" s="497"/>
      <c r="K82" s="497"/>
      <c r="L82" s="497"/>
      <c r="M82" s="756"/>
      <c r="N82" s="756"/>
      <c r="O82" s="497" t="s">
        <v>23</v>
      </c>
      <c r="P82" s="497"/>
      <c r="Q82" s="497"/>
      <c r="R82" s="497"/>
      <c r="S82" s="497"/>
      <c r="T82" s="497"/>
      <c r="U82" s="497"/>
      <c r="V82" s="497"/>
      <c r="W82" s="497"/>
      <c r="X82" s="497"/>
      <c r="Y82" s="111"/>
      <c r="Z82" s="111"/>
      <c r="AA82" s="111"/>
      <c r="AB82" s="111"/>
      <c r="AC82" s="111"/>
      <c r="AD82" s="111"/>
      <c r="AE82" s="497" t="s">
        <v>4</v>
      </c>
      <c r="AF82" s="497"/>
      <c r="AG82" s="497"/>
      <c r="AH82" s="865" t="s">
        <v>24</v>
      </c>
      <c r="AI82" s="865"/>
      <c r="AJ82" s="865"/>
      <c r="AK82" s="865"/>
    </row>
    <row r="83" ht="40.5" spans="1:39">
      <c r="A83" s="695"/>
      <c r="B83" s="696" t="s">
        <v>25</v>
      </c>
      <c r="C83" s="697"/>
      <c r="D83" s="697"/>
      <c r="E83" s="697"/>
      <c r="F83" s="697"/>
      <c r="G83" s="696" t="s">
        <v>28</v>
      </c>
      <c r="H83" s="697"/>
      <c r="I83" s="697"/>
      <c r="J83" s="697"/>
      <c r="K83" s="777"/>
      <c r="L83" s="778" t="s">
        <v>29</v>
      </c>
      <c r="M83" s="779"/>
      <c r="N83" s="779"/>
      <c r="O83" s="791"/>
      <c r="P83" s="696" t="s">
        <v>30</v>
      </c>
      <c r="Q83" s="697"/>
      <c r="R83" s="697"/>
      <c r="S83" s="696" t="s">
        <v>31</v>
      </c>
      <c r="T83" s="697"/>
      <c r="U83" s="697"/>
      <c r="V83" s="561" t="s">
        <v>32</v>
      </c>
      <c r="W83" s="561"/>
      <c r="X83" s="561"/>
      <c r="Y83" s="561" t="s">
        <v>33</v>
      </c>
      <c r="Z83" s="561"/>
      <c r="AA83" s="561"/>
      <c r="AB83" s="561" t="s">
        <v>34</v>
      </c>
      <c r="AC83" s="561"/>
      <c r="AD83" s="561"/>
      <c r="AE83" s="561" t="s">
        <v>35</v>
      </c>
      <c r="AF83" s="561"/>
      <c r="AG83" s="561"/>
      <c r="AH83" s="866" t="s">
        <v>54</v>
      </c>
      <c r="AI83" s="867"/>
      <c r="AJ83" s="867"/>
      <c r="AK83" s="868"/>
      <c r="AL83" s="1020" t="s">
        <v>93</v>
      </c>
      <c r="AM83" s="1020"/>
    </row>
    <row r="84" ht="24" spans="1:39">
      <c r="A84" s="900"/>
      <c r="B84" s="197" t="s">
        <v>11</v>
      </c>
      <c r="C84" s="197" t="s">
        <v>37</v>
      </c>
      <c r="D84" s="197" t="s">
        <v>38</v>
      </c>
      <c r="E84" s="80" t="s">
        <v>39</v>
      </c>
      <c r="F84" s="80" t="s">
        <v>40</v>
      </c>
      <c r="G84" s="197" t="s">
        <v>11</v>
      </c>
      <c r="H84" s="197" t="s">
        <v>37</v>
      </c>
      <c r="I84" s="197" t="s">
        <v>38</v>
      </c>
      <c r="J84" s="80" t="s">
        <v>41</v>
      </c>
      <c r="K84" s="80" t="s">
        <v>40</v>
      </c>
      <c r="L84" s="197" t="s">
        <v>11</v>
      </c>
      <c r="M84" s="197" t="s">
        <v>37</v>
      </c>
      <c r="N84" s="197" t="s">
        <v>38</v>
      </c>
      <c r="O84" s="80" t="s">
        <v>41</v>
      </c>
      <c r="P84" s="197" t="s">
        <v>11</v>
      </c>
      <c r="Q84" s="197" t="s">
        <v>37</v>
      </c>
      <c r="R84" s="197" t="s">
        <v>38</v>
      </c>
      <c r="S84" s="80" t="s">
        <v>11</v>
      </c>
      <c r="T84" s="197" t="s">
        <v>37</v>
      </c>
      <c r="U84" s="197" t="s">
        <v>38</v>
      </c>
      <c r="V84" s="197" t="s">
        <v>11</v>
      </c>
      <c r="W84" s="197" t="s">
        <v>37</v>
      </c>
      <c r="X84" s="197" t="s">
        <v>38</v>
      </c>
      <c r="Y84" s="197" t="s">
        <v>11</v>
      </c>
      <c r="Z84" s="197" t="s">
        <v>37</v>
      </c>
      <c r="AA84" s="197" t="s">
        <v>38</v>
      </c>
      <c r="AB84" s="197" t="s">
        <v>11</v>
      </c>
      <c r="AC84" s="197" t="s">
        <v>37</v>
      </c>
      <c r="AD84" s="197" t="s">
        <v>38</v>
      </c>
      <c r="AE84" s="197" t="s">
        <v>11</v>
      </c>
      <c r="AF84" s="197" t="s">
        <v>37</v>
      </c>
      <c r="AG84" s="197" t="s">
        <v>38</v>
      </c>
      <c r="AH84" s="80" t="s">
        <v>42</v>
      </c>
      <c r="AI84" s="80" t="s">
        <v>43</v>
      </c>
      <c r="AJ84" s="80" t="s">
        <v>44</v>
      </c>
      <c r="AK84" s="80" t="s">
        <v>45</v>
      </c>
      <c r="AL84" s="80" t="s">
        <v>44</v>
      </c>
      <c r="AM84" s="80" t="s">
        <v>45</v>
      </c>
    </row>
    <row r="85" spans="1:39">
      <c r="A85" s="900" t="s">
        <v>90</v>
      </c>
      <c r="B85" s="902">
        <v>1655</v>
      </c>
      <c r="C85" s="903">
        <v>41607.65</v>
      </c>
      <c r="D85" s="904">
        <v>225008.73</v>
      </c>
      <c r="E85" s="905"/>
      <c r="F85" s="902">
        <v>0</v>
      </c>
      <c r="G85" s="906">
        <v>551.14</v>
      </c>
      <c r="H85" s="907">
        <v>8349.34</v>
      </c>
      <c r="I85" s="907">
        <v>48211.76</v>
      </c>
      <c r="J85" s="963"/>
      <c r="K85" s="907">
        <v>1620</v>
      </c>
      <c r="L85" s="964">
        <v>727.5</v>
      </c>
      <c r="M85" s="907">
        <v>13407.91</v>
      </c>
      <c r="N85" s="965">
        <v>65606.36</v>
      </c>
      <c r="O85" s="963"/>
      <c r="P85" s="907"/>
      <c r="Q85" s="990"/>
      <c r="R85" s="963"/>
      <c r="S85" s="966"/>
      <c r="T85" s="196"/>
      <c r="U85" s="196"/>
      <c r="V85" s="196">
        <v>1278.4395</v>
      </c>
      <c r="W85" s="196">
        <v>1243.4121</v>
      </c>
      <c r="X85" s="197">
        <v>1171.8132</v>
      </c>
      <c r="Y85" s="1007">
        <v>1277.12189821122</v>
      </c>
      <c r="Z85" s="1007">
        <v>1256.67360089758</v>
      </c>
      <c r="AA85" s="1007">
        <v>1220.24155940674</v>
      </c>
      <c r="AB85" s="1008">
        <v>933.2724</v>
      </c>
      <c r="AC85" s="1008">
        <v>914.1376</v>
      </c>
      <c r="AD85" s="1009">
        <v>942.3581</v>
      </c>
      <c r="AE85" s="196">
        <v>163.1029</v>
      </c>
      <c r="AF85" s="1010">
        <v>160.0901</v>
      </c>
      <c r="AG85" s="1010">
        <v>155.5392</v>
      </c>
      <c r="AH85" s="432">
        <v>39044</v>
      </c>
      <c r="AI85" s="432">
        <v>2716</v>
      </c>
      <c r="AJ85" s="432"/>
      <c r="AK85" s="432"/>
      <c r="AL85" s="432">
        <v>10359.9</v>
      </c>
      <c r="AM85" s="196">
        <v>496</v>
      </c>
    </row>
    <row r="86" spans="1:39">
      <c r="A86" s="900" t="s">
        <v>91</v>
      </c>
      <c r="B86" s="196">
        <v>2459</v>
      </c>
      <c r="C86" s="196">
        <v>121902</v>
      </c>
      <c r="D86" s="196">
        <v>265203</v>
      </c>
      <c r="E86" s="413">
        <v>2133</v>
      </c>
      <c r="F86" s="413">
        <v>0</v>
      </c>
      <c r="G86" s="196">
        <v>265</v>
      </c>
      <c r="H86" s="196">
        <v>6135</v>
      </c>
      <c r="I86" s="196">
        <v>41744</v>
      </c>
      <c r="J86" s="80">
        <v>2441</v>
      </c>
      <c r="K86" s="966">
        <v>620</v>
      </c>
      <c r="L86" s="967">
        <v>379</v>
      </c>
      <c r="M86" s="197">
        <v>7696</v>
      </c>
      <c r="N86" s="967">
        <v>42319</v>
      </c>
      <c r="O86" s="80">
        <v>3554</v>
      </c>
      <c r="P86" s="663"/>
      <c r="Q86" s="663"/>
      <c r="R86" s="663"/>
      <c r="S86" s="663">
        <v>124</v>
      </c>
      <c r="T86" s="197">
        <v>2132</v>
      </c>
      <c r="U86" s="431">
        <v>11025</v>
      </c>
      <c r="V86" s="196">
        <v>1313</v>
      </c>
      <c r="W86" s="196">
        <v>1311</v>
      </c>
      <c r="X86" s="197">
        <v>1254</v>
      </c>
      <c r="Y86" s="197">
        <v>400.93032422984</v>
      </c>
      <c r="Z86" s="197">
        <v>395.300558697913</v>
      </c>
      <c r="AA86" s="197">
        <v>378.435218391828</v>
      </c>
      <c r="AB86" s="196">
        <v>893</v>
      </c>
      <c r="AC86" s="196">
        <v>903</v>
      </c>
      <c r="AD86" s="196">
        <v>921</v>
      </c>
      <c r="AE86" s="196">
        <v>43</v>
      </c>
      <c r="AF86" s="196">
        <v>43</v>
      </c>
      <c r="AG86" s="196">
        <v>46</v>
      </c>
      <c r="AH86" s="80"/>
      <c r="AI86" s="80"/>
      <c r="AJ86" s="80">
        <v>15203</v>
      </c>
      <c r="AK86" s="80">
        <v>2896</v>
      </c>
      <c r="AL86" s="80">
        <v>15698</v>
      </c>
      <c r="AM86" s="197">
        <v>1856</v>
      </c>
    </row>
    <row r="87" spans="1:39">
      <c r="A87" s="900" t="s">
        <v>21</v>
      </c>
      <c r="B87" s="197">
        <v>4114</v>
      </c>
      <c r="C87" s="197">
        <v>163509.65</v>
      </c>
      <c r="D87" s="197">
        <v>490211.73</v>
      </c>
      <c r="E87" s="197">
        <v>2133</v>
      </c>
      <c r="F87" s="197">
        <v>0</v>
      </c>
      <c r="G87" s="197">
        <v>816.14</v>
      </c>
      <c r="H87" s="197">
        <v>14484.34</v>
      </c>
      <c r="I87" s="197">
        <v>89955.76</v>
      </c>
      <c r="J87" s="197">
        <v>2441</v>
      </c>
      <c r="K87" s="197">
        <v>2240</v>
      </c>
      <c r="L87" s="197">
        <v>1106.5</v>
      </c>
      <c r="M87" s="197">
        <v>21103.91</v>
      </c>
      <c r="N87" s="197">
        <v>107925.36</v>
      </c>
      <c r="O87" s="197">
        <v>3554</v>
      </c>
      <c r="P87" s="197"/>
      <c r="Q87" s="197"/>
      <c r="R87" s="197"/>
      <c r="S87" s="197">
        <v>124</v>
      </c>
      <c r="T87" s="197">
        <v>2132</v>
      </c>
      <c r="U87" s="197">
        <v>11025</v>
      </c>
      <c r="V87" s="197">
        <v>1295.71975</v>
      </c>
      <c r="W87" s="197">
        <v>1277.20605</v>
      </c>
      <c r="X87" s="197">
        <v>1212.9066</v>
      </c>
      <c r="Y87" s="197">
        <v>839.02611122053</v>
      </c>
      <c r="Z87" s="197">
        <v>825.987079797747</v>
      </c>
      <c r="AA87" s="197">
        <v>799.338388899284</v>
      </c>
      <c r="AB87" s="197">
        <v>913.1362</v>
      </c>
      <c r="AC87" s="197">
        <v>908.5688</v>
      </c>
      <c r="AD87" s="197">
        <v>931.67905</v>
      </c>
      <c r="AE87" s="197">
        <v>103.05145</v>
      </c>
      <c r="AF87" s="197">
        <v>101.54505</v>
      </c>
      <c r="AG87" s="197">
        <v>100.7696</v>
      </c>
      <c r="AH87" s="197">
        <v>39044</v>
      </c>
      <c r="AI87" s="197">
        <v>2716</v>
      </c>
      <c r="AJ87" s="197">
        <v>15203</v>
      </c>
      <c r="AK87" s="197">
        <v>2896</v>
      </c>
      <c r="AL87" s="197">
        <v>26057.9</v>
      </c>
      <c r="AM87" s="197">
        <v>2352</v>
      </c>
    </row>
    <row r="88" ht="24" spans="1:37">
      <c r="A88" s="111"/>
      <c r="B88" s="406" t="s">
        <v>0</v>
      </c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406"/>
      <c r="AB88" s="406"/>
      <c r="AC88" s="406"/>
      <c r="AD88" s="406"/>
      <c r="AE88" s="406"/>
      <c r="AF88" s="111"/>
      <c r="AG88" s="111"/>
      <c r="AH88" s="111"/>
      <c r="AI88" s="111"/>
      <c r="AJ88" s="111"/>
      <c r="AK88" s="111"/>
    </row>
    <row r="89" ht="15" spans="1:37">
      <c r="A89" s="703" t="s">
        <v>1</v>
      </c>
      <c r="B89" s="703"/>
      <c r="C89" s="908" t="s">
        <v>94</v>
      </c>
      <c r="D89" s="908"/>
      <c r="E89" s="908"/>
      <c r="F89" s="908"/>
      <c r="G89" s="908"/>
      <c r="H89" s="908"/>
      <c r="I89" s="908"/>
      <c r="J89" s="908"/>
      <c r="K89" s="908"/>
      <c r="L89" s="703" t="s">
        <v>3</v>
      </c>
      <c r="M89" s="703"/>
      <c r="N89" s="703"/>
      <c r="O89" s="703"/>
      <c r="P89" s="703"/>
      <c r="Q89" s="703"/>
      <c r="R89" s="703"/>
      <c r="S89" s="703"/>
      <c r="T89" s="703"/>
      <c r="U89" s="703"/>
      <c r="V89" s="795"/>
      <c r="W89" s="795"/>
      <c r="X89" s="795"/>
      <c r="Y89" s="795"/>
      <c r="Z89" s="795"/>
      <c r="AA89" s="828" t="s">
        <v>4</v>
      </c>
      <c r="AB89" s="828"/>
      <c r="AC89" s="827"/>
      <c r="AD89" s="828"/>
      <c r="AE89" s="828"/>
      <c r="AF89" s="111"/>
      <c r="AG89" s="111"/>
      <c r="AH89" s="111"/>
      <c r="AI89" s="111"/>
      <c r="AJ89" s="111"/>
      <c r="AK89" s="111"/>
    </row>
    <row r="90" ht="28.5" spans="1:37">
      <c r="A90" s="738"/>
      <c r="B90" s="739" t="s">
        <v>5</v>
      </c>
      <c r="C90" s="740"/>
      <c r="D90" s="740"/>
      <c r="E90" s="740"/>
      <c r="F90" s="741"/>
      <c r="G90" s="742" t="s">
        <v>6</v>
      </c>
      <c r="H90" s="743"/>
      <c r="I90" s="743"/>
      <c r="J90" s="743"/>
      <c r="K90" s="787"/>
      <c r="L90" s="788" t="s">
        <v>7</v>
      </c>
      <c r="M90" s="789"/>
      <c r="N90" s="789"/>
      <c r="O90" s="789"/>
      <c r="P90" s="790"/>
      <c r="Q90" s="811" t="s">
        <v>8</v>
      </c>
      <c r="R90" s="812"/>
      <c r="S90" s="812"/>
      <c r="T90" s="812"/>
      <c r="U90" s="813"/>
      <c r="V90" s="814" t="s">
        <v>9</v>
      </c>
      <c r="W90" s="815"/>
      <c r="X90" s="815"/>
      <c r="Y90" s="815"/>
      <c r="Z90" s="838"/>
      <c r="AA90" s="839" t="s">
        <v>10</v>
      </c>
      <c r="AB90" s="840"/>
      <c r="AC90" s="840"/>
      <c r="AD90" s="840"/>
      <c r="AE90" s="841"/>
      <c r="AF90" s="1011"/>
      <c r="AG90" s="1011"/>
      <c r="AH90" s="1011"/>
      <c r="AI90" s="1011"/>
      <c r="AJ90" s="1011"/>
      <c r="AK90" s="1011"/>
    </row>
    <row r="91" ht="28.5" spans="1:37">
      <c r="A91" s="909"/>
      <c r="B91" s="494" t="s">
        <v>11</v>
      </c>
      <c r="C91" s="910" t="s">
        <v>12</v>
      </c>
      <c r="D91" s="910" t="s">
        <v>13</v>
      </c>
      <c r="E91" s="910" t="s">
        <v>14</v>
      </c>
      <c r="F91" s="911" t="s">
        <v>15</v>
      </c>
      <c r="G91" s="912" t="s">
        <v>11</v>
      </c>
      <c r="H91" s="910" t="s">
        <v>12</v>
      </c>
      <c r="I91" s="910" t="s">
        <v>13</v>
      </c>
      <c r="J91" s="910" t="s">
        <v>14</v>
      </c>
      <c r="K91" s="911" t="s">
        <v>15</v>
      </c>
      <c r="L91" s="912" t="s">
        <v>11</v>
      </c>
      <c r="M91" s="910" t="s">
        <v>12</v>
      </c>
      <c r="N91" s="910" t="s">
        <v>13</v>
      </c>
      <c r="O91" s="910" t="s">
        <v>14</v>
      </c>
      <c r="P91" s="911" t="s">
        <v>15</v>
      </c>
      <c r="Q91" s="912" t="s">
        <v>11</v>
      </c>
      <c r="R91" s="910" t="s">
        <v>12</v>
      </c>
      <c r="S91" s="910" t="s">
        <v>13</v>
      </c>
      <c r="T91" s="910" t="s">
        <v>14</v>
      </c>
      <c r="U91" s="911" t="s">
        <v>15</v>
      </c>
      <c r="V91" s="912" t="s">
        <v>11</v>
      </c>
      <c r="W91" s="910" t="s">
        <v>12</v>
      </c>
      <c r="X91" s="910" t="s">
        <v>13</v>
      </c>
      <c r="Y91" s="910" t="s">
        <v>14</v>
      </c>
      <c r="Z91" s="911" t="s">
        <v>15</v>
      </c>
      <c r="AA91" s="912" t="s">
        <v>11</v>
      </c>
      <c r="AB91" s="910" t="s">
        <v>12</v>
      </c>
      <c r="AC91" s="910" t="s">
        <v>13</v>
      </c>
      <c r="AD91" s="910" t="s">
        <v>14</v>
      </c>
      <c r="AE91" s="911" t="s">
        <v>15</v>
      </c>
      <c r="AF91" s="1011"/>
      <c r="AG91" s="1011"/>
      <c r="AH91" s="1011"/>
      <c r="AI91" s="1011"/>
      <c r="AJ91" s="1011"/>
      <c r="AK91" s="1011"/>
    </row>
    <row r="92" spans="1:37">
      <c r="A92" s="913" t="s">
        <v>21</v>
      </c>
      <c r="B92" s="128">
        <v>5316.19294285714</v>
      </c>
      <c r="C92" s="128"/>
      <c r="D92" s="128">
        <v>79333.0916095238</v>
      </c>
      <c r="E92" s="128"/>
      <c r="F92" s="128">
        <v>553508.732805714</v>
      </c>
      <c r="G92" s="128">
        <v>3072.43</v>
      </c>
      <c r="H92" s="128"/>
      <c r="I92" s="128">
        <v>45560.13</v>
      </c>
      <c r="J92" s="128"/>
      <c r="K92" s="137">
        <v>310166.305</v>
      </c>
      <c r="L92" s="128">
        <v>4228.51</v>
      </c>
      <c r="M92" s="128"/>
      <c r="N92" s="128">
        <v>61266.95</v>
      </c>
      <c r="O92" s="128"/>
      <c r="P92" s="128">
        <v>428745.21</v>
      </c>
      <c r="Q92" s="128">
        <v>1997</v>
      </c>
      <c r="R92" s="128"/>
      <c r="S92" s="128">
        <v>29732.7</v>
      </c>
      <c r="T92" s="128"/>
      <c r="U92" s="128">
        <v>219326.582</v>
      </c>
      <c r="V92" s="128">
        <v>0</v>
      </c>
      <c r="W92" s="128"/>
      <c r="X92" s="991">
        <v>0</v>
      </c>
      <c r="Y92" s="991"/>
      <c r="Z92" s="991">
        <v>0</v>
      </c>
      <c r="AA92" s="991">
        <v>0</v>
      </c>
      <c r="AB92" s="991"/>
      <c r="AC92" s="991">
        <v>0</v>
      </c>
      <c r="AD92" s="991"/>
      <c r="AE92" s="991">
        <v>0</v>
      </c>
      <c r="AF92" s="1012"/>
      <c r="AG92" s="1011"/>
      <c r="AH92" s="1011"/>
      <c r="AI92" s="1011"/>
      <c r="AJ92" s="1011"/>
      <c r="AK92" s="1011"/>
    </row>
    <row r="93" ht="40.5" spans="1:37">
      <c r="A93" s="695"/>
      <c r="B93" s="696" t="s">
        <v>25</v>
      </c>
      <c r="C93" s="697"/>
      <c r="D93" s="697"/>
      <c r="E93" s="697"/>
      <c r="F93" s="697"/>
      <c r="G93" s="696" t="s">
        <v>28</v>
      </c>
      <c r="H93" s="697"/>
      <c r="I93" s="697"/>
      <c r="J93" s="697"/>
      <c r="K93" s="777"/>
      <c r="L93" s="778" t="s">
        <v>29</v>
      </c>
      <c r="M93" s="779"/>
      <c r="N93" s="779"/>
      <c r="O93" s="791"/>
      <c r="P93" s="696" t="s">
        <v>30</v>
      </c>
      <c r="Q93" s="697"/>
      <c r="R93" s="697"/>
      <c r="S93" s="696" t="s">
        <v>31</v>
      </c>
      <c r="T93" s="697"/>
      <c r="U93" s="697"/>
      <c r="V93" s="561" t="s">
        <v>32</v>
      </c>
      <c r="W93" s="561"/>
      <c r="X93" s="561"/>
      <c r="Y93" s="561" t="s">
        <v>33</v>
      </c>
      <c r="Z93" s="561"/>
      <c r="AA93" s="561"/>
      <c r="AB93" s="561" t="s">
        <v>34</v>
      </c>
      <c r="AC93" s="561"/>
      <c r="AD93" s="561"/>
      <c r="AE93" s="561" t="s">
        <v>35</v>
      </c>
      <c r="AF93" s="561"/>
      <c r="AG93" s="561"/>
      <c r="AH93" s="866" t="s">
        <v>54</v>
      </c>
      <c r="AI93" s="867"/>
      <c r="AJ93" s="867"/>
      <c r="AK93" s="868"/>
    </row>
    <row r="94" ht="24" spans="1:37">
      <c r="A94" s="698"/>
      <c r="B94" s="196" t="s">
        <v>11</v>
      </c>
      <c r="C94" s="196" t="s">
        <v>37</v>
      </c>
      <c r="D94" s="196" t="s">
        <v>38</v>
      </c>
      <c r="E94" s="413" t="s">
        <v>39</v>
      </c>
      <c r="F94" s="413" t="s">
        <v>40</v>
      </c>
      <c r="G94" s="196" t="s">
        <v>11</v>
      </c>
      <c r="H94" s="196" t="s">
        <v>37</v>
      </c>
      <c r="I94" s="196" t="s">
        <v>38</v>
      </c>
      <c r="J94" s="432" t="s">
        <v>41</v>
      </c>
      <c r="K94" s="432" t="s">
        <v>40</v>
      </c>
      <c r="L94" s="196" t="s">
        <v>11</v>
      </c>
      <c r="M94" s="196" t="s">
        <v>37</v>
      </c>
      <c r="N94" s="196" t="s">
        <v>38</v>
      </c>
      <c r="O94" s="432" t="s">
        <v>41</v>
      </c>
      <c r="P94" s="196" t="s">
        <v>11</v>
      </c>
      <c r="Q94" s="196" t="s">
        <v>37</v>
      </c>
      <c r="R94" s="196" t="s">
        <v>38</v>
      </c>
      <c r="S94" s="432" t="s">
        <v>11</v>
      </c>
      <c r="T94" s="196" t="s">
        <v>37</v>
      </c>
      <c r="U94" s="196" t="s">
        <v>38</v>
      </c>
      <c r="V94" s="196" t="s">
        <v>11</v>
      </c>
      <c r="W94" s="196" t="s">
        <v>37</v>
      </c>
      <c r="X94" s="196" t="s">
        <v>38</v>
      </c>
      <c r="Y94" s="196" t="s">
        <v>11</v>
      </c>
      <c r="Z94" s="196" t="s">
        <v>37</v>
      </c>
      <c r="AA94" s="196" t="s">
        <v>38</v>
      </c>
      <c r="AB94" s="196" t="s">
        <v>11</v>
      </c>
      <c r="AC94" s="196" t="s">
        <v>37</v>
      </c>
      <c r="AD94" s="196" t="s">
        <v>38</v>
      </c>
      <c r="AE94" s="196" t="s">
        <v>11</v>
      </c>
      <c r="AF94" s="196" t="s">
        <v>37</v>
      </c>
      <c r="AG94" s="196" t="s">
        <v>38</v>
      </c>
      <c r="AH94" s="432" t="s">
        <v>42</v>
      </c>
      <c r="AI94" s="432" t="s">
        <v>43</v>
      </c>
      <c r="AJ94" s="432" t="s">
        <v>44</v>
      </c>
      <c r="AK94" s="432" t="s">
        <v>45</v>
      </c>
    </row>
    <row r="95" spans="1:37">
      <c r="A95" s="431" t="s">
        <v>21</v>
      </c>
      <c r="B95" s="574">
        <v>4116</v>
      </c>
      <c r="C95" s="529">
        <v>61884.2</v>
      </c>
      <c r="D95" s="529">
        <v>426340.4</v>
      </c>
      <c r="E95" s="529">
        <v>2077.05758017493</v>
      </c>
      <c r="F95" s="529">
        <v>3187</v>
      </c>
      <c r="G95" s="574">
        <v>1635.73</v>
      </c>
      <c r="H95" s="529">
        <v>23095.84</v>
      </c>
      <c r="I95" s="529">
        <v>178455.52</v>
      </c>
      <c r="J95" s="529">
        <v>2220.59242662298</v>
      </c>
      <c r="K95" s="529">
        <v>5525</v>
      </c>
      <c r="L95" s="574">
        <v>629.04</v>
      </c>
      <c r="M95" s="529">
        <v>9855.74</v>
      </c>
      <c r="N95" s="529">
        <v>61675.54</v>
      </c>
      <c r="O95" s="529">
        <v>3454.00133536818</v>
      </c>
      <c r="P95" s="574"/>
      <c r="Q95" s="529">
        <v>0</v>
      </c>
      <c r="R95" s="529">
        <v>0</v>
      </c>
      <c r="S95" s="574">
        <v>0</v>
      </c>
      <c r="T95" s="529">
        <v>0</v>
      </c>
      <c r="U95" s="529">
        <v>0</v>
      </c>
      <c r="V95" s="992">
        <v>1288.39633429837</v>
      </c>
      <c r="W95" s="992">
        <v>1283.65238079005</v>
      </c>
      <c r="X95" s="992">
        <v>1290.32720139945</v>
      </c>
      <c r="Y95" s="992">
        <v>354.651913552767</v>
      </c>
      <c r="Z95" s="992">
        <v>363.085675039318</v>
      </c>
      <c r="AA95" s="992">
        <v>362.662619258593</v>
      </c>
      <c r="AB95" s="992">
        <v>1054.64188094624</v>
      </c>
      <c r="AC95" s="992">
        <v>1044.38890135709</v>
      </c>
      <c r="AD95" s="992">
        <v>1060.17756947069</v>
      </c>
      <c r="AE95" s="992">
        <v>67.895783621181</v>
      </c>
      <c r="AF95" s="992">
        <v>69.9210507459568</v>
      </c>
      <c r="AG95" s="992">
        <v>71.8134004575818</v>
      </c>
      <c r="AH95" s="992">
        <v>12482</v>
      </c>
      <c r="AI95" s="992">
        <v>1048.34</v>
      </c>
      <c r="AJ95" s="992">
        <v>23304.15</v>
      </c>
      <c r="AK95" s="992">
        <v>2706.1</v>
      </c>
    </row>
    <row r="96" spans="1:37">
      <c r="A96" s="914" t="s">
        <v>95</v>
      </c>
      <c r="B96" s="914"/>
      <c r="C96" s="914"/>
      <c r="D96" s="710"/>
      <c r="E96" s="710"/>
      <c r="F96" s="710"/>
      <c r="G96" s="710"/>
      <c r="H96" s="710"/>
      <c r="I96" s="968" t="s">
        <v>96</v>
      </c>
      <c r="J96" s="968"/>
      <c r="K96" s="968"/>
      <c r="L96" s="968"/>
      <c r="M96" s="710"/>
      <c r="N96" s="710"/>
      <c r="O96" s="710"/>
      <c r="P96" s="710"/>
      <c r="Q96" s="710"/>
      <c r="R96" s="710"/>
      <c r="S96" s="968" t="s">
        <v>97</v>
      </c>
      <c r="T96" s="968"/>
      <c r="U96" s="968"/>
      <c r="V96" s="710">
        <v>83550636</v>
      </c>
      <c r="W96" s="710"/>
      <c r="X96" s="710"/>
      <c r="Y96" s="710"/>
      <c r="Z96" s="710"/>
      <c r="AA96" s="710"/>
      <c r="AB96" s="710"/>
      <c r="AC96" s="710"/>
      <c r="AD96" s="710"/>
      <c r="AE96" s="710"/>
      <c r="AF96" s="710"/>
      <c r="AG96" s="710"/>
      <c r="AH96" s="710"/>
      <c r="AI96" s="710"/>
      <c r="AJ96" s="710"/>
      <c r="AK96" s="710"/>
    </row>
    <row r="97" ht="15" spans="1:37">
      <c r="A97" s="915"/>
      <c r="B97" s="719"/>
      <c r="C97" s="719"/>
      <c r="D97" s="719"/>
      <c r="E97" s="719"/>
      <c r="F97" s="719"/>
      <c r="G97" s="719"/>
      <c r="H97" s="719"/>
      <c r="I97" s="719"/>
      <c r="J97" s="719"/>
      <c r="K97" s="915"/>
      <c r="L97" s="719"/>
      <c r="M97" s="719"/>
      <c r="N97" s="719"/>
      <c r="O97" s="719"/>
      <c r="P97" s="719"/>
      <c r="Q97" s="719"/>
      <c r="R97" s="719"/>
      <c r="S97" s="719"/>
      <c r="T97" s="719"/>
      <c r="U97" s="719"/>
      <c r="V97" s="719"/>
      <c r="W97" s="719"/>
      <c r="X97" s="719"/>
      <c r="Y97" s="719"/>
      <c r="Z97" s="719"/>
      <c r="AA97" s="719"/>
      <c r="AB97" s="719"/>
      <c r="AC97" s="719"/>
      <c r="AD97" s="719"/>
      <c r="AE97" s="719"/>
      <c r="AF97" s="915"/>
      <c r="AG97" s="915"/>
      <c r="AH97" s="915"/>
      <c r="AI97" s="915"/>
      <c r="AJ97" s="915"/>
      <c r="AK97" s="915"/>
    </row>
    <row r="98" ht="28.5" spans="1:37">
      <c r="A98" s="738" t="s">
        <v>98</v>
      </c>
      <c r="B98" s="739" t="s">
        <v>5</v>
      </c>
      <c r="C98" s="740"/>
      <c r="D98" s="740"/>
      <c r="E98" s="740"/>
      <c r="F98" s="741"/>
      <c r="G98" s="742" t="s">
        <v>6</v>
      </c>
      <c r="H98" s="743"/>
      <c r="I98" s="743"/>
      <c r="J98" s="743"/>
      <c r="K98" s="787"/>
      <c r="L98" s="788" t="s">
        <v>7</v>
      </c>
      <c r="M98" s="789"/>
      <c r="N98" s="789"/>
      <c r="O98" s="789"/>
      <c r="P98" s="790"/>
      <c r="Q98" s="811" t="s">
        <v>8</v>
      </c>
      <c r="R98" s="812"/>
      <c r="S98" s="812"/>
      <c r="T98" s="812"/>
      <c r="U98" s="813"/>
      <c r="V98" s="814" t="s">
        <v>9</v>
      </c>
      <c r="W98" s="815"/>
      <c r="X98" s="815"/>
      <c r="Y98" s="815"/>
      <c r="Z98" s="838"/>
      <c r="AA98" s="839" t="s">
        <v>10</v>
      </c>
      <c r="AB98" s="840"/>
      <c r="AC98" s="840"/>
      <c r="AD98" s="840"/>
      <c r="AE98" s="841"/>
      <c r="AF98" s="111"/>
      <c r="AG98" s="111"/>
      <c r="AH98" s="111"/>
      <c r="AI98" s="111"/>
      <c r="AJ98" s="111"/>
      <c r="AK98" s="111"/>
    </row>
    <row r="99" ht="29.25" spans="1:37">
      <c r="A99" s="744"/>
      <c r="B99" s="745" t="s">
        <v>11</v>
      </c>
      <c r="C99" s="746" t="s">
        <v>12</v>
      </c>
      <c r="D99" s="746" t="s">
        <v>13</v>
      </c>
      <c r="E99" s="746" t="s">
        <v>14</v>
      </c>
      <c r="F99" s="747" t="s">
        <v>15</v>
      </c>
      <c r="G99" s="748" t="s">
        <v>11</v>
      </c>
      <c r="H99" s="746" t="s">
        <v>12</v>
      </c>
      <c r="I99" s="746" t="s">
        <v>13</v>
      </c>
      <c r="J99" s="746" t="s">
        <v>14</v>
      </c>
      <c r="K99" s="747" t="s">
        <v>15</v>
      </c>
      <c r="L99" s="748" t="s">
        <v>11</v>
      </c>
      <c r="M99" s="746" t="s">
        <v>12</v>
      </c>
      <c r="N99" s="746" t="s">
        <v>13</v>
      </c>
      <c r="O99" s="746" t="s">
        <v>14</v>
      </c>
      <c r="P99" s="747" t="s">
        <v>15</v>
      </c>
      <c r="Q99" s="748" t="s">
        <v>11</v>
      </c>
      <c r="R99" s="746" t="s">
        <v>12</v>
      </c>
      <c r="S99" s="746" t="s">
        <v>13</v>
      </c>
      <c r="T99" s="746" t="s">
        <v>14</v>
      </c>
      <c r="U99" s="747" t="s">
        <v>15</v>
      </c>
      <c r="V99" s="748" t="s">
        <v>11</v>
      </c>
      <c r="W99" s="746" t="s">
        <v>12</v>
      </c>
      <c r="X99" s="746" t="s">
        <v>13</v>
      </c>
      <c r="Y99" s="746" t="s">
        <v>14</v>
      </c>
      <c r="Z99" s="747" t="s">
        <v>15</v>
      </c>
      <c r="AA99" s="748" t="s">
        <v>11</v>
      </c>
      <c r="AB99" s="746" t="s">
        <v>12</v>
      </c>
      <c r="AC99" s="746" t="s">
        <v>13</v>
      </c>
      <c r="AD99" s="746" t="s">
        <v>14</v>
      </c>
      <c r="AE99" s="747" t="s">
        <v>15</v>
      </c>
      <c r="AF99" s="111"/>
      <c r="AG99" s="111"/>
      <c r="AH99" s="111"/>
      <c r="AI99" s="111"/>
      <c r="AJ99" s="111"/>
      <c r="AK99" s="111"/>
    </row>
    <row r="100" spans="1:37">
      <c r="A100" s="65" t="s">
        <v>99</v>
      </c>
      <c r="B100" s="916">
        <v>2192.76294285714</v>
      </c>
      <c r="C100" s="917"/>
      <c r="D100" s="917">
        <v>32554.7316095238</v>
      </c>
      <c r="E100" s="917"/>
      <c r="F100" s="917">
        <v>227505.747805714</v>
      </c>
      <c r="G100" s="916"/>
      <c r="H100" s="917"/>
      <c r="I100" s="917"/>
      <c r="J100" s="917"/>
      <c r="K100" s="917"/>
      <c r="L100" s="916"/>
      <c r="M100" s="917"/>
      <c r="N100" s="917"/>
      <c r="O100" s="917"/>
      <c r="P100" s="917"/>
      <c r="Q100" s="916">
        <v>1949.6</v>
      </c>
      <c r="R100" s="917"/>
      <c r="S100" s="917">
        <v>28583.6</v>
      </c>
      <c r="T100" s="917"/>
      <c r="U100" s="917">
        <v>204386.822</v>
      </c>
      <c r="V100" s="916"/>
      <c r="W100" s="917"/>
      <c r="X100" s="917"/>
      <c r="Y100" s="917"/>
      <c r="Z100" s="917"/>
      <c r="AA100" s="916"/>
      <c r="AB100" s="917"/>
      <c r="AC100" s="917"/>
      <c r="AD100" s="917"/>
      <c r="AE100" s="917"/>
      <c r="AF100" s="111"/>
      <c r="AG100" s="111"/>
      <c r="AH100" s="111"/>
      <c r="AI100" s="111"/>
      <c r="AJ100" s="111"/>
      <c r="AK100" s="111"/>
    </row>
    <row r="101" spans="1:37">
      <c r="A101" s="65" t="s">
        <v>100</v>
      </c>
      <c r="B101" s="918">
        <v>989</v>
      </c>
      <c r="C101" s="919"/>
      <c r="D101" s="917">
        <v>15082.08</v>
      </c>
      <c r="E101" s="917"/>
      <c r="F101" s="917">
        <v>114781.31</v>
      </c>
      <c r="G101" s="918">
        <v>938</v>
      </c>
      <c r="H101" s="917"/>
      <c r="I101" s="917">
        <v>13863.85</v>
      </c>
      <c r="J101" s="917"/>
      <c r="K101" s="917">
        <v>98944.63</v>
      </c>
      <c r="L101" s="918">
        <v>1279</v>
      </c>
      <c r="M101" s="917"/>
      <c r="N101" s="917">
        <v>19138.32</v>
      </c>
      <c r="O101" s="917"/>
      <c r="P101" s="917">
        <v>139953.86</v>
      </c>
      <c r="Q101" s="918">
        <v>47.4</v>
      </c>
      <c r="R101" s="917"/>
      <c r="S101" s="917">
        <v>1149.1</v>
      </c>
      <c r="T101" s="917"/>
      <c r="U101" s="917">
        <v>14939.76</v>
      </c>
      <c r="V101" s="916"/>
      <c r="W101" s="917"/>
      <c r="X101" s="917"/>
      <c r="Y101" s="917"/>
      <c r="Z101" s="917"/>
      <c r="AA101" s="916"/>
      <c r="AB101" s="917"/>
      <c r="AC101" s="917"/>
      <c r="AD101" s="917"/>
      <c r="AE101" s="917"/>
      <c r="AF101" s="111"/>
      <c r="AG101" s="111"/>
      <c r="AH101" s="111"/>
      <c r="AI101" s="111"/>
      <c r="AJ101" s="111"/>
      <c r="AK101" s="111"/>
    </row>
    <row r="102" spans="1:37">
      <c r="A102" s="65" t="s">
        <v>101</v>
      </c>
      <c r="B102" s="916"/>
      <c r="C102" s="917"/>
      <c r="D102" s="917"/>
      <c r="E102" s="917"/>
      <c r="F102" s="917"/>
      <c r="G102" s="916"/>
      <c r="H102" s="917"/>
      <c r="I102" s="917"/>
      <c r="J102" s="917"/>
      <c r="K102" s="917"/>
      <c r="L102" s="916"/>
      <c r="M102" s="917"/>
      <c r="N102" s="917"/>
      <c r="O102" s="917"/>
      <c r="P102" s="917"/>
      <c r="Q102" s="916"/>
      <c r="R102" s="917"/>
      <c r="S102" s="917"/>
      <c r="T102" s="917"/>
      <c r="U102" s="917"/>
      <c r="V102" s="916"/>
      <c r="W102" s="917"/>
      <c r="X102" s="917"/>
      <c r="Y102" s="917"/>
      <c r="Z102" s="917"/>
      <c r="AA102" s="916"/>
      <c r="AB102" s="917"/>
      <c r="AC102" s="917"/>
      <c r="AD102" s="917"/>
      <c r="AE102" s="1013"/>
      <c r="AF102" s="111"/>
      <c r="AG102" s="111"/>
      <c r="AH102" s="111"/>
      <c r="AI102" s="111"/>
      <c r="AJ102" s="111"/>
      <c r="AK102" s="111"/>
    </row>
    <row r="103" spans="1:37">
      <c r="A103" s="65" t="s">
        <v>102</v>
      </c>
      <c r="B103" s="916"/>
      <c r="C103" s="917"/>
      <c r="D103" s="917"/>
      <c r="E103" s="917"/>
      <c r="F103" s="917"/>
      <c r="G103" s="916"/>
      <c r="H103" s="917"/>
      <c r="I103" s="917"/>
      <c r="J103" s="917"/>
      <c r="K103" s="917"/>
      <c r="L103" s="916"/>
      <c r="M103" s="917"/>
      <c r="N103" s="917"/>
      <c r="O103" s="917"/>
      <c r="P103" s="917"/>
      <c r="Q103" s="916"/>
      <c r="R103" s="917"/>
      <c r="S103" s="917"/>
      <c r="T103" s="917"/>
      <c r="U103" s="917"/>
      <c r="V103" s="916"/>
      <c r="W103" s="917"/>
      <c r="X103" s="917"/>
      <c r="Y103" s="917"/>
      <c r="Z103" s="917"/>
      <c r="AA103" s="916"/>
      <c r="AB103" s="917"/>
      <c r="AC103" s="917"/>
      <c r="AD103" s="917"/>
      <c r="AE103" s="1013"/>
      <c r="AF103" s="111"/>
      <c r="AG103" s="111"/>
      <c r="AH103" s="111"/>
      <c r="AI103" s="111"/>
      <c r="AJ103" s="111"/>
      <c r="AK103" s="111"/>
    </row>
    <row r="104" spans="1:37">
      <c r="A104" s="65" t="s">
        <v>103</v>
      </c>
      <c r="B104" s="916">
        <v>2134.43</v>
      </c>
      <c r="C104" s="917"/>
      <c r="D104" s="917">
        <v>31696.28</v>
      </c>
      <c r="E104" s="917"/>
      <c r="F104" s="917">
        <v>211221.675</v>
      </c>
      <c r="G104" s="916">
        <v>2134.43</v>
      </c>
      <c r="H104" s="917"/>
      <c r="I104" s="917">
        <v>31696.28</v>
      </c>
      <c r="J104" s="917"/>
      <c r="K104" s="917">
        <v>211221.675</v>
      </c>
      <c r="L104" s="916">
        <v>2949.51</v>
      </c>
      <c r="M104" s="917"/>
      <c r="N104" s="917">
        <v>42128.63</v>
      </c>
      <c r="O104" s="917"/>
      <c r="P104" s="917">
        <v>288791.35</v>
      </c>
      <c r="Q104" s="916"/>
      <c r="R104" s="917"/>
      <c r="S104" s="917"/>
      <c r="T104" s="917"/>
      <c r="U104" s="917"/>
      <c r="V104" s="916"/>
      <c r="W104" s="917"/>
      <c r="X104" s="917"/>
      <c r="Y104" s="917"/>
      <c r="Z104" s="917"/>
      <c r="AA104" s="916"/>
      <c r="AB104" s="917"/>
      <c r="AC104" s="917"/>
      <c r="AD104" s="917"/>
      <c r="AE104" s="1013"/>
      <c r="AF104" s="111"/>
      <c r="AG104" s="111"/>
      <c r="AH104" s="111"/>
      <c r="AI104" s="111"/>
      <c r="AJ104" s="111"/>
      <c r="AK104" s="111"/>
    </row>
    <row r="105" spans="1:37">
      <c r="A105" s="65" t="s">
        <v>104</v>
      </c>
      <c r="B105" s="916"/>
      <c r="C105" s="917"/>
      <c r="D105" s="917"/>
      <c r="E105" s="917"/>
      <c r="F105" s="917"/>
      <c r="G105" s="916"/>
      <c r="H105" s="917"/>
      <c r="I105" s="917"/>
      <c r="J105" s="917"/>
      <c r="K105" s="917"/>
      <c r="L105" s="916"/>
      <c r="M105" s="917"/>
      <c r="N105" s="917"/>
      <c r="O105" s="917"/>
      <c r="P105" s="917"/>
      <c r="Q105" s="916"/>
      <c r="R105" s="917"/>
      <c r="S105" s="917"/>
      <c r="T105" s="917"/>
      <c r="U105" s="917"/>
      <c r="V105" s="916"/>
      <c r="W105" s="917"/>
      <c r="X105" s="917"/>
      <c r="Y105" s="917"/>
      <c r="Z105" s="917"/>
      <c r="AA105" s="916"/>
      <c r="AB105" s="917"/>
      <c r="AC105" s="917"/>
      <c r="AD105" s="917"/>
      <c r="AE105" s="1013"/>
      <c r="AF105" s="111"/>
      <c r="AG105" s="111"/>
      <c r="AH105" s="111"/>
      <c r="AI105" s="111"/>
      <c r="AJ105" s="111"/>
      <c r="AK105" s="111"/>
    </row>
    <row r="106" spans="1:37">
      <c r="A106" s="65" t="s">
        <v>105</v>
      </c>
      <c r="B106" s="916"/>
      <c r="C106" s="917"/>
      <c r="D106" s="917"/>
      <c r="E106" s="917"/>
      <c r="F106" s="917"/>
      <c r="G106" s="916"/>
      <c r="H106" s="917"/>
      <c r="I106" s="917"/>
      <c r="J106" s="917"/>
      <c r="K106" s="917"/>
      <c r="L106" s="916"/>
      <c r="M106" s="917"/>
      <c r="N106" s="917"/>
      <c r="O106" s="917"/>
      <c r="P106" s="917"/>
      <c r="Q106" s="916"/>
      <c r="R106" s="917"/>
      <c r="S106" s="917"/>
      <c r="T106" s="917"/>
      <c r="U106" s="917"/>
      <c r="V106" s="916"/>
      <c r="W106" s="917"/>
      <c r="X106" s="917"/>
      <c r="Y106" s="917"/>
      <c r="Z106" s="917"/>
      <c r="AA106" s="916"/>
      <c r="AB106" s="917"/>
      <c r="AC106" s="917"/>
      <c r="AD106" s="917"/>
      <c r="AE106" s="1013"/>
      <c r="AF106" s="111"/>
      <c r="AG106" s="111"/>
      <c r="AH106" s="111"/>
      <c r="AI106" s="111"/>
      <c r="AJ106" s="111"/>
      <c r="AK106" s="111"/>
    </row>
    <row r="107" spans="1:37">
      <c r="A107" s="65" t="s">
        <v>106</v>
      </c>
      <c r="B107" s="916"/>
      <c r="C107" s="917"/>
      <c r="D107" s="917"/>
      <c r="E107" s="917"/>
      <c r="F107" s="917"/>
      <c r="G107" s="916"/>
      <c r="H107" s="917"/>
      <c r="I107" s="917"/>
      <c r="J107" s="917"/>
      <c r="K107" s="917"/>
      <c r="L107" s="916"/>
      <c r="M107" s="917"/>
      <c r="N107" s="917"/>
      <c r="O107" s="917"/>
      <c r="P107" s="917"/>
      <c r="Q107" s="916"/>
      <c r="R107" s="917"/>
      <c r="S107" s="917"/>
      <c r="T107" s="917"/>
      <c r="U107" s="917"/>
      <c r="V107" s="916"/>
      <c r="W107" s="917"/>
      <c r="X107" s="917"/>
      <c r="Y107" s="917"/>
      <c r="Z107" s="917"/>
      <c r="AA107" s="916"/>
      <c r="AB107" s="917"/>
      <c r="AC107" s="917"/>
      <c r="AD107" s="917"/>
      <c r="AE107" s="1013"/>
      <c r="AF107" s="111"/>
      <c r="AG107" s="111"/>
      <c r="AH107" s="111"/>
      <c r="AI107" s="111"/>
      <c r="AJ107" s="111"/>
      <c r="AK107" s="111"/>
    </row>
    <row r="108" spans="1:37">
      <c r="A108" s="431" t="s">
        <v>21</v>
      </c>
      <c r="B108" s="529">
        <v>5316.19294285714</v>
      </c>
      <c r="C108" s="529"/>
      <c r="D108" s="529">
        <v>79333.0916095238</v>
      </c>
      <c r="E108" s="529"/>
      <c r="F108" s="529">
        <v>553508.732805714</v>
      </c>
      <c r="G108" s="529">
        <v>3072.43</v>
      </c>
      <c r="H108" s="529"/>
      <c r="I108" s="529">
        <v>45560.13</v>
      </c>
      <c r="J108" s="529"/>
      <c r="K108" s="969">
        <v>310166.305</v>
      </c>
      <c r="L108" s="529">
        <v>4228.51</v>
      </c>
      <c r="M108" s="529"/>
      <c r="N108" s="529">
        <v>61266.95</v>
      </c>
      <c r="O108" s="529"/>
      <c r="P108" s="529">
        <v>428745.21</v>
      </c>
      <c r="Q108" s="529">
        <v>1997</v>
      </c>
      <c r="R108" s="529"/>
      <c r="S108" s="529">
        <v>29732.7</v>
      </c>
      <c r="T108" s="529"/>
      <c r="U108" s="529">
        <v>219326.582</v>
      </c>
      <c r="V108" s="529">
        <v>0</v>
      </c>
      <c r="W108" s="529"/>
      <c r="X108" s="529">
        <v>0</v>
      </c>
      <c r="Y108" s="529"/>
      <c r="Z108" s="529">
        <v>0</v>
      </c>
      <c r="AA108" s="529">
        <v>0</v>
      </c>
      <c r="AB108" s="529"/>
      <c r="AC108" s="529">
        <v>0</v>
      </c>
      <c r="AD108" s="529"/>
      <c r="AE108" s="529">
        <v>0</v>
      </c>
      <c r="AF108" s="915"/>
      <c r="AG108" s="915"/>
      <c r="AH108" s="915"/>
      <c r="AI108" s="915"/>
      <c r="AJ108" s="915"/>
      <c r="AK108" s="915"/>
    </row>
    <row r="109" ht="40.5" spans="1:37">
      <c r="A109" s="69" t="s">
        <v>98</v>
      </c>
      <c r="B109" s="920" t="s">
        <v>25</v>
      </c>
      <c r="C109" s="921"/>
      <c r="D109" s="921"/>
      <c r="E109" s="921"/>
      <c r="F109" s="921"/>
      <c r="G109" s="920" t="s">
        <v>28</v>
      </c>
      <c r="H109" s="921"/>
      <c r="I109" s="921"/>
      <c r="J109" s="921"/>
      <c r="K109" s="970"/>
      <c r="L109" s="971" t="s">
        <v>29</v>
      </c>
      <c r="M109" s="972"/>
      <c r="N109" s="972"/>
      <c r="O109" s="973"/>
      <c r="P109" s="920" t="s">
        <v>30</v>
      </c>
      <c r="Q109" s="921"/>
      <c r="R109" s="921"/>
      <c r="S109" s="920" t="s">
        <v>31</v>
      </c>
      <c r="T109" s="921"/>
      <c r="U109" s="921"/>
      <c r="V109" s="993" t="s">
        <v>32</v>
      </c>
      <c r="W109" s="993"/>
      <c r="X109" s="993"/>
      <c r="Y109" s="993" t="s">
        <v>33</v>
      </c>
      <c r="Z109" s="993"/>
      <c r="AA109" s="993"/>
      <c r="AB109" s="993" t="s">
        <v>34</v>
      </c>
      <c r="AC109" s="993"/>
      <c r="AD109" s="993"/>
      <c r="AE109" s="993" t="s">
        <v>35</v>
      </c>
      <c r="AF109" s="993"/>
      <c r="AG109" s="993"/>
      <c r="AH109" s="1021" t="s">
        <v>54</v>
      </c>
      <c r="AI109" s="1022"/>
      <c r="AJ109" s="1022"/>
      <c r="AK109" s="1023"/>
    </row>
    <row r="110" ht="24" spans="1:37">
      <c r="A110" s="65"/>
      <c r="B110" s="196" t="s">
        <v>11</v>
      </c>
      <c r="C110" s="196" t="s">
        <v>37</v>
      </c>
      <c r="D110" s="196" t="s">
        <v>38</v>
      </c>
      <c r="E110" s="413" t="s">
        <v>39</v>
      </c>
      <c r="F110" s="413" t="s">
        <v>40</v>
      </c>
      <c r="G110" s="196" t="s">
        <v>11</v>
      </c>
      <c r="H110" s="196" t="s">
        <v>37</v>
      </c>
      <c r="I110" s="196" t="s">
        <v>38</v>
      </c>
      <c r="J110" s="432" t="s">
        <v>41</v>
      </c>
      <c r="K110" s="432" t="s">
        <v>40</v>
      </c>
      <c r="L110" s="196" t="s">
        <v>11</v>
      </c>
      <c r="M110" s="196" t="s">
        <v>37</v>
      </c>
      <c r="N110" s="196" t="s">
        <v>38</v>
      </c>
      <c r="O110" s="432" t="s">
        <v>41</v>
      </c>
      <c r="P110" s="196" t="s">
        <v>11</v>
      </c>
      <c r="Q110" s="196" t="s">
        <v>37</v>
      </c>
      <c r="R110" s="196" t="s">
        <v>38</v>
      </c>
      <c r="S110" s="432" t="s">
        <v>11</v>
      </c>
      <c r="T110" s="196" t="s">
        <v>37</v>
      </c>
      <c r="U110" s="196" t="s">
        <v>38</v>
      </c>
      <c r="V110" s="200" t="s">
        <v>11</v>
      </c>
      <c r="W110" s="200" t="s">
        <v>37</v>
      </c>
      <c r="X110" s="200" t="s">
        <v>38</v>
      </c>
      <c r="Y110" s="200" t="s">
        <v>11</v>
      </c>
      <c r="Z110" s="200" t="s">
        <v>37</v>
      </c>
      <c r="AA110" s="200" t="s">
        <v>38</v>
      </c>
      <c r="AB110" s="200" t="s">
        <v>11</v>
      </c>
      <c r="AC110" s="200" t="s">
        <v>37</v>
      </c>
      <c r="AD110" s="200" t="s">
        <v>38</v>
      </c>
      <c r="AE110" s="200" t="s">
        <v>11</v>
      </c>
      <c r="AF110" s="200" t="s">
        <v>37</v>
      </c>
      <c r="AG110" s="200" t="s">
        <v>38</v>
      </c>
      <c r="AH110" s="415" t="s">
        <v>42</v>
      </c>
      <c r="AI110" s="415" t="s">
        <v>43</v>
      </c>
      <c r="AJ110" s="415" t="s">
        <v>44</v>
      </c>
      <c r="AK110" s="415" t="s">
        <v>45</v>
      </c>
    </row>
    <row r="111" spans="1:37">
      <c r="A111" s="922" t="s">
        <v>99</v>
      </c>
      <c r="B111" s="516"/>
      <c r="C111" s="200"/>
      <c r="D111" s="200"/>
      <c r="E111" s="415"/>
      <c r="F111" s="415"/>
      <c r="G111" s="516">
        <v>1635.73</v>
      </c>
      <c r="H111" s="200">
        <v>23095.84</v>
      </c>
      <c r="I111" s="200">
        <v>178455.52</v>
      </c>
      <c r="J111" s="415">
        <v>2220.59242662298</v>
      </c>
      <c r="K111" s="415">
        <v>5525</v>
      </c>
      <c r="L111" s="516"/>
      <c r="M111" s="200"/>
      <c r="N111" s="200"/>
      <c r="O111" s="415"/>
      <c r="P111" s="516"/>
      <c r="Q111" s="200"/>
      <c r="R111" s="415"/>
      <c r="S111" s="994"/>
      <c r="T111" s="200"/>
      <c r="U111" s="200"/>
      <c r="V111" s="969">
        <v>1234.10513152598</v>
      </c>
      <c r="W111" s="969">
        <v>1246.87251263116</v>
      </c>
      <c r="X111" s="969">
        <v>1255.16302768408</v>
      </c>
      <c r="Y111" s="969">
        <v>395.756414448188</v>
      </c>
      <c r="Z111" s="969">
        <v>394.689170044979</v>
      </c>
      <c r="AA111" s="969">
        <v>387.269715036238</v>
      </c>
      <c r="AB111" s="969"/>
      <c r="AC111" s="969"/>
      <c r="AD111" s="969"/>
      <c r="AE111" s="969"/>
      <c r="AF111" s="969"/>
      <c r="AG111" s="969"/>
      <c r="AH111" s="969"/>
      <c r="AI111" s="969"/>
      <c r="AJ111" s="969">
        <v>23304.15</v>
      </c>
      <c r="AK111" s="969">
        <v>2706.1</v>
      </c>
    </row>
    <row r="112" spans="1:37">
      <c r="A112" s="923" t="s">
        <v>100</v>
      </c>
      <c r="B112" s="516">
        <v>1228</v>
      </c>
      <c r="C112" s="200">
        <v>18786.22</v>
      </c>
      <c r="D112" s="200">
        <v>136817.03</v>
      </c>
      <c r="E112" s="415">
        <v>2103.06270358306</v>
      </c>
      <c r="F112" s="415">
        <v>1098</v>
      </c>
      <c r="G112" s="516"/>
      <c r="H112" s="200"/>
      <c r="I112" s="200"/>
      <c r="J112" s="415"/>
      <c r="K112" s="415"/>
      <c r="L112" s="516">
        <v>83.9</v>
      </c>
      <c r="M112" s="200">
        <v>2527.62</v>
      </c>
      <c r="N112" s="200">
        <v>14260.28</v>
      </c>
      <c r="O112" s="415">
        <v>3480</v>
      </c>
      <c r="P112" s="516"/>
      <c r="Q112" s="200"/>
      <c r="R112" s="415"/>
      <c r="S112" s="994"/>
      <c r="T112" s="200"/>
      <c r="U112" s="200"/>
      <c r="V112" s="622">
        <v>1060</v>
      </c>
      <c r="W112" s="200">
        <v>1059.68301984872</v>
      </c>
      <c r="X112" s="200">
        <v>1101.65122631899</v>
      </c>
      <c r="Y112" s="622">
        <v>1002</v>
      </c>
      <c r="Z112" s="200">
        <v>1009.46481652398</v>
      </c>
      <c r="AA112" s="200">
        <v>954.339175079985</v>
      </c>
      <c r="AB112" s="622">
        <v>1010</v>
      </c>
      <c r="AC112" s="200">
        <v>1010.02464166134</v>
      </c>
      <c r="AD112" s="200">
        <v>1009.14011703571</v>
      </c>
      <c r="AE112" s="622">
        <v>162</v>
      </c>
      <c r="AF112" s="200">
        <v>160.695898072558</v>
      </c>
      <c r="AG112" s="200">
        <v>160.958414866157</v>
      </c>
      <c r="AH112" s="1024">
        <v>12482</v>
      </c>
      <c r="AI112" s="415">
        <v>1048.34</v>
      </c>
      <c r="AJ112" s="1024"/>
      <c r="AK112" s="415"/>
    </row>
    <row r="113" spans="1:37">
      <c r="A113" s="65" t="s">
        <v>101</v>
      </c>
      <c r="B113" s="516"/>
      <c r="C113" s="200"/>
      <c r="D113" s="200"/>
      <c r="E113" s="415"/>
      <c r="F113" s="415"/>
      <c r="G113" s="516"/>
      <c r="H113" s="200"/>
      <c r="I113" s="200"/>
      <c r="J113" s="415"/>
      <c r="K113" s="415"/>
      <c r="L113" s="516"/>
      <c r="M113" s="200"/>
      <c r="N113" s="200"/>
      <c r="O113" s="415"/>
      <c r="P113" s="516"/>
      <c r="Q113" s="200"/>
      <c r="R113" s="415"/>
      <c r="S113" s="994"/>
      <c r="T113" s="200"/>
      <c r="U113" s="200"/>
      <c r="V113" s="969"/>
      <c r="W113" s="969"/>
      <c r="X113" s="969"/>
      <c r="Y113" s="969"/>
      <c r="Z113" s="969"/>
      <c r="AA113" s="969"/>
      <c r="AB113" s="969"/>
      <c r="AC113" s="969"/>
      <c r="AD113" s="969"/>
      <c r="AE113" s="969"/>
      <c r="AF113" s="969"/>
      <c r="AG113" s="969"/>
      <c r="AH113" s="969"/>
      <c r="AI113" s="969"/>
      <c r="AJ113" s="969"/>
      <c r="AK113" s="969"/>
    </row>
    <row r="114" spans="1:37">
      <c r="A114" s="65" t="s">
        <v>103</v>
      </c>
      <c r="B114" s="516">
        <v>2888</v>
      </c>
      <c r="C114" s="200">
        <v>43097.98</v>
      </c>
      <c r="D114" s="200">
        <v>289523.37</v>
      </c>
      <c r="E114" s="415">
        <v>2066</v>
      </c>
      <c r="F114" s="415">
        <v>2089</v>
      </c>
      <c r="G114" s="516"/>
      <c r="H114" s="200"/>
      <c r="I114" s="200"/>
      <c r="J114" s="415"/>
      <c r="K114" s="415"/>
      <c r="L114" s="516">
        <v>545.14</v>
      </c>
      <c r="M114" s="200">
        <v>7328.12</v>
      </c>
      <c r="N114" s="200">
        <v>47415.26</v>
      </c>
      <c r="O114" s="415">
        <v>3450</v>
      </c>
      <c r="P114" s="516"/>
      <c r="Q114" s="200"/>
      <c r="R114" s="415"/>
      <c r="S114" s="994"/>
      <c r="T114" s="200"/>
      <c r="U114" s="200"/>
      <c r="V114" s="969">
        <v>1450</v>
      </c>
      <c r="W114" s="969">
        <v>1428</v>
      </c>
      <c r="X114" s="969">
        <v>1430.73195494733</v>
      </c>
      <c r="Y114" s="969">
        <v>12.4717137596454</v>
      </c>
      <c r="Z114" s="969">
        <v>23.058857380109</v>
      </c>
      <c r="AA114" s="969">
        <v>14.6317370127853</v>
      </c>
      <c r="AB114" s="969">
        <v>1074</v>
      </c>
      <c r="AC114" s="969">
        <v>1060</v>
      </c>
      <c r="AD114" s="969">
        <v>1084.91130361072</v>
      </c>
      <c r="AE114" s="969">
        <v>27.0892453322755</v>
      </c>
      <c r="AF114" s="969">
        <v>28.6835816877976</v>
      </c>
      <c r="AG114" s="969">
        <v>28.6120065576756</v>
      </c>
      <c r="AH114" s="969"/>
      <c r="AI114" s="969"/>
      <c r="AJ114" s="969"/>
      <c r="AK114" s="969"/>
    </row>
    <row r="115" spans="1:37">
      <c r="A115" s="65" t="s">
        <v>104</v>
      </c>
      <c r="B115" s="516"/>
      <c r="C115" s="200"/>
      <c r="D115" s="200"/>
      <c r="E115" s="415"/>
      <c r="F115" s="415"/>
      <c r="G115" s="516"/>
      <c r="H115" s="200"/>
      <c r="I115" s="200"/>
      <c r="J115" s="415"/>
      <c r="K115" s="415"/>
      <c r="L115" s="516"/>
      <c r="M115" s="200"/>
      <c r="N115" s="200"/>
      <c r="O115" s="415"/>
      <c r="P115" s="516"/>
      <c r="Q115" s="200"/>
      <c r="R115" s="415"/>
      <c r="S115" s="994"/>
      <c r="T115" s="200"/>
      <c r="U115" s="200"/>
      <c r="V115" s="969"/>
      <c r="W115" s="969"/>
      <c r="X115" s="969"/>
      <c r="Y115" s="969"/>
      <c r="Z115" s="969"/>
      <c r="AA115" s="969"/>
      <c r="AB115" s="969"/>
      <c r="AC115" s="969"/>
      <c r="AD115" s="969"/>
      <c r="AE115" s="969"/>
      <c r="AF115" s="969"/>
      <c r="AG115" s="969"/>
      <c r="AH115" s="969"/>
      <c r="AI115" s="969"/>
      <c r="AJ115" s="969"/>
      <c r="AK115" s="969"/>
    </row>
    <row r="116" spans="1:37">
      <c r="A116" s="65" t="s">
        <v>105</v>
      </c>
      <c r="B116" s="516"/>
      <c r="C116" s="200"/>
      <c r="D116" s="200"/>
      <c r="E116" s="415"/>
      <c r="F116" s="415"/>
      <c r="G116" s="516"/>
      <c r="H116" s="200"/>
      <c r="I116" s="200"/>
      <c r="J116" s="415"/>
      <c r="K116" s="415"/>
      <c r="L116" s="516"/>
      <c r="M116" s="200"/>
      <c r="N116" s="200"/>
      <c r="O116" s="415"/>
      <c r="P116" s="516"/>
      <c r="Q116" s="200"/>
      <c r="R116" s="415"/>
      <c r="S116" s="994"/>
      <c r="T116" s="200"/>
      <c r="U116" s="200"/>
      <c r="V116" s="969"/>
      <c r="W116" s="969"/>
      <c r="X116" s="969"/>
      <c r="Y116" s="969"/>
      <c r="Z116" s="969"/>
      <c r="AA116" s="969"/>
      <c r="AB116" s="969"/>
      <c r="AC116" s="969"/>
      <c r="AD116" s="969"/>
      <c r="AE116" s="969"/>
      <c r="AF116" s="969"/>
      <c r="AG116" s="969"/>
      <c r="AH116" s="969"/>
      <c r="AI116" s="969"/>
      <c r="AJ116" s="969"/>
      <c r="AK116" s="969"/>
    </row>
    <row r="117" spans="1:37">
      <c r="A117" s="65" t="s">
        <v>106</v>
      </c>
      <c r="B117" s="516"/>
      <c r="C117" s="200"/>
      <c r="D117" s="200"/>
      <c r="E117" s="415"/>
      <c r="F117" s="415"/>
      <c r="G117" s="516"/>
      <c r="H117" s="200"/>
      <c r="I117" s="200"/>
      <c r="J117" s="415"/>
      <c r="K117" s="415"/>
      <c r="L117" s="516"/>
      <c r="M117" s="200"/>
      <c r="N117" s="200"/>
      <c r="O117" s="415"/>
      <c r="P117" s="516"/>
      <c r="Q117" s="200"/>
      <c r="R117" s="415"/>
      <c r="S117" s="994"/>
      <c r="T117" s="200"/>
      <c r="U117" s="200"/>
      <c r="V117" s="969"/>
      <c r="W117" s="969"/>
      <c r="X117" s="969"/>
      <c r="Y117" s="969"/>
      <c r="Z117" s="969"/>
      <c r="AA117" s="969"/>
      <c r="AB117" s="969"/>
      <c r="AC117" s="969"/>
      <c r="AD117" s="969"/>
      <c r="AE117" s="969"/>
      <c r="AF117" s="969"/>
      <c r="AG117" s="969"/>
      <c r="AH117" s="969"/>
      <c r="AI117" s="969"/>
      <c r="AJ117" s="969"/>
      <c r="AK117" s="969"/>
    </row>
    <row r="118" spans="1:37">
      <c r="A118" s="65" t="s">
        <v>21</v>
      </c>
      <c r="B118" s="924">
        <v>4116</v>
      </c>
      <c r="C118" s="925">
        <v>61884.2</v>
      </c>
      <c r="D118" s="925">
        <v>426340.4</v>
      </c>
      <c r="E118" s="925">
        <v>2077.05758017493</v>
      </c>
      <c r="F118" s="925">
        <v>3187</v>
      </c>
      <c r="G118" s="924">
        <v>1635.73</v>
      </c>
      <c r="H118" s="925">
        <v>23095.84</v>
      </c>
      <c r="I118" s="925">
        <v>178455.52</v>
      </c>
      <c r="J118" s="925">
        <v>2220.59242662298</v>
      </c>
      <c r="K118" s="925">
        <v>5525</v>
      </c>
      <c r="L118" s="924">
        <v>629.04</v>
      </c>
      <c r="M118" s="925">
        <v>9855.74</v>
      </c>
      <c r="N118" s="925">
        <v>61675.54</v>
      </c>
      <c r="O118" s="925">
        <v>3454.00133536818</v>
      </c>
      <c r="P118" s="924"/>
      <c r="Q118" s="925">
        <v>0</v>
      </c>
      <c r="R118" s="529">
        <v>0</v>
      </c>
      <c r="S118" s="574">
        <v>0</v>
      </c>
      <c r="T118" s="529">
        <v>0</v>
      </c>
      <c r="U118" s="529">
        <v>0</v>
      </c>
      <c r="V118" s="969">
        <v>1288.39633429837</v>
      </c>
      <c r="W118" s="969">
        <v>1283.65238079005</v>
      </c>
      <c r="X118" s="969">
        <v>1290.32720139945</v>
      </c>
      <c r="Y118" s="969">
        <v>354.651913552767</v>
      </c>
      <c r="Z118" s="969">
        <v>363.085675039318</v>
      </c>
      <c r="AA118" s="969">
        <v>362.662619258593</v>
      </c>
      <c r="AB118" s="969">
        <v>1054.64188094624</v>
      </c>
      <c r="AC118" s="969">
        <v>1044.38890135709</v>
      </c>
      <c r="AD118" s="969">
        <v>1060.17756947069</v>
      </c>
      <c r="AE118" s="969">
        <v>67.895783621181</v>
      </c>
      <c r="AF118" s="969">
        <v>69.9210507459568</v>
      </c>
      <c r="AG118" s="969">
        <v>71.8134004575818</v>
      </c>
      <c r="AH118" s="969">
        <v>12482</v>
      </c>
      <c r="AI118" s="969">
        <v>1048.34</v>
      </c>
      <c r="AJ118" s="969">
        <v>23304.15</v>
      </c>
      <c r="AK118" s="969">
        <v>2706.1</v>
      </c>
    </row>
    <row r="119" customFormat="1" ht="22.5" spans="1:12">
      <c r="A119" s="113" t="s">
        <v>107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</row>
    <row r="120" customFormat="1" ht="21" spans="1:12">
      <c r="A120" s="926" t="s">
        <v>108</v>
      </c>
      <c r="B120" s="926"/>
      <c r="C120" s="926"/>
      <c r="D120" s="926"/>
      <c r="E120" s="926"/>
      <c r="F120" s="926"/>
      <c r="G120" s="926"/>
      <c r="H120" s="926"/>
      <c r="I120" s="926"/>
      <c r="J120" s="926"/>
      <c r="K120" s="926"/>
      <c r="L120" s="926"/>
    </row>
    <row r="121" customFormat="1" ht="75.75" spans="1:12">
      <c r="A121" s="927" t="s">
        <v>109</v>
      </c>
      <c r="B121" s="928"/>
      <c r="C121" s="929" t="s">
        <v>110</v>
      </c>
      <c r="D121" s="930" t="s">
        <v>87</v>
      </c>
      <c r="E121" s="931"/>
      <c r="F121" s="931"/>
      <c r="G121" s="931"/>
      <c r="H121" s="931"/>
      <c r="I121" s="935"/>
      <c r="J121" s="930" t="s">
        <v>111</v>
      </c>
      <c r="K121" s="931"/>
      <c r="L121" s="935"/>
    </row>
    <row r="122" customFormat="1" ht="38.25" spans="1:12">
      <c r="A122" s="932"/>
      <c r="B122" s="933"/>
      <c r="C122" s="934"/>
      <c r="D122" s="930"/>
      <c r="E122" s="931"/>
      <c r="F122" s="935"/>
      <c r="G122" s="930" t="s">
        <v>112</v>
      </c>
      <c r="H122" s="931"/>
      <c r="I122" s="935"/>
      <c r="J122" s="930" t="s">
        <v>93</v>
      </c>
      <c r="K122" s="931"/>
      <c r="L122" s="935"/>
    </row>
    <row r="123" customFormat="1" ht="38.25" spans="1:12">
      <c r="A123" s="936" t="s">
        <v>113</v>
      </c>
      <c r="B123" s="933" t="s">
        <v>114</v>
      </c>
      <c r="C123" s="936"/>
      <c r="D123" s="933" t="s">
        <v>56</v>
      </c>
      <c r="E123" s="933" t="s">
        <v>57</v>
      </c>
      <c r="F123" s="937" t="s">
        <v>115</v>
      </c>
      <c r="G123" s="933" t="s">
        <v>56</v>
      </c>
      <c r="H123" s="933" t="s">
        <v>57</v>
      </c>
      <c r="I123" s="933" t="s">
        <v>115</v>
      </c>
      <c r="J123" s="933" t="s">
        <v>56</v>
      </c>
      <c r="K123" s="933" t="s">
        <v>57</v>
      </c>
      <c r="L123" s="937" t="s">
        <v>115</v>
      </c>
    </row>
    <row r="124" customFormat="1" ht="37.5" spans="1:12">
      <c r="A124" s="929" t="s">
        <v>116</v>
      </c>
      <c r="B124" s="929" t="s">
        <v>100</v>
      </c>
      <c r="C124" s="929" t="s">
        <v>117</v>
      </c>
      <c r="D124" s="938">
        <v>12482</v>
      </c>
      <c r="E124" s="938">
        <v>1048</v>
      </c>
      <c r="F124" s="939">
        <v>11.9103053435114</v>
      </c>
      <c r="G124" s="940"/>
      <c r="H124" s="941"/>
      <c r="I124" s="941"/>
      <c r="J124" s="938">
        <v>5409</v>
      </c>
      <c r="K124" s="938">
        <v>569</v>
      </c>
      <c r="L124" s="974">
        <v>9.50615114235501</v>
      </c>
    </row>
    <row r="125" customFormat="1" ht="19.5" spans="1:12">
      <c r="A125" s="936"/>
      <c r="B125" s="936"/>
      <c r="C125" s="936"/>
      <c r="D125" s="942"/>
      <c r="E125" s="942"/>
      <c r="F125" s="943"/>
      <c r="G125" s="944"/>
      <c r="H125" s="945"/>
      <c r="I125" s="945"/>
      <c r="J125" s="942"/>
      <c r="K125" s="942"/>
      <c r="L125" s="975"/>
    </row>
    <row r="126" customFormat="1" ht="57.95" customHeight="1" spans="1:12">
      <c r="A126" s="929"/>
      <c r="B126" s="933" t="s">
        <v>118</v>
      </c>
      <c r="C126" s="933" t="s">
        <v>119</v>
      </c>
      <c r="D126" s="946">
        <v>12199.39</v>
      </c>
      <c r="E126" s="946">
        <v>3084</v>
      </c>
      <c r="F126" s="947">
        <v>3.95570363164721</v>
      </c>
      <c r="G126" s="939"/>
      <c r="H126" s="948"/>
      <c r="I126" s="948"/>
      <c r="J126" s="939">
        <v>4303.23</v>
      </c>
      <c r="K126" s="948">
        <v>1281</v>
      </c>
      <c r="L126" s="939">
        <v>3.35927400468384</v>
      </c>
    </row>
    <row r="127" customFormat="1" ht="38.25" spans="1:12">
      <c r="A127" s="934"/>
      <c r="B127" s="933" t="s">
        <v>99</v>
      </c>
      <c r="C127" s="933" t="s">
        <v>117</v>
      </c>
      <c r="D127" s="949"/>
      <c r="E127" s="949"/>
      <c r="F127" s="949"/>
      <c r="G127" s="950">
        <v>23304.15</v>
      </c>
      <c r="H127" s="950">
        <v>2706.1</v>
      </c>
      <c r="I127" s="976">
        <v>8.61171057980119</v>
      </c>
      <c r="J127" s="950">
        <v>8376.59</v>
      </c>
      <c r="K127" s="950">
        <v>1179.8</v>
      </c>
      <c r="L127" s="939">
        <v>7.10000847601288</v>
      </c>
    </row>
    <row r="128" customFormat="1" ht="35.1" customHeight="1" spans="1:12">
      <c r="A128" s="936"/>
      <c r="B128" s="933" t="s">
        <v>120</v>
      </c>
      <c r="C128" s="933" t="s">
        <v>121</v>
      </c>
      <c r="D128" s="933"/>
      <c r="E128" s="933"/>
      <c r="F128" s="933"/>
      <c r="G128" s="933"/>
      <c r="H128" s="933"/>
      <c r="I128" s="933"/>
      <c r="J128" s="933"/>
      <c r="K128" s="933"/>
      <c r="L128" s="933"/>
    </row>
    <row r="129" ht="24" spans="1:31">
      <c r="A129" s="1025"/>
      <c r="B129" s="406" t="s">
        <v>0</v>
      </c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406"/>
      <c r="AA129" s="406"/>
      <c r="AB129" s="406"/>
      <c r="AC129" s="406"/>
      <c r="AD129" s="406"/>
      <c r="AE129" s="406"/>
    </row>
    <row r="130" ht="15" spans="1:31">
      <c r="A130" s="101" t="s">
        <v>1</v>
      </c>
      <c r="B130" s="769"/>
      <c r="C130" s="1026" t="s">
        <v>122</v>
      </c>
      <c r="D130" s="1026"/>
      <c r="E130" s="1026"/>
      <c r="F130" s="1026"/>
      <c r="G130" s="1026"/>
      <c r="H130" s="1026"/>
      <c r="I130" s="1026"/>
      <c r="J130" s="1026"/>
      <c r="K130" s="1026"/>
      <c r="L130" s="703" t="s">
        <v>3</v>
      </c>
      <c r="M130" s="703"/>
      <c r="N130" s="703"/>
      <c r="O130" s="703"/>
      <c r="P130" s="703"/>
      <c r="Q130" s="703"/>
      <c r="R130" s="703"/>
      <c r="S130" s="703"/>
      <c r="T130" s="703"/>
      <c r="U130" s="703"/>
      <c r="V130" s="703"/>
      <c r="W130" s="703"/>
      <c r="X130" s="703"/>
      <c r="Y130" s="703"/>
      <c r="Z130" s="703"/>
      <c r="AA130" s="828" t="s">
        <v>4</v>
      </c>
      <c r="AB130" s="828"/>
      <c r="AC130" s="828">
        <v>43586</v>
      </c>
      <c r="AD130" s="828"/>
      <c r="AE130" s="828"/>
    </row>
    <row r="131" ht="28.5" spans="1:31">
      <c r="A131" s="76"/>
      <c r="B131" s="739" t="s">
        <v>5</v>
      </c>
      <c r="C131" s="740"/>
      <c r="D131" s="740"/>
      <c r="E131" s="740"/>
      <c r="F131" s="741"/>
      <c r="G131" s="742" t="s">
        <v>6</v>
      </c>
      <c r="H131" s="743"/>
      <c r="I131" s="743"/>
      <c r="J131" s="743"/>
      <c r="K131" s="787"/>
      <c r="L131" s="788" t="s">
        <v>7</v>
      </c>
      <c r="M131" s="789"/>
      <c r="N131" s="789"/>
      <c r="O131" s="789"/>
      <c r="P131" s="790"/>
      <c r="Q131" s="811" t="s">
        <v>123</v>
      </c>
      <c r="R131" s="812"/>
      <c r="S131" s="812"/>
      <c r="T131" s="812"/>
      <c r="U131" s="813"/>
      <c r="V131" s="811" t="s">
        <v>124</v>
      </c>
      <c r="W131" s="812"/>
      <c r="X131" s="812"/>
      <c r="Y131" s="812"/>
      <c r="Z131" s="813"/>
      <c r="AA131" s="839" t="s">
        <v>10</v>
      </c>
      <c r="AB131" s="840"/>
      <c r="AC131" s="840"/>
      <c r="AD131" s="840"/>
      <c r="AE131" s="841"/>
    </row>
    <row r="132" ht="28.5" spans="1:31">
      <c r="A132" s="76"/>
      <c r="B132" s="1027" t="s">
        <v>11</v>
      </c>
      <c r="C132" s="910" t="s">
        <v>12</v>
      </c>
      <c r="D132" s="910" t="s">
        <v>13</v>
      </c>
      <c r="E132" s="910" t="s">
        <v>14</v>
      </c>
      <c r="F132" s="911" t="s">
        <v>15</v>
      </c>
      <c r="G132" s="1028" t="s">
        <v>11</v>
      </c>
      <c r="H132" s="910" t="s">
        <v>12</v>
      </c>
      <c r="I132" s="910" t="s">
        <v>13</v>
      </c>
      <c r="J132" s="910" t="s">
        <v>14</v>
      </c>
      <c r="K132" s="911" t="s">
        <v>15</v>
      </c>
      <c r="L132" s="1028" t="s">
        <v>11</v>
      </c>
      <c r="M132" s="910" t="s">
        <v>12</v>
      </c>
      <c r="N132" s="910" t="s">
        <v>13</v>
      </c>
      <c r="O132" s="910" t="s">
        <v>14</v>
      </c>
      <c r="P132" s="911" t="s">
        <v>15</v>
      </c>
      <c r="Q132" s="1028" t="s">
        <v>11</v>
      </c>
      <c r="R132" s="910" t="s">
        <v>12</v>
      </c>
      <c r="S132" s="910" t="s">
        <v>13</v>
      </c>
      <c r="T132" s="910" t="s">
        <v>14</v>
      </c>
      <c r="U132" s="911" t="s">
        <v>15</v>
      </c>
      <c r="V132" s="912" t="s">
        <v>11</v>
      </c>
      <c r="W132" s="910" t="s">
        <v>12</v>
      </c>
      <c r="X132" s="910" t="s">
        <v>13</v>
      </c>
      <c r="Y132" s="910" t="s">
        <v>14</v>
      </c>
      <c r="Z132" s="911" t="s">
        <v>15</v>
      </c>
      <c r="AA132" s="1028" t="s">
        <v>11</v>
      </c>
      <c r="AB132" s="910" t="s">
        <v>12</v>
      </c>
      <c r="AC132" s="910" t="s">
        <v>13</v>
      </c>
      <c r="AD132" s="910" t="s">
        <v>14</v>
      </c>
      <c r="AE132" s="911" t="s">
        <v>15</v>
      </c>
    </row>
    <row r="133" spans="2:31">
      <c r="B133" s="817">
        <v>4024</v>
      </c>
      <c r="C133" s="196">
        <v>120000</v>
      </c>
      <c r="D133" s="196">
        <v>52306</v>
      </c>
      <c r="E133" s="196">
        <v>1790000</v>
      </c>
      <c r="F133" s="196">
        <v>480327</v>
      </c>
      <c r="G133" s="817">
        <v>2568</v>
      </c>
      <c r="H133" s="196">
        <v>100000</v>
      </c>
      <c r="I133" s="196">
        <v>34132</v>
      </c>
      <c r="J133" s="196">
        <v>1175000</v>
      </c>
      <c r="K133" s="196">
        <v>319380</v>
      </c>
      <c r="L133" s="875">
        <v>2871</v>
      </c>
      <c r="M133" s="196">
        <v>110000</v>
      </c>
      <c r="N133" s="197">
        <v>37559</v>
      </c>
      <c r="O133" s="196">
        <v>1475000</v>
      </c>
      <c r="P133" s="1113">
        <v>356486</v>
      </c>
      <c r="Q133" s="875">
        <v>1280</v>
      </c>
      <c r="R133" s="196">
        <v>35000</v>
      </c>
      <c r="S133" s="197">
        <v>14312</v>
      </c>
      <c r="T133" s="196">
        <v>518000</v>
      </c>
      <c r="U133" s="197">
        <v>146236</v>
      </c>
      <c r="V133" s="85"/>
      <c r="W133" s="85"/>
      <c r="X133" s="85"/>
      <c r="Y133" s="85"/>
      <c r="Z133" s="85"/>
      <c r="AA133" s="875">
        <v>1146</v>
      </c>
      <c r="AB133" s="196">
        <v>51000</v>
      </c>
      <c r="AC133" s="197">
        <v>14898</v>
      </c>
      <c r="AD133" s="196">
        <v>615000</v>
      </c>
      <c r="AE133" s="197">
        <v>152036</v>
      </c>
    </row>
    <row r="134" spans="2:31">
      <c r="B134" s="1029" t="s">
        <v>84</v>
      </c>
      <c r="C134" s="128">
        <v>2960.354</v>
      </c>
      <c r="D134" s="1030"/>
      <c r="E134" s="196"/>
      <c r="F134" s="196"/>
      <c r="G134" s="1029" t="s">
        <v>84</v>
      </c>
      <c r="H134" s="128">
        <v>1504</v>
      </c>
      <c r="I134" s="196"/>
      <c r="J134" s="196"/>
      <c r="K134" s="196"/>
      <c r="L134" s="1029" t="s">
        <v>84</v>
      </c>
      <c r="M134" s="128">
        <v>1287</v>
      </c>
      <c r="N134" s="197"/>
      <c r="O134" s="196"/>
      <c r="P134" s="1114"/>
      <c r="Q134" s="1029" t="s">
        <v>84</v>
      </c>
      <c r="R134" s="128">
        <v>1280</v>
      </c>
      <c r="S134" s="1136"/>
      <c r="T134" s="196"/>
      <c r="U134" s="1114"/>
      <c r="V134" s="85"/>
      <c r="W134" s="85"/>
      <c r="X134" s="85"/>
      <c r="Y134" s="85"/>
      <c r="Z134" s="85"/>
      <c r="AA134" s="1029" t="s">
        <v>84</v>
      </c>
      <c r="AB134" s="128">
        <v>1146</v>
      </c>
      <c r="AC134" s="197"/>
      <c r="AD134" s="196"/>
      <c r="AE134" s="197"/>
    </row>
    <row r="135" spans="2:31">
      <c r="B135" s="92" t="s">
        <v>125</v>
      </c>
      <c r="C135" s="128">
        <v>0</v>
      </c>
      <c r="D135" s="312"/>
      <c r="E135" s="312"/>
      <c r="F135" s="197"/>
      <c r="G135" s="92" t="s">
        <v>125</v>
      </c>
      <c r="H135" s="128">
        <v>0</v>
      </c>
      <c r="I135" s="197"/>
      <c r="J135" s="1115"/>
      <c r="K135" s="197"/>
      <c r="L135" s="92" t="s">
        <v>125</v>
      </c>
      <c r="M135" s="128">
        <v>0</v>
      </c>
      <c r="N135" s="1116"/>
      <c r="O135" s="1117"/>
      <c r="P135" s="1118"/>
      <c r="Q135" s="92" t="s">
        <v>125</v>
      </c>
      <c r="R135" s="128">
        <v>0</v>
      </c>
      <c r="S135" s="1137"/>
      <c r="T135" s="1138"/>
      <c r="U135" s="1116"/>
      <c r="V135" s="1118"/>
      <c r="W135" s="1118"/>
      <c r="X135" s="1118"/>
      <c r="Y135" s="1118"/>
      <c r="Z135" s="1118"/>
      <c r="AA135" s="1029" t="s">
        <v>125</v>
      </c>
      <c r="AB135" s="128">
        <v>0</v>
      </c>
      <c r="AC135" s="197"/>
      <c r="AD135" s="1115"/>
      <c r="AE135" s="197"/>
    </row>
    <row r="136" spans="2:31">
      <c r="B136" s="92" t="s">
        <v>126</v>
      </c>
      <c r="C136" s="128">
        <v>1064</v>
      </c>
      <c r="D136" s="1031"/>
      <c r="E136" s="1031"/>
      <c r="F136" s="1032"/>
      <c r="G136" s="92" t="s">
        <v>126</v>
      </c>
      <c r="H136" s="128">
        <v>1064</v>
      </c>
      <c r="I136" s="1119"/>
      <c r="J136" s="1031"/>
      <c r="K136" s="1031"/>
      <c r="L136" s="92" t="s">
        <v>126</v>
      </c>
      <c r="M136" s="128">
        <v>1584</v>
      </c>
      <c r="N136" s="1120"/>
      <c r="O136" s="1121"/>
      <c r="P136" s="1121"/>
      <c r="Q136" s="1139"/>
      <c r="R136" s="1140"/>
      <c r="S136" s="90"/>
      <c r="T136" s="195"/>
      <c r="U136" s="710"/>
      <c r="V136" s="1141"/>
      <c r="W136" s="1141"/>
      <c r="X136" s="1141"/>
      <c r="Y136" s="1141"/>
      <c r="Z136" s="1032"/>
      <c r="AA136" s="1161"/>
      <c r="AB136" s="1162"/>
      <c r="AC136" s="1141"/>
      <c r="AD136" s="1141"/>
      <c r="AE136" s="1141"/>
    </row>
    <row r="137" ht="24" spans="1:37">
      <c r="A137" s="406" t="s">
        <v>22</v>
      </c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406"/>
      <c r="AB137" s="406"/>
      <c r="AC137" s="406"/>
      <c r="AD137" s="406"/>
      <c r="AE137" s="406"/>
      <c r="AF137" s="406"/>
      <c r="AG137" s="406"/>
      <c r="AH137" s="406"/>
      <c r="AI137" s="406"/>
      <c r="AJ137" s="406"/>
      <c r="AK137" s="406"/>
    </row>
    <row r="138" spans="1:37">
      <c r="A138" s="497" t="s">
        <v>1</v>
      </c>
      <c r="B138" s="497"/>
      <c r="C138" s="1033" t="s">
        <v>122</v>
      </c>
      <c r="D138" s="1033"/>
      <c r="E138" s="1033"/>
      <c r="F138" s="1033"/>
      <c r="G138" s="1033"/>
      <c r="H138" s="1033"/>
      <c r="I138" s="1033"/>
      <c r="J138" s="1033"/>
      <c r="K138" s="1033"/>
      <c r="L138" s="1033"/>
      <c r="M138" s="756"/>
      <c r="N138" s="756"/>
      <c r="O138" s="497" t="s">
        <v>23</v>
      </c>
      <c r="P138" s="497"/>
      <c r="Q138" s="497"/>
      <c r="R138" s="497"/>
      <c r="S138" s="497"/>
      <c r="T138" s="497"/>
      <c r="U138" s="497"/>
      <c r="V138" s="497"/>
      <c r="W138" s="497"/>
      <c r="X138" s="497"/>
      <c r="Y138" s="1163"/>
      <c r="Z138" s="1025"/>
      <c r="AA138" s="1025"/>
      <c r="AB138" s="1163"/>
      <c r="AC138" s="1025"/>
      <c r="AD138" s="1025"/>
      <c r="AE138" s="497" t="s">
        <v>4</v>
      </c>
      <c r="AF138" s="497"/>
      <c r="AG138" s="497"/>
      <c r="AH138" s="865">
        <v>43525</v>
      </c>
      <c r="AI138" s="865"/>
      <c r="AJ138" s="865"/>
      <c r="AK138" s="865"/>
    </row>
    <row r="139" ht="40.5" spans="1:37">
      <c r="A139" s="695"/>
      <c r="B139" s="696" t="s">
        <v>25</v>
      </c>
      <c r="C139" s="697"/>
      <c r="D139" s="697"/>
      <c r="E139" s="697"/>
      <c r="F139" s="697"/>
      <c r="G139" s="696" t="s">
        <v>127</v>
      </c>
      <c r="H139" s="697"/>
      <c r="I139" s="697"/>
      <c r="J139" s="697"/>
      <c r="K139" s="777"/>
      <c r="L139" s="778" t="s">
        <v>29</v>
      </c>
      <c r="M139" s="779"/>
      <c r="N139" s="779"/>
      <c r="O139" s="791"/>
      <c r="P139" s="696" t="s">
        <v>30</v>
      </c>
      <c r="Q139" s="697"/>
      <c r="R139" s="697"/>
      <c r="S139" s="696" t="s">
        <v>31</v>
      </c>
      <c r="T139" s="697"/>
      <c r="U139" s="697"/>
      <c r="V139" s="561" t="s">
        <v>32</v>
      </c>
      <c r="W139" s="561"/>
      <c r="X139" s="561"/>
      <c r="Y139" s="561" t="s">
        <v>33</v>
      </c>
      <c r="Z139" s="561"/>
      <c r="AA139" s="561"/>
      <c r="AB139" s="561" t="s">
        <v>34</v>
      </c>
      <c r="AC139" s="561"/>
      <c r="AD139" s="561"/>
      <c r="AE139" s="561" t="s">
        <v>35</v>
      </c>
      <c r="AF139" s="561"/>
      <c r="AG139" s="561"/>
      <c r="AH139" s="866" t="s">
        <v>54</v>
      </c>
      <c r="AI139" s="867"/>
      <c r="AJ139" s="867"/>
      <c r="AK139" s="868"/>
    </row>
    <row r="140" ht="24" spans="1:37">
      <c r="A140" s="698"/>
      <c r="B140" s="817"/>
      <c r="C140" s="196" t="s">
        <v>37</v>
      </c>
      <c r="D140" s="196" t="s">
        <v>38</v>
      </c>
      <c r="E140" s="413" t="s">
        <v>39</v>
      </c>
      <c r="F140" s="413" t="s">
        <v>40</v>
      </c>
      <c r="G140" s="817" t="s">
        <v>11</v>
      </c>
      <c r="H140" s="196" t="s">
        <v>37</v>
      </c>
      <c r="I140" s="196" t="s">
        <v>38</v>
      </c>
      <c r="J140" s="432" t="s">
        <v>41</v>
      </c>
      <c r="K140" s="432" t="s">
        <v>40</v>
      </c>
      <c r="L140" s="817" t="s">
        <v>11</v>
      </c>
      <c r="M140" s="196" t="s">
        <v>37</v>
      </c>
      <c r="N140" s="196" t="s">
        <v>38</v>
      </c>
      <c r="O140" s="80" t="s">
        <v>41</v>
      </c>
      <c r="P140" s="432" t="s">
        <v>11</v>
      </c>
      <c r="Q140" s="196" t="s">
        <v>37</v>
      </c>
      <c r="R140" s="196" t="s">
        <v>38</v>
      </c>
      <c r="S140" s="1142" t="s">
        <v>11</v>
      </c>
      <c r="T140" s="196" t="s">
        <v>37</v>
      </c>
      <c r="U140" s="196" t="s">
        <v>38</v>
      </c>
      <c r="V140" s="1143" t="s">
        <v>11</v>
      </c>
      <c r="W140" s="196" t="s">
        <v>37</v>
      </c>
      <c r="X140" s="196" t="s">
        <v>38</v>
      </c>
      <c r="Y140" s="1143" t="s">
        <v>11</v>
      </c>
      <c r="Z140" s="196" t="s">
        <v>37</v>
      </c>
      <c r="AA140" s="196" t="s">
        <v>38</v>
      </c>
      <c r="AB140" s="1143" t="s">
        <v>11</v>
      </c>
      <c r="AC140" s="196" t="s">
        <v>37</v>
      </c>
      <c r="AD140" s="196" t="s">
        <v>38</v>
      </c>
      <c r="AE140" s="1143" t="s">
        <v>11</v>
      </c>
      <c r="AF140" s="196" t="s">
        <v>37</v>
      </c>
      <c r="AG140" s="196" t="s">
        <v>38</v>
      </c>
      <c r="AH140" s="432" t="s">
        <v>42</v>
      </c>
      <c r="AI140" s="432" t="s">
        <v>43</v>
      </c>
      <c r="AJ140" s="432" t="s">
        <v>44</v>
      </c>
      <c r="AK140" s="432" t="s">
        <v>45</v>
      </c>
    </row>
    <row r="141" spans="2:37">
      <c r="B141" s="1034">
        <v>2144</v>
      </c>
      <c r="C141" s="698">
        <v>36369</v>
      </c>
      <c r="D141" s="698">
        <v>321588</v>
      </c>
      <c r="E141" s="698">
        <v>2119</v>
      </c>
      <c r="F141" s="1035">
        <v>36805</v>
      </c>
      <c r="G141" s="1036">
        <v>1601</v>
      </c>
      <c r="H141" s="1035">
        <v>16293</v>
      </c>
      <c r="I141" s="1122">
        <v>136169</v>
      </c>
      <c r="J141" s="1035">
        <v>2306</v>
      </c>
      <c r="K141" s="1035">
        <v>22071</v>
      </c>
      <c r="L141" s="1123">
        <v>718</v>
      </c>
      <c r="M141" s="1035">
        <v>9867</v>
      </c>
      <c r="N141" s="1122">
        <v>91752</v>
      </c>
      <c r="O141" s="1035">
        <v>3627</v>
      </c>
      <c r="P141" s="698"/>
      <c r="Q141" s="698"/>
      <c r="R141" s="698"/>
      <c r="S141" s="1123">
        <v>1284</v>
      </c>
      <c r="T141" s="1035">
        <v>13968</v>
      </c>
      <c r="U141" s="1144">
        <v>146720</v>
      </c>
      <c r="V141" s="1145">
        <v>1112</v>
      </c>
      <c r="W141" s="698">
        <v>1106</v>
      </c>
      <c r="X141" s="698">
        <v>1078</v>
      </c>
      <c r="Y141" s="1164">
        <v>1277</v>
      </c>
      <c r="Z141" s="698">
        <v>1273</v>
      </c>
      <c r="AA141" s="698">
        <v>1301</v>
      </c>
      <c r="AB141" s="1164">
        <v>936</v>
      </c>
      <c r="AC141" s="698">
        <v>990</v>
      </c>
      <c r="AD141" s="698">
        <v>994</v>
      </c>
      <c r="AE141" s="1164">
        <v>147</v>
      </c>
      <c r="AF141" s="698">
        <v>148</v>
      </c>
      <c r="AG141" s="698">
        <v>147</v>
      </c>
      <c r="AH141" s="698">
        <v>42283</v>
      </c>
      <c r="AI141" s="698">
        <v>663</v>
      </c>
      <c r="AJ141" s="698">
        <v>90527</v>
      </c>
      <c r="AK141" s="431">
        <v>4635</v>
      </c>
    </row>
    <row r="142" spans="2:37">
      <c r="B142" s="92" t="s">
        <v>84</v>
      </c>
      <c r="C142" s="1037">
        <v>1093</v>
      </c>
      <c r="D142" s="1038">
        <v>2119</v>
      </c>
      <c r="E142" s="698"/>
      <c r="F142" s="1035"/>
      <c r="G142" s="92" t="s">
        <v>84</v>
      </c>
      <c r="H142" s="1035">
        <v>1601</v>
      </c>
      <c r="I142" s="1122">
        <v>2306</v>
      </c>
      <c r="J142" s="1035"/>
      <c r="K142" s="1035"/>
      <c r="L142" s="92" t="s">
        <v>84</v>
      </c>
      <c r="M142" s="1035">
        <v>668</v>
      </c>
      <c r="N142" s="1122">
        <v>3627</v>
      </c>
      <c r="O142" s="1035"/>
      <c r="P142" s="698"/>
      <c r="Q142" s="698"/>
      <c r="R142" s="698"/>
      <c r="S142" s="1029" t="s">
        <v>84</v>
      </c>
      <c r="T142" s="1035">
        <v>1280</v>
      </c>
      <c r="U142" s="1144"/>
      <c r="V142" s="1144"/>
      <c r="W142" s="1144"/>
      <c r="X142" s="1144"/>
      <c r="Y142" s="1144"/>
      <c r="Z142" s="1144"/>
      <c r="AA142" s="1144"/>
      <c r="AB142" s="1144"/>
      <c r="AC142" s="1144"/>
      <c r="AD142" s="1144"/>
      <c r="AE142" s="1144"/>
      <c r="AF142" s="698"/>
      <c r="AG142" s="698"/>
      <c r="AH142" s="698"/>
      <c r="AI142" s="698"/>
      <c r="AJ142" s="698"/>
      <c r="AK142" s="431"/>
    </row>
    <row r="143" spans="2:37">
      <c r="B143" s="92" t="s">
        <v>125</v>
      </c>
      <c r="C143" s="1039">
        <v>0</v>
      </c>
      <c r="D143" s="1038">
        <v>2162</v>
      </c>
      <c r="E143" s="128"/>
      <c r="F143" s="1040"/>
      <c r="G143" s="92" t="s">
        <v>125</v>
      </c>
      <c r="H143" s="1035">
        <v>0</v>
      </c>
      <c r="I143" s="698">
        <v>2400</v>
      </c>
      <c r="J143" s="128"/>
      <c r="K143" s="93"/>
      <c r="L143" s="92" t="s">
        <v>125</v>
      </c>
      <c r="M143" s="1035">
        <v>50</v>
      </c>
      <c r="N143" s="1122">
        <v>3730</v>
      </c>
      <c r="O143" s="128"/>
      <c r="P143" s="128"/>
      <c r="Q143" s="128"/>
      <c r="R143" s="1146"/>
      <c r="S143" s="92" t="s">
        <v>125</v>
      </c>
      <c r="T143" s="1035">
        <v>4</v>
      </c>
      <c r="U143" s="1038"/>
      <c r="V143" s="1147"/>
      <c r="W143" s="1148"/>
      <c r="X143" s="1148"/>
      <c r="Y143" s="1148"/>
      <c r="Z143" s="196"/>
      <c r="AA143" s="196"/>
      <c r="AB143" s="196"/>
      <c r="AC143" s="196"/>
      <c r="AD143" s="196"/>
      <c r="AE143" s="196"/>
      <c r="AF143" s="196"/>
      <c r="AG143" s="1029"/>
      <c r="AH143" s="1037"/>
      <c r="AI143" s="1038"/>
      <c r="AJ143" s="1171"/>
      <c r="AK143" s="431"/>
    </row>
    <row r="144" ht="15" spans="2:37">
      <c r="B144" s="92" t="s">
        <v>126</v>
      </c>
      <c r="C144" s="1039">
        <v>1051</v>
      </c>
      <c r="D144" s="1038">
        <v>1600</v>
      </c>
      <c r="E144" s="128"/>
      <c r="F144" s="1041"/>
      <c r="G144" s="92"/>
      <c r="H144" s="1042"/>
      <c r="I144" s="1038"/>
      <c r="J144" s="1032"/>
      <c r="K144" s="1031"/>
      <c r="L144" s="92"/>
      <c r="M144" s="1031"/>
      <c r="N144" s="1038"/>
      <c r="O144" s="1031"/>
      <c r="P144" s="1032"/>
      <c r="Q144" s="1032"/>
      <c r="R144" s="1032"/>
      <c r="S144" s="1149"/>
      <c r="T144" s="1032"/>
      <c r="U144" s="1141"/>
      <c r="V144" s="1147" t="s">
        <v>128</v>
      </c>
      <c r="W144" s="1148" t="s">
        <v>129</v>
      </c>
      <c r="X144" s="1148" t="s">
        <v>130</v>
      </c>
      <c r="Y144" s="1148" t="s">
        <v>131</v>
      </c>
      <c r="Z144" s="196"/>
      <c r="AA144" s="1141"/>
      <c r="AB144" s="1141"/>
      <c r="AC144" s="1141"/>
      <c r="AD144" s="1141"/>
      <c r="AE144" s="1165"/>
      <c r="AF144" s="1141"/>
      <c r="AG144" s="1141"/>
      <c r="AH144" s="1141"/>
      <c r="AI144" s="1141"/>
      <c r="AJ144" s="1141"/>
      <c r="AK144" s="1141"/>
    </row>
    <row r="145" ht="34.5" spans="1:25">
      <c r="A145" s="1043" t="s">
        <v>132</v>
      </c>
      <c r="B145" s="1044"/>
      <c r="C145" s="1044"/>
      <c r="D145" s="1044"/>
      <c r="E145" s="1044"/>
      <c r="F145" s="1044"/>
      <c r="G145" s="1044"/>
      <c r="H145" s="1044"/>
      <c r="I145" s="1044"/>
      <c r="J145" s="1044"/>
      <c r="K145" s="1044"/>
      <c r="L145" s="1124"/>
      <c r="V145" t="s">
        <v>133</v>
      </c>
      <c r="W145">
        <v>1131</v>
      </c>
      <c r="X145">
        <v>1470</v>
      </c>
      <c r="Y145">
        <v>1146</v>
      </c>
    </row>
    <row r="146" customFormat="1" ht="34.5" spans="1:12">
      <c r="A146" s="1045"/>
      <c r="B146" s="1046"/>
      <c r="C146" s="1047" t="s">
        <v>134</v>
      </c>
      <c r="D146" s="1048" t="s">
        <v>87</v>
      </c>
      <c r="E146" s="1044"/>
      <c r="F146" s="1044"/>
      <c r="G146" s="1044"/>
      <c r="H146" s="1044"/>
      <c r="I146" s="1052"/>
      <c r="J146" s="1053" t="s">
        <v>111</v>
      </c>
      <c r="K146" s="1044"/>
      <c r="L146" s="1124"/>
    </row>
    <row r="147" customFormat="1" ht="15" spans="1:12">
      <c r="A147" s="1049"/>
      <c r="B147" s="1050"/>
      <c r="C147" s="1051"/>
      <c r="D147" s="1048" t="s">
        <v>135</v>
      </c>
      <c r="E147" s="1044"/>
      <c r="F147" s="1052"/>
      <c r="G147" s="1053" t="s">
        <v>112</v>
      </c>
      <c r="H147" s="1044"/>
      <c r="I147" s="1052"/>
      <c r="J147" s="1053" t="s">
        <v>93</v>
      </c>
      <c r="K147" s="1044"/>
      <c r="L147" s="1124"/>
    </row>
    <row r="148" customFormat="1" ht="22.5" spans="1:12">
      <c r="A148" s="1054" t="s">
        <v>113</v>
      </c>
      <c r="B148" s="1055" t="s">
        <v>114</v>
      </c>
      <c r="C148" s="1051"/>
      <c r="D148" s="1055" t="s">
        <v>56</v>
      </c>
      <c r="E148" s="1055" t="s">
        <v>57</v>
      </c>
      <c r="F148" s="1055" t="s">
        <v>115</v>
      </c>
      <c r="G148" s="1055" t="s">
        <v>56</v>
      </c>
      <c r="H148" s="1055" t="s">
        <v>57</v>
      </c>
      <c r="I148" s="1055" t="s">
        <v>115</v>
      </c>
      <c r="J148" s="1055" t="s">
        <v>56</v>
      </c>
      <c r="K148" s="1055" t="s">
        <v>57</v>
      </c>
      <c r="L148" s="1055" t="s">
        <v>115</v>
      </c>
    </row>
    <row r="149" customFormat="1" spans="1:12">
      <c r="A149" s="1056" t="s">
        <v>136</v>
      </c>
      <c r="B149" s="1057" t="s">
        <v>137</v>
      </c>
      <c r="C149" s="1057" t="s">
        <v>117</v>
      </c>
      <c r="D149" s="1058">
        <v>15367</v>
      </c>
      <c r="E149" s="1058">
        <v>663</v>
      </c>
      <c r="F149" s="1059">
        <v>23.1779788838612</v>
      </c>
      <c r="G149" s="1058">
        <v>46290</v>
      </c>
      <c r="H149" s="1058">
        <v>3248</v>
      </c>
      <c r="I149" s="1059">
        <v>14.2518472906404</v>
      </c>
      <c r="J149" s="1058">
        <v>36618</v>
      </c>
      <c r="K149" s="1058">
        <v>1362</v>
      </c>
      <c r="L149" s="1125">
        <v>26.8854625550661</v>
      </c>
    </row>
    <row r="150" customFormat="1" spans="1:12">
      <c r="A150" s="1056"/>
      <c r="B150" s="1060" t="s">
        <v>138</v>
      </c>
      <c r="C150" s="1060"/>
      <c r="D150" s="1061">
        <v>26916</v>
      </c>
      <c r="E150" s="1061">
        <v>0</v>
      </c>
      <c r="F150" s="1059" t="e">
        <v>#DIV/0!</v>
      </c>
      <c r="G150" s="1061">
        <v>7290</v>
      </c>
      <c r="H150" s="1061">
        <v>0</v>
      </c>
      <c r="I150" s="1059" t="e">
        <v>#DIV/0!</v>
      </c>
      <c r="J150" s="1061">
        <v>6713</v>
      </c>
      <c r="K150" s="1061">
        <v>368</v>
      </c>
      <c r="L150" s="1125">
        <v>18.241847826087</v>
      </c>
    </row>
    <row r="151" customFormat="1" spans="1:12">
      <c r="A151" s="1056"/>
      <c r="B151" s="1060" t="s">
        <v>139</v>
      </c>
      <c r="C151" s="1060"/>
      <c r="D151" s="1060"/>
      <c r="E151" s="1060"/>
      <c r="F151" s="1060"/>
      <c r="G151" s="1061">
        <v>36947</v>
      </c>
      <c r="H151" s="1061">
        <v>1387</v>
      </c>
      <c r="I151" s="1059">
        <v>26.6380677721702</v>
      </c>
      <c r="J151" s="1061">
        <v>15077</v>
      </c>
      <c r="K151" s="1061">
        <v>839</v>
      </c>
      <c r="L151" s="1125">
        <v>17.9702026221692</v>
      </c>
    </row>
    <row r="152" ht="24" spans="1:31">
      <c r="A152" s="1062"/>
      <c r="B152" s="406" t="s">
        <v>0</v>
      </c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6"/>
      <c r="S152" s="406"/>
      <c r="T152" s="406"/>
      <c r="U152" s="406"/>
      <c r="V152" s="406"/>
      <c r="W152" s="406"/>
      <c r="X152" s="406"/>
      <c r="Y152" s="406"/>
      <c r="Z152" s="406"/>
      <c r="AA152" s="406"/>
      <c r="AB152" s="406"/>
      <c r="AC152" s="406"/>
      <c r="AD152" s="406"/>
      <c r="AE152" s="406"/>
    </row>
    <row r="153" ht="15" spans="1:31">
      <c r="A153" s="1063" t="s">
        <v>140</v>
      </c>
      <c r="B153" s="1063"/>
      <c r="C153" s="1064"/>
      <c r="D153" s="1064"/>
      <c r="E153" s="1064"/>
      <c r="F153" s="1064"/>
      <c r="G153" s="1064"/>
      <c r="H153" s="1064"/>
      <c r="I153" s="1064"/>
      <c r="J153" s="1064"/>
      <c r="K153" s="1064"/>
      <c r="L153" s="1126" t="s">
        <v>3</v>
      </c>
      <c r="M153" s="1126"/>
      <c r="N153" s="1126"/>
      <c r="O153" s="1126"/>
      <c r="P153" s="1126"/>
      <c r="Q153" s="1126"/>
      <c r="R153" s="1126"/>
      <c r="S153" s="1126"/>
      <c r="T153" s="1126"/>
      <c r="U153" s="1126"/>
      <c r="V153" s="1150"/>
      <c r="W153" s="1150"/>
      <c r="X153" s="1150"/>
      <c r="Y153" s="1150"/>
      <c r="Z153" s="1150"/>
      <c r="AA153" s="1166" t="s">
        <v>4</v>
      </c>
      <c r="AB153" s="1166"/>
      <c r="AC153" s="1166">
        <v>43589</v>
      </c>
      <c r="AD153" s="1166"/>
      <c r="AE153" s="1166"/>
    </row>
    <row r="154" ht="28.5" spans="1:31">
      <c r="A154" s="1065" t="s">
        <v>98</v>
      </c>
      <c r="B154" s="1066" t="s">
        <v>5</v>
      </c>
      <c r="C154" s="1067"/>
      <c r="D154" s="1067"/>
      <c r="E154" s="1067"/>
      <c r="F154" s="1068"/>
      <c r="G154" s="1066" t="s">
        <v>6</v>
      </c>
      <c r="H154" s="1067"/>
      <c r="I154" s="1067"/>
      <c r="J154" s="1067"/>
      <c r="K154" s="1068"/>
      <c r="L154" s="1066" t="s">
        <v>7</v>
      </c>
      <c r="M154" s="1067"/>
      <c r="N154" s="1067"/>
      <c r="O154" s="1067"/>
      <c r="P154" s="1068"/>
      <c r="Q154" s="1151" t="s">
        <v>8</v>
      </c>
      <c r="R154" s="1152"/>
      <c r="S154" s="1152"/>
      <c r="T154" s="1152"/>
      <c r="U154" s="1153"/>
      <c r="V154" s="1154" t="s">
        <v>9</v>
      </c>
      <c r="W154" s="1155"/>
      <c r="X154" s="1155"/>
      <c r="Y154" s="1155"/>
      <c r="Z154" s="1167"/>
      <c r="AA154" s="1154" t="s">
        <v>10</v>
      </c>
      <c r="AB154" s="1155"/>
      <c r="AC154" s="1155"/>
      <c r="AD154" s="1155"/>
      <c r="AE154" s="1167"/>
    </row>
    <row r="155" ht="29.25" spans="1:31">
      <c r="A155" s="1069"/>
      <c r="B155" s="1070" t="s">
        <v>11</v>
      </c>
      <c r="C155" s="1071" t="s">
        <v>12</v>
      </c>
      <c r="D155" s="1071" t="s">
        <v>13</v>
      </c>
      <c r="E155" s="1071" t="s">
        <v>14</v>
      </c>
      <c r="F155" s="1072" t="s">
        <v>15</v>
      </c>
      <c r="G155" s="1073" t="s">
        <v>11</v>
      </c>
      <c r="H155" s="1071" t="s">
        <v>12</v>
      </c>
      <c r="I155" s="1071" t="s">
        <v>13</v>
      </c>
      <c r="J155" s="1071" t="s">
        <v>14</v>
      </c>
      <c r="K155" s="1072" t="s">
        <v>15</v>
      </c>
      <c r="L155" s="1073" t="s">
        <v>11</v>
      </c>
      <c r="M155" s="910" t="s">
        <v>12</v>
      </c>
      <c r="N155" s="1071" t="s">
        <v>13</v>
      </c>
      <c r="O155" s="1071" t="s">
        <v>14</v>
      </c>
      <c r="P155" s="1072" t="s">
        <v>15</v>
      </c>
      <c r="Q155" s="1073" t="s">
        <v>11</v>
      </c>
      <c r="R155" s="1071" t="s">
        <v>12</v>
      </c>
      <c r="S155" s="1071" t="s">
        <v>13</v>
      </c>
      <c r="T155" s="1071" t="s">
        <v>14</v>
      </c>
      <c r="U155" s="1156" t="s">
        <v>15</v>
      </c>
      <c r="V155" s="1074" t="s">
        <v>11</v>
      </c>
      <c r="W155" s="1157" t="s">
        <v>12</v>
      </c>
      <c r="X155" s="1157" t="s">
        <v>13</v>
      </c>
      <c r="Y155" s="1157" t="s">
        <v>14</v>
      </c>
      <c r="Z155" s="1157" t="s">
        <v>15</v>
      </c>
      <c r="AA155" s="1074" t="s">
        <v>11</v>
      </c>
      <c r="AB155" s="1157" t="s">
        <v>12</v>
      </c>
      <c r="AC155" s="1157" t="s">
        <v>13</v>
      </c>
      <c r="AD155" s="1157" t="s">
        <v>14</v>
      </c>
      <c r="AE155" s="1157" t="s">
        <v>15</v>
      </c>
    </row>
    <row r="156" spans="1:31">
      <c r="A156" s="1074" t="s">
        <v>141</v>
      </c>
      <c r="B156" s="1075">
        <v>2007.22</v>
      </c>
      <c r="C156" s="1076"/>
      <c r="D156" s="1076">
        <v>37879.56</v>
      </c>
      <c r="E156" s="1076"/>
      <c r="F156" s="1076">
        <v>232240.9</v>
      </c>
      <c r="G156" s="1075">
        <v>1235.1478</v>
      </c>
      <c r="H156" s="1076"/>
      <c r="I156" s="1076">
        <v>23451.8046</v>
      </c>
      <c r="J156" s="1076"/>
      <c r="K156" s="1076">
        <v>143729.9884</v>
      </c>
      <c r="L156" s="1075">
        <v>2825.77</v>
      </c>
      <c r="M156" s="1076"/>
      <c r="N156" s="1076">
        <v>56538.88</v>
      </c>
      <c r="O156" s="1076"/>
      <c r="P156" s="1076">
        <v>352875.67</v>
      </c>
      <c r="Q156" s="1075">
        <v>206.61</v>
      </c>
      <c r="R156" s="1076"/>
      <c r="S156" s="1076">
        <v>4821.23</v>
      </c>
      <c r="T156" s="1076"/>
      <c r="U156" s="1158">
        <v>19851.51</v>
      </c>
      <c r="V156" s="1075"/>
      <c r="W156" s="1076"/>
      <c r="X156" s="1076"/>
      <c r="Y156" s="1076"/>
      <c r="Z156" s="1076"/>
      <c r="AA156" s="1075">
        <v>1223.35</v>
      </c>
      <c r="AB156" s="1076"/>
      <c r="AC156" s="1076">
        <v>22538.45</v>
      </c>
      <c r="AD156" s="1076"/>
      <c r="AE156" s="1076">
        <v>150019.66</v>
      </c>
    </row>
    <row r="157" spans="1:31">
      <c r="A157" s="1074" t="s">
        <v>142</v>
      </c>
      <c r="B157" s="1075">
        <v>5511.9814</v>
      </c>
      <c r="C157" s="1076"/>
      <c r="D157" s="1076">
        <v>105037.0676</v>
      </c>
      <c r="E157" s="1076"/>
      <c r="F157" s="1076">
        <v>586842.4792</v>
      </c>
      <c r="G157" s="1075">
        <v>3047.28</v>
      </c>
      <c r="H157" s="1076"/>
      <c r="I157" s="1076">
        <v>57813.58</v>
      </c>
      <c r="J157" s="1076"/>
      <c r="K157" s="1076">
        <v>322139.5</v>
      </c>
      <c r="L157" s="1075"/>
      <c r="M157" s="1076"/>
      <c r="N157" s="1076"/>
      <c r="O157" s="1076"/>
      <c r="P157" s="1076"/>
      <c r="Q157" s="1075">
        <v>2325.19</v>
      </c>
      <c r="R157" s="1076"/>
      <c r="S157" s="1076">
        <v>44550.46</v>
      </c>
      <c r="T157" s="1076"/>
      <c r="U157" s="1158">
        <v>250046.98</v>
      </c>
      <c r="V157" s="1075"/>
      <c r="W157" s="1076"/>
      <c r="X157" s="1076"/>
      <c r="Y157" s="1076"/>
      <c r="Z157" s="1076"/>
      <c r="AA157" s="1075"/>
      <c r="AB157" s="1076"/>
      <c r="AC157" s="1076"/>
      <c r="AD157" s="1076"/>
      <c r="AE157" s="1076"/>
    </row>
    <row r="158" spans="1:31">
      <c r="A158" s="1074"/>
      <c r="B158" s="1075"/>
      <c r="C158" s="1076"/>
      <c r="D158" s="1076"/>
      <c r="E158" s="1076"/>
      <c r="F158" s="1076"/>
      <c r="G158" s="1075"/>
      <c r="H158" s="1076"/>
      <c r="I158" s="1076"/>
      <c r="J158" s="1076"/>
      <c r="K158" s="1076"/>
      <c r="L158" s="1075"/>
      <c r="M158" s="1076"/>
      <c r="N158" s="1076"/>
      <c r="O158" s="1076"/>
      <c r="P158" s="1076"/>
      <c r="Q158" s="1075"/>
      <c r="R158" s="1076"/>
      <c r="S158" s="1076"/>
      <c r="T158" s="1076"/>
      <c r="U158" s="1158"/>
      <c r="V158" s="1075"/>
      <c r="W158" s="1076"/>
      <c r="X158" s="1076"/>
      <c r="Y158" s="1076"/>
      <c r="Z158" s="1076"/>
      <c r="AA158" s="1075"/>
      <c r="AB158" s="1076"/>
      <c r="AC158" s="1076"/>
      <c r="AD158" s="1076"/>
      <c r="AE158" s="1076"/>
    </row>
    <row r="159" spans="1:31">
      <c r="A159" s="1074" t="s">
        <v>21</v>
      </c>
      <c r="B159" s="1075">
        <v>7519.2014</v>
      </c>
      <c r="C159" s="1076"/>
      <c r="D159" s="1076">
        <v>142916.6276</v>
      </c>
      <c r="E159" s="1076"/>
      <c r="F159" s="1076">
        <v>819083.3792</v>
      </c>
      <c r="G159" s="1075">
        <v>4282.4278</v>
      </c>
      <c r="H159" s="1076"/>
      <c r="I159" s="1076">
        <v>81265.3846</v>
      </c>
      <c r="J159" s="1076"/>
      <c r="K159" s="1076">
        <v>465869.4884</v>
      </c>
      <c r="L159" s="1075">
        <v>2825.77</v>
      </c>
      <c r="M159" s="1076"/>
      <c r="N159" s="1076">
        <v>56538.88</v>
      </c>
      <c r="O159" s="1076"/>
      <c r="P159" s="1076">
        <v>352875.67</v>
      </c>
      <c r="Q159" s="1075">
        <v>2531.8</v>
      </c>
      <c r="R159" s="1076"/>
      <c r="S159" s="1076">
        <v>49371.69</v>
      </c>
      <c r="T159" s="1076"/>
      <c r="U159" s="1158">
        <v>269898.49</v>
      </c>
      <c r="V159" s="1075">
        <v>0</v>
      </c>
      <c r="W159" s="1076">
        <v>0</v>
      </c>
      <c r="X159" s="1076">
        <v>0</v>
      </c>
      <c r="Y159" s="1076">
        <v>0</v>
      </c>
      <c r="Z159" s="1076">
        <v>0</v>
      </c>
      <c r="AA159" s="1075">
        <v>1223.35</v>
      </c>
      <c r="AB159" s="1076"/>
      <c r="AC159" s="1076">
        <v>22538.45</v>
      </c>
      <c r="AD159" s="1076"/>
      <c r="AE159" s="1076">
        <v>150019.66</v>
      </c>
    </row>
    <row r="160" ht="24" spans="1:37">
      <c r="A160" s="406" t="s">
        <v>48</v>
      </c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  <c r="U160" s="406"/>
      <c r="V160" s="406"/>
      <c r="W160" s="406"/>
      <c r="X160" s="406"/>
      <c r="Y160" s="406"/>
      <c r="Z160" s="406"/>
      <c r="AA160" s="406"/>
      <c r="AB160" s="406"/>
      <c r="AC160" s="406"/>
      <c r="AD160" s="406"/>
      <c r="AE160" s="406"/>
      <c r="AF160" s="406"/>
      <c r="AG160" s="406"/>
      <c r="AH160" s="406"/>
      <c r="AI160" s="406"/>
      <c r="AJ160" s="406"/>
      <c r="AK160" s="406"/>
    </row>
    <row r="161" spans="1:37">
      <c r="A161" s="1077" t="s">
        <v>143</v>
      </c>
      <c r="B161" s="1077"/>
      <c r="C161" s="1077"/>
      <c r="D161" s="1077"/>
      <c r="E161" s="1077"/>
      <c r="F161" s="1077"/>
      <c r="G161" s="1077"/>
      <c r="H161" s="1077"/>
      <c r="I161" s="1077"/>
      <c r="J161" s="1077"/>
      <c r="K161" s="1077"/>
      <c r="L161" s="1077"/>
      <c r="M161" s="1077"/>
      <c r="N161" s="1077"/>
      <c r="O161" s="1127" t="s">
        <v>144</v>
      </c>
      <c r="P161" s="1127"/>
      <c r="Q161" s="1127"/>
      <c r="R161" s="1127"/>
      <c r="S161" s="1127"/>
      <c r="T161" s="1127"/>
      <c r="U161" s="1127"/>
      <c r="V161" s="1127"/>
      <c r="W161" s="1127"/>
      <c r="X161" s="1127"/>
      <c r="Y161" s="1062"/>
      <c r="Z161" s="1062"/>
      <c r="AA161" s="1062"/>
      <c r="AB161" s="1062"/>
      <c r="AC161" s="1062"/>
      <c r="AD161" s="1062"/>
      <c r="AE161" s="1127" t="s">
        <v>4</v>
      </c>
      <c r="AF161" s="1127"/>
      <c r="AG161" s="1127"/>
      <c r="AH161" s="1166">
        <v>43589</v>
      </c>
      <c r="AI161" s="1166"/>
      <c r="AJ161" s="1166"/>
      <c r="AK161" s="1166"/>
    </row>
    <row r="162" ht="40.5" spans="1:37">
      <c r="A162" s="695" t="s">
        <v>98</v>
      </c>
      <c r="B162" s="1078" t="s">
        <v>25</v>
      </c>
      <c r="C162" s="1079"/>
      <c r="D162" s="1079"/>
      <c r="E162" s="1079"/>
      <c r="F162" s="1080"/>
      <c r="G162" s="1078" t="s">
        <v>28</v>
      </c>
      <c r="H162" s="1079"/>
      <c r="I162" s="1079"/>
      <c r="J162" s="1079"/>
      <c r="K162" s="1080"/>
      <c r="L162" s="1128" t="s">
        <v>29</v>
      </c>
      <c r="M162" s="1129"/>
      <c r="N162" s="1129"/>
      <c r="O162" s="1130"/>
      <c r="P162" s="1078" t="s">
        <v>30</v>
      </c>
      <c r="Q162" s="1079"/>
      <c r="R162" s="1080"/>
      <c r="S162" s="1078" t="s">
        <v>31</v>
      </c>
      <c r="T162" s="1079"/>
      <c r="U162" s="1080"/>
      <c r="V162" s="498" t="s">
        <v>32</v>
      </c>
      <c r="W162" s="1159"/>
      <c r="X162" s="1160"/>
      <c r="Y162" s="498" t="s">
        <v>33</v>
      </c>
      <c r="Z162" s="1159"/>
      <c r="AA162" s="1160"/>
      <c r="AB162" s="498" t="s">
        <v>34</v>
      </c>
      <c r="AC162" s="1159"/>
      <c r="AD162" s="1160"/>
      <c r="AE162" s="498" t="s">
        <v>35</v>
      </c>
      <c r="AF162" s="1159"/>
      <c r="AG162" s="1160"/>
      <c r="AH162" s="1078" t="s">
        <v>54</v>
      </c>
      <c r="AI162" s="1079"/>
      <c r="AJ162" s="1079"/>
      <c r="AK162" s="1080"/>
    </row>
    <row r="163" ht="24" spans="1:37">
      <c r="A163" s="698"/>
      <c r="B163" s="196" t="s">
        <v>11</v>
      </c>
      <c r="C163" s="196" t="s">
        <v>37</v>
      </c>
      <c r="D163" s="196" t="s">
        <v>38</v>
      </c>
      <c r="E163" s="413" t="s">
        <v>39</v>
      </c>
      <c r="F163" s="413" t="s">
        <v>40</v>
      </c>
      <c r="G163" s="196" t="s">
        <v>11</v>
      </c>
      <c r="H163" s="196" t="s">
        <v>37</v>
      </c>
      <c r="I163" s="196" t="s">
        <v>38</v>
      </c>
      <c r="J163" s="432" t="s">
        <v>41</v>
      </c>
      <c r="K163" s="432" t="s">
        <v>40</v>
      </c>
      <c r="L163" s="196" t="s">
        <v>11</v>
      </c>
      <c r="M163" s="196" t="s">
        <v>37</v>
      </c>
      <c r="N163" s="196" t="s">
        <v>38</v>
      </c>
      <c r="O163" s="432" t="s">
        <v>41</v>
      </c>
      <c r="P163" s="196" t="s">
        <v>11</v>
      </c>
      <c r="Q163" s="196" t="s">
        <v>37</v>
      </c>
      <c r="R163" s="196" t="s">
        <v>38</v>
      </c>
      <c r="S163" s="432" t="s">
        <v>11</v>
      </c>
      <c r="T163" s="196" t="s">
        <v>37</v>
      </c>
      <c r="U163" s="196" t="s">
        <v>38</v>
      </c>
      <c r="V163" s="196" t="s">
        <v>11</v>
      </c>
      <c r="W163" s="196" t="s">
        <v>37</v>
      </c>
      <c r="X163" s="196" t="s">
        <v>38</v>
      </c>
      <c r="Y163" s="196" t="s">
        <v>11</v>
      </c>
      <c r="Z163" s="196" t="s">
        <v>37</v>
      </c>
      <c r="AA163" s="196" t="s">
        <v>38</v>
      </c>
      <c r="AB163" s="196" t="s">
        <v>11</v>
      </c>
      <c r="AC163" s="196" t="s">
        <v>37</v>
      </c>
      <c r="AD163" s="196" t="s">
        <v>38</v>
      </c>
      <c r="AE163" s="196" t="s">
        <v>11</v>
      </c>
      <c r="AF163" s="196" t="s">
        <v>37</v>
      </c>
      <c r="AG163" s="196" t="s">
        <v>38</v>
      </c>
      <c r="AH163" s="432" t="s">
        <v>42</v>
      </c>
      <c r="AI163" s="432" t="s">
        <v>43</v>
      </c>
      <c r="AJ163" s="432" t="s">
        <v>44</v>
      </c>
      <c r="AK163" s="432" t="s">
        <v>45</v>
      </c>
    </row>
    <row r="164" spans="1:37">
      <c r="A164" s="1081" t="s">
        <v>141</v>
      </c>
      <c r="B164" s="1082">
        <v>2991.72</v>
      </c>
      <c r="C164" s="1082">
        <v>63667.91</v>
      </c>
      <c r="D164" s="1082">
        <v>350563.69</v>
      </c>
      <c r="E164" s="1013">
        <v>2210</v>
      </c>
      <c r="F164" s="1013">
        <v>3227.37</v>
      </c>
      <c r="G164" s="1082">
        <v>2417.3</v>
      </c>
      <c r="H164" s="1082">
        <v>48360.64</v>
      </c>
      <c r="I164" s="1082">
        <v>249617.19</v>
      </c>
      <c r="J164" s="1013">
        <v>2300</v>
      </c>
      <c r="K164" s="1013">
        <v>17264.36</v>
      </c>
      <c r="L164" s="1082">
        <v>1961.92</v>
      </c>
      <c r="M164" s="1082">
        <v>35917.07</v>
      </c>
      <c r="N164" s="1082">
        <v>184309.99</v>
      </c>
      <c r="O164" s="1013">
        <v>3450</v>
      </c>
      <c r="P164" s="1082"/>
      <c r="Q164" s="1082"/>
      <c r="R164" s="1082"/>
      <c r="S164" s="1013">
        <v>902.77</v>
      </c>
      <c r="T164" s="1082">
        <v>17138.43</v>
      </c>
      <c r="U164" s="1082">
        <v>68217.62</v>
      </c>
      <c r="V164" s="1082">
        <v>1131.41558972111</v>
      </c>
      <c r="W164" s="1082">
        <v>1120.23476513455</v>
      </c>
      <c r="X164" s="1082">
        <v>1149.68982638286</v>
      </c>
      <c r="Y164" s="1082">
        <v>989.391222686103</v>
      </c>
      <c r="Z164" s="1082">
        <v>1004.80543596599</v>
      </c>
      <c r="AA164" s="1082">
        <v>1006.11058409608</v>
      </c>
      <c r="AB164" s="1082">
        <v>979.909900664244</v>
      </c>
      <c r="AC164" s="1082">
        <v>1461.3950109241</v>
      </c>
      <c r="AD164" s="1082">
        <v>991.9329377398</v>
      </c>
      <c r="AE164" s="1082">
        <v>155</v>
      </c>
      <c r="AF164" s="1082">
        <v>155</v>
      </c>
      <c r="AG164" s="1082">
        <v>155</v>
      </c>
      <c r="AH164" s="1172"/>
      <c r="AI164" s="1172"/>
      <c r="AJ164" s="1172"/>
      <c r="AK164" s="1172"/>
    </row>
    <row r="165" spans="1:37">
      <c r="A165" s="1081" t="s">
        <v>142</v>
      </c>
      <c r="B165" s="1082"/>
      <c r="C165" s="1082"/>
      <c r="D165" s="1082"/>
      <c r="E165" s="1013"/>
      <c r="F165" s="1013"/>
      <c r="G165" s="1082"/>
      <c r="H165" s="1082"/>
      <c r="I165" s="1082"/>
      <c r="J165" s="1013"/>
      <c r="K165" s="1013"/>
      <c r="L165" s="1082"/>
      <c r="M165" s="1082"/>
      <c r="N165" s="1082"/>
      <c r="O165" s="1013"/>
      <c r="P165" s="1082"/>
      <c r="Q165" s="1082"/>
      <c r="R165" s="1082"/>
      <c r="S165" s="1013"/>
      <c r="T165" s="1082"/>
      <c r="U165" s="1082"/>
      <c r="V165" s="1082">
        <v>1284.99940866891</v>
      </c>
      <c r="W165" s="1082">
        <v>1285.21378377141</v>
      </c>
      <c r="X165" s="1082">
        <v>1282.3250233386</v>
      </c>
      <c r="Y165" s="1082">
        <v>821.004080184495</v>
      </c>
      <c r="Z165" s="1082">
        <v>817.913308696364</v>
      </c>
      <c r="AA165" s="1082">
        <v>811.950310586147</v>
      </c>
      <c r="AB165" s="1082"/>
      <c r="AC165" s="1082"/>
      <c r="AD165" s="1082"/>
      <c r="AE165" s="1082"/>
      <c r="AF165" s="1082"/>
      <c r="AG165" s="1082"/>
      <c r="AH165" s="1173"/>
      <c r="AI165" s="1173"/>
      <c r="AJ165" s="1173"/>
      <c r="AK165" s="1173"/>
    </row>
    <row r="166" spans="1:37">
      <c r="A166" s="1081"/>
      <c r="B166" s="1082"/>
      <c r="C166" s="1082"/>
      <c r="D166" s="1082"/>
      <c r="E166" s="1013"/>
      <c r="F166" s="1013"/>
      <c r="G166" s="1082"/>
      <c r="H166" s="1082"/>
      <c r="I166" s="1082"/>
      <c r="J166" s="1013"/>
      <c r="K166" s="1013"/>
      <c r="L166" s="1082"/>
      <c r="M166" s="1082"/>
      <c r="N166" s="1082"/>
      <c r="O166" s="1013"/>
      <c r="P166" s="1082"/>
      <c r="Q166" s="1082"/>
      <c r="R166" s="1082"/>
      <c r="S166" s="1013"/>
      <c r="T166" s="1082"/>
      <c r="U166" s="1082"/>
      <c r="V166" s="1082"/>
      <c r="W166" s="1082"/>
      <c r="X166" s="1082"/>
      <c r="Y166" s="1082"/>
      <c r="Z166" s="1082"/>
      <c r="AA166" s="1082"/>
      <c r="AB166" s="1082"/>
      <c r="AC166" s="1082"/>
      <c r="AD166" s="1082"/>
      <c r="AE166" s="1082"/>
      <c r="AF166" s="1082"/>
      <c r="AG166" s="1082"/>
      <c r="AH166" s="415"/>
      <c r="AI166" s="415"/>
      <c r="AJ166" s="415"/>
      <c r="AK166" s="415"/>
    </row>
    <row r="167" spans="1:37">
      <c r="A167" s="1083" t="s">
        <v>21</v>
      </c>
      <c r="B167" s="1082">
        <v>2991.72</v>
      </c>
      <c r="C167" s="1082">
        <v>63667.91</v>
      </c>
      <c r="D167" s="1082">
        <v>350563.69</v>
      </c>
      <c r="E167" s="1013">
        <v>2210</v>
      </c>
      <c r="F167" s="1013">
        <v>3227.37</v>
      </c>
      <c r="G167" s="1082">
        <v>2417.3</v>
      </c>
      <c r="H167" s="1082">
        <v>48360.64</v>
      </c>
      <c r="I167" s="1082">
        <v>249617.19</v>
      </c>
      <c r="J167" s="1013">
        <v>2300</v>
      </c>
      <c r="K167" s="1013">
        <v>17264.36</v>
      </c>
      <c r="L167" s="1082">
        <v>1961.92</v>
      </c>
      <c r="M167" s="1082">
        <v>35917.07</v>
      </c>
      <c r="N167" s="1082">
        <v>184309.99</v>
      </c>
      <c r="O167" s="1013">
        <v>3450</v>
      </c>
      <c r="P167" s="1082"/>
      <c r="Q167" s="1082"/>
      <c r="R167" s="1013"/>
      <c r="S167" s="1082">
        <v>902.77</v>
      </c>
      <c r="T167" s="1082">
        <v>17138.43</v>
      </c>
      <c r="U167" s="1082">
        <v>68217.62</v>
      </c>
      <c r="V167" s="1082">
        <v>1193.25317698878</v>
      </c>
      <c r="W167" s="1082">
        <v>1187.04111156528</v>
      </c>
      <c r="X167" s="1082">
        <v>1200.98631573463</v>
      </c>
      <c r="Y167" s="1082">
        <v>921.593360316657</v>
      </c>
      <c r="Z167" s="1082">
        <v>929.125629511123</v>
      </c>
      <c r="AA167" s="1082">
        <v>931.019351668818</v>
      </c>
      <c r="AB167" s="1082">
        <v>979.909900664244</v>
      </c>
      <c r="AC167" s="1082">
        <v>1461.3950109241</v>
      </c>
      <c r="AD167" s="1082">
        <v>991.9329377398</v>
      </c>
      <c r="AE167" s="1082">
        <v>155</v>
      </c>
      <c r="AF167" s="1082">
        <v>155</v>
      </c>
      <c r="AG167" s="1082">
        <v>155</v>
      </c>
      <c r="AH167" s="415"/>
      <c r="AI167" s="415"/>
      <c r="AJ167" s="415"/>
      <c r="AK167" s="415"/>
    </row>
    <row r="168" customFormat="1" ht="25.5" spans="1:11">
      <c r="A168" s="1084" t="s">
        <v>107</v>
      </c>
      <c r="B168" s="1084"/>
      <c r="C168" s="1084"/>
      <c r="D168" s="1084"/>
      <c r="E168" s="1084"/>
      <c r="F168" s="1084"/>
      <c r="G168" s="1084"/>
      <c r="H168" s="1084"/>
      <c r="I168" s="1084"/>
      <c r="J168" s="1084"/>
      <c r="K168" s="1084"/>
    </row>
    <row r="169" customFormat="1" spans="1:11">
      <c r="A169" s="1085" t="s">
        <v>145</v>
      </c>
      <c r="B169" s="1085"/>
      <c r="C169" s="1085"/>
      <c r="D169" s="1085"/>
      <c r="E169" s="1085"/>
      <c r="F169" s="1085"/>
      <c r="G169" s="1085"/>
      <c r="H169" s="1085"/>
      <c r="I169" s="1085"/>
      <c r="J169" s="1085"/>
      <c r="K169" s="1085"/>
    </row>
    <row r="170" customFormat="1" ht="57" spans="1:11">
      <c r="A170" s="1086" t="s">
        <v>109</v>
      </c>
      <c r="B170" s="1087" t="s">
        <v>110</v>
      </c>
      <c r="C170" s="1087" t="s">
        <v>87</v>
      </c>
      <c r="D170" s="1087"/>
      <c r="E170" s="1087"/>
      <c r="F170" s="1087"/>
      <c r="G170" s="1087"/>
      <c r="H170" s="1087"/>
      <c r="I170" s="1087" t="s">
        <v>111</v>
      </c>
      <c r="J170" s="1087"/>
      <c r="K170" s="1087"/>
    </row>
    <row r="171" customFormat="1" ht="28.5" spans="1:11">
      <c r="A171" s="1088"/>
      <c r="B171" s="1087"/>
      <c r="C171" s="1087" t="s">
        <v>135</v>
      </c>
      <c r="D171" s="1087"/>
      <c r="E171" s="1087"/>
      <c r="F171" s="1087" t="s">
        <v>112</v>
      </c>
      <c r="G171" s="1087"/>
      <c r="H171" s="1087"/>
      <c r="I171" s="1087" t="s">
        <v>93</v>
      </c>
      <c r="J171" s="1087"/>
      <c r="K171" s="1087"/>
    </row>
    <row r="172" customFormat="1" ht="28.5" spans="1:11">
      <c r="A172" s="1087" t="s">
        <v>146</v>
      </c>
      <c r="B172" s="1087"/>
      <c r="C172" s="1087" t="s">
        <v>56</v>
      </c>
      <c r="D172" s="1087" t="s">
        <v>57</v>
      </c>
      <c r="E172" s="1087" t="s">
        <v>115</v>
      </c>
      <c r="F172" s="1087" t="s">
        <v>56</v>
      </c>
      <c r="G172" s="1087" t="s">
        <v>57</v>
      </c>
      <c r="H172" s="1087" t="s">
        <v>115</v>
      </c>
      <c r="I172" s="1087" t="s">
        <v>56</v>
      </c>
      <c r="J172" s="1087" t="s">
        <v>57</v>
      </c>
      <c r="K172" s="1087" t="s">
        <v>115</v>
      </c>
    </row>
    <row r="173" customFormat="1" spans="1:11">
      <c r="A173" s="1089" t="s">
        <v>147</v>
      </c>
      <c r="B173" s="1090"/>
      <c r="C173" s="1091">
        <v>23240</v>
      </c>
      <c r="D173" s="1091">
        <v>2448</v>
      </c>
      <c r="E173" s="1092">
        <v>9.49346405228758</v>
      </c>
      <c r="F173" s="1091">
        <v>1480</v>
      </c>
      <c r="G173" s="1091">
        <v>0</v>
      </c>
      <c r="H173" s="1093" t="e">
        <v>#DIV/0!</v>
      </c>
      <c r="I173" s="1131">
        <v>7813</v>
      </c>
      <c r="J173" s="1131">
        <v>306</v>
      </c>
      <c r="K173" s="1093">
        <v>25.5326797385621</v>
      </c>
    </row>
    <row r="174" customFormat="1" spans="1:11">
      <c r="A174" s="1089" t="s">
        <v>148</v>
      </c>
      <c r="B174" s="1090"/>
      <c r="C174" s="1094"/>
      <c r="D174" s="1094"/>
      <c r="E174" s="1094"/>
      <c r="F174" s="1091">
        <v>29845</v>
      </c>
      <c r="G174" s="1091">
        <v>1738</v>
      </c>
      <c r="H174" s="1093" t="e">
        <v>#REF!</v>
      </c>
      <c r="I174" s="1132"/>
      <c r="J174" s="1132"/>
      <c r="K174" s="1093"/>
    </row>
    <row r="175" customFormat="1" spans="1:11">
      <c r="A175" s="1089" t="s">
        <v>149</v>
      </c>
      <c r="B175" s="1090"/>
      <c r="C175" s="1094"/>
      <c r="D175" s="1094"/>
      <c r="E175" s="1094"/>
      <c r="F175" s="1091">
        <v>38699</v>
      </c>
      <c r="G175" s="1091">
        <v>3181</v>
      </c>
      <c r="H175" s="1093">
        <v>12.1656711725872</v>
      </c>
      <c r="I175" s="1091">
        <v>7745</v>
      </c>
      <c r="J175" s="1091">
        <v>754</v>
      </c>
      <c r="K175" s="1093">
        <v>10.2718832891247</v>
      </c>
    </row>
    <row r="176" ht="26.1" customHeight="1" spans="1:45">
      <c r="A176" s="1095" t="s">
        <v>0</v>
      </c>
      <c r="B176" s="1096"/>
      <c r="C176" s="1096"/>
      <c r="D176" s="1096"/>
      <c r="E176" s="1096"/>
      <c r="F176" s="1096"/>
      <c r="G176" s="1097"/>
      <c r="H176" s="1097"/>
      <c r="I176" s="1097"/>
      <c r="J176" s="1097"/>
      <c r="K176" s="1097"/>
      <c r="L176" s="1097"/>
      <c r="M176" s="1097"/>
      <c r="N176" s="1097"/>
      <c r="O176" s="1097"/>
      <c r="P176" s="1097"/>
      <c r="Q176" s="1097"/>
      <c r="R176" s="1097"/>
      <c r="S176" s="1097"/>
      <c r="T176" s="1097"/>
      <c r="U176" s="1097"/>
      <c r="V176" s="1097"/>
      <c r="W176" s="1097"/>
      <c r="X176" s="1097"/>
      <c r="Y176" s="1097"/>
      <c r="Z176" s="1097"/>
      <c r="AA176" s="1097"/>
      <c r="AB176" s="1097"/>
      <c r="AC176" s="1097"/>
      <c r="AD176" s="1097"/>
      <c r="AE176" s="1097"/>
      <c r="AF176" s="1097"/>
      <c r="AG176" s="1097"/>
      <c r="AH176" s="1097"/>
      <c r="AI176" s="1097"/>
      <c r="AJ176" s="1097"/>
      <c r="AK176" s="1097"/>
      <c r="AL176" s="1097"/>
      <c r="AM176" s="1097"/>
      <c r="AN176" s="1097"/>
      <c r="AO176" s="1097"/>
      <c r="AP176" s="1097"/>
      <c r="AQ176" s="1097"/>
      <c r="AR176" s="1097"/>
      <c r="AS176" s="1097"/>
    </row>
    <row r="177" spans="1:45">
      <c r="A177" s="1098" t="s">
        <v>1</v>
      </c>
      <c r="B177" s="1099" t="s">
        <v>150</v>
      </c>
      <c r="C177" s="1099"/>
      <c r="D177" s="1099"/>
      <c r="E177" s="1099"/>
      <c r="F177" s="1099"/>
      <c r="G177" s="1099"/>
      <c r="H177" s="1099"/>
      <c r="I177" s="1099"/>
      <c r="J177" s="1099"/>
      <c r="K177" s="1099"/>
      <c r="L177" s="1105" t="s">
        <v>151</v>
      </c>
      <c r="M177" s="1105"/>
      <c r="N177" s="1105"/>
      <c r="O177" s="1105"/>
      <c r="P177" s="1105"/>
      <c r="Q177" s="1105"/>
      <c r="R177" s="1105"/>
      <c r="S177" s="1105"/>
      <c r="T177" s="1105"/>
      <c r="U177" s="1105"/>
      <c r="V177" s="1097"/>
      <c r="W177" s="1097"/>
      <c r="X177" s="1097"/>
      <c r="Y177" s="1097"/>
      <c r="Z177" s="1097"/>
      <c r="AA177" s="1097"/>
      <c r="AB177" s="1105"/>
      <c r="AC177" s="1105"/>
      <c r="AD177" s="1105"/>
      <c r="AE177" s="1105"/>
      <c r="AF177" s="1105"/>
      <c r="AG177" s="1105"/>
      <c r="AH177" s="1097"/>
      <c r="AI177" s="1097"/>
      <c r="AJ177" s="1097"/>
      <c r="AK177" s="1097"/>
      <c r="AL177" s="1097"/>
      <c r="AM177" s="1097"/>
      <c r="AN177" s="1097"/>
      <c r="AO177" s="1097"/>
      <c r="AP177" s="1097"/>
      <c r="AQ177" s="1097"/>
      <c r="AR177" s="1097"/>
      <c r="AS177" s="1097"/>
    </row>
    <row r="178" ht="15.75" spans="1:45">
      <c r="A178" s="1100"/>
      <c r="B178" s="1101" t="s">
        <v>128</v>
      </c>
      <c r="C178" s="1101"/>
      <c r="D178" s="1101"/>
      <c r="E178" s="1101"/>
      <c r="F178" s="1101"/>
      <c r="G178" s="1101" t="s">
        <v>152</v>
      </c>
      <c r="H178" s="1101"/>
      <c r="I178" s="1101"/>
      <c r="J178" s="1101"/>
      <c r="K178" s="1101"/>
      <c r="L178" s="1101" t="s">
        <v>153</v>
      </c>
      <c r="M178" s="1101"/>
      <c r="N178" s="1101"/>
      <c r="O178" s="1101"/>
      <c r="P178" s="1101"/>
      <c r="Q178" s="1101" t="s">
        <v>154</v>
      </c>
      <c r="R178" s="1101"/>
      <c r="S178" s="1101"/>
      <c r="T178" s="1101"/>
      <c r="U178" s="1101"/>
      <c r="V178" s="1101" t="s">
        <v>155</v>
      </c>
      <c r="W178" s="1101"/>
      <c r="X178" s="1101"/>
      <c r="Y178" s="1101"/>
      <c r="Z178" s="1101"/>
      <c r="AA178" s="1101" t="s">
        <v>156</v>
      </c>
      <c r="AB178" s="1101"/>
      <c r="AC178" s="1101"/>
      <c r="AD178" s="1101"/>
      <c r="AE178" s="1101"/>
      <c r="AF178" s="1101"/>
      <c r="AG178" s="1097"/>
      <c r="AH178" s="1097"/>
      <c r="AI178" s="1097"/>
      <c r="AJ178" s="1097"/>
      <c r="AK178" s="1097"/>
      <c r="AL178" s="1097"/>
      <c r="AM178" s="1097"/>
      <c r="AN178" s="1097"/>
      <c r="AO178" s="1097"/>
      <c r="AP178" s="1097"/>
      <c r="AQ178" s="1097"/>
      <c r="AR178" s="1179"/>
      <c r="AS178" s="1179"/>
    </row>
    <row r="179" ht="15.75" spans="1:45">
      <c r="A179" s="1100"/>
      <c r="B179" s="1101" t="s">
        <v>157</v>
      </c>
      <c r="C179" s="1101" t="s">
        <v>158</v>
      </c>
      <c r="D179" s="1101" t="s">
        <v>159</v>
      </c>
      <c r="E179" s="1101" t="s">
        <v>160</v>
      </c>
      <c r="F179" s="1101" t="s">
        <v>161</v>
      </c>
      <c r="G179" s="1101" t="s">
        <v>157</v>
      </c>
      <c r="H179" s="1101" t="s">
        <v>158</v>
      </c>
      <c r="I179" s="1101" t="s">
        <v>159</v>
      </c>
      <c r="J179" s="1101" t="s">
        <v>160</v>
      </c>
      <c r="K179" s="1101" t="s">
        <v>161</v>
      </c>
      <c r="L179" s="1101" t="s">
        <v>157</v>
      </c>
      <c r="M179" s="1101" t="s">
        <v>158</v>
      </c>
      <c r="N179" s="1101" t="s">
        <v>159</v>
      </c>
      <c r="O179" s="1101" t="s">
        <v>160</v>
      </c>
      <c r="P179" s="1101" t="s">
        <v>161</v>
      </c>
      <c r="Q179" s="1101" t="s">
        <v>157</v>
      </c>
      <c r="R179" s="1101" t="s">
        <v>158</v>
      </c>
      <c r="S179" s="1101" t="s">
        <v>159</v>
      </c>
      <c r="T179" s="1101" t="s">
        <v>160</v>
      </c>
      <c r="U179" s="1101" t="s">
        <v>161</v>
      </c>
      <c r="V179" s="1101" t="s">
        <v>157</v>
      </c>
      <c r="W179" s="1101" t="s">
        <v>158</v>
      </c>
      <c r="X179" s="1101" t="s">
        <v>159</v>
      </c>
      <c r="Y179" s="1101" t="s">
        <v>160</v>
      </c>
      <c r="Z179" s="1101" t="s">
        <v>161</v>
      </c>
      <c r="AA179" s="1101" t="s">
        <v>157</v>
      </c>
      <c r="AB179" s="1101" t="s">
        <v>158</v>
      </c>
      <c r="AC179" s="1101" t="s">
        <v>159</v>
      </c>
      <c r="AD179" s="1101" t="s">
        <v>160</v>
      </c>
      <c r="AE179" s="1101"/>
      <c r="AF179" s="1101" t="s">
        <v>161</v>
      </c>
      <c r="AG179" s="1097"/>
      <c r="AH179" s="1097"/>
      <c r="AI179" s="1097"/>
      <c r="AJ179" s="1097"/>
      <c r="AK179" s="1097"/>
      <c r="AL179" s="1097"/>
      <c r="AM179" s="1097"/>
      <c r="AN179" s="1097"/>
      <c r="AO179" s="1097"/>
      <c r="AP179" s="1097"/>
      <c r="AQ179" s="1097"/>
      <c r="AR179" s="1179"/>
      <c r="AS179" s="1179"/>
    </row>
    <row r="180" spans="1:45">
      <c r="A180" s="1102" t="s">
        <v>162</v>
      </c>
      <c r="B180" s="1103">
        <v>4477.125</v>
      </c>
      <c r="C180" s="1103">
        <v>109930.427</v>
      </c>
      <c r="D180" s="1103">
        <v>94803.989</v>
      </c>
      <c r="E180" s="1103">
        <v>1250612.834</v>
      </c>
      <c r="F180" s="1103">
        <v>425168.434</v>
      </c>
      <c r="G180" s="1103">
        <v>3759.945</v>
      </c>
      <c r="H180" s="1103">
        <v>90181.727</v>
      </c>
      <c r="I180" s="1103">
        <v>80952.889</v>
      </c>
      <c r="J180" s="1103">
        <v>1025640.231</v>
      </c>
      <c r="K180" s="1103">
        <v>345515.288</v>
      </c>
      <c r="L180" s="1103">
        <v>2508.49</v>
      </c>
      <c r="M180" s="1103">
        <v>44400</v>
      </c>
      <c r="N180" s="1103">
        <v>55293.97</v>
      </c>
      <c r="O180" s="1103">
        <v>507500</v>
      </c>
      <c r="P180" s="1103">
        <v>195490.23</v>
      </c>
      <c r="Q180" s="1103">
        <v>717.18</v>
      </c>
      <c r="R180" s="1103">
        <v>19748.7</v>
      </c>
      <c r="S180" s="1103">
        <v>13851.1</v>
      </c>
      <c r="T180" s="1103">
        <v>224972.603</v>
      </c>
      <c r="U180" s="1103">
        <v>79653.146</v>
      </c>
      <c r="V180" s="1103">
        <v>448.13</v>
      </c>
      <c r="W180" s="1103">
        <v>12680</v>
      </c>
      <c r="X180" s="1103">
        <v>8074.79</v>
      </c>
      <c r="Y180" s="1103">
        <v>204500.01</v>
      </c>
      <c r="Z180" s="1103">
        <v>61208.19</v>
      </c>
      <c r="AA180" s="1103">
        <v>6515.87</v>
      </c>
      <c r="AB180" s="1103">
        <v>750</v>
      </c>
      <c r="AC180" s="1103">
        <v>136632.019</v>
      </c>
      <c r="AD180" s="1103">
        <v>10000</v>
      </c>
      <c r="AE180" s="1103">
        <v>808706.348</v>
      </c>
      <c r="AF180" s="1103">
        <v>808706.348</v>
      </c>
      <c r="AG180" s="1097"/>
      <c r="AH180" s="1097"/>
      <c r="AI180" s="1097"/>
      <c r="AJ180" s="1097"/>
      <c r="AK180" s="1097"/>
      <c r="AL180" s="1097"/>
      <c r="AM180" s="1097"/>
      <c r="AN180" s="1097"/>
      <c r="AO180" s="1097"/>
      <c r="AP180" s="1097"/>
      <c r="AQ180" s="1097"/>
      <c r="AR180" s="1179"/>
      <c r="AS180" s="1179"/>
    </row>
    <row r="181" ht="18" spans="1:45">
      <c r="A181" s="1104" t="s">
        <v>22</v>
      </c>
      <c r="B181" s="1104"/>
      <c r="C181" s="1104"/>
      <c r="D181" s="1104"/>
      <c r="E181" s="1104"/>
      <c r="F181" s="1104"/>
      <c r="G181" s="1097"/>
      <c r="H181" s="1097"/>
      <c r="I181" s="1097"/>
      <c r="J181" s="1097"/>
      <c r="K181" s="1097"/>
      <c r="L181" s="1097"/>
      <c r="M181" s="1097"/>
      <c r="N181" s="1097"/>
      <c r="O181" s="1097"/>
      <c r="P181" s="1097"/>
      <c r="Q181" s="1097"/>
      <c r="R181" s="1097"/>
      <c r="S181" s="1097"/>
      <c r="T181" s="1097"/>
      <c r="U181" s="1097"/>
      <c r="V181" s="1097"/>
      <c r="W181" s="1097"/>
      <c r="X181" s="1097"/>
      <c r="Y181" s="1097"/>
      <c r="Z181" s="1097"/>
      <c r="AA181" s="1097"/>
      <c r="AB181" s="1097"/>
      <c r="AC181" s="1097"/>
      <c r="AD181" s="1097"/>
      <c r="AE181" s="1097"/>
      <c r="AF181" s="1097"/>
      <c r="AG181" s="1097"/>
      <c r="AH181" s="1097"/>
      <c r="AI181" s="1097"/>
      <c r="AJ181" s="1097"/>
      <c r="AK181" s="1174"/>
      <c r="AL181" s="1174"/>
      <c r="AM181" s="1174"/>
      <c r="AN181" s="1174"/>
      <c r="AO181" s="1174"/>
      <c r="AP181" s="1174"/>
      <c r="AQ181" s="1174"/>
      <c r="AR181" s="1180"/>
      <c r="AS181" s="1180"/>
    </row>
    <row r="182" spans="1:45">
      <c r="A182" s="1098" t="s">
        <v>1</v>
      </c>
      <c r="B182" s="1105" t="s">
        <v>150</v>
      </c>
      <c r="C182" s="1105"/>
      <c r="D182" s="1105"/>
      <c r="E182" s="1105"/>
      <c r="F182" s="1105"/>
      <c r="G182" s="1105"/>
      <c r="H182" s="1105"/>
      <c r="I182" s="1105"/>
      <c r="J182" s="1105"/>
      <c r="K182" s="1105"/>
      <c r="L182" s="1105" t="s">
        <v>23</v>
      </c>
      <c r="M182" s="1105"/>
      <c r="N182" s="1105"/>
      <c r="O182" s="1105"/>
      <c r="P182" s="1105"/>
      <c r="Q182" s="1105"/>
      <c r="R182" s="1105"/>
      <c r="S182" s="1105"/>
      <c r="T182" s="1105"/>
      <c r="U182" s="1105"/>
      <c r="V182" s="1097"/>
      <c r="W182" s="1097"/>
      <c r="X182" s="1097"/>
      <c r="Y182" s="1097"/>
      <c r="Z182" s="1097"/>
      <c r="AA182" s="1097"/>
      <c r="AB182" s="1097"/>
      <c r="AC182" s="1097"/>
      <c r="AD182" s="1097"/>
      <c r="AE182" s="1097"/>
      <c r="AF182" s="1097"/>
      <c r="AG182" s="1097"/>
      <c r="AH182" s="1097"/>
      <c r="AI182" s="1097"/>
      <c r="AJ182" s="1097"/>
      <c r="AK182" s="1175"/>
      <c r="AL182" s="1175"/>
      <c r="AM182" s="1175"/>
      <c r="AN182" s="1175"/>
      <c r="AO182" s="1175"/>
      <c r="AP182" s="1175"/>
      <c r="AQ182" s="1175"/>
      <c r="AR182" s="1181"/>
      <c r="AS182" s="1181"/>
    </row>
    <row r="183" ht="15.75" spans="1:48">
      <c r="A183" s="1100"/>
      <c r="B183" s="1101" t="s">
        <v>153</v>
      </c>
      <c r="C183" s="1101"/>
      <c r="D183" s="1101"/>
      <c r="E183" s="1101"/>
      <c r="F183" s="1101"/>
      <c r="G183" s="1101" t="s">
        <v>154</v>
      </c>
      <c r="H183" s="1101"/>
      <c r="I183" s="1101"/>
      <c r="J183" s="1101"/>
      <c r="K183" s="1101"/>
      <c r="L183" s="1101" t="s">
        <v>163</v>
      </c>
      <c r="M183" s="1101"/>
      <c r="N183" s="1101"/>
      <c r="O183" s="1101"/>
      <c r="P183" s="1101"/>
      <c r="Q183" s="1101" t="s">
        <v>155</v>
      </c>
      <c r="R183" s="1101"/>
      <c r="S183" s="1101"/>
      <c r="T183" s="1101"/>
      <c r="U183" s="1101"/>
      <c r="V183" s="1101" t="s">
        <v>156</v>
      </c>
      <c r="W183" s="1101"/>
      <c r="X183" s="1101"/>
      <c r="Y183" s="1101"/>
      <c r="Z183" s="1101"/>
      <c r="AA183" s="1101" t="s">
        <v>164</v>
      </c>
      <c r="AB183" s="1101"/>
      <c r="AC183" s="1101"/>
      <c r="AD183" s="1101"/>
      <c r="AE183" s="1168"/>
      <c r="AF183" s="1169" t="s">
        <v>128</v>
      </c>
      <c r="AG183" s="1169"/>
      <c r="AH183" s="1169"/>
      <c r="AI183" s="1169"/>
      <c r="AJ183" s="1169"/>
      <c r="AK183" s="1169"/>
      <c r="AL183" s="1176" t="s">
        <v>153</v>
      </c>
      <c r="AM183" s="1177"/>
      <c r="AN183" s="1177"/>
      <c r="AO183" s="1177"/>
      <c r="AP183" s="1177"/>
      <c r="AQ183" s="1182"/>
      <c r="AR183" s="1176" t="s">
        <v>54</v>
      </c>
      <c r="AS183" s="1177"/>
      <c r="AT183" s="1177"/>
      <c r="AU183" s="1182"/>
      <c r="AV183" s="1183"/>
    </row>
    <row r="184" ht="30" customHeight="1" spans="1:48">
      <c r="A184" s="1100"/>
      <c r="B184" s="1101" t="s">
        <v>165</v>
      </c>
      <c r="C184" s="1101" t="s">
        <v>166</v>
      </c>
      <c r="D184" s="1101" t="s">
        <v>167</v>
      </c>
      <c r="E184" s="1101" t="s">
        <v>168</v>
      </c>
      <c r="F184" s="1101" t="s">
        <v>40</v>
      </c>
      <c r="G184" s="1101" t="s">
        <v>165</v>
      </c>
      <c r="H184" s="1101" t="s">
        <v>166</v>
      </c>
      <c r="I184" s="1101" t="s">
        <v>167</v>
      </c>
      <c r="J184" s="1101" t="s">
        <v>168</v>
      </c>
      <c r="K184" s="1101" t="s">
        <v>40</v>
      </c>
      <c r="L184" s="1101" t="s">
        <v>165</v>
      </c>
      <c r="M184" s="1101" t="s">
        <v>166</v>
      </c>
      <c r="N184" s="1101" t="s">
        <v>167</v>
      </c>
      <c r="O184" s="1101" t="s">
        <v>168</v>
      </c>
      <c r="P184" s="1101" t="s">
        <v>40</v>
      </c>
      <c r="Q184" s="1101" t="s">
        <v>165</v>
      </c>
      <c r="R184" s="1101" t="s">
        <v>166</v>
      </c>
      <c r="S184" s="1101" t="s">
        <v>167</v>
      </c>
      <c r="T184" s="1101" t="s">
        <v>168</v>
      </c>
      <c r="U184" s="1101" t="s">
        <v>40</v>
      </c>
      <c r="V184" s="1101" t="s">
        <v>165</v>
      </c>
      <c r="W184" s="1101" t="s">
        <v>166</v>
      </c>
      <c r="X184" s="1101" t="s">
        <v>167</v>
      </c>
      <c r="Y184" s="1101" t="s">
        <v>168</v>
      </c>
      <c r="Z184" s="1101" t="s">
        <v>40</v>
      </c>
      <c r="AA184" s="1101" t="s">
        <v>165</v>
      </c>
      <c r="AB184" s="1101" t="s">
        <v>166</v>
      </c>
      <c r="AC184" s="1101" t="s">
        <v>167</v>
      </c>
      <c r="AD184" s="1101" t="s">
        <v>168</v>
      </c>
      <c r="AE184" s="1101" t="s">
        <v>40</v>
      </c>
      <c r="AF184" s="1170" t="s">
        <v>169</v>
      </c>
      <c r="AG184" s="1178" t="s">
        <v>170</v>
      </c>
      <c r="AH184" s="1178" t="s">
        <v>171</v>
      </c>
      <c r="AI184" s="1178"/>
      <c r="AJ184" s="1178" t="s">
        <v>172</v>
      </c>
      <c r="AK184" s="1178" t="s">
        <v>173</v>
      </c>
      <c r="AL184" s="1178" t="s">
        <v>172</v>
      </c>
      <c r="AM184" s="1170" t="s">
        <v>173</v>
      </c>
      <c r="AN184" s="1170" t="s">
        <v>174</v>
      </c>
      <c r="AO184" s="1178" t="s">
        <v>175</v>
      </c>
      <c r="AP184" s="1170" t="s">
        <v>176</v>
      </c>
      <c r="AQ184" s="1170" t="s">
        <v>177</v>
      </c>
      <c r="AR184" s="1184" t="s">
        <v>178</v>
      </c>
      <c r="AS184" s="1184" t="s">
        <v>179</v>
      </c>
      <c r="AT184" s="1185" t="s">
        <v>180</v>
      </c>
      <c r="AU184" s="1185" t="s">
        <v>181</v>
      </c>
      <c r="AV184" s="1186"/>
    </row>
    <row r="185" spans="1:48">
      <c r="A185" s="1102" t="s">
        <v>162</v>
      </c>
      <c r="B185" s="1103">
        <v>2670</v>
      </c>
      <c r="C185" s="1103">
        <v>7812.14</v>
      </c>
      <c r="D185" s="1103">
        <v>95145.16</v>
      </c>
      <c r="E185" s="1103">
        <v>2091.064</v>
      </c>
      <c r="F185" s="1103">
        <v>15518.92</v>
      </c>
      <c r="G185" s="1103">
        <v>412.08</v>
      </c>
      <c r="H185" s="1103">
        <v>8148.96</v>
      </c>
      <c r="I185" s="1103">
        <v>43956.22</v>
      </c>
      <c r="J185" s="1103">
        <v>2360</v>
      </c>
      <c r="K185" s="1103">
        <v>18835.707</v>
      </c>
      <c r="L185" s="1103">
        <v>1178.88</v>
      </c>
      <c r="M185" s="1103">
        <v>20855.34</v>
      </c>
      <c r="N185" s="1103">
        <v>88293.2</v>
      </c>
      <c r="O185" s="1103">
        <v>3600</v>
      </c>
      <c r="P185" s="1103"/>
      <c r="Q185" s="1103">
        <v>552.72</v>
      </c>
      <c r="R185" s="1103"/>
      <c r="S185" s="1103"/>
      <c r="T185" s="1103"/>
      <c r="U185" s="1103"/>
      <c r="V185" s="1103">
        <v>4794.67</v>
      </c>
      <c r="W185" s="1103"/>
      <c r="X185" s="1103"/>
      <c r="Y185" s="1103"/>
      <c r="Z185" s="1103"/>
      <c r="AA185" s="1103">
        <v>454.92</v>
      </c>
      <c r="AB185" s="1103">
        <v>7944.04</v>
      </c>
      <c r="AC185" s="1103">
        <v>47051.12</v>
      </c>
      <c r="AD185" s="1103">
        <v>12966.774</v>
      </c>
      <c r="AE185" s="1103">
        <v>505.7</v>
      </c>
      <c r="AF185" s="1103">
        <v>1.024</v>
      </c>
      <c r="AG185" s="1103">
        <v>0.915</v>
      </c>
      <c r="AH185" s="1103">
        <v>1.117</v>
      </c>
      <c r="AI185" s="1103">
        <v>873.858</v>
      </c>
      <c r="AJ185" s="1103">
        <v>781.245</v>
      </c>
      <c r="AK185" s="1103">
        <v>984.346</v>
      </c>
      <c r="AL185" s="1103">
        <v>93.303</v>
      </c>
      <c r="AM185" s="1103">
        <v>97.845</v>
      </c>
      <c r="AN185" s="1103">
        <v>121.659</v>
      </c>
      <c r="AO185" s="1103">
        <v>0.941</v>
      </c>
      <c r="AP185" s="1103">
        <v>1.019</v>
      </c>
      <c r="AQ185" s="1103">
        <v>1.046</v>
      </c>
      <c r="AR185" s="1187"/>
      <c r="AS185" s="1188"/>
      <c r="AT185" s="1103">
        <v>59860.207</v>
      </c>
      <c r="AU185" s="1103">
        <v>4585.69</v>
      </c>
      <c r="AV185" s="1097"/>
    </row>
    <row r="186" ht="15" spans="1:45">
      <c r="A186" s="1106"/>
      <c r="B186" s="1107"/>
      <c r="C186" s="1107"/>
      <c r="D186" s="1107"/>
      <c r="E186" s="1107"/>
      <c r="F186" s="1107"/>
      <c r="G186" s="1107"/>
      <c r="H186" s="1107"/>
      <c r="I186" s="1107"/>
      <c r="J186" s="1107"/>
      <c r="K186" s="1107"/>
      <c r="L186" s="1107"/>
      <c r="M186" s="1133"/>
      <c r="N186" s="1133"/>
      <c r="O186" s="1133"/>
      <c r="P186" s="1133"/>
      <c r="Q186" s="1133"/>
      <c r="R186" s="1133"/>
      <c r="S186" s="1133"/>
      <c r="T186" s="1133"/>
      <c r="U186" s="1133"/>
      <c r="V186" s="1133"/>
      <c r="W186" s="1133"/>
      <c r="X186" s="1133"/>
      <c r="Y186" s="1133"/>
      <c r="Z186" s="1133"/>
      <c r="AA186" s="1097"/>
      <c r="AB186" s="1133"/>
      <c r="AC186" s="1133"/>
      <c r="AD186" s="1133"/>
      <c r="AE186" s="1133"/>
      <c r="AF186" s="1133"/>
      <c r="AG186" s="1133"/>
      <c r="AH186" s="1133"/>
      <c r="AI186" s="1133"/>
      <c r="AJ186" s="1133"/>
      <c r="AK186" s="1133"/>
      <c r="AL186" s="1133"/>
      <c r="AM186" s="1133"/>
      <c r="AN186" s="1133"/>
      <c r="AO186" s="1133"/>
      <c r="AP186" s="1189"/>
      <c r="AQ186" s="1190"/>
      <c r="AR186" s="1133"/>
      <c r="AS186" s="1133"/>
    </row>
    <row r="187" customFormat="1" ht="43.5" spans="1:12">
      <c r="A187" s="1108" t="s">
        <v>182</v>
      </c>
      <c r="B187" s="1108"/>
      <c r="C187" s="1109" t="s">
        <v>110</v>
      </c>
      <c r="D187" s="1109" t="s">
        <v>87</v>
      </c>
      <c r="E187" s="1109" t="s">
        <v>183</v>
      </c>
      <c r="F187" s="1109">
        <v>11487</v>
      </c>
      <c r="G187" s="1109"/>
      <c r="H187" s="1109"/>
      <c r="I187" s="1109"/>
      <c r="J187" s="1109" t="s">
        <v>111</v>
      </c>
      <c r="K187" s="1109"/>
      <c r="L187" s="1109"/>
    </row>
    <row r="188" customFormat="1" ht="29.25" spans="1:12">
      <c r="A188" s="1110"/>
      <c r="B188" s="1110"/>
      <c r="C188" s="1111"/>
      <c r="D188" s="1111" t="s">
        <v>135</v>
      </c>
      <c r="E188" s="1111"/>
      <c r="F188" s="1111"/>
      <c r="G188" s="1111" t="s">
        <v>112</v>
      </c>
      <c r="H188" s="1111"/>
      <c r="I188" s="1111"/>
      <c r="J188" s="1109" t="s">
        <v>93</v>
      </c>
      <c r="K188" s="1109"/>
      <c r="L188" s="1109"/>
    </row>
    <row r="189" customFormat="1" ht="29.25" spans="1:12">
      <c r="A189" s="1110" t="s">
        <v>113</v>
      </c>
      <c r="B189" s="1111" t="s">
        <v>114</v>
      </c>
      <c r="C189" s="1111"/>
      <c r="D189" s="1111" t="s">
        <v>56</v>
      </c>
      <c r="E189" s="1111" t="s">
        <v>57</v>
      </c>
      <c r="F189" s="1109" t="s">
        <v>115</v>
      </c>
      <c r="G189" s="1109" t="s">
        <v>56</v>
      </c>
      <c r="H189" s="1109" t="s">
        <v>57</v>
      </c>
      <c r="I189" s="1109" t="s">
        <v>115</v>
      </c>
      <c r="J189" s="1109" t="s">
        <v>56</v>
      </c>
      <c r="K189" s="1109" t="s">
        <v>57</v>
      </c>
      <c r="L189" s="1109" t="s">
        <v>115</v>
      </c>
    </row>
    <row r="190" customFormat="1" ht="43.5" spans="1:12">
      <c r="A190" s="1112" t="s">
        <v>150</v>
      </c>
      <c r="B190" s="1111" t="s">
        <v>84</v>
      </c>
      <c r="C190" s="1111"/>
      <c r="D190" s="1111"/>
      <c r="E190" s="1111"/>
      <c r="F190" s="1111"/>
      <c r="G190" s="1103">
        <v>58236.047</v>
      </c>
      <c r="H190" s="1103">
        <v>4621.5</v>
      </c>
      <c r="I190" s="1111">
        <v>38.2227762265656</v>
      </c>
      <c r="J190" s="1134">
        <v>49813.827</v>
      </c>
      <c r="K190" s="1111">
        <v>5193.62</v>
      </c>
      <c r="L190" s="1111">
        <v>15</v>
      </c>
    </row>
    <row r="191" customFormat="1" ht="15" spans="1:12">
      <c r="A191" s="1112" t="s">
        <v>184</v>
      </c>
      <c r="B191" s="1111"/>
      <c r="C191" s="1111"/>
      <c r="D191" s="1111"/>
      <c r="E191" s="1111"/>
      <c r="F191" s="1111"/>
      <c r="G191" s="1111">
        <v>47424</v>
      </c>
      <c r="H191" s="1111">
        <v>1379</v>
      </c>
      <c r="I191" s="1111">
        <v>22</v>
      </c>
      <c r="J191" s="1111">
        <v>3000</v>
      </c>
      <c r="K191" s="1111">
        <v>284.3</v>
      </c>
      <c r="L191" s="1135">
        <v>11</v>
      </c>
    </row>
    <row r="192" ht="24" spans="1:31">
      <c r="A192" s="110"/>
      <c r="B192" s="406" t="s">
        <v>0</v>
      </c>
      <c r="C192" s="406"/>
      <c r="D192" s="406"/>
      <c r="E192" s="406"/>
      <c r="F192" s="406"/>
      <c r="J192" s="406"/>
      <c r="K192" s="406"/>
      <c r="L192" s="406"/>
      <c r="M192" s="406"/>
      <c r="N192" s="406"/>
      <c r="O192" s="406"/>
      <c r="P192" s="406"/>
      <c r="Q192" s="406"/>
      <c r="R192" s="406"/>
      <c r="S192" s="406"/>
      <c r="T192" s="406"/>
      <c r="U192" s="406"/>
      <c r="V192" s="406"/>
      <c r="W192" s="406"/>
      <c r="X192" s="406"/>
      <c r="Y192" s="406"/>
      <c r="Z192" s="406"/>
      <c r="AA192" s="406"/>
      <c r="AB192" s="406"/>
      <c r="AC192" s="406"/>
      <c r="AD192" s="406"/>
      <c r="AE192" s="406"/>
    </row>
    <row r="193" ht="15" spans="1:31">
      <c r="A193" s="674" t="s">
        <v>1</v>
      </c>
      <c r="B193" s="674"/>
      <c r="C193" s="1026" t="s">
        <v>185</v>
      </c>
      <c r="D193" s="1191"/>
      <c r="E193" s="1191"/>
      <c r="F193" s="1191"/>
      <c r="G193" s="1191"/>
      <c r="H193" s="1191"/>
      <c r="I193" s="1191"/>
      <c r="J193" s="1191"/>
      <c r="K193" s="1191"/>
      <c r="L193" s="674" t="s">
        <v>3</v>
      </c>
      <c r="M193" s="674"/>
      <c r="N193" s="674"/>
      <c r="O193" s="674"/>
      <c r="P193" s="674"/>
      <c r="Q193" s="674"/>
      <c r="R193" s="674"/>
      <c r="S193" s="674"/>
      <c r="T193" s="674"/>
      <c r="U193" s="674"/>
      <c r="V193" s="1258"/>
      <c r="W193" s="1258"/>
      <c r="X193" s="1258"/>
      <c r="Y193" s="1258"/>
      <c r="Z193" s="1258"/>
      <c r="AA193" s="827" t="s">
        <v>4</v>
      </c>
      <c r="AB193" s="827"/>
      <c r="AC193" s="827">
        <v>43588</v>
      </c>
      <c r="AD193" s="827"/>
      <c r="AE193" s="827"/>
    </row>
    <row r="194" ht="28.5" spans="1:31">
      <c r="A194" s="1192"/>
      <c r="B194" s="739" t="s">
        <v>5</v>
      </c>
      <c r="C194" s="740"/>
      <c r="D194" s="740"/>
      <c r="E194" s="740"/>
      <c r="F194" s="741"/>
      <c r="G194" s="742" t="s">
        <v>6</v>
      </c>
      <c r="H194" s="743"/>
      <c r="I194" s="743"/>
      <c r="J194" s="743"/>
      <c r="K194" s="787"/>
      <c r="L194" s="788" t="s">
        <v>7</v>
      </c>
      <c r="M194" s="789"/>
      <c r="N194" s="789"/>
      <c r="O194" s="789"/>
      <c r="P194" s="790"/>
      <c r="Q194" s="811" t="s">
        <v>8</v>
      </c>
      <c r="R194" s="812"/>
      <c r="S194" s="812"/>
      <c r="T194" s="812"/>
      <c r="U194" s="813"/>
      <c r="V194" s="814" t="s">
        <v>9</v>
      </c>
      <c r="W194" s="815"/>
      <c r="X194" s="815"/>
      <c r="Y194" s="815"/>
      <c r="Z194" s="838"/>
      <c r="AA194" s="839" t="s">
        <v>10</v>
      </c>
      <c r="AB194" s="840"/>
      <c r="AC194" s="840"/>
      <c r="AD194" s="840"/>
      <c r="AE194" s="841"/>
    </row>
    <row r="195" ht="29.25" spans="1:31">
      <c r="A195" s="1193"/>
      <c r="B195" s="1194" t="s">
        <v>11</v>
      </c>
      <c r="C195" s="1195" t="s">
        <v>12</v>
      </c>
      <c r="D195" s="1195" t="s">
        <v>13</v>
      </c>
      <c r="E195" s="1195" t="s">
        <v>14</v>
      </c>
      <c r="F195" s="1196" t="s">
        <v>15</v>
      </c>
      <c r="G195" s="1197" t="s">
        <v>11</v>
      </c>
      <c r="H195" s="1195" t="s">
        <v>12</v>
      </c>
      <c r="I195" s="1195" t="s">
        <v>13</v>
      </c>
      <c r="J195" s="1195" t="s">
        <v>14</v>
      </c>
      <c r="K195" s="1196" t="s">
        <v>15</v>
      </c>
      <c r="L195" s="1197" t="s">
        <v>11</v>
      </c>
      <c r="M195" s="1195" t="s">
        <v>12</v>
      </c>
      <c r="N195" s="1195" t="s">
        <v>13</v>
      </c>
      <c r="O195" s="1195" t="s">
        <v>14</v>
      </c>
      <c r="P195" s="1196" t="s">
        <v>15</v>
      </c>
      <c r="Q195" s="1197" t="s">
        <v>11</v>
      </c>
      <c r="R195" s="1195" t="s">
        <v>12</v>
      </c>
      <c r="S195" s="1195" t="s">
        <v>13</v>
      </c>
      <c r="T195" s="1195" t="s">
        <v>14</v>
      </c>
      <c r="U195" s="1196" t="s">
        <v>15</v>
      </c>
      <c r="V195" s="1197" t="s">
        <v>11</v>
      </c>
      <c r="W195" s="1195" t="s">
        <v>12</v>
      </c>
      <c r="X195" s="1195" t="s">
        <v>13</v>
      </c>
      <c r="Y195" s="1195" t="s">
        <v>14</v>
      </c>
      <c r="Z195" s="1196" t="s">
        <v>15</v>
      </c>
      <c r="AA195" s="1197" t="s">
        <v>11</v>
      </c>
      <c r="AB195" s="1195" t="s">
        <v>12</v>
      </c>
      <c r="AC195" s="1195" t="s">
        <v>13</v>
      </c>
      <c r="AD195" s="1195" t="s">
        <v>14</v>
      </c>
      <c r="AE195" s="1196" t="s">
        <v>15</v>
      </c>
    </row>
    <row r="196" spans="1:31">
      <c r="A196" s="563"/>
      <c r="B196" s="1198"/>
      <c r="C196" s="518"/>
      <c r="D196" s="518"/>
      <c r="E196" s="518"/>
      <c r="F196" s="518"/>
      <c r="G196" s="1199"/>
      <c r="H196" s="518"/>
      <c r="I196" s="518"/>
      <c r="J196" s="518"/>
      <c r="K196" s="518"/>
      <c r="L196" s="1199"/>
      <c r="M196" s="518"/>
      <c r="N196" s="518"/>
      <c r="O196" s="518"/>
      <c r="P196" s="518"/>
      <c r="Q196" s="1198"/>
      <c r="R196" s="518"/>
      <c r="S196" s="518"/>
      <c r="T196" s="518"/>
      <c r="U196" s="518"/>
      <c r="V196" s="1199"/>
      <c r="W196" s="518"/>
      <c r="X196" s="518"/>
      <c r="Y196" s="518"/>
      <c r="Z196" s="518"/>
      <c r="AA196" s="1199"/>
      <c r="AB196" s="518"/>
      <c r="AC196" s="518"/>
      <c r="AD196" s="518"/>
      <c r="AE196" s="1278"/>
    </row>
    <row r="197" spans="1:31">
      <c r="A197" s="563" t="s">
        <v>186</v>
      </c>
      <c r="B197" s="1198">
        <v>1140</v>
      </c>
      <c r="C197" s="518"/>
      <c r="D197" s="518">
        <v>14719</v>
      </c>
      <c r="E197" s="518"/>
      <c r="F197" s="518">
        <v>101485</v>
      </c>
      <c r="G197" s="1199">
        <v>880</v>
      </c>
      <c r="H197" s="518"/>
      <c r="I197" s="110">
        <v>11460</v>
      </c>
      <c r="J197" s="518"/>
      <c r="K197" s="518">
        <v>79132</v>
      </c>
      <c r="L197" s="1199">
        <v>0</v>
      </c>
      <c r="M197" s="518"/>
      <c r="N197" s="110">
        <v>0</v>
      </c>
      <c r="O197" s="518"/>
      <c r="P197" s="518">
        <v>0</v>
      </c>
      <c r="Q197" s="1198">
        <v>260</v>
      </c>
      <c r="R197" s="518"/>
      <c r="S197" s="110">
        <v>3259</v>
      </c>
      <c r="T197" s="518"/>
      <c r="U197" s="1259">
        <v>22353</v>
      </c>
      <c r="V197" s="1199"/>
      <c r="W197" s="518"/>
      <c r="X197" s="518"/>
      <c r="Y197" s="518"/>
      <c r="Z197" s="518"/>
      <c r="AA197" s="1199">
        <v>533</v>
      </c>
      <c r="AB197" s="518"/>
      <c r="AC197" s="110">
        <v>6808</v>
      </c>
      <c r="AD197" s="518"/>
      <c r="AE197" s="518">
        <v>95847</v>
      </c>
    </row>
    <row r="198" spans="1:31">
      <c r="A198" s="563" t="s">
        <v>187</v>
      </c>
      <c r="B198" s="876"/>
      <c r="C198" s="1200"/>
      <c r="D198" s="1201"/>
      <c r="E198" s="431"/>
      <c r="F198" s="431"/>
      <c r="G198" s="876"/>
      <c r="H198" s="431"/>
      <c r="I198" s="431"/>
      <c r="J198" s="431"/>
      <c r="K198" s="1226"/>
      <c r="L198" s="876"/>
      <c r="M198" s="431"/>
      <c r="N198" s="431"/>
      <c r="O198" s="431"/>
      <c r="P198" s="431"/>
      <c r="Q198" s="876"/>
      <c r="R198" s="431"/>
      <c r="S198" s="431"/>
      <c r="T198" s="431"/>
      <c r="U198" s="431"/>
      <c r="V198" s="1260"/>
      <c r="W198" s="695"/>
      <c r="X198" s="695"/>
      <c r="Y198" s="695"/>
      <c r="Z198" s="695"/>
      <c r="AA198" s="1260"/>
      <c r="AB198" s="695"/>
      <c r="AC198" s="695"/>
      <c r="AD198" s="695"/>
      <c r="AE198" s="695"/>
    </row>
    <row r="199" ht="24" spans="1:37">
      <c r="A199" s="406" t="s">
        <v>22</v>
      </c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  <c r="U199" s="406"/>
      <c r="V199" s="406"/>
      <c r="W199" s="406"/>
      <c r="X199" s="406"/>
      <c r="Y199" s="406"/>
      <c r="Z199" s="406"/>
      <c r="AA199" s="406"/>
      <c r="AB199" s="406"/>
      <c r="AC199" s="406"/>
      <c r="AD199" s="406"/>
      <c r="AE199" s="406"/>
      <c r="AF199" s="406"/>
      <c r="AG199" s="406"/>
      <c r="AH199" s="406"/>
      <c r="AI199" s="406"/>
      <c r="AJ199" s="406"/>
      <c r="AK199" s="406"/>
    </row>
    <row r="200" spans="1:37">
      <c r="A200" s="776" t="s">
        <v>1</v>
      </c>
      <c r="B200" s="1202"/>
      <c r="C200" s="1202" t="s">
        <v>185</v>
      </c>
      <c r="D200" s="776"/>
      <c r="E200" s="776"/>
      <c r="F200" s="776"/>
      <c r="G200" s="776"/>
      <c r="H200" s="776"/>
      <c r="I200" s="776"/>
      <c r="J200" s="776"/>
      <c r="K200" s="776"/>
      <c r="L200" s="776"/>
      <c r="M200" s="1242"/>
      <c r="N200" s="1242"/>
      <c r="O200" s="776" t="s">
        <v>23</v>
      </c>
      <c r="P200" s="776"/>
      <c r="Q200" s="776"/>
      <c r="R200" s="776"/>
      <c r="S200" s="776"/>
      <c r="T200" s="776"/>
      <c r="U200" s="776"/>
      <c r="V200" s="776"/>
      <c r="W200" s="776"/>
      <c r="X200" s="776"/>
      <c r="Y200" s="110"/>
      <c r="Z200" s="110"/>
      <c r="AA200" s="110"/>
      <c r="AB200" s="110"/>
      <c r="AC200" s="110"/>
      <c r="AD200" s="110"/>
      <c r="AE200" s="776" t="s">
        <v>4</v>
      </c>
      <c r="AF200" s="776"/>
      <c r="AG200" s="776"/>
      <c r="AH200" s="1289">
        <v>43588</v>
      </c>
      <c r="AI200" s="1289"/>
      <c r="AJ200" s="1289"/>
      <c r="AK200" s="1289"/>
    </row>
    <row r="201" ht="40.5" spans="1:37">
      <c r="A201" s="695"/>
      <c r="B201" s="696" t="s">
        <v>25</v>
      </c>
      <c r="C201" s="697"/>
      <c r="D201" s="697"/>
      <c r="E201" s="697"/>
      <c r="F201" s="697"/>
      <c r="G201" s="696" t="s">
        <v>28</v>
      </c>
      <c r="H201" s="697"/>
      <c r="I201" s="697"/>
      <c r="J201" s="697"/>
      <c r="K201" s="777"/>
      <c r="L201" s="1243" t="s">
        <v>29</v>
      </c>
      <c r="M201" s="1244"/>
      <c r="N201" s="1244"/>
      <c r="O201" s="1245"/>
      <c r="P201" s="696" t="s">
        <v>30</v>
      </c>
      <c r="Q201" s="697"/>
      <c r="R201" s="697"/>
      <c r="S201" s="696" t="s">
        <v>31</v>
      </c>
      <c r="T201" s="697"/>
      <c r="U201" s="697"/>
      <c r="V201" s="561" t="s">
        <v>32</v>
      </c>
      <c r="W201" s="561"/>
      <c r="X201" s="561"/>
      <c r="Y201" s="561" t="s">
        <v>33</v>
      </c>
      <c r="Z201" s="561"/>
      <c r="AA201" s="561"/>
      <c r="AB201" s="561" t="s">
        <v>34</v>
      </c>
      <c r="AC201" s="561"/>
      <c r="AD201" s="561"/>
      <c r="AE201" s="561" t="s">
        <v>35</v>
      </c>
      <c r="AF201" s="561"/>
      <c r="AG201" s="561"/>
      <c r="AH201" s="866" t="s">
        <v>54</v>
      </c>
      <c r="AI201" s="867"/>
      <c r="AJ201" s="867"/>
      <c r="AK201" s="868"/>
    </row>
    <row r="202" ht="24" spans="1:37">
      <c r="A202" s="698"/>
      <c r="B202" s="196" t="s">
        <v>11</v>
      </c>
      <c r="C202" s="196" t="s">
        <v>37</v>
      </c>
      <c r="D202" s="196" t="s">
        <v>38</v>
      </c>
      <c r="E202" s="413" t="s">
        <v>39</v>
      </c>
      <c r="F202" s="413" t="s">
        <v>40</v>
      </c>
      <c r="G202" s="196" t="s">
        <v>11</v>
      </c>
      <c r="H202" s="196" t="s">
        <v>37</v>
      </c>
      <c r="I202" s="196" t="s">
        <v>38</v>
      </c>
      <c r="J202" s="432" t="s">
        <v>41</v>
      </c>
      <c r="K202" s="432" t="s">
        <v>40</v>
      </c>
      <c r="L202" s="196" t="s">
        <v>11</v>
      </c>
      <c r="M202" s="196" t="s">
        <v>37</v>
      </c>
      <c r="N202" s="196" t="s">
        <v>38</v>
      </c>
      <c r="O202" s="432" t="s">
        <v>41</v>
      </c>
      <c r="P202" s="196" t="s">
        <v>11</v>
      </c>
      <c r="Q202" s="196" t="s">
        <v>37</v>
      </c>
      <c r="R202" s="196" t="s">
        <v>38</v>
      </c>
      <c r="S202" s="432" t="s">
        <v>11</v>
      </c>
      <c r="T202" s="196" t="s">
        <v>37</v>
      </c>
      <c r="U202" s="196" t="s">
        <v>38</v>
      </c>
      <c r="V202" s="196" t="s">
        <v>11</v>
      </c>
      <c r="W202" s="196" t="s">
        <v>37</v>
      </c>
      <c r="X202" s="196" t="s">
        <v>38</v>
      </c>
      <c r="Y202" s="196" t="s">
        <v>11</v>
      </c>
      <c r="Z202" s="196" t="s">
        <v>37</v>
      </c>
      <c r="AA202" s="196" t="s">
        <v>38</v>
      </c>
      <c r="AB202" s="196" t="s">
        <v>11</v>
      </c>
      <c r="AC202" s="196" t="s">
        <v>37</v>
      </c>
      <c r="AD202" s="196" t="s">
        <v>38</v>
      </c>
      <c r="AE202" s="196" t="s">
        <v>11</v>
      </c>
      <c r="AF202" s="196" t="s">
        <v>37</v>
      </c>
      <c r="AG202" s="196" t="s">
        <v>38</v>
      </c>
      <c r="AH202" s="432" t="s">
        <v>42</v>
      </c>
      <c r="AI202" s="432" t="s">
        <v>43</v>
      </c>
      <c r="AJ202" s="432" t="s">
        <v>44</v>
      </c>
      <c r="AK202" s="432" t="s">
        <v>45</v>
      </c>
    </row>
    <row r="203" spans="1:37">
      <c r="A203" s="698"/>
      <c r="B203" s="817"/>
      <c r="C203" s="196"/>
      <c r="D203" s="196"/>
      <c r="E203" s="413"/>
      <c r="F203" s="413"/>
      <c r="G203" s="817"/>
      <c r="H203" s="196"/>
      <c r="I203" s="196"/>
      <c r="J203" s="80"/>
      <c r="K203" s="413"/>
      <c r="L203" s="817"/>
      <c r="M203" s="196"/>
      <c r="N203" s="196"/>
      <c r="O203" s="413"/>
      <c r="P203" s="817"/>
      <c r="Q203" s="196"/>
      <c r="R203" s="413"/>
      <c r="S203" s="876"/>
      <c r="T203" s="196"/>
      <c r="U203" s="196"/>
      <c r="V203" s="1261"/>
      <c r="W203" s="200"/>
      <c r="X203" s="200"/>
      <c r="Y203" s="1261"/>
      <c r="Z203" s="200"/>
      <c r="AA203" s="200"/>
      <c r="AB203" s="1261"/>
      <c r="AC203" s="200"/>
      <c r="AD203" s="200"/>
      <c r="AE203" s="1261"/>
      <c r="AF203" s="200"/>
      <c r="AG203" s="200"/>
      <c r="AH203" s="415"/>
      <c r="AI203" s="415"/>
      <c r="AJ203" s="415"/>
      <c r="AK203" s="415"/>
    </row>
    <row r="204" spans="1:37">
      <c r="A204" s="698" t="s">
        <v>186</v>
      </c>
      <c r="B204" s="1203">
        <v>0</v>
      </c>
      <c r="C204" s="196">
        <v>0</v>
      </c>
      <c r="D204" s="196">
        <v>0</v>
      </c>
      <c r="E204" s="413">
        <v>0</v>
      </c>
      <c r="F204" s="413">
        <v>0</v>
      </c>
      <c r="G204" s="817">
        <v>0</v>
      </c>
      <c r="H204" s="196">
        <v>0</v>
      </c>
      <c r="I204" s="196">
        <v>0</v>
      </c>
      <c r="J204" s="413">
        <v>0</v>
      </c>
      <c r="K204" s="413">
        <v>569</v>
      </c>
      <c r="L204" s="817">
        <v>294</v>
      </c>
      <c r="M204" s="104">
        <v>3558</v>
      </c>
      <c r="N204" s="196">
        <v>14966</v>
      </c>
      <c r="O204" s="413">
        <v>3480</v>
      </c>
      <c r="P204" s="817"/>
      <c r="Q204" s="196"/>
      <c r="R204" s="413"/>
      <c r="S204" s="876">
        <v>419</v>
      </c>
      <c r="T204" s="196">
        <v>4889</v>
      </c>
      <c r="U204" s="196">
        <v>41940</v>
      </c>
      <c r="V204" s="1261"/>
      <c r="W204" s="200"/>
      <c r="X204" s="200"/>
      <c r="Y204" s="1261">
        <v>1129</v>
      </c>
      <c r="Z204" s="200"/>
      <c r="AA204" s="200"/>
      <c r="AB204" s="1279"/>
      <c r="AC204" s="200"/>
      <c r="AD204" s="200"/>
      <c r="AE204" s="1261"/>
      <c r="AF204" s="200"/>
      <c r="AG204" s="200"/>
      <c r="AH204" s="415"/>
      <c r="AI204" s="415"/>
      <c r="AJ204" s="415"/>
      <c r="AK204" s="1172"/>
    </row>
    <row r="205" spans="1:37">
      <c r="A205" s="196" t="s">
        <v>187</v>
      </c>
      <c r="B205" s="817"/>
      <c r="C205" s="196"/>
      <c r="D205" s="196"/>
      <c r="E205" s="196"/>
      <c r="F205" s="196"/>
      <c r="G205" s="817"/>
      <c r="H205" s="196"/>
      <c r="I205" s="196"/>
      <c r="J205" s="196"/>
      <c r="K205" s="196"/>
      <c r="L205" s="817"/>
      <c r="M205" s="196"/>
      <c r="N205" s="196"/>
      <c r="O205" s="196"/>
      <c r="P205" s="817"/>
      <c r="Q205" s="196"/>
      <c r="R205" s="196"/>
      <c r="S205" s="876"/>
      <c r="T205" s="196"/>
      <c r="U205" s="196"/>
      <c r="V205" s="1261"/>
      <c r="W205" s="196"/>
      <c r="X205" s="196"/>
      <c r="Y205" s="1261"/>
      <c r="Z205" s="196"/>
      <c r="AA205" s="196"/>
      <c r="AB205" s="1261"/>
      <c r="AC205" s="196"/>
      <c r="AD205" s="196"/>
      <c r="AE205" s="1261"/>
      <c r="AF205" s="196"/>
      <c r="AG205" s="196"/>
      <c r="AH205" s="196"/>
      <c r="AI205" s="196"/>
      <c r="AJ205" s="476"/>
      <c r="AK205" s="196"/>
    </row>
    <row r="206" ht="32.1" customHeight="1" spans="1:37">
      <c r="A206" s="104"/>
      <c r="B206" s="1204"/>
      <c r="C206" s="1204"/>
      <c r="D206" s="1204"/>
      <c r="E206" s="1204"/>
      <c r="F206" s="1205"/>
      <c r="G206" s="1205"/>
      <c r="H206" s="1205"/>
      <c r="I206" s="1205"/>
      <c r="J206" s="1205"/>
      <c r="K206" s="104"/>
      <c r="L206" s="1246"/>
      <c r="M206" s="104"/>
      <c r="N206" s="104"/>
      <c r="O206" s="104"/>
      <c r="P206" s="1246"/>
      <c r="Q206" s="104"/>
      <c r="R206" s="104"/>
      <c r="S206" s="1262"/>
      <c r="T206" s="104"/>
      <c r="U206" s="104"/>
      <c r="V206" s="1263"/>
      <c r="W206" s="104"/>
      <c r="X206" s="104"/>
      <c r="Y206" s="1263"/>
      <c r="Z206" s="104"/>
      <c r="AA206" s="104"/>
      <c r="AB206" s="1263"/>
      <c r="AC206" s="104"/>
      <c r="AD206" s="104"/>
      <c r="AE206" s="1263"/>
      <c r="AF206" s="104"/>
      <c r="AG206" s="104"/>
      <c r="AH206" s="104"/>
      <c r="AI206" s="104"/>
      <c r="AJ206" s="104"/>
      <c r="AK206" s="104"/>
    </row>
    <row r="207" ht="15.75" spans="1:37">
      <c r="A207" s="1206" t="s">
        <v>188</v>
      </c>
      <c r="B207" s="1207"/>
      <c r="C207" s="1208"/>
      <c r="D207" s="1206" t="s">
        <v>55</v>
      </c>
      <c r="E207" s="1208"/>
      <c r="F207" s="1205"/>
      <c r="G207" s="1205"/>
      <c r="H207" s="1205"/>
      <c r="I207" s="1205"/>
      <c r="J207" s="1205"/>
      <c r="K207" s="104"/>
      <c r="L207" s="1246"/>
      <c r="M207" s="104"/>
      <c r="N207" s="104"/>
      <c r="O207" s="104"/>
      <c r="P207" s="1246"/>
      <c r="Q207" s="104"/>
      <c r="R207" s="104"/>
      <c r="S207" s="1262"/>
      <c r="T207" s="104"/>
      <c r="U207" s="104"/>
      <c r="V207" s="1263"/>
      <c r="W207" s="104"/>
      <c r="X207" s="104"/>
      <c r="Y207" s="1263"/>
      <c r="Z207" s="104"/>
      <c r="AA207" s="104"/>
      <c r="AB207" s="1263"/>
      <c r="AC207" s="104"/>
      <c r="AD207" s="104"/>
      <c r="AE207" s="1263"/>
      <c r="AF207" s="104"/>
      <c r="AG207" s="104"/>
      <c r="AH207" s="104"/>
      <c r="AI207" s="104"/>
      <c r="AJ207" s="104"/>
      <c r="AK207" s="104"/>
    </row>
    <row r="208" ht="25.5" spans="1:37">
      <c r="A208" s="1209" t="s">
        <v>42</v>
      </c>
      <c r="B208" s="1209" t="s">
        <v>43</v>
      </c>
      <c r="C208" s="1209" t="s">
        <v>44</v>
      </c>
      <c r="D208" s="1210" t="s">
        <v>44</v>
      </c>
      <c r="E208" s="1210" t="s">
        <v>45</v>
      </c>
      <c r="F208" s="1205"/>
      <c r="G208" s="1205"/>
      <c r="H208" s="1205"/>
      <c r="I208" s="1205"/>
      <c r="J208" s="1205"/>
      <c r="K208" s="104"/>
      <c r="L208" s="1246"/>
      <c r="M208" s="104"/>
      <c r="N208" s="104"/>
      <c r="O208" s="104"/>
      <c r="P208" s="1246"/>
      <c r="Q208" s="104"/>
      <c r="R208" s="104"/>
      <c r="S208" s="1262"/>
      <c r="T208" s="104"/>
      <c r="U208" s="104"/>
      <c r="V208" s="1263"/>
      <c r="W208" s="104"/>
      <c r="X208" s="104"/>
      <c r="Y208" s="1263"/>
      <c r="Z208" s="104"/>
      <c r="AA208" s="104"/>
      <c r="AB208" s="1263"/>
      <c r="AC208" s="104"/>
      <c r="AD208" s="104"/>
      <c r="AE208" s="1263"/>
      <c r="AF208" s="104"/>
      <c r="AG208" s="104"/>
      <c r="AH208" s="104"/>
      <c r="AI208" s="104"/>
      <c r="AJ208" s="104"/>
      <c r="AK208" s="104"/>
    </row>
    <row r="209" ht="15.75" spans="1:37">
      <c r="A209" s="1211">
        <v>1000</v>
      </c>
      <c r="B209" s="1211">
        <v>700</v>
      </c>
      <c r="C209" s="1211">
        <v>2550</v>
      </c>
      <c r="D209" s="1211">
        <v>2550</v>
      </c>
      <c r="E209" s="1211"/>
      <c r="F209" s="1205"/>
      <c r="G209" s="1205"/>
      <c r="H209" s="1205"/>
      <c r="I209" s="1205"/>
      <c r="J209" s="1205"/>
      <c r="K209" s="104"/>
      <c r="L209" s="1246"/>
      <c r="M209" s="104"/>
      <c r="N209" s="104"/>
      <c r="O209" s="104"/>
      <c r="P209" s="1246"/>
      <c r="Q209" s="104"/>
      <c r="R209" s="104"/>
      <c r="S209" s="1262"/>
      <c r="T209" s="104"/>
      <c r="U209" s="104"/>
      <c r="V209" s="1263"/>
      <c r="W209" s="104"/>
      <c r="X209" s="104"/>
      <c r="Y209" s="1263"/>
      <c r="Z209" s="104"/>
      <c r="AA209" s="104"/>
      <c r="AB209" s="1263"/>
      <c r="AC209" s="104"/>
      <c r="AD209" s="104"/>
      <c r="AE209" s="1263"/>
      <c r="AF209" s="104"/>
      <c r="AG209" s="104"/>
      <c r="AH209" s="104"/>
      <c r="AI209" s="104"/>
      <c r="AJ209" s="104"/>
      <c r="AK209" s="104"/>
    </row>
    <row r="210" ht="15.75" spans="1:37">
      <c r="A210" s="1208"/>
      <c r="B210" s="1211"/>
      <c r="C210" s="1208"/>
      <c r="D210" s="1211"/>
      <c r="E210" s="1211"/>
      <c r="F210" s="1205"/>
      <c r="G210" s="1205"/>
      <c r="H210" s="1205"/>
      <c r="I210" s="1205"/>
      <c r="J210" s="1205"/>
      <c r="K210" s="104"/>
      <c r="L210" s="1246"/>
      <c r="M210" s="104"/>
      <c r="N210" s="104"/>
      <c r="O210" s="104"/>
      <c r="P210" s="1246"/>
      <c r="Q210" s="104"/>
      <c r="R210" s="104"/>
      <c r="S210" s="1262"/>
      <c r="T210" s="104"/>
      <c r="U210" s="104"/>
      <c r="V210" s="1263"/>
      <c r="W210" s="104"/>
      <c r="X210" s="104"/>
      <c r="Y210" s="1263"/>
      <c r="Z210" s="104"/>
      <c r="AA210" s="104"/>
      <c r="AB210" s="1263"/>
      <c r="AC210" s="104"/>
      <c r="AD210" s="104"/>
      <c r="AE210" s="1263"/>
      <c r="AF210" s="104"/>
      <c r="AG210" s="104"/>
      <c r="AH210" s="104"/>
      <c r="AI210" s="104"/>
      <c r="AJ210" s="104"/>
      <c r="AK210" s="104"/>
    </row>
    <row r="211" ht="15.75" spans="1:37">
      <c r="A211" s="1208"/>
      <c r="B211" s="1211"/>
      <c r="C211" s="1208"/>
      <c r="D211" s="1211"/>
      <c r="E211" s="1211"/>
      <c r="F211" s="1205"/>
      <c r="G211" s="1205"/>
      <c r="H211" s="1205"/>
      <c r="I211" s="1205"/>
      <c r="J211" s="1205"/>
      <c r="K211" s="104"/>
      <c r="L211" s="1246"/>
      <c r="M211" s="104"/>
      <c r="N211" s="104"/>
      <c r="O211" s="104"/>
      <c r="P211" s="1246"/>
      <c r="Q211" s="104"/>
      <c r="R211" s="104"/>
      <c r="S211" s="1262"/>
      <c r="T211" s="104"/>
      <c r="U211" s="104"/>
      <c r="V211" s="1263"/>
      <c r="W211" s="104"/>
      <c r="X211" s="104"/>
      <c r="Y211" s="1263"/>
      <c r="Z211" s="104"/>
      <c r="AA211" s="104"/>
      <c r="AB211" s="1263"/>
      <c r="AC211" s="104"/>
      <c r="AD211" s="104"/>
      <c r="AE211" s="1263"/>
      <c r="AF211" s="104"/>
      <c r="AG211" s="104"/>
      <c r="AH211" s="104"/>
      <c r="AI211" s="104"/>
      <c r="AJ211" s="104"/>
      <c r="AK211" s="104"/>
    </row>
    <row r="212" ht="24.75" spans="1:41">
      <c r="A212" s="111"/>
      <c r="B212" s="406" t="s">
        <v>0</v>
      </c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406"/>
      <c r="Z212" s="406"/>
      <c r="AA212" s="406"/>
      <c r="AB212" s="406"/>
      <c r="AC212" s="406"/>
      <c r="AD212" s="406"/>
      <c r="AE212" s="406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</row>
    <row r="213" ht="15" spans="1:41">
      <c r="A213" s="1212" t="s">
        <v>1</v>
      </c>
      <c r="B213" s="1212"/>
      <c r="C213" s="1026" t="s">
        <v>189</v>
      </c>
      <c r="D213" s="1026"/>
      <c r="E213" s="1026"/>
      <c r="F213" s="1026"/>
      <c r="G213" s="1026"/>
      <c r="H213" s="1026"/>
      <c r="I213" s="1026"/>
      <c r="J213" s="1026"/>
      <c r="K213" s="1026"/>
      <c r="L213" s="674" t="s">
        <v>3</v>
      </c>
      <c r="M213" s="703"/>
      <c r="N213" s="703"/>
      <c r="O213" s="703"/>
      <c r="P213" s="703"/>
      <c r="Q213" s="703"/>
      <c r="R213" s="703"/>
      <c r="S213" s="703"/>
      <c r="T213" s="703"/>
      <c r="U213" s="703"/>
      <c r="V213" s="795"/>
      <c r="W213" s="795"/>
      <c r="X213" s="795"/>
      <c r="Y213" s="795"/>
      <c r="Z213" s="795"/>
      <c r="AA213" s="828" t="s">
        <v>4</v>
      </c>
      <c r="AB213" s="828"/>
      <c r="AC213" s="828">
        <v>40991</v>
      </c>
      <c r="AD213" s="828"/>
      <c r="AE213" s="828"/>
      <c r="AF213" s="111"/>
      <c r="AG213" s="111"/>
      <c r="AH213" s="111"/>
      <c r="AI213" s="111"/>
      <c r="AJ213" s="111"/>
      <c r="AK213" s="111" t="s">
        <v>48</v>
      </c>
      <c r="AL213" s="111" t="s">
        <v>48</v>
      </c>
      <c r="AM213" s="1290" t="s">
        <v>48</v>
      </c>
      <c r="AN213" s="1290" t="s">
        <v>48</v>
      </c>
      <c r="AO213" s="111"/>
    </row>
    <row r="214" ht="28.5" spans="1:41">
      <c r="A214" s="738"/>
      <c r="B214" s="739" t="s">
        <v>5</v>
      </c>
      <c r="C214" s="740"/>
      <c r="D214" s="740"/>
      <c r="E214" s="740"/>
      <c r="F214" s="741"/>
      <c r="G214" s="742" t="s">
        <v>6</v>
      </c>
      <c r="H214" s="743"/>
      <c r="I214" s="743"/>
      <c r="J214" s="743"/>
      <c r="K214" s="787"/>
      <c r="L214" s="788" t="s">
        <v>7</v>
      </c>
      <c r="M214" s="789"/>
      <c r="N214" s="789"/>
      <c r="O214" s="789"/>
      <c r="P214" s="790"/>
      <c r="Q214" s="811" t="s">
        <v>8</v>
      </c>
      <c r="R214" s="812"/>
      <c r="S214" s="812"/>
      <c r="T214" s="812"/>
      <c r="U214" s="813"/>
      <c r="V214" s="814" t="s">
        <v>9</v>
      </c>
      <c r="W214" s="815"/>
      <c r="X214" s="815"/>
      <c r="Y214" s="815"/>
      <c r="Z214" s="838"/>
      <c r="AA214" s="839" t="s">
        <v>10</v>
      </c>
      <c r="AB214" s="840"/>
      <c r="AC214" s="840"/>
      <c r="AD214" s="840"/>
      <c r="AE214" s="841"/>
      <c r="AF214" s="1280" t="s">
        <v>190</v>
      </c>
      <c r="AG214" s="1291"/>
      <c r="AH214" s="1291"/>
      <c r="AI214" s="1291"/>
      <c r="AJ214" s="1291"/>
      <c r="AK214" s="1292" t="s">
        <v>191</v>
      </c>
      <c r="AL214" s="1293"/>
      <c r="AM214" s="1293"/>
      <c r="AN214" s="1293"/>
      <c r="AO214" s="1297"/>
    </row>
    <row r="215" ht="29.25" spans="1:41">
      <c r="A215" s="744"/>
      <c r="B215" s="745" t="s">
        <v>11</v>
      </c>
      <c r="C215" s="746" t="s">
        <v>12</v>
      </c>
      <c r="D215" s="746" t="s">
        <v>13</v>
      </c>
      <c r="E215" s="746" t="s">
        <v>14</v>
      </c>
      <c r="F215" s="747" t="s">
        <v>15</v>
      </c>
      <c r="G215" s="748" t="s">
        <v>11</v>
      </c>
      <c r="H215" s="746" t="s">
        <v>12</v>
      </c>
      <c r="I215" s="746" t="s">
        <v>13</v>
      </c>
      <c r="J215" s="746" t="s">
        <v>14</v>
      </c>
      <c r="K215" s="747" t="s">
        <v>15</v>
      </c>
      <c r="L215" s="748" t="s">
        <v>11</v>
      </c>
      <c r="M215" s="746" t="s">
        <v>12</v>
      </c>
      <c r="N215" s="746" t="s">
        <v>13</v>
      </c>
      <c r="O215" s="746" t="s">
        <v>14</v>
      </c>
      <c r="P215" s="747" t="s">
        <v>15</v>
      </c>
      <c r="Q215" s="748" t="s">
        <v>11</v>
      </c>
      <c r="R215" s="746" t="s">
        <v>12</v>
      </c>
      <c r="S215" s="746" t="s">
        <v>13</v>
      </c>
      <c r="T215" s="746" t="s">
        <v>14</v>
      </c>
      <c r="U215" s="747" t="s">
        <v>15</v>
      </c>
      <c r="V215" s="748" t="s">
        <v>11</v>
      </c>
      <c r="W215" s="746" t="s">
        <v>12</v>
      </c>
      <c r="X215" s="746" t="s">
        <v>13</v>
      </c>
      <c r="Y215" s="746" t="s">
        <v>14</v>
      </c>
      <c r="Z215" s="747" t="s">
        <v>15</v>
      </c>
      <c r="AA215" s="748" t="s">
        <v>11</v>
      </c>
      <c r="AB215" s="746" t="s">
        <v>12</v>
      </c>
      <c r="AC215" s="746" t="s">
        <v>13</v>
      </c>
      <c r="AD215" s="746" t="s">
        <v>14</v>
      </c>
      <c r="AE215" s="911" t="s">
        <v>15</v>
      </c>
      <c r="AF215" s="912" t="s">
        <v>11</v>
      </c>
      <c r="AG215" s="910" t="s">
        <v>12</v>
      </c>
      <c r="AH215" s="910" t="s">
        <v>13</v>
      </c>
      <c r="AI215" s="910" t="s">
        <v>14</v>
      </c>
      <c r="AJ215" s="911" t="s">
        <v>15</v>
      </c>
      <c r="AK215" s="748" t="s">
        <v>11</v>
      </c>
      <c r="AL215" s="746" t="s">
        <v>12</v>
      </c>
      <c r="AM215" s="746" t="s">
        <v>13</v>
      </c>
      <c r="AN215" s="746" t="s">
        <v>14</v>
      </c>
      <c r="AO215" s="747" t="s">
        <v>15</v>
      </c>
    </row>
    <row r="216" spans="1:41">
      <c r="A216" s="65"/>
      <c r="B216" s="1213">
        <v>1166</v>
      </c>
      <c r="C216" s="1213"/>
      <c r="D216" s="1213">
        <v>2259.92</v>
      </c>
      <c r="E216" s="1213"/>
      <c r="F216" s="1213">
        <v>92200.92</v>
      </c>
      <c r="G216" s="1214"/>
      <c r="H216" s="1215"/>
      <c r="I216" s="1215"/>
      <c r="J216" s="1215"/>
      <c r="K216" s="1215"/>
      <c r="L216" s="1214"/>
      <c r="M216" s="1215"/>
      <c r="N216" s="1215"/>
      <c r="O216" s="1215"/>
      <c r="P216" s="1215"/>
      <c r="Q216" s="1264">
        <v>1100</v>
      </c>
      <c r="R216" s="897"/>
      <c r="S216" s="1219">
        <v>2132</v>
      </c>
      <c r="T216" s="1264"/>
      <c r="U216" s="1219">
        <v>86982</v>
      </c>
      <c r="V216" s="842"/>
      <c r="W216" s="897"/>
      <c r="X216" s="897"/>
      <c r="Y216" s="897"/>
      <c r="Z216" s="897"/>
      <c r="AA216" s="842"/>
      <c r="AB216" s="897"/>
      <c r="AC216" s="897"/>
      <c r="AD216" s="897"/>
      <c r="AE216" s="710"/>
      <c r="AF216" s="490"/>
      <c r="AG216" s="490"/>
      <c r="AH216" s="490"/>
      <c r="AI216" s="490"/>
      <c r="AJ216" s="490"/>
      <c r="AK216" s="1294"/>
      <c r="AL216" s="542"/>
      <c r="AM216" s="543"/>
      <c r="AN216" s="563" t="s">
        <v>48</v>
      </c>
      <c r="AO216" s="543"/>
    </row>
    <row r="217" ht="24" spans="1:31">
      <c r="A217" s="406" t="s">
        <v>22</v>
      </c>
      <c r="B217" s="406"/>
      <c r="C217" s="406"/>
      <c r="D217" s="406"/>
      <c r="E217" s="406"/>
      <c r="F217" s="406"/>
      <c r="G217" s="406"/>
      <c r="H217" s="406"/>
      <c r="I217" s="406"/>
      <c r="J217" s="406"/>
      <c r="K217" s="406"/>
      <c r="L217" s="406"/>
      <c r="M217" s="406"/>
      <c r="N217" s="406"/>
      <c r="O217" s="406"/>
      <c r="P217" s="406"/>
      <c r="Q217" s="406"/>
      <c r="R217" s="406"/>
      <c r="S217" s="406"/>
      <c r="T217" s="406"/>
      <c r="U217" s="406"/>
      <c r="V217" s="406"/>
      <c r="W217" s="406"/>
      <c r="X217" s="406"/>
      <c r="Y217" s="406"/>
      <c r="Z217" s="406"/>
      <c r="AA217" s="406"/>
      <c r="AB217" s="406"/>
      <c r="AC217" s="406"/>
      <c r="AD217" s="406"/>
      <c r="AE217" s="406"/>
    </row>
    <row r="218" spans="1:31">
      <c r="A218" s="776" t="s">
        <v>1</v>
      </c>
      <c r="B218" s="497"/>
      <c r="C218" s="1202" t="s">
        <v>189</v>
      </c>
      <c r="D218" s="497"/>
      <c r="E218" s="497"/>
      <c r="F218" s="497"/>
      <c r="G218" s="497"/>
      <c r="H218" s="497"/>
      <c r="I218" s="497"/>
      <c r="J218" s="497"/>
      <c r="K218" s="497"/>
      <c r="L218" s="497"/>
      <c r="M218" s="497"/>
      <c r="N218" s="497"/>
      <c r="O218" s="756"/>
      <c r="P218" s="776" t="s">
        <v>23</v>
      </c>
      <c r="Q218" s="497"/>
      <c r="R218" s="497"/>
      <c r="S218" s="497"/>
      <c r="T218" s="497"/>
      <c r="U218" s="497"/>
      <c r="V218" s="497"/>
      <c r="W218" s="756"/>
      <c r="X218" s="756"/>
      <c r="Y218" s="756"/>
      <c r="Z218" s="497" t="s">
        <v>4</v>
      </c>
      <c r="AA218" s="497"/>
      <c r="AB218" s="1281">
        <v>43590</v>
      </c>
      <c r="AC218" s="497"/>
      <c r="AD218" s="497"/>
      <c r="AE218" s="497"/>
    </row>
    <row r="219" spans="1:31">
      <c r="A219" s="490"/>
      <c r="B219" s="1216" t="s">
        <v>154</v>
      </c>
      <c r="C219" s="1217"/>
      <c r="D219" s="1217"/>
      <c r="E219" s="1217"/>
      <c r="F219" s="1218"/>
      <c r="G219" s="1218"/>
      <c r="H219" s="1218"/>
      <c r="I219" s="1218"/>
      <c r="J219" s="1218"/>
      <c r="K219" s="1218"/>
      <c r="L219" s="1218"/>
      <c r="M219" s="1218"/>
      <c r="N219" s="560" t="s">
        <v>191</v>
      </c>
      <c r="O219" s="560"/>
      <c r="P219" s="560"/>
      <c r="Q219" s="560"/>
      <c r="R219" s="560"/>
      <c r="S219" s="1265" t="s">
        <v>192</v>
      </c>
      <c r="T219" s="1265"/>
      <c r="U219" s="1265"/>
      <c r="V219" s="1265" t="s">
        <v>193</v>
      </c>
      <c r="W219" s="1265"/>
      <c r="X219" s="1265"/>
      <c r="Y219" s="1265" t="s">
        <v>194</v>
      </c>
      <c r="Z219" s="1265"/>
      <c r="AA219" s="1265"/>
      <c r="AB219" s="1282" t="s">
        <v>87</v>
      </c>
      <c r="AC219" s="1282"/>
      <c r="AD219" s="1282"/>
      <c r="AE219" s="1282"/>
    </row>
    <row r="220" spans="1:31">
      <c r="A220" s="490"/>
      <c r="B220" s="431" t="s">
        <v>11</v>
      </c>
      <c r="C220" s="431" t="s">
        <v>37</v>
      </c>
      <c r="D220" s="431" t="s">
        <v>38</v>
      </c>
      <c r="E220" s="431" t="s">
        <v>195</v>
      </c>
      <c r="F220" s="431" t="s">
        <v>40</v>
      </c>
      <c r="G220" s="431"/>
      <c r="H220" s="431"/>
      <c r="I220" s="431"/>
      <c r="J220" s="431"/>
      <c r="K220" s="431"/>
      <c r="L220" s="431"/>
      <c r="M220" s="431"/>
      <c r="N220" s="431" t="s">
        <v>11</v>
      </c>
      <c r="O220" s="431" t="s">
        <v>37</v>
      </c>
      <c r="P220" s="431" t="s">
        <v>38</v>
      </c>
      <c r="Q220" s="431" t="s">
        <v>195</v>
      </c>
      <c r="R220" s="431" t="s">
        <v>40</v>
      </c>
      <c r="S220" s="431" t="s">
        <v>11</v>
      </c>
      <c r="T220" s="431" t="s">
        <v>37</v>
      </c>
      <c r="U220" s="431" t="s">
        <v>38</v>
      </c>
      <c r="V220" s="431" t="s">
        <v>11</v>
      </c>
      <c r="W220" s="431" t="s">
        <v>37</v>
      </c>
      <c r="X220" s="431" t="s">
        <v>38</v>
      </c>
      <c r="Y220" s="431" t="s">
        <v>11</v>
      </c>
      <c r="Z220" s="431" t="s">
        <v>37</v>
      </c>
      <c r="AA220" s="431" t="s">
        <v>38</v>
      </c>
      <c r="AB220" s="1226" t="s">
        <v>178</v>
      </c>
      <c r="AC220" s="431" t="s">
        <v>57</v>
      </c>
      <c r="AD220" s="1226" t="s">
        <v>180</v>
      </c>
      <c r="AE220" s="431" t="s">
        <v>57</v>
      </c>
    </row>
    <row r="221" spans="1:40">
      <c r="A221" s="76" t="s">
        <v>21</v>
      </c>
      <c r="B221" s="1219">
        <v>919</v>
      </c>
      <c r="C221" s="1219">
        <v>1019</v>
      </c>
      <c r="D221" s="1219">
        <v>70629</v>
      </c>
      <c r="E221" s="76">
        <v>2120</v>
      </c>
      <c r="F221" s="93">
        <v>2245</v>
      </c>
      <c r="G221" s="76"/>
      <c r="H221" s="76"/>
      <c r="I221" s="76"/>
      <c r="J221" s="76"/>
      <c r="K221" s="76"/>
      <c r="L221" s="76"/>
      <c r="M221" s="76"/>
      <c r="N221" s="991"/>
      <c r="O221" s="991"/>
      <c r="P221" s="991"/>
      <c r="Q221" s="991"/>
      <c r="R221" s="991"/>
      <c r="S221" s="991"/>
      <c r="T221" s="85"/>
      <c r="U221" s="1266"/>
      <c r="V221" s="991"/>
      <c r="W221" s="85"/>
      <c r="X221" s="85"/>
      <c r="Y221" s="85">
        <v>1607</v>
      </c>
      <c r="Z221" s="85">
        <v>1790</v>
      </c>
      <c r="AA221" s="85">
        <v>1550</v>
      </c>
      <c r="AB221" s="85"/>
      <c r="AC221" s="85"/>
      <c r="AD221" s="85">
        <v>9700</v>
      </c>
      <c r="AE221" s="1219">
        <v>1768</v>
      </c>
      <c r="AN221" t="s">
        <v>48</v>
      </c>
    </row>
    <row r="222" ht="15" spans="1:31">
      <c r="A222" s="76"/>
      <c r="B222" s="1219"/>
      <c r="C222" s="93"/>
      <c r="D222" s="93">
        <v>7675</v>
      </c>
      <c r="E222" s="76"/>
      <c r="F222" s="1220">
        <v>4060</v>
      </c>
      <c r="G222" s="76"/>
      <c r="H222" s="76"/>
      <c r="I222" s="76"/>
      <c r="J222" s="76"/>
      <c r="K222" s="76"/>
      <c r="L222" s="76"/>
      <c r="M222" s="76"/>
      <c r="N222" s="991"/>
      <c r="O222" s="991"/>
      <c r="P222" s="991"/>
      <c r="Q222" s="991"/>
      <c r="R222" s="991"/>
      <c r="S222" s="490"/>
      <c r="T222" s="85"/>
      <c r="U222" s="85"/>
      <c r="V222" s="991"/>
      <c r="W222" s="85"/>
      <c r="X222" s="85"/>
      <c r="Y222" s="991"/>
      <c r="Z222" s="85"/>
      <c r="AA222" s="85"/>
      <c r="AB222" s="85"/>
      <c r="AC222" s="85"/>
      <c r="AD222" s="111"/>
      <c r="AE222" s="490"/>
    </row>
    <row r="223" customFormat="1" ht="15" spans="1:31">
      <c r="A223" s="1108" t="s">
        <v>196</v>
      </c>
      <c r="B223" s="1219"/>
      <c r="C223" s="93"/>
      <c r="D223" s="93">
        <v>1348</v>
      </c>
      <c r="E223" s="76"/>
      <c r="F223" s="93">
        <v>81</v>
      </c>
      <c r="G223" s="76"/>
      <c r="H223" s="76"/>
      <c r="I223" s="76"/>
      <c r="J223" s="76"/>
      <c r="K223" s="76"/>
      <c r="L223" s="76"/>
      <c r="M223" s="76"/>
      <c r="N223" s="991"/>
      <c r="O223" s="991"/>
      <c r="P223" s="991"/>
      <c r="Q223" s="991"/>
      <c r="R223" s="991"/>
      <c r="S223" s="991"/>
      <c r="T223" s="85"/>
      <c r="U223" s="85"/>
      <c r="V223" s="991"/>
      <c r="W223" s="85"/>
      <c r="X223" s="85"/>
      <c r="Y223" s="991"/>
      <c r="Z223" s="85"/>
      <c r="AA223" s="85"/>
      <c r="AB223" s="85"/>
      <c r="AC223" s="85"/>
      <c r="AD223" s="85"/>
      <c r="AE223" s="85"/>
    </row>
    <row r="224" customFormat="1" ht="15" spans="1:12">
      <c r="A224" s="1110"/>
      <c r="B224" s="1110"/>
      <c r="C224" s="1111"/>
      <c r="D224" s="1111"/>
      <c r="E224" s="1111"/>
      <c r="F224" s="1111"/>
      <c r="G224" s="1111"/>
      <c r="H224" s="1111"/>
      <c r="I224" s="1111"/>
      <c r="J224" s="1109"/>
      <c r="K224" s="1109"/>
      <c r="L224" s="1109"/>
    </row>
    <row r="225" customFormat="1" ht="29.25" spans="1:12">
      <c r="A225" s="1110" t="s">
        <v>113</v>
      </c>
      <c r="B225" s="1111" t="s">
        <v>114</v>
      </c>
      <c r="C225" s="1111"/>
      <c r="D225" s="1111" t="s">
        <v>56</v>
      </c>
      <c r="E225" s="1111" t="s">
        <v>57</v>
      </c>
      <c r="F225" s="1109" t="s">
        <v>115</v>
      </c>
      <c r="G225" s="1109" t="s">
        <v>56</v>
      </c>
      <c r="H225" s="1109" t="s">
        <v>57</v>
      </c>
      <c r="I225" s="1109" t="s">
        <v>115</v>
      </c>
      <c r="J225" s="1109" t="s">
        <v>56</v>
      </c>
      <c r="K225" s="1109" t="s">
        <v>57</v>
      </c>
      <c r="L225" s="1109" t="s">
        <v>115</v>
      </c>
    </row>
    <row r="226" customFormat="1" ht="15" spans="1:12">
      <c r="A226" s="1110" t="s">
        <v>197</v>
      </c>
      <c r="B226" s="1111"/>
      <c r="C226" s="1111" t="s">
        <v>117</v>
      </c>
      <c r="D226" s="14"/>
      <c r="E226" s="1221"/>
      <c r="F226" s="1222"/>
      <c r="G226" s="1223">
        <v>9700</v>
      </c>
      <c r="H226" s="1224">
        <v>1768</v>
      </c>
      <c r="I226" s="1224">
        <v>5.48</v>
      </c>
      <c r="J226" s="1222">
        <v>3000</v>
      </c>
      <c r="K226" s="1224">
        <v>668</v>
      </c>
      <c r="L226" s="1224">
        <v>4.49</v>
      </c>
    </row>
    <row r="227" customFormat="1" ht="15" spans="1:12">
      <c r="A227" s="1110"/>
      <c r="B227" s="1111"/>
      <c r="C227" s="1111"/>
      <c r="D227" s="1111"/>
      <c r="E227" s="1111"/>
      <c r="F227" s="1111"/>
      <c r="G227" s="1111"/>
      <c r="H227" s="1111"/>
      <c r="I227" s="1247"/>
      <c r="J227" s="1111"/>
      <c r="K227" s="1111"/>
      <c r="L227" s="1135"/>
    </row>
    <row r="228" customFormat="1" ht="15" spans="1:12">
      <c r="A228" s="1110"/>
      <c r="B228" s="1111"/>
      <c r="C228" s="1111"/>
      <c r="D228" s="1111"/>
      <c r="E228" s="1111"/>
      <c r="F228" s="1111"/>
      <c r="G228" s="1111"/>
      <c r="H228" s="1111"/>
      <c r="I228" s="1111"/>
      <c r="J228" s="1111"/>
      <c r="K228" s="1111"/>
      <c r="L228" s="1135"/>
    </row>
    <row r="229" ht="24" spans="1:31">
      <c r="A229" s="249"/>
      <c r="B229" s="406" t="s">
        <v>0</v>
      </c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406"/>
      <c r="AB229" s="406"/>
      <c r="AC229" s="406"/>
      <c r="AD229" s="406"/>
      <c r="AE229" s="406"/>
    </row>
    <row r="230" ht="15" spans="1:31">
      <c r="A230" s="703" t="s">
        <v>1</v>
      </c>
      <c r="B230" s="703"/>
      <c r="C230" s="1026" t="s">
        <v>198</v>
      </c>
      <c r="D230" s="1026"/>
      <c r="E230" s="1026"/>
      <c r="F230" s="1026"/>
      <c r="G230" s="1026"/>
      <c r="H230" s="1026"/>
      <c r="I230" s="1026"/>
      <c r="J230" s="1026"/>
      <c r="K230" s="1026"/>
      <c r="L230" s="703" t="s">
        <v>3</v>
      </c>
      <c r="M230" s="703"/>
      <c r="N230" s="703"/>
      <c r="O230" s="703"/>
      <c r="P230" s="703"/>
      <c r="Q230" s="703"/>
      <c r="R230" s="703"/>
      <c r="S230" s="703"/>
      <c r="T230" s="703"/>
      <c r="U230" s="703"/>
      <c r="V230" s="795"/>
      <c r="W230" s="795"/>
      <c r="X230" s="795"/>
      <c r="Y230" s="795"/>
      <c r="Z230" s="795"/>
      <c r="AA230" s="1283" t="s">
        <v>4</v>
      </c>
      <c r="AB230" s="1283"/>
      <c r="AC230" s="827">
        <v>43589</v>
      </c>
      <c r="AD230" s="828"/>
      <c r="AE230" s="828"/>
    </row>
    <row r="231" ht="28.5" spans="1:31">
      <c r="A231" s="738"/>
      <c r="B231" s="739" t="s">
        <v>5</v>
      </c>
      <c r="C231" s="740"/>
      <c r="D231" s="740"/>
      <c r="E231" s="740"/>
      <c r="F231" s="741"/>
      <c r="G231" s="742" t="s">
        <v>6</v>
      </c>
      <c r="H231" s="743"/>
      <c r="I231" s="743"/>
      <c r="J231" s="743"/>
      <c r="K231" s="787"/>
      <c r="L231" s="788" t="s">
        <v>7</v>
      </c>
      <c r="M231" s="789"/>
      <c r="N231" s="789"/>
      <c r="O231" s="789"/>
      <c r="P231" s="790"/>
      <c r="Q231" s="811" t="s">
        <v>8</v>
      </c>
      <c r="R231" s="812"/>
      <c r="S231" s="812"/>
      <c r="T231" s="812"/>
      <c r="U231" s="813"/>
      <c r="V231" s="814" t="s">
        <v>9</v>
      </c>
      <c r="W231" s="815"/>
      <c r="X231" s="815"/>
      <c r="Y231" s="815"/>
      <c r="Z231" s="838"/>
      <c r="AA231" s="839"/>
      <c r="AB231" s="840"/>
      <c r="AC231" s="840"/>
      <c r="AD231" s="840"/>
      <c r="AE231" s="841"/>
    </row>
    <row r="232" ht="29.25" spans="1:31">
      <c r="A232" s="744"/>
      <c r="B232" s="745" t="s">
        <v>11</v>
      </c>
      <c r="C232" s="746" t="s">
        <v>12</v>
      </c>
      <c r="D232" s="746" t="s">
        <v>13</v>
      </c>
      <c r="E232" s="746" t="s">
        <v>14</v>
      </c>
      <c r="F232" s="747" t="s">
        <v>15</v>
      </c>
      <c r="G232" s="748" t="s">
        <v>11</v>
      </c>
      <c r="H232" s="746" t="s">
        <v>12</v>
      </c>
      <c r="I232" s="746" t="s">
        <v>13</v>
      </c>
      <c r="J232" s="746" t="s">
        <v>14</v>
      </c>
      <c r="K232" s="747" t="s">
        <v>15</v>
      </c>
      <c r="L232" s="748" t="s">
        <v>11</v>
      </c>
      <c r="M232" s="746" t="s">
        <v>12</v>
      </c>
      <c r="N232" s="746" t="s">
        <v>13</v>
      </c>
      <c r="O232" s="746" t="s">
        <v>14</v>
      </c>
      <c r="P232" s="747" t="s">
        <v>15</v>
      </c>
      <c r="Q232" s="748" t="s">
        <v>11</v>
      </c>
      <c r="R232" s="746" t="s">
        <v>12</v>
      </c>
      <c r="S232" s="746" t="s">
        <v>13</v>
      </c>
      <c r="T232" s="746" t="s">
        <v>14</v>
      </c>
      <c r="U232" s="747" t="s">
        <v>15</v>
      </c>
      <c r="V232" s="748" t="s">
        <v>11</v>
      </c>
      <c r="W232" s="746" t="s">
        <v>12</v>
      </c>
      <c r="X232" s="746" t="s">
        <v>13</v>
      </c>
      <c r="Y232" s="746" t="s">
        <v>14</v>
      </c>
      <c r="Z232" s="747" t="s">
        <v>15</v>
      </c>
      <c r="AA232" s="748" t="s">
        <v>11</v>
      </c>
      <c r="AB232" s="746" t="s">
        <v>12</v>
      </c>
      <c r="AC232" s="746" t="s">
        <v>13</v>
      </c>
      <c r="AD232" s="746" t="s">
        <v>14</v>
      </c>
      <c r="AE232" s="747" t="s">
        <v>15</v>
      </c>
    </row>
    <row r="233" spans="1:31">
      <c r="A233" s="65"/>
      <c r="B233" s="876">
        <v>836</v>
      </c>
      <c r="C233" s="431"/>
      <c r="D233" s="431">
        <v>16522</v>
      </c>
      <c r="E233" s="431"/>
      <c r="F233" s="431"/>
      <c r="G233" s="1225">
        <v>775</v>
      </c>
      <c r="H233" s="1226"/>
      <c r="I233" s="1160">
        <v>15301</v>
      </c>
      <c r="J233" s="431"/>
      <c r="K233" s="1226"/>
      <c r="L233" s="876">
        <v>1308</v>
      </c>
      <c r="M233" s="431"/>
      <c r="N233" s="431">
        <v>23553</v>
      </c>
      <c r="O233" s="431"/>
      <c r="P233" s="431"/>
      <c r="Q233" s="876">
        <v>62</v>
      </c>
      <c r="R233" s="431" t="s">
        <v>199</v>
      </c>
      <c r="S233" s="431">
        <v>1220</v>
      </c>
      <c r="T233" s="897"/>
      <c r="U233" s="897"/>
      <c r="V233" s="842"/>
      <c r="W233" s="897"/>
      <c r="X233" s="897"/>
      <c r="Y233" s="897"/>
      <c r="Z233" s="897"/>
      <c r="AA233" s="842"/>
      <c r="AB233" s="897"/>
      <c r="AC233" s="897"/>
      <c r="AD233" s="897"/>
      <c r="AE233" s="897"/>
    </row>
    <row r="234" spans="1:31">
      <c r="A234" s="1226"/>
      <c r="B234" s="876"/>
      <c r="C234" s="431"/>
      <c r="D234" s="431"/>
      <c r="E234" s="431"/>
      <c r="F234" s="431"/>
      <c r="G234" s="1225"/>
      <c r="H234" s="1226"/>
      <c r="I234" s="1160"/>
      <c r="J234" s="431"/>
      <c r="K234" s="1226"/>
      <c r="L234" s="876"/>
      <c r="M234" s="431"/>
      <c r="N234" s="431"/>
      <c r="O234" s="431"/>
      <c r="P234" s="431"/>
      <c r="Q234" s="431">
        <v>0</v>
      </c>
      <c r="R234" s="431" t="s">
        <v>200</v>
      </c>
      <c r="S234" s="431">
        <v>0</v>
      </c>
      <c r="T234" s="431"/>
      <c r="U234" s="431"/>
      <c r="V234" s="876"/>
      <c r="W234" s="431"/>
      <c r="X234" s="431"/>
      <c r="Y234" s="431"/>
      <c r="Z234" s="431"/>
      <c r="AA234" s="876"/>
      <c r="AB234" s="431"/>
      <c r="AC234" s="431"/>
      <c r="AD234" s="431"/>
      <c r="AE234" s="431"/>
    </row>
    <row r="235" ht="24" spans="1:37">
      <c r="A235" s="406" t="s">
        <v>22</v>
      </c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6"/>
      <c r="P235" s="406"/>
      <c r="Q235" s="406"/>
      <c r="R235" s="406"/>
      <c r="S235" s="406"/>
      <c r="T235" s="406"/>
      <c r="U235" s="406"/>
      <c r="V235" s="406"/>
      <c r="W235" s="406"/>
      <c r="X235" s="406"/>
      <c r="Y235" s="406"/>
      <c r="Z235" s="406"/>
      <c r="AA235" s="406"/>
      <c r="AB235" s="406"/>
      <c r="AC235" s="406"/>
      <c r="AD235" s="406"/>
      <c r="AE235" s="406"/>
      <c r="AF235" s="406"/>
      <c r="AG235" s="406"/>
      <c r="AH235" s="406"/>
      <c r="AI235" s="406"/>
      <c r="AJ235" s="406"/>
      <c r="AK235" s="406"/>
    </row>
    <row r="236" spans="1:37">
      <c r="A236" s="497" t="s">
        <v>1</v>
      </c>
      <c r="B236" s="497"/>
      <c r="C236" s="1202" t="s">
        <v>198</v>
      </c>
      <c r="D236" s="497"/>
      <c r="E236" s="497"/>
      <c r="F236" s="497"/>
      <c r="G236" s="497"/>
      <c r="H236" s="497"/>
      <c r="I236" s="497"/>
      <c r="J236" s="497"/>
      <c r="K236" s="497"/>
      <c r="L236" s="497"/>
      <c r="M236" s="756"/>
      <c r="N236" s="756"/>
      <c r="O236" s="497" t="s">
        <v>144</v>
      </c>
      <c r="P236" s="497"/>
      <c r="Q236" s="497"/>
      <c r="R236" s="497"/>
      <c r="S236" s="497"/>
      <c r="T236" s="497"/>
      <c r="U236" s="497"/>
      <c r="V236" s="497"/>
      <c r="W236" s="497"/>
      <c r="X236" s="497"/>
      <c r="Y236" s="249"/>
      <c r="Z236" s="249"/>
      <c r="AA236" s="249"/>
      <c r="AB236" s="249"/>
      <c r="AC236" s="249"/>
      <c r="AD236" s="249"/>
      <c r="AE236" s="482" t="s">
        <v>4</v>
      </c>
      <c r="AF236" s="482"/>
      <c r="AG236" s="482"/>
      <c r="AH236" s="865" t="s">
        <v>24</v>
      </c>
      <c r="AI236" s="865"/>
      <c r="AJ236" s="865"/>
      <c r="AK236" s="865"/>
    </row>
    <row r="237" ht="40.5" spans="1:37">
      <c r="A237" s="695"/>
      <c r="B237" s="696" t="s">
        <v>25</v>
      </c>
      <c r="C237" s="697"/>
      <c r="D237" s="697"/>
      <c r="E237" s="697"/>
      <c r="F237" s="697"/>
      <c r="G237" s="696" t="s">
        <v>28</v>
      </c>
      <c r="H237" s="697"/>
      <c r="I237" s="697"/>
      <c r="J237" s="697"/>
      <c r="K237" s="777"/>
      <c r="L237" s="778" t="s">
        <v>29</v>
      </c>
      <c r="M237" s="779"/>
      <c r="N237" s="779"/>
      <c r="O237" s="791"/>
      <c r="P237" s="696" t="s">
        <v>30</v>
      </c>
      <c r="Q237" s="697"/>
      <c r="R237" s="697"/>
      <c r="S237" s="696" t="s">
        <v>31</v>
      </c>
      <c r="T237" s="697"/>
      <c r="U237" s="697"/>
      <c r="V237" s="561" t="s">
        <v>32</v>
      </c>
      <c r="W237" s="561"/>
      <c r="X237" s="561"/>
      <c r="Y237" s="561" t="s">
        <v>33</v>
      </c>
      <c r="Z237" s="561"/>
      <c r="AA237" s="561"/>
      <c r="AB237" s="561" t="s">
        <v>34</v>
      </c>
      <c r="AC237" s="561"/>
      <c r="AD237" s="561"/>
      <c r="AE237" s="561" t="s">
        <v>35</v>
      </c>
      <c r="AF237" s="561"/>
      <c r="AG237" s="561"/>
      <c r="AH237" s="866" t="s">
        <v>54</v>
      </c>
      <c r="AI237" s="867"/>
      <c r="AJ237" s="867"/>
      <c r="AK237" s="868"/>
    </row>
    <row r="238" ht="24" spans="1:37">
      <c r="A238" s="698"/>
      <c r="B238" s="196" t="s">
        <v>11</v>
      </c>
      <c r="C238" s="196" t="s">
        <v>37</v>
      </c>
      <c r="D238" s="196" t="s">
        <v>38</v>
      </c>
      <c r="E238" s="413" t="s">
        <v>39</v>
      </c>
      <c r="F238" s="413" t="s">
        <v>40</v>
      </c>
      <c r="G238" s="196" t="s">
        <v>11</v>
      </c>
      <c r="H238" s="196" t="s">
        <v>37</v>
      </c>
      <c r="I238" s="196" t="s">
        <v>38</v>
      </c>
      <c r="J238" s="432" t="s">
        <v>41</v>
      </c>
      <c r="K238" s="432" t="s">
        <v>40</v>
      </c>
      <c r="L238" s="196" t="s">
        <v>11</v>
      </c>
      <c r="M238" s="196" t="s">
        <v>37</v>
      </c>
      <c r="N238" s="196" t="s">
        <v>38</v>
      </c>
      <c r="O238" s="432" t="s">
        <v>41</v>
      </c>
      <c r="P238" s="196" t="s">
        <v>11</v>
      </c>
      <c r="Q238" s="196" t="s">
        <v>37</v>
      </c>
      <c r="R238" s="196" t="s">
        <v>38</v>
      </c>
      <c r="S238" s="432" t="s">
        <v>11</v>
      </c>
      <c r="T238" s="196" t="s">
        <v>37</v>
      </c>
      <c r="U238" s="196" t="s">
        <v>38</v>
      </c>
      <c r="V238" s="196" t="s">
        <v>11</v>
      </c>
      <c r="W238" s="196" t="s">
        <v>37</v>
      </c>
      <c r="X238" s="196" t="s">
        <v>38</v>
      </c>
      <c r="Y238" s="196" t="s">
        <v>11</v>
      </c>
      <c r="Z238" s="196" t="s">
        <v>37</v>
      </c>
      <c r="AA238" s="196" t="s">
        <v>38</v>
      </c>
      <c r="AB238" s="196" t="s">
        <v>11</v>
      </c>
      <c r="AC238" s="196" t="s">
        <v>37</v>
      </c>
      <c r="AD238" s="196" t="s">
        <v>38</v>
      </c>
      <c r="AE238" s="196" t="s">
        <v>11</v>
      </c>
      <c r="AF238" s="196" t="s">
        <v>37</v>
      </c>
      <c r="AG238" s="196" t="s">
        <v>38</v>
      </c>
      <c r="AH238" s="432" t="s">
        <v>42</v>
      </c>
      <c r="AI238" s="432" t="s">
        <v>43</v>
      </c>
      <c r="AJ238" s="432" t="s">
        <v>44</v>
      </c>
      <c r="AK238" s="432" t="s">
        <v>45</v>
      </c>
    </row>
    <row r="239" spans="1:37">
      <c r="A239" s="231"/>
      <c r="B239" s="876">
        <v>2102</v>
      </c>
      <c r="C239" s="431">
        <v>30045</v>
      </c>
      <c r="D239" s="431">
        <v>120557</v>
      </c>
      <c r="E239" s="431">
        <v>2080</v>
      </c>
      <c r="F239" s="431">
        <v>35624</v>
      </c>
      <c r="G239" s="876">
        <v>0</v>
      </c>
      <c r="H239" s="431">
        <v>629</v>
      </c>
      <c r="I239" s="431">
        <v>6203</v>
      </c>
      <c r="J239" s="431">
        <v>2280</v>
      </c>
      <c r="K239" s="431">
        <v>196</v>
      </c>
      <c r="L239" s="876">
        <v>150</v>
      </c>
      <c r="M239" s="431">
        <v>1885</v>
      </c>
      <c r="N239" s="431">
        <v>9275</v>
      </c>
      <c r="O239" s="431">
        <v>3580</v>
      </c>
      <c r="P239" s="876"/>
      <c r="Q239" s="431"/>
      <c r="R239" s="431"/>
      <c r="S239" s="876"/>
      <c r="T239" s="431"/>
      <c r="U239" s="431"/>
      <c r="V239" s="1267">
        <v>1180</v>
      </c>
      <c r="W239" s="196">
        <v>1167</v>
      </c>
      <c r="X239" s="196">
        <v>1178</v>
      </c>
      <c r="Y239" s="1143">
        <v>1332</v>
      </c>
      <c r="Z239" s="196">
        <v>1318</v>
      </c>
      <c r="AA239" s="196">
        <v>1296</v>
      </c>
      <c r="AB239" s="1143">
        <v>1114</v>
      </c>
      <c r="AC239" s="196">
        <v>1112</v>
      </c>
      <c r="AD239" s="196">
        <v>1111</v>
      </c>
      <c r="AE239" s="1143">
        <v>146</v>
      </c>
      <c r="AF239" s="431">
        <v>154</v>
      </c>
      <c r="AG239" s="431">
        <v>148</v>
      </c>
      <c r="AH239" s="128">
        <v>17040</v>
      </c>
      <c r="AI239" s="128">
        <v>1088</v>
      </c>
      <c r="AJ239" s="1295"/>
      <c r="AK239" s="1295"/>
    </row>
    <row r="240" ht="15" spans="1:37">
      <c r="A240" s="529"/>
      <c r="B240" s="876"/>
      <c r="C240" s="431"/>
      <c r="D240" s="431"/>
      <c r="E240" s="431"/>
      <c r="F240" s="431" t="s">
        <v>201</v>
      </c>
      <c r="G240" s="876" t="s">
        <v>202</v>
      </c>
      <c r="H240" s="431">
        <v>0</v>
      </c>
      <c r="I240" s="431"/>
      <c r="J240" s="431"/>
      <c r="K240" s="431">
        <v>1826</v>
      </c>
      <c r="L240" s="876"/>
      <c r="M240" s="431"/>
      <c r="N240" s="431"/>
      <c r="O240" s="431"/>
      <c r="P240" s="876"/>
      <c r="Q240" s="431"/>
      <c r="R240" s="431"/>
      <c r="S240" s="876"/>
      <c r="T240" s="431"/>
      <c r="U240" s="431"/>
      <c r="V240" s="1143"/>
      <c r="W240" s="196"/>
      <c r="X240" s="196"/>
      <c r="Y240" s="1143"/>
      <c r="Z240" s="196"/>
      <c r="AA240" s="196"/>
      <c r="AB240" s="1143"/>
      <c r="AC240" s="196"/>
      <c r="AD240" s="196"/>
      <c r="AE240" s="1143"/>
      <c r="AF240" s="431"/>
      <c r="AG240" s="431"/>
      <c r="AH240" s="431"/>
      <c r="AI240" s="431"/>
      <c r="AJ240" s="431"/>
      <c r="AK240" s="431"/>
    </row>
    <row r="241" customFormat="1" ht="43.5" spans="1:12">
      <c r="A241" s="1227" t="s">
        <v>203</v>
      </c>
      <c r="B241" s="1227"/>
      <c r="C241" s="1109" t="s">
        <v>110</v>
      </c>
      <c r="D241" s="1109" t="s">
        <v>87</v>
      </c>
      <c r="E241" s="1109"/>
      <c r="F241" s="1109"/>
      <c r="G241" s="1109"/>
      <c r="H241" s="1109"/>
      <c r="I241" s="1109"/>
      <c r="J241" s="1109" t="s">
        <v>111</v>
      </c>
      <c r="K241" s="1109"/>
      <c r="L241" s="1109"/>
    </row>
    <row r="242" customFormat="1" ht="15" spans="1:12">
      <c r="A242" s="1110"/>
      <c r="B242" s="1110"/>
      <c r="C242" s="1111"/>
      <c r="D242" s="1111" t="s">
        <v>135</v>
      </c>
      <c r="E242" s="1111"/>
      <c r="F242" s="1111"/>
      <c r="G242" s="1111" t="s">
        <v>112</v>
      </c>
      <c r="H242" s="1111"/>
      <c r="I242" s="1111"/>
      <c r="J242" s="1248"/>
      <c r="K242" s="1248"/>
      <c r="L242" s="1249"/>
    </row>
    <row r="243" customFormat="1" ht="29.25" spans="1:12">
      <c r="A243" s="1110"/>
      <c r="B243" s="1110"/>
      <c r="C243" s="1111"/>
      <c r="D243" s="1111"/>
      <c r="E243" s="1111"/>
      <c r="F243" s="1111"/>
      <c r="G243" s="1111"/>
      <c r="H243" s="1111"/>
      <c r="I243" s="1111"/>
      <c r="J243" s="1250" t="s">
        <v>93</v>
      </c>
      <c r="K243" s="1250"/>
      <c r="L243" s="1111"/>
    </row>
    <row r="244" customFormat="1" ht="29.25" spans="1:12">
      <c r="A244" s="1110" t="s">
        <v>113</v>
      </c>
      <c r="B244" s="1111" t="s">
        <v>114</v>
      </c>
      <c r="C244" s="1111"/>
      <c r="D244" s="1111" t="s">
        <v>56</v>
      </c>
      <c r="E244" s="1111" t="s">
        <v>57</v>
      </c>
      <c r="F244" s="1109" t="s">
        <v>115</v>
      </c>
      <c r="G244" s="1109" t="s">
        <v>56</v>
      </c>
      <c r="H244" s="1109" t="s">
        <v>57</v>
      </c>
      <c r="I244" s="1109" t="s">
        <v>115</v>
      </c>
      <c r="J244" s="1109" t="s">
        <v>56</v>
      </c>
      <c r="K244" s="1109" t="s">
        <v>57</v>
      </c>
      <c r="L244" s="1109" t="s">
        <v>115</v>
      </c>
    </row>
    <row r="245" customFormat="1" ht="15" spans="1:12">
      <c r="A245" s="1110" t="s">
        <v>204</v>
      </c>
      <c r="B245" s="1111"/>
      <c r="C245" s="1111" t="s">
        <v>117</v>
      </c>
      <c r="D245" s="1228">
        <v>17040</v>
      </c>
      <c r="E245" s="1229">
        <v>1088</v>
      </c>
      <c r="F245" s="1109">
        <v>15</v>
      </c>
      <c r="G245" s="1109"/>
      <c r="H245" s="1109"/>
      <c r="I245" s="1109"/>
      <c r="J245" s="1251">
        <v>8486</v>
      </c>
      <c r="K245" s="1229">
        <v>375</v>
      </c>
      <c r="L245" s="1109">
        <v>22</v>
      </c>
    </row>
    <row r="246" customFormat="1" ht="15" spans="1:12">
      <c r="A246" s="1110"/>
      <c r="B246" s="1111"/>
      <c r="C246" s="1111"/>
      <c r="D246" s="1111"/>
      <c r="E246" s="1111"/>
      <c r="F246" s="1111"/>
      <c r="G246" s="1111"/>
      <c r="H246" s="1111"/>
      <c r="I246" s="1111"/>
      <c r="J246" s="1111"/>
      <c r="K246" s="1111"/>
      <c r="L246" s="1135"/>
    </row>
    <row r="247" ht="24" spans="1:31">
      <c r="A247" s="111"/>
      <c r="B247" s="406" t="s">
        <v>0</v>
      </c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406"/>
      <c r="Z247" s="406"/>
      <c r="AA247" s="406"/>
      <c r="AB247" s="406"/>
      <c r="AC247" s="406"/>
      <c r="AD247" s="406"/>
      <c r="AE247" s="406"/>
    </row>
    <row r="248" ht="15" spans="1:31">
      <c r="A248" s="703" t="s">
        <v>1</v>
      </c>
      <c r="B248" s="703"/>
      <c r="C248" s="1026" t="s">
        <v>205</v>
      </c>
      <c r="D248" s="1230"/>
      <c r="E248" s="1230"/>
      <c r="F248" s="1230"/>
      <c r="G248" s="1230"/>
      <c r="H248" s="1230"/>
      <c r="I248" s="1230"/>
      <c r="J248" s="1230"/>
      <c r="K248" s="1230"/>
      <c r="L248" s="674" t="s">
        <v>3</v>
      </c>
      <c r="M248" s="674"/>
      <c r="N248" s="674"/>
      <c r="O248" s="674"/>
      <c r="P248" s="674"/>
      <c r="Q248" s="674"/>
      <c r="R248" s="674"/>
      <c r="S248" s="674"/>
      <c r="T248" s="674"/>
      <c r="U248" s="674"/>
      <c r="V248" s="795"/>
      <c r="W248" s="795"/>
      <c r="X248" s="795"/>
      <c r="Y248" s="795"/>
      <c r="Z248" s="795"/>
      <c r="AA248" s="828" t="s">
        <v>4</v>
      </c>
      <c r="AB248" s="828"/>
      <c r="AC248" s="827">
        <v>43589</v>
      </c>
      <c r="AD248" s="827"/>
      <c r="AE248" s="827"/>
    </row>
    <row r="249" ht="28.5" spans="1:31">
      <c r="A249" s="1231"/>
      <c r="B249" s="1232" t="s">
        <v>5</v>
      </c>
      <c r="C249" s="1233"/>
      <c r="D249" s="1233"/>
      <c r="E249" s="1233"/>
      <c r="F249" s="1234"/>
      <c r="G249" s="1235" t="s">
        <v>6</v>
      </c>
      <c r="H249" s="1236"/>
      <c r="I249" s="1236"/>
      <c r="J249" s="1236"/>
      <c r="K249" s="1252"/>
      <c r="L249" s="1253" t="s">
        <v>7</v>
      </c>
      <c r="M249" s="1254"/>
      <c r="N249" s="1254"/>
      <c r="O249" s="1254"/>
      <c r="P249" s="1255"/>
      <c r="Q249" s="1268" t="s">
        <v>8</v>
      </c>
      <c r="R249" s="1269"/>
      <c r="S249" s="1269"/>
      <c r="T249" s="1269"/>
      <c r="U249" s="1270"/>
      <c r="V249" s="1271" t="s">
        <v>9</v>
      </c>
      <c r="W249" s="1272"/>
      <c r="X249" s="1272"/>
      <c r="Y249" s="1272"/>
      <c r="Z249" s="1284"/>
      <c r="AA249" s="1285" t="s">
        <v>10</v>
      </c>
      <c r="AB249" s="1286"/>
      <c r="AC249" s="1286"/>
      <c r="AD249" s="1286"/>
      <c r="AE249" s="1287"/>
    </row>
    <row r="250" ht="29.25" spans="1:31">
      <c r="A250" s="1237"/>
      <c r="B250" s="745" t="s">
        <v>11</v>
      </c>
      <c r="C250" s="746" t="s">
        <v>12</v>
      </c>
      <c r="D250" s="746" t="s">
        <v>13</v>
      </c>
      <c r="E250" s="746" t="s">
        <v>14</v>
      </c>
      <c r="F250" s="747" t="s">
        <v>15</v>
      </c>
      <c r="G250" s="748" t="s">
        <v>11</v>
      </c>
      <c r="H250" s="746" t="s">
        <v>12</v>
      </c>
      <c r="I250" s="746" t="s">
        <v>13</v>
      </c>
      <c r="J250" s="746" t="s">
        <v>14</v>
      </c>
      <c r="K250" s="747" t="s">
        <v>15</v>
      </c>
      <c r="L250" s="748" t="s">
        <v>11</v>
      </c>
      <c r="M250" s="746" t="s">
        <v>12</v>
      </c>
      <c r="N250" s="746" t="s">
        <v>13</v>
      </c>
      <c r="O250" s="746" t="s">
        <v>14</v>
      </c>
      <c r="P250" s="747" t="s">
        <v>15</v>
      </c>
      <c r="Q250" s="748" t="s">
        <v>11</v>
      </c>
      <c r="R250" s="746" t="s">
        <v>12</v>
      </c>
      <c r="S250" s="746" t="s">
        <v>13</v>
      </c>
      <c r="T250" s="746" t="s">
        <v>14</v>
      </c>
      <c r="U250" s="747" t="s">
        <v>15</v>
      </c>
      <c r="V250" s="748" t="s">
        <v>11</v>
      </c>
      <c r="W250" s="746" t="s">
        <v>12</v>
      </c>
      <c r="X250" s="746" t="s">
        <v>13</v>
      </c>
      <c r="Y250" s="746" t="s">
        <v>14</v>
      </c>
      <c r="Z250" s="747" t="s">
        <v>15</v>
      </c>
      <c r="AA250" s="748" t="s">
        <v>11</v>
      </c>
      <c r="AB250" s="746" t="s">
        <v>12</v>
      </c>
      <c r="AC250" s="746" t="s">
        <v>13</v>
      </c>
      <c r="AD250" s="746" t="s">
        <v>14</v>
      </c>
      <c r="AE250" s="747" t="s">
        <v>15</v>
      </c>
    </row>
    <row r="251" spans="1:31">
      <c r="A251" s="65"/>
      <c r="B251" s="1238">
        <v>1206.44</v>
      </c>
      <c r="C251" s="1239">
        <v>30114</v>
      </c>
      <c r="D251" s="1240">
        <v>23041.53</v>
      </c>
      <c r="E251" s="1239">
        <v>276293</v>
      </c>
      <c r="F251" s="1240">
        <v>110811.47</v>
      </c>
      <c r="G251" s="1238">
        <v>982.78</v>
      </c>
      <c r="H251" s="1239">
        <v>25810</v>
      </c>
      <c r="I251" s="1238">
        <v>18869.16</v>
      </c>
      <c r="J251" s="1239">
        <v>234457</v>
      </c>
      <c r="K251" s="1240">
        <v>92318.81</v>
      </c>
      <c r="L251" s="1256">
        <v>1320</v>
      </c>
      <c r="M251" s="1239">
        <v>36540</v>
      </c>
      <c r="N251" s="1256">
        <v>25493.9</v>
      </c>
      <c r="O251" s="1239">
        <v>328860</v>
      </c>
      <c r="P251" s="1240">
        <v>126545.18</v>
      </c>
      <c r="Q251" s="1256">
        <v>211</v>
      </c>
      <c r="R251" s="1239">
        <v>4060</v>
      </c>
      <c r="S251" s="1256">
        <v>3936.2</v>
      </c>
      <c r="T251" s="1239">
        <v>39468</v>
      </c>
      <c r="U251" s="1240">
        <v>17445.91</v>
      </c>
      <c r="V251" s="1273"/>
      <c r="W251" s="1274"/>
      <c r="X251" s="1274"/>
      <c r="Y251" s="1274"/>
      <c r="Z251" s="1274"/>
      <c r="AA251" s="1273"/>
      <c r="AB251" s="1274"/>
      <c r="AC251" s="1274"/>
      <c r="AD251" s="1274"/>
      <c r="AE251" s="1274"/>
    </row>
    <row r="252" ht="24" spans="1:37">
      <c r="A252" s="406" t="s">
        <v>22</v>
      </c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  <c r="U252" s="406"/>
      <c r="V252" s="406"/>
      <c r="W252" s="406"/>
      <c r="X252" s="406"/>
      <c r="Y252" s="406"/>
      <c r="Z252" s="406"/>
      <c r="AA252" s="406"/>
      <c r="AB252" s="406"/>
      <c r="AC252" s="406"/>
      <c r="AD252" s="406"/>
      <c r="AE252" s="406"/>
      <c r="AF252" s="406"/>
      <c r="AG252" s="406"/>
      <c r="AH252" s="406"/>
      <c r="AI252" s="406"/>
      <c r="AJ252" s="406"/>
      <c r="AK252" s="406"/>
    </row>
    <row r="253" spans="1:37">
      <c r="A253" s="497" t="s">
        <v>1</v>
      </c>
      <c r="B253" s="497"/>
      <c r="C253" s="497"/>
      <c r="D253" s="497"/>
      <c r="E253" s="497"/>
      <c r="F253" s="497"/>
      <c r="G253" s="497"/>
      <c r="H253" s="497"/>
      <c r="I253" s="497"/>
      <c r="J253" s="497"/>
      <c r="K253" s="497"/>
      <c r="L253" s="497"/>
      <c r="M253" s="756"/>
      <c r="N253" s="756"/>
      <c r="O253" s="497" t="s">
        <v>23</v>
      </c>
      <c r="P253" s="497"/>
      <c r="Q253" s="497"/>
      <c r="R253" s="497"/>
      <c r="S253" s="497"/>
      <c r="T253" s="497"/>
      <c r="U253" s="497"/>
      <c r="V253" s="497"/>
      <c r="W253" s="497"/>
      <c r="X253" s="497"/>
      <c r="Y253" s="111"/>
      <c r="Z253" s="111"/>
      <c r="AA253" s="111"/>
      <c r="AB253" s="111"/>
      <c r="AC253" s="111"/>
      <c r="AD253" s="111"/>
      <c r="AE253" s="497" t="s">
        <v>4</v>
      </c>
      <c r="AF253" s="497"/>
      <c r="AG253" s="497"/>
      <c r="AH253" s="865" t="s">
        <v>24</v>
      </c>
      <c r="AI253" s="865"/>
      <c r="AJ253" s="865"/>
      <c r="AK253" s="865"/>
    </row>
    <row r="254" ht="40.5" spans="1:37">
      <c r="A254" s="695"/>
      <c r="B254" s="696" t="s">
        <v>25</v>
      </c>
      <c r="C254" s="697"/>
      <c r="D254" s="697"/>
      <c r="E254" s="697"/>
      <c r="F254" s="697"/>
      <c r="G254" s="696" t="s">
        <v>28</v>
      </c>
      <c r="H254" s="697"/>
      <c r="I254" s="697"/>
      <c r="J254" s="697"/>
      <c r="K254" s="777"/>
      <c r="L254" s="778" t="s">
        <v>29</v>
      </c>
      <c r="M254" s="779"/>
      <c r="N254" s="779"/>
      <c r="O254" s="791"/>
      <c r="P254" s="696" t="s">
        <v>30</v>
      </c>
      <c r="Q254" s="697"/>
      <c r="R254" s="697"/>
      <c r="S254" s="696" t="s">
        <v>31</v>
      </c>
      <c r="T254" s="697"/>
      <c r="U254" s="697"/>
      <c r="V254" s="561" t="s">
        <v>32</v>
      </c>
      <c r="W254" s="561"/>
      <c r="X254" s="561"/>
      <c r="Y254" s="561" t="s">
        <v>33</v>
      </c>
      <c r="Z254" s="561"/>
      <c r="AA254" s="561"/>
      <c r="AB254" s="561" t="s">
        <v>34</v>
      </c>
      <c r="AC254" s="561"/>
      <c r="AD254" s="561"/>
      <c r="AE254" s="561" t="s">
        <v>35</v>
      </c>
      <c r="AF254" s="561"/>
      <c r="AG254" s="561"/>
      <c r="AH254" s="866" t="s">
        <v>54</v>
      </c>
      <c r="AI254" s="867"/>
      <c r="AJ254" s="867"/>
      <c r="AK254" s="868"/>
    </row>
    <row r="255" ht="24" spans="1:37">
      <c r="A255" s="698"/>
      <c r="B255" s="196" t="s">
        <v>11</v>
      </c>
      <c r="C255" s="196" t="s">
        <v>37</v>
      </c>
      <c r="D255" s="196" t="s">
        <v>38</v>
      </c>
      <c r="E255" s="413" t="s">
        <v>39</v>
      </c>
      <c r="F255" s="413" t="s">
        <v>40</v>
      </c>
      <c r="G255" s="196" t="s">
        <v>11</v>
      </c>
      <c r="H255" s="196" t="s">
        <v>37</v>
      </c>
      <c r="I255" s="196" t="s">
        <v>38</v>
      </c>
      <c r="J255" s="432" t="s">
        <v>41</v>
      </c>
      <c r="K255" s="432" t="s">
        <v>40</v>
      </c>
      <c r="L255" s="196" t="s">
        <v>11</v>
      </c>
      <c r="M255" s="196" t="s">
        <v>37</v>
      </c>
      <c r="N255" s="196" t="s">
        <v>38</v>
      </c>
      <c r="O255" s="432" t="s">
        <v>41</v>
      </c>
      <c r="P255" s="196" t="s">
        <v>11</v>
      </c>
      <c r="Q255" s="196" t="s">
        <v>37</v>
      </c>
      <c r="R255" s="196" t="s">
        <v>38</v>
      </c>
      <c r="S255" s="432" t="s">
        <v>11</v>
      </c>
      <c r="T255" s="196" t="s">
        <v>37</v>
      </c>
      <c r="U255" s="196" t="s">
        <v>38</v>
      </c>
      <c r="V255" s="196" t="s">
        <v>11</v>
      </c>
      <c r="W255" s="196" t="s">
        <v>37</v>
      </c>
      <c r="X255" s="196" t="s">
        <v>38</v>
      </c>
      <c r="Y255" s="196" t="s">
        <v>11</v>
      </c>
      <c r="Z255" s="196" t="s">
        <v>37</v>
      </c>
      <c r="AA255" s="196" t="s">
        <v>38</v>
      </c>
      <c r="AB255" s="196" t="s">
        <v>11</v>
      </c>
      <c r="AC255" s="196" t="s">
        <v>37</v>
      </c>
      <c r="AD255" s="196" t="s">
        <v>38</v>
      </c>
      <c r="AE255" s="196" t="s">
        <v>11</v>
      </c>
      <c r="AF255" s="196" t="s">
        <v>37</v>
      </c>
      <c r="AG255" s="196" t="s">
        <v>38</v>
      </c>
      <c r="AH255" s="432" t="s">
        <v>42</v>
      </c>
      <c r="AI255" s="432" t="s">
        <v>43</v>
      </c>
      <c r="AJ255" s="432" t="s">
        <v>44</v>
      </c>
      <c r="AK255" s="432" t="s">
        <v>45</v>
      </c>
    </row>
    <row r="256" ht="15" spans="1:37">
      <c r="A256" s="698"/>
      <c r="B256" s="817">
        <v>1484</v>
      </c>
      <c r="C256" s="196">
        <v>14841</v>
      </c>
      <c r="D256" s="196">
        <v>118858</v>
      </c>
      <c r="E256" s="413">
        <v>2020</v>
      </c>
      <c r="F256" s="413">
        <v>3189</v>
      </c>
      <c r="G256" s="1241">
        <v>33</v>
      </c>
      <c r="H256" s="665">
        <v>1715</v>
      </c>
      <c r="I256" s="665">
        <v>17330</v>
      </c>
      <c r="J256" s="1257">
        <v>2120</v>
      </c>
      <c r="K256" s="1257">
        <v>1687</v>
      </c>
      <c r="L256" s="1241">
        <v>315</v>
      </c>
      <c r="M256" s="197">
        <v>2326</v>
      </c>
      <c r="N256" s="197">
        <v>17102</v>
      </c>
      <c r="O256" s="1257">
        <v>3250</v>
      </c>
      <c r="P256" s="817"/>
      <c r="Q256" s="196"/>
      <c r="R256" s="432"/>
      <c r="S256" s="1275"/>
      <c r="T256" s="196"/>
      <c r="U256" s="1276"/>
      <c r="V256" s="1143">
        <v>1146</v>
      </c>
      <c r="W256" s="1277">
        <v>1144</v>
      </c>
      <c r="X256" s="1277">
        <v>1213</v>
      </c>
      <c r="Y256" s="1288">
        <v>1176.3</v>
      </c>
      <c r="Z256" s="1288">
        <v>1169.19</v>
      </c>
      <c r="AA256" s="1277">
        <v>1201.33</v>
      </c>
      <c r="AB256" s="1277">
        <v>983</v>
      </c>
      <c r="AC256" s="1277">
        <v>978</v>
      </c>
      <c r="AD256" s="1277">
        <v>999</v>
      </c>
      <c r="AE256" s="1277">
        <v>153.64</v>
      </c>
      <c r="AF256" s="1277">
        <v>154.86</v>
      </c>
      <c r="AG256" s="1277">
        <v>153.94</v>
      </c>
      <c r="AH256" s="1296">
        <v>8474.81</v>
      </c>
      <c r="AI256" s="1296">
        <v>1470.65</v>
      </c>
      <c r="AJ256" s="80">
        <v>1692.56</v>
      </c>
      <c r="AK256" s="80">
        <v>226</v>
      </c>
    </row>
    <row r="257" customFormat="1" ht="15" spans="1:12">
      <c r="A257" s="1298" t="s">
        <v>109</v>
      </c>
      <c r="B257" s="1298"/>
      <c r="C257" s="1299"/>
      <c r="D257" s="1299"/>
      <c r="E257" s="1299"/>
      <c r="F257" s="1299"/>
      <c r="G257" s="1299"/>
      <c r="H257" s="1299"/>
      <c r="I257" s="1299"/>
      <c r="J257" s="1299"/>
      <c r="K257" s="1299"/>
      <c r="L257" s="1299"/>
    </row>
    <row r="258" customFormat="1" ht="29.25" spans="1:12">
      <c r="A258" s="1300"/>
      <c r="B258" s="1300"/>
      <c r="C258" s="1301"/>
      <c r="D258" s="1302" t="s">
        <v>135</v>
      </c>
      <c r="E258" s="1302"/>
      <c r="F258" s="1302"/>
      <c r="G258" s="1302" t="s">
        <v>112</v>
      </c>
      <c r="H258" s="1302"/>
      <c r="I258" s="1302"/>
      <c r="J258" s="1299" t="s">
        <v>93</v>
      </c>
      <c r="K258" s="1299"/>
      <c r="L258" s="1299"/>
    </row>
    <row r="259" customFormat="1" ht="15" spans="1:12">
      <c r="A259" s="1303" t="s">
        <v>113</v>
      </c>
      <c r="B259" s="1302"/>
      <c r="C259" s="1301"/>
      <c r="D259" s="1304">
        <v>8474.81</v>
      </c>
      <c r="E259" s="1299">
        <v>1470.65</v>
      </c>
      <c r="F259" s="1299"/>
      <c r="G259" s="1299">
        <v>0</v>
      </c>
      <c r="H259" s="1299">
        <v>0</v>
      </c>
      <c r="I259" s="1299">
        <v>0</v>
      </c>
      <c r="J259" s="1299">
        <v>1692.56</v>
      </c>
      <c r="K259" s="1299">
        <v>226</v>
      </c>
      <c r="L259" s="1346"/>
    </row>
    <row r="260" customFormat="1" ht="15" spans="1:12">
      <c r="A260" s="1303" t="s">
        <v>117</v>
      </c>
      <c r="B260" s="1305"/>
      <c r="C260" s="1302"/>
      <c r="D260" s="1304">
        <v>8474.81</v>
      </c>
      <c r="E260" s="1299">
        <v>1470.65</v>
      </c>
      <c r="F260" s="1299"/>
      <c r="G260" s="1299">
        <v>0</v>
      </c>
      <c r="H260" s="1299">
        <v>0</v>
      </c>
      <c r="I260" s="1299">
        <v>0</v>
      </c>
      <c r="J260" s="1299">
        <v>1692.56</v>
      </c>
      <c r="K260" s="1299">
        <v>226</v>
      </c>
      <c r="L260" s="1346"/>
    </row>
    <row r="261" ht="24" spans="1:31">
      <c r="A261" s="249"/>
      <c r="B261" s="406" t="s">
        <v>0</v>
      </c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406"/>
      <c r="AA261" s="406"/>
      <c r="AB261" s="406"/>
      <c r="AC261" s="406"/>
      <c r="AD261" s="406"/>
      <c r="AE261" s="406"/>
    </row>
    <row r="262" ht="15" spans="1:31">
      <c r="A262" s="1212" t="s">
        <v>1</v>
      </c>
      <c r="B262" s="1212"/>
      <c r="C262" s="1026" t="s">
        <v>206</v>
      </c>
      <c r="D262" s="1026"/>
      <c r="E262" s="1026"/>
      <c r="F262" s="1026"/>
      <c r="G262" s="1026"/>
      <c r="H262" s="1026"/>
      <c r="I262" s="1026"/>
      <c r="J262" s="1026"/>
      <c r="K262" s="1026"/>
      <c r="L262" s="703" t="s">
        <v>3</v>
      </c>
      <c r="M262" s="703"/>
      <c r="N262" s="703"/>
      <c r="O262" s="703"/>
      <c r="P262" s="703"/>
      <c r="Q262" s="703"/>
      <c r="R262" s="703"/>
      <c r="S262" s="703"/>
      <c r="T262" s="703"/>
      <c r="U262" s="703"/>
      <c r="V262" s="795"/>
      <c r="W262" s="795"/>
      <c r="X262" s="795"/>
      <c r="Y262" s="795"/>
      <c r="Z262" s="795"/>
      <c r="AA262" s="828" t="s">
        <v>4</v>
      </c>
      <c r="AB262" s="828"/>
      <c r="AC262" s="1378">
        <v>43589</v>
      </c>
      <c r="AD262" s="1379"/>
      <c r="AE262" s="1379"/>
    </row>
    <row r="263" ht="28.5" spans="1:31">
      <c r="A263" s="738"/>
      <c r="B263" s="739" t="s">
        <v>5</v>
      </c>
      <c r="C263" s="740"/>
      <c r="D263" s="740"/>
      <c r="E263" s="740"/>
      <c r="F263" s="741"/>
      <c r="G263" s="742" t="s">
        <v>6</v>
      </c>
      <c r="H263" s="743"/>
      <c r="I263" s="743"/>
      <c r="J263" s="743"/>
      <c r="K263" s="787"/>
      <c r="L263" s="788" t="s">
        <v>7</v>
      </c>
      <c r="M263" s="789"/>
      <c r="N263" s="789"/>
      <c r="O263" s="789"/>
      <c r="P263" s="790"/>
      <c r="Q263" s="811" t="s">
        <v>8</v>
      </c>
      <c r="R263" s="812"/>
      <c r="S263" s="812"/>
      <c r="T263" s="812"/>
      <c r="U263" s="813"/>
      <c r="V263" s="814" t="s">
        <v>9</v>
      </c>
      <c r="W263" s="815"/>
      <c r="X263" s="815"/>
      <c r="Y263" s="815"/>
      <c r="Z263" s="838"/>
      <c r="AA263" s="839">
        <v>3</v>
      </c>
      <c r="AB263" s="840"/>
      <c r="AC263" s="840"/>
      <c r="AD263" s="840"/>
      <c r="AE263" s="841"/>
    </row>
    <row r="264" ht="29.25" spans="1:31">
      <c r="A264" s="744"/>
      <c r="B264" s="745" t="s">
        <v>11</v>
      </c>
      <c r="C264" s="746" t="s">
        <v>12</v>
      </c>
      <c r="D264" s="746" t="s">
        <v>13</v>
      </c>
      <c r="E264" s="746" t="s">
        <v>14</v>
      </c>
      <c r="F264" s="747" t="s">
        <v>15</v>
      </c>
      <c r="G264" s="748" t="s">
        <v>11</v>
      </c>
      <c r="H264" s="746" t="s">
        <v>12</v>
      </c>
      <c r="I264" s="746" t="s">
        <v>13</v>
      </c>
      <c r="J264" s="910" t="s">
        <v>14</v>
      </c>
      <c r="K264" s="747" t="s">
        <v>15</v>
      </c>
      <c r="L264" s="748" t="s">
        <v>11</v>
      </c>
      <c r="M264" s="746" t="s">
        <v>12</v>
      </c>
      <c r="N264" s="746" t="s">
        <v>13</v>
      </c>
      <c r="O264" s="746" t="s">
        <v>14</v>
      </c>
      <c r="P264" s="747" t="s">
        <v>15</v>
      </c>
      <c r="Q264" s="748" t="s">
        <v>11</v>
      </c>
      <c r="R264" s="746" t="s">
        <v>12</v>
      </c>
      <c r="S264" s="746" t="s">
        <v>13</v>
      </c>
      <c r="T264" s="746" t="s">
        <v>14</v>
      </c>
      <c r="U264" s="747" t="s">
        <v>15</v>
      </c>
      <c r="V264" s="748" t="s">
        <v>11</v>
      </c>
      <c r="W264" s="746" t="s">
        <v>12</v>
      </c>
      <c r="X264" s="746" t="s">
        <v>13</v>
      </c>
      <c r="Y264" s="746" t="s">
        <v>14</v>
      </c>
      <c r="Z264" s="747" t="s">
        <v>15</v>
      </c>
      <c r="AA264" s="748" t="s">
        <v>11</v>
      </c>
      <c r="AB264" s="746" t="s">
        <v>12</v>
      </c>
      <c r="AC264" s="746" t="s">
        <v>13</v>
      </c>
      <c r="AD264" s="746" t="s">
        <v>14</v>
      </c>
      <c r="AE264" s="747" t="s">
        <v>15</v>
      </c>
    </row>
    <row r="265" spans="1:31">
      <c r="A265" s="923"/>
      <c r="B265" s="535">
        <v>2029.69</v>
      </c>
      <c r="C265" s="444"/>
      <c r="D265" s="1306">
        <v>37181.5</v>
      </c>
      <c r="E265" s="444"/>
      <c r="F265" s="1306">
        <v>180166.02</v>
      </c>
      <c r="G265" s="535">
        <v>1641.71</v>
      </c>
      <c r="H265" s="444"/>
      <c r="I265" s="1306">
        <v>30292.01</v>
      </c>
      <c r="J265" s="444"/>
      <c r="K265" s="1306">
        <v>147175.91</v>
      </c>
      <c r="L265" s="535">
        <v>2562</v>
      </c>
      <c r="M265" s="444"/>
      <c r="N265" s="535">
        <v>46902</v>
      </c>
      <c r="O265" s="444"/>
      <c r="P265" s="1347">
        <v>236418.96</v>
      </c>
      <c r="Q265" s="1359">
        <v>361.7</v>
      </c>
      <c r="R265" s="1360"/>
      <c r="S265" s="1359">
        <v>6317</v>
      </c>
      <c r="T265" s="1360"/>
      <c r="U265" s="1361">
        <v>30940.23</v>
      </c>
      <c r="V265" s="916"/>
      <c r="W265" s="917"/>
      <c r="X265" s="917"/>
      <c r="Y265" s="917"/>
      <c r="Z265" s="917"/>
      <c r="AA265" s="916"/>
      <c r="AB265" s="917"/>
      <c r="AC265" s="917"/>
      <c r="AD265" s="917"/>
      <c r="AE265" s="917"/>
    </row>
    <row r="266" ht="24" spans="1:39">
      <c r="A266" s="1307" t="s">
        <v>22</v>
      </c>
      <c r="B266" s="1307"/>
      <c r="C266" s="1307"/>
      <c r="D266" s="1307"/>
      <c r="E266" s="1307"/>
      <c r="F266" s="1307"/>
      <c r="G266" s="1307"/>
      <c r="H266" s="1307"/>
      <c r="I266" s="1307"/>
      <c r="J266" s="1307"/>
      <c r="K266" s="1307"/>
      <c r="L266" s="1307"/>
      <c r="M266" s="1307"/>
      <c r="N266" s="1307"/>
      <c r="O266" s="1307"/>
      <c r="P266" s="1307"/>
      <c r="Q266" s="1307"/>
      <c r="R266" s="1307"/>
      <c r="S266" s="1307"/>
      <c r="T266" s="1307"/>
      <c r="U266" s="1307"/>
      <c r="V266" s="1307"/>
      <c r="W266" s="1307"/>
      <c r="X266" s="1307"/>
      <c r="Y266" s="1307"/>
      <c r="Z266" s="1307"/>
      <c r="AA266" s="1307"/>
      <c r="AB266" s="1307"/>
      <c r="AC266" s="1307"/>
      <c r="AD266" s="1307"/>
      <c r="AE266" s="1307"/>
      <c r="AF266" s="1307"/>
      <c r="AG266" s="1307"/>
      <c r="AH266" s="1307"/>
      <c r="AI266" s="1307"/>
      <c r="AJ266" s="1307"/>
      <c r="AK266" s="1307"/>
      <c r="AL266" s="1307"/>
      <c r="AM266" s="1307"/>
    </row>
    <row r="267" spans="1:39">
      <c r="A267" s="497" t="s">
        <v>1</v>
      </c>
      <c r="B267" s="497"/>
      <c r="C267" s="497"/>
      <c r="D267" s="497"/>
      <c r="E267" s="497"/>
      <c r="F267" s="497"/>
      <c r="G267" s="497"/>
      <c r="H267" s="497"/>
      <c r="I267" s="497"/>
      <c r="J267" s="497"/>
      <c r="K267" s="497"/>
      <c r="L267" s="497"/>
      <c r="M267" s="756"/>
      <c r="N267" s="756"/>
      <c r="O267" s="497" t="s">
        <v>23</v>
      </c>
      <c r="P267" s="497"/>
      <c r="Q267" s="497"/>
      <c r="R267" s="497"/>
      <c r="S267" s="497"/>
      <c r="T267" s="497"/>
      <c r="U267" s="497"/>
      <c r="V267" s="497"/>
      <c r="W267" s="497"/>
      <c r="X267" s="497"/>
      <c r="Y267" s="249"/>
      <c r="Z267" s="249"/>
      <c r="AA267" s="249"/>
      <c r="AB267" s="249"/>
      <c r="AC267" s="249"/>
      <c r="AD267" s="249"/>
      <c r="AE267" s="497" t="s">
        <v>4</v>
      </c>
      <c r="AF267" s="497"/>
      <c r="AG267" s="497"/>
      <c r="AH267" s="865" t="s">
        <v>24</v>
      </c>
      <c r="AI267" s="865"/>
      <c r="AJ267" s="865"/>
      <c r="AK267" s="865"/>
      <c r="AL267" s="249"/>
      <c r="AM267" s="249"/>
    </row>
    <row r="268" ht="40.5" spans="1:39">
      <c r="A268" s="695"/>
      <c r="B268" s="696" t="s">
        <v>25</v>
      </c>
      <c r="C268" s="697"/>
      <c r="D268" s="697"/>
      <c r="E268" s="697"/>
      <c r="F268" s="697"/>
      <c r="G268" s="696" t="s">
        <v>28</v>
      </c>
      <c r="H268" s="697"/>
      <c r="I268" s="697"/>
      <c r="J268" s="697"/>
      <c r="K268" s="777"/>
      <c r="L268" s="778" t="s">
        <v>29</v>
      </c>
      <c r="M268" s="779"/>
      <c r="N268" s="779"/>
      <c r="O268" s="791"/>
      <c r="P268" s="696" t="s">
        <v>30</v>
      </c>
      <c r="Q268" s="697"/>
      <c r="R268" s="777"/>
      <c r="S268" s="696" t="s">
        <v>31</v>
      </c>
      <c r="T268" s="697"/>
      <c r="U268" s="777"/>
      <c r="V268" s="614" t="s">
        <v>32</v>
      </c>
      <c r="W268" s="1362"/>
      <c r="X268" s="1363"/>
      <c r="Y268" s="614" t="s">
        <v>33</v>
      </c>
      <c r="Z268" s="1362"/>
      <c r="AA268" s="1363"/>
      <c r="AB268" s="614" t="s">
        <v>34</v>
      </c>
      <c r="AC268" s="1362"/>
      <c r="AD268" s="1363"/>
      <c r="AE268" s="614" t="s">
        <v>35</v>
      </c>
      <c r="AF268" s="1362"/>
      <c r="AG268" s="1363"/>
      <c r="AH268" s="866" t="s">
        <v>54</v>
      </c>
      <c r="AI268" s="867"/>
      <c r="AJ268" s="867"/>
      <c r="AK268" s="868"/>
      <c r="AL268" s="1383" t="s">
        <v>111</v>
      </c>
      <c r="AM268" s="1384"/>
    </row>
    <row r="269" ht="24" spans="1:39">
      <c r="A269" s="698"/>
      <c r="B269" s="196" t="s">
        <v>11</v>
      </c>
      <c r="C269" s="196" t="s">
        <v>37</v>
      </c>
      <c r="D269" s="196" t="s">
        <v>38</v>
      </c>
      <c r="E269" s="413" t="s">
        <v>39</v>
      </c>
      <c r="F269" s="472" t="s">
        <v>40</v>
      </c>
      <c r="G269" s="196" t="s">
        <v>11</v>
      </c>
      <c r="H269" s="196" t="s">
        <v>37</v>
      </c>
      <c r="I269" s="196" t="s">
        <v>38</v>
      </c>
      <c r="J269" s="432" t="s">
        <v>41</v>
      </c>
      <c r="K269" s="432" t="s">
        <v>40</v>
      </c>
      <c r="L269" s="196" t="s">
        <v>11</v>
      </c>
      <c r="M269" s="196" t="s">
        <v>37</v>
      </c>
      <c r="N269" s="196" t="s">
        <v>38</v>
      </c>
      <c r="O269" s="432" t="s">
        <v>41</v>
      </c>
      <c r="P269" s="196" t="s">
        <v>11</v>
      </c>
      <c r="Q269" s="196" t="s">
        <v>37</v>
      </c>
      <c r="R269" s="196" t="s">
        <v>38</v>
      </c>
      <c r="S269" s="432" t="s">
        <v>11</v>
      </c>
      <c r="T269" s="196" t="s">
        <v>37</v>
      </c>
      <c r="U269" s="196" t="s">
        <v>38</v>
      </c>
      <c r="V269" s="196" t="s">
        <v>11</v>
      </c>
      <c r="W269" s="196" t="s">
        <v>37</v>
      </c>
      <c r="X269" s="196" t="s">
        <v>38</v>
      </c>
      <c r="Y269" s="196" t="s">
        <v>11</v>
      </c>
      <c r="Z269" s="196" t="s">
        <v>37</v>
      </c>
      <c r="AA269" s="196" t="s">
        <v>38</v>
      </c>
      <c r="AB269" s="196" t="s">
        <v>11</v>
      </c>
      <c r="AC269" s="196" t="s">
        <v>37</v>
      </c>
      <c r="AD269" s="196" t="s">
        <v>38</v>
      </c>
      <c r="AE269" s="196" t="s">
        <v>11</v>
      </c>
      <c r="AF269" s="196" t="s">
        <v>37</v>
      </c>
      <c r="AG269" s="196" t="s">
        <v>38</v>
      </c>
      <c r="AH269" s="432" t="s">
        <v>42</v>
      </c>
      <c r="AI269" s="432" t="s">
        <v>43</v>
      </c>
      <c r="AJ269" s="432" t="s">
        <v>207</v>
      </c>
      <c r="AK269" s="432" t="s">
        <v>208</v>
      </c>
      <c r="AL269" s="432" t="s">
        <v>46</v>
      </c>
      <c r="AM269" s="413" t="s">
        <v>209</v>
      </c>
    </row>
    <row r="270" spans="1:39">
      <c r="A270" s="196"/>
      <c r="B270" s="1308">
        <v>2860</v>
      </c>
      <c r="C270" s="1309">
        <v>45836.68</v>
      </c>
      <c r="D270" s="1309">
        <v>234636.24</v>
      </c>
      <c r="E270" s="1310">
        <v>2000</v>
      </c>
      <c r="F270" s="1311">
        <v>1835.7</v>
      </c>
      <c r="G270" s="1312">
        <v>629.94</v>
      </c>
      <c r="H270" s="1310">
        <v>5431.98</v>
      </c>
      <c r="I270" s="1310">
        <v>25694.86</v>
      </c>
      <c r="J270" s="1310">
        <v>2120</v>
      </c>
      <c r="K270" s="93">
        <v>2371.9504</v>
      </c>
      <c r="L270" s="1348">
        <v>325.86</v>
      </c>
      <c r="M270" s="1309">
        <v>2172.64</v>
      </c>
      <c r="N270" s="1309">
        <v>6453.6</v>
      </c>
      <c r="O270" s="1310">
        <v>3250</v>
      </c>
      <c r="P270" s="817"/>
      <c r="Q270" s="196"/>
      <c r="R270" s="432"/>
      <c r="S270" s="1205"/>
      <c r="T270" s="196"/>
      <c r="U270" s="196"/>
      <c r="V270" s="1364">
        <v>1114</v>
      </c>
      <c r="W270" s="431">
        <v>1111</v>
      </c>
      <c r="X270" s="431">
        <v>1106</v>
      </c>
      <c r="Y270" s="1364">
        <v>959</v>
      </c>
      <c r="Z270" s="431">
        <v>968</v>
      </c>
      <c r="AA270" s="431">
        <v>926</v>
      </c>
      <c r="AB270" s="1364">
        <v>931</v>
      </c>
      <c r="AC270" s="431">
        <v>926</v>
      </c>
      <c r="AD270" s="431">
        <v>923</v>
      </c>
      <c r="AE270" s="1364">
        <v>180</v>
      </c>
      <c r="AF270" s="431">
        <v>183</v>
      </c>
      <c r="AG270" s="431">
        <v>176</v>
      </c>
      <c r="AH270" s="1385">
        <v>5331.08</v>
      </c>
      <c r="AI270" s="1385">
        <v>2563.9</v>
      </c>
      <c r="AJ270" s="200"/>
      <c r="AK270" s="200"/>
      <c r="AL270" s="1386">
        <v>2105.42</v>
      </c>
      <c r="AM270" s="1386">
        <v>916.57</v>
      </c>
    </row>
    <row r="271" ht="24" spans="1:30">
      <c r="A271" s="406" t="s">
        <v>0</v>
      </c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  <c r="V271" s="406"/>
      <c r="W271" s="406"/>
      <c r="X271" s="406"/>
      <c r="Y271" s="406"/>
      <c r="Z271" s="406"/>
      <c r="AA271" s="406"/>
      <c r="AB271" s="406"/>
      <c r="AC271" s="406"/>
      <c r="AD271" s="406"/>
    </row>
    <row r="272" ht="15" spans="1:30">
      <c r="A272" s="737" t="s">
        <v>1</v>
      </c>
      <c r="B272" s="737"/>
      <c r="C272" s="1313" t="s">
        <v>210</v>
      </c>
      <c r="D272" s="1314"/>
      <c r="E272" s="1314"/>
      <c r="F272" s="1314"/>
      <c r="G272" s="1314"/>
      <c r="H272" s="1314"/>
      <c r="I272" s="1314"/>
      <c r="J272" s="1314"/>
      <c r="K272" s="703" t="s">
        <v>3</v>
      </c>
      <c r="L272" s="703"/>
      <c r="M272" s="703"/>
      <c r="N272" s="703"/>
      <c r="O272" s="703"/>
      <c r="P272" s="703"/>
      <c r="Q272" s="703"/>
      <c r="R272" s="703"/>
      <c r="S272" s="703"/>
      <c r="T272" s="703"/>
      <c r="U272" s="795"/>
      <c r="V272" s="795"/>
      <c r="W272" s="795"/>
      <c r="X272" s="795"/>
      <c r="Y272" s="795"/>
      <c r="Z272" s="828" t="s">
        <v>4</v>
      </c>
      <c r="AA272" s="828"/>
      <c r="AB272" s="1380">
        <v>43588</v>
      </c>
      <c r="AC272" s="1380"/>
      <c r="AD272" s="1380"/>
    </row>
    <row r="273" ht="28.5" spans="1:30">
      <c r="A273" s="739" t="s">
        <v>5</v>
      </c>
      <c r="B273" s="740"/>
      <c r="C273" s="740"/>
      <c r="D273" s="740"/>
      <c r="E273" s="741"/>
      <c r="F273" s="742" t="s">
        <v>6</v>
      </c>
      <c r="G273" s="743"/>
      <c r="H273" s="743"/>
      <c r="I273" s="743"/>
      <c r="J273" s="787"/>
      <c r="K273" s="788" t="s">
        <v>7</v>
      </c>
      <c r="L273" s="789"/>
      <c r="M273" s="789"/>
      <c r="N273" s="789"/>
      <c r="O273" s="790"/>
      <c r="P273" s="811" t="s">
        <v>8</v>
      </c>
      <c r="Q273" s="812"/>
      <c r="R273" s="812"/>
      <c r="S273" s="812"/>
      <c r="T273" s="813"/>
      <c r="U273" s="814" t="s">
        <v>211</v>
      </c>
      <c r="V273" s="815"/>
      <c r="W273" s="815"/>
      <c r="X273" s="815"/>
      <c r="Y273" s="838"/>
      <c r="Z273" s="839"/>
      <c r="AA273" s="840"/>
      <c r="AB273" s="840"/>
      <c r="AC273" s="840"/>
      <c r="AD273" s="841"/>
    </row>
    <row r="274" ht="29.25" spans="1:30">
      <c r="A274" s="745" t="s">
        <v>11</v>
      </c>
      <c r="B274" s="746" t="s">
        <v>12</v>
      </c>
      <c r="C274" s="746" t="s">
        <v>13</v>
      </c>
      <c r="D274" s="746" t="s">
        <v>14</v>
      </c>
      <c r="E274" s="747" t="s">
        <v>15</v>
      </c>
      <c r="F274" s="748" t="s">
        <v>11</v>
      </c>
      <c r="G274" s="746" t="s">
        <v>12</v>
      </c>
      <c r="H274" s="746" t="s">
        <v>13</v>
      </c>
      <c r="I274" s="746" t="s">
        <v>14</v>
      </c>
      <c r="J274" s="747" t="s">
        <v>15</v>
      </c>
      <c r="K274" s="748" t="s">
        <v>11</v>
      </c>
      <c r="L274" s="746" t="s">
        <v>12</v>
      </c>
      <c r="M274" s="746" t="s">
        <v>13</v>
      </c>
      <c r="N274" s="746" t="s">
        <v>14</v>
      </c>
      <c r="O274" s="747" t="s">
        <v>15</v>
      </c>
      <c r="P274" s="748" t="s">
        <v>11</v>
      </c>
      <c r="Q274" s="746" t="s">
        <v>12</v>
      </c>
      <c r="R274" s="746" t="s">
        <v>13</v>
      </c>
      <c r="S274" s="746" t="s">
        <v>14</v>
      </c>
      <c r="T274" s="747" t="s">
        <v>15</v>
      </c>
      <c r="U274" s="748" t="s">
        <v>11</v>
      </c>
      <c r="V274" s="746" t="s">
        <v>12</v>
      </c>
      <c r="W274" s="910" t="s">
        <v>13</v>
      </c>
      <c r="X274" s="746" t="s">
        <v>14</v>
      </c>
      <c r="Y274" s="747" t="s">
        <v>15</v>
      </c>
      <c r="Z274" s="748" t="s">
        <v>11</v>
      </c>
      <c r="AA274" s="746" t="s">
        <v>12</v>
      </c>
      <c r="AB274" s="746" t="s">
        <v>13</v>
      </c>
      <c r="AC274" s="746" t="s">
        <v>14</v>
      </c>
      <c r="AD274" s="747" t="s">
        <v>15</v>
      </c>
    </row>
    <row r="275" spans="1:30">
      <c r="A275" s="1315">
        <v>2825.91</v>
      </c>
      <c r="B275" s="1315">
        <v>89280</v>
      </c>
      <c r="C275" s="1315">
        <v>54843.2421666667</v>
      </c>
      <c r="D275" s="1316"/>
      <c r="E275" s="1315">
        <v>298153.793633333</v>
      </c>
      <c r="F275" s="1317">
        <v>1136.39</v>
      </c>
      <c r="G275" s="1315">
        <v>35030</v>
      </c>
      <c r="H275" s="1315">
        <v>21626.063</v>
      </c>
      <c r="I275" s="1349"/>
      <c r="J275" s="1350">
        <v>116751.5328</v>
      </c>
      <c r="K275" s="1317">
        <v>1775.344</v>
      </c>
      <c r="L275" s="1315">
        <v>54870</v>
      </c>
      <c r="M275" s="1315">
        <v>33737.607</v>
      </c>
      <c r="N275" s="1315"/>
      <c r="O275" s="1315">
        <v>181961.026</v>
      </c>
      <c r="P275" s="1351"/>
      <c r="Q275" s="1365"/>
      <c r="R275" s="1365"/>
      <c r="S275" s="1349"/>
      <c r="T275" s="1365"/>
      <c r="U275" s="1315">
        <v>1013712</v>
      </c>
      <c r="V275" s="1315">
        <v>32550000</v>
      </c>
      <c r="W275" s="1315">
        <v>19930307.5</v>
      </c>
      <c r="X275" s="1349"/>
      <c r="Y275" s="1315">
        <v>108841356.5</v>
      </c>
      <c r="Z275" s="1381"/>
      <c r="AA275" s="1382"/>
      <c r="AB275" s="1382"/>
      <c r="AC275" s="1382"/>
      <c r="AD275" s="1382"/>
    </row>
    <row r="276" ht="24" spans="1:39">
      <c r="A276" s="406" t="s">
        <v>22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406"/>
      <c r="Z276" s="406"/>
      <c r="AA276" s="406"/>
      <c r="AB276" s="406"/>
      <c r="AC276" s="406"/>
      <c r="AD276" s="406"/>
      <c r="AE276" s="406"/>
      <c r="AF276" s="406"/>
      <c r="AG276" s="406"/>
      <c r="AH276" s="406"/>
      <c r="AI276" s="406"/>
      <c r="AJ276" s="406"/>
      <c r="AK276" s="406"/>
      <c r="AL276" s="445"/>
      <c r="AM276" s="111"/>
    </row>
    <row r="277" spans="1:39">
      <c r="A277" s="497" t="s">
        <v>1</v>
      </c>
      <c r="B277" s="497"/>
      <c r="C277" s="1318" t="s">
        <v>212</v>
      </c>
      <c r="D277" s="1318"/>
      <c r="E277" s="1318"/>
      <c r="F277" s="1318"/>
      <c r="G277" s="1318"/>
      <c r="H277" s="1318"/>
      <c r="I277" s="1318"/>
      <c r="J277" s="1318"/>
      <c r="K277" s="1318"/>
      <c r="L277" s="1318"/>
      <c r="M277" s="756"/>
      <c r="N277" s="756"/>
      <c r="O277" s="497" t="s">
        <v>23</v>
      </c>
      <c r="P277" s="497"/>
      <c r="Q277" s="497"/>
      <c r="R277" s="497"/>
      <c r="S277" s="497"/>
      <c r="T277" s="497"/>
      <c r="U277" s="497"/>
      <c r="V277" s="497"/>
      <c r="W277" s="497"/>
      <c r="X277" s="497"/>
      <c r="Y277" s="111"/>
      <c r="Z277" s="111"/>
      <c r="AA277" s="111"/>
      <c r="AB277" s="111"/>
      <c r="AC277" s="111"/>
      <c r="AD277" s="111"/>
      <c r="AE277" s="497" t="s">
        <v>4</v>
      </c>
      <c r="AF277" s="497"/>
      <c r="AG277" s="497"/>
      <c r="AH277" s="1387" t="s">
        <v>24</v>
      </c>
      <c r="AI277" s="1387"/>
      <c r="AJ277" s="1387"/>
      <c r="AK277" s="1387"/>
      <c r="AL277" s="111"/>
      <c r="AM277" s="111"/>
    </row>
    <row r="278" ht="40.5" spans="1:39">
      <c r="A278" s="431"/>
      <c r="B278" s="1319" t="s">
        <v>25</v>
      </c>
      <c r="C278" s="1319"/>
      <c r="D278" s="1319"/>
      <c r="E278" s="1319"/>
      <c r="F278" s="1319"/>
      <c r="G278" s="1319" t="s">
        <v>28</v>
      </c>
      <c r="H278" s="1319"/>
      <c r="I278" s="1319"/>
      <c r="J278" s="1319"/>
      <c r="K278" s="1319"/>
      <c r="L278" s="1352" t="s">
        <v>29</v>
      </c>
      <c r="M278" s="1352"/>
      <c r="N278" s="1352"/>
      <c r="O278" s="1352"/>
      <c r="P278" s="1319" t="s">
        <v>30</v>
      </c>
      <c r="Q278" s="1319"/>
      <c r="R278" s="1319"/>
      <c r="S278" s="1319" t="s">
        <v>31</v>
      </c>
      <c r="T278" s="1319"/>
      <c r="U278" s="1319"/>
      <c r="V278" s="561" t="s">
        <v>32</v>
      </c>
      <c r="W278" s="561"/>
      <c r="X278" s="561"/>
      <c r="Y278" s="561" t="s">
        <v>33</v>
      </c>
      <c r="Z278" s="561"/>
      <c r="AA278" s="561"/>
      <c r="AB278" s="561" t="s">
        <v>34</v>
      </c>
      <c r="AC278" s="561"/>
      <c r="AD278" s="561"/>
      <c r="AE278" s="561" t="s">
        <v>35</v>
      </c>
      <c r="AF278" s="561"/>
      <c r="AG278" s="561"/>
      <c r="AH278" s="847" t="s">
        <v>54</v>
      </c>
      <c r="AI278" s="847"/>
      <c r="AJ278" s="847"/>
      <c r="AK278" s="847"/>
      <c r="AL278" s="1388" t="s">
        <v>55</v>
      </c>
      <c r="AM278" s="1388"/>
    </row>
    <row r="279" ht="24" spans="1:39">
      <c r="A279" s="431"/>
      <c r="B279" s="196" t="s">
        <v>11</v>
      </c>
      <c r="C279" s="196" t="s">
        <v>37</v>
      </c>
      <c r="D279" s="196" t="s">
        <v>38</v>
      </c>
      <c r="E279" s="413" t="s">
        <v>39</v>
      </c>
      <c r="F279" s="413" t="s">
        <v>40</v>
      </c>
      <c r="G279" s="196" t="s">
        <v>11</v>
      </c>
      <c r="H279" s="196" t="s">
        <v>37</v>
      </c>
      <c r="I279" s="196" t="s">
        <v>38</v>
      </c>
      <c r="J279" s="432" t="s">
        <v>41</v>
      </c>
      <c r="K279" s="432" t="s">
        <v>40</v>
      </c>
      <c r="L279" s="196" t="s">
        <v>11</v>
      </c>
      <c r="M279" s="196" t="s">
        <v>37</v>
      </c>
      <c r="N279" s="196" t="s">
        <v>38</v>
      </c>
      <c r="O279" s="432" t="s">
        <v>41</v>
      </c>
      <c r="P279" s="196" t="s">
        <v>11</v>
      </c>
      <c r="Q279" s="196" t="s">
        <v>37</v>
      </c>
      <c r="R279" s="196" t="s">
        <v>38</v>
      </c>
      <c r="S279" s="432" t="s">
        <v>11</v>
      </c>
      <c r="T279" s="196" t="s">
        <v>37</v>
      </c>
      <c r="U279" s="196" t="s">
        <v>38</v>
      </c>
      <c r="V279" s="196" t="s">
        <v>11</v>
      </c>
      <c r="W279" s="196" t="s">
        <v>37</v>
      </c>
      <c r="X279" s="196" t="s">
        <v>38</v>
      </c>
      <c r="Y279" s="196" t="s">
        <v>11</v>
      </c>
      <c r="Z279" s="196" t="s">
        <v>37</v>
      </c>
      <c r="AA279" s="196" t="s">
        <v>38</v>
      </c>
      <c r="AB279" s="196" t="s">
        <v>11</v>
      </c>
      <c r="AC279" s="196" t="s">
        <v>37</v>
      </c>
      <c r="AD279" s="196" t="s">
        <v>38</v>
      </c>
      <c r="AE279" s="196" t="s">
        <v>11</v>
      </c>
      <c r="AF279" s="196" t="s">
        <v>37</v>
      </c>
      <c r="AG279" s="196" t="s">
        <v>38</v>
      </c>
      <c r="AH279" s="432" t="s">
        <v>42</v>
      </c>
      <c r="AI279" s="432" t="s">
        <v>43</v>
      </c>
      <c r="AJ279" s="432" t="s">
        <v>44</v>
      </c>
      <c r="AK279" s="432" t="s">
        <v>45</v>
      </c>
      <c r="AL279" s="432" t="s">
        <v>56</v>
      </c>
      <c r="AM279" s="196" t="s">
        <v>57</v>
      </c>
    </row>
    <row r="280" spans="1:39">
      <c r="A280" s="197"/>
      <c r="B280" s="1320">
        <v>2013.872</v>
      </c>
      <c r="C280" s="1320">
        <v>34429.674</v>
      </c>
      <c r="D280" s="1320">
        <v>188449.877</v>
      </c>
      <c r="E280" s="1321">
        <v>2070</v>
      </c>
      <c r="F280" s="1320">
        <v>2153.05800000001</v>
      </c>
      <c r="G280" s="1321"/>
      <c r="H280" s="1321"/>
      <c r="I280" s="1321"/>
      <c r="J280" s="1321"/>
      <c r="K280" s="1321"/>
      <c r="L280" s="1321">
        <v>63.28</v>
      </c>
      <c r="M280" s="1321">
        <v>827.28</v>
      </c>
      <c r="N280" s="1321">
        <v>5753.94</v>
      </c>
      <c r="O280" s="1321">
        <v>3350</v>
      </c>
      <c r="P280" s="1321"/>
      <c r="Q280" s="1321"/>
      <c r="R280" s="1321"/>
      <c r="S280" s="1321"/>
      <c r="T280" s="1321"/>
      <c r="U280" s="1321"/>
      <c r="V280" s="1320">
        <v>1058.9296899052</v>
      </c>
      <c r="W280" s="1320">
        <v>1038.51354788461</v>
      </c>
      <c r="X280" s="1321">
        <v>1047.78853532623</v>
      </c>
      <c r="Y280" s="1320">
        <v>235.229713614376</v>
      </c>
      <c r="Z280" s="1320">
        <v>232.396070992071</v>
      </c>
      <c r="AA280" s="1321">
        <v>233.00361724188</v>
      </c>
      <c r="AB280" s="1320">
        <v>817.869663569427</v>
      </c>
      <c r="AC280" s="1320">
        <v>818.192009070419</v>
      </c>
      <c r="AD280" s="1321">
        <v>818.710668470253</v>
      </c>
      <c r="AE280" s="1320">
        <v>140.141854198398</v>
      </c>
      <c r="AF280" s="1320">
        <v>140.969468016915</v>
      </c>
      <c r="AG280" s="1321">
        <v>141.561177635844</v>
      </c>
      <c r="AH280" s="1320">
        <v>24120.307</v>
      </c>
      <c r="AI280" s="1320">
        <v>2992.44</v>
      </c>
      <c r="AJ280" s="1321"/>
      <c r="AK280" s="1320">
        <v>540.82</v>
      </c>
      <c r="AL280" s="1320">
        <v>8997.7500000001</v>
      </c>
      <c r="AM280" s="1320">
        <v>1901.6</v>
      </c>
    </row>
    <row r="281" ht="24" spans="1:41">
      <c r="A281" s="111"/>
      <c r="B281" s="406" t="s">
        <v>0</v>
      </c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1353" t="s">
        <v>213</v>
      </c>
      <c r="O281" s="1353">
        <v>3500</v>
      </c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406"/>
      <c r="AB281" s="406"/>
      <c r="AC281" s="406"/>
      <c r="AD281" s="406"/>
      <c r="AE281" s="406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</row>
    <row r="282" ht="15" spans="1:41">
      <c r="A282" s="703" t="s">
        <v>1</v>
      </c>
      <c r="B282" s="703"/>
      <c r="C282" s="1026" t="s">
        <v>214</v>
      </c>
      <c r="D282" s="1026"/>
      <c r="E282" s="1026"/>
      <c r="F282" s="1026"/>
      <c r="G282" s="1026"/>
      <c r="H282" s="1026"/>
      <c r="I282" s="1026"/>
      <c r="J282" s="1026"/>
      <c r="K282" s="1026"/>
      <c r="L282" s="674" t="s">
        <v>3</v>
      </c>
      <c r="M282" s="703"/>
      <c r="N282" s="703"/>
      <c r="O282" s="703"/>
      <c r="P282" s="703"/>
      <c r="Q282" s="703"/>
      <c r="R282" s="703"/>
      <c r="S282" s="703"/>
      <c r="T282" s="703"/>
      <c r="U282" s="703"/>
      <c r="V282" s="795"/>
      <c r="W282" s="795"/>
      <c r="X282" s="795"/>
      <c r="Y282" s="795"/>
      <c r="Z282" s="795"/>
      <c r="AA282" s="828" t="s">
        <v>4</v>
      </c>
      <c r="AB282" s="828"/>
      <c r="AC282" s="828">
        <v>40991</v>
      </c>
      <c r="AD282" s="828"/>
      <c r="AE282" s="828"/>
      <c r="AF282" s="111"/>
      <c r="AG282" s="111"/>
      <c r="AH282" s="111"/>
      <c r="AI282" s="111"/>
      <c r="AJ282" s="111"/>
      <c r="AK282" s="111" t="s">
        <v>48</v>
      </c>
      <c r="AL282" s="111" t="s">
        <v>48</v>
      </c>
      <c r="AM282" s="1290" t="s">
        <v>48</v>
      </c>
      <c r="AN282" s="1290" t="s">
        <v>48</v>
      </c>
      <c r="AO282" s="111"/>
    </row>
    <row r="283" ht="28.5" spans="1:41">
      <c r="A283" s="738"/>
      <c r="B283" s="739" t="s">
        <v>5</v>
      </c>
      <c r="C283" s="740"/>
      <c r="D283" s="740"/>
      <c r="E283" s="740"/>
      <c r="F283" s="741"/>
      <c r="G283" s="742" t="s">
        <v>6</v>
      </c>
      <c r="H283" s="743"/>
      <c r="I283" s="743"/>
      <c r="J283" s="743"/>
      <c r="K283" s="787"/>
      <c r="L283" s="788" t="s">
        <v>7</v>
      </c>
      <c r="M283" s="789"/>
      <c r="N283" s="789"/>
      <c r="O283" s="789"/>
      <c r="P283" s="790"/>
      <c r="Q283" s="811" t="s">
        <v>8</v>
      </c>
      <c r="R283" s="812"/>
      <c r="S283" s="812"/>
      <c r="T283" s="812"/>
      <c r="U283" s="813"/>
      <c r="V283" s="814" t="s">
        <v>9</v>
      </c>
      <c r="W283" s="815"/>
      <c r="X283" s="815"/>
      <c r="Y283" s="815"/>
      <c r="Z283" s="838"/>
      <c r="AA283" s="839" t="s">
        <v>10</v>
      </c>
      <c r="AB283" s="840"/>
      <c r="AC283" s="840"/>
      <c r="AD283" s="840"/>
      <c r="AE283" s="841"/>
      <c r="AF283" s="1280" t="s">
        <v>190</v>
      </c>
      <c r="AG283" s="1291"/>
      <c r="AH283" s="1291"/>
      <c r="AI283" s="1291"/>
      <c r="AJ283" s="1291"/>
      <c r="AK283" s="1292" t="s">
        <v>191</v>
      </c>
      <c r="AL283" s="1293"/>
      <c r="AM283" s="1293"/>
      <c r="AN283" s="1293"/>
      <c r="AO283" s="1297"/>
    </row>
    <row r="284" ht="29.25" spans="1:41">
      <c r="A284" s="744"/>
      <c r="B284" s="745" t="s">
        <v>11</v>
      </c>
      <c r="C284" s="746" t="s">
        <v>12</v>
      </c>
      <c r="D284" s="746" t="s">
        <v>13</v>
      </c>
      <c r="E284" s="746" t="s">
        <v>14</v>
      </c>
      <c r="F284" s="747" t="s">
        <v>15</v>
      </c>
      <c r="G284" s="748" t="s">
        <v>11</v>
      </c>
      <c r="H284" s="746" t="s">
        <v>12</v>
      </c>
      <c r="I284" s="746" t="s">
        <v>13</v>
      </c>
      <c r="J284" s="746" t="s">
        <v>14</v>
      </c>
      <c r="K284" s="747" t="s">
        <v>15</v>
      </c>
      <c r="L284" s="748" t="s">
        <v>11</v>
      </c>
      <c r="M284" s="746" t="s">
        <v>12</v>
      </c>
      <c r="N284" s="746" t="s">
        <v>13</v>
      </c>
      <c r="O284" s="746" t="s">
        <v>14</v>
      </c>
      <c r="P284" s="747" t="s">
        <v>15</v>
      </c>
      <c r="Q284" s="912" t="s">
        <v>11</v>
      </c>
      <c r="R284" s="910" t="s">
        <v>12</v>
      </c>
      <c r="S284" s="910" t="s">
        <v>13</v>
      </c>
      <c r="T284" s="910" t="s">
        <v>14</v>
      </c>
      <c r="U284" s="911" t="s">
        <v>15</v>
      </c>
      <c r="V284" s="748" t="s">
        <v>11</v>
      </c>
      <c r="W284" s="746" t="s">
        <v>12</v>
      </c>
      <c r="X284" s="746" t="s">
        <v>13</v>
      </c>
      <c r="Y284" s="746" t="s">
        <v>14</v>
      </c>
      <c r="Z284" s="747" t="s">
        <v>15</v>
      </c>
      <c r="AA284" s="748" t="s">
        <v>11</v>
      </c>
      <c r="AB284" s="746" t="s">
        <v>12</v>
      </c>
      <c r="AC284" s="746" t="s">
        <v>13</v>
      </c>
      <c r="AD284" s="746" t="s">
        <v>14</v>
      </c>
      <c r="AE284" s="911" t="s">
        <v>15</v>
      </c>
      <c r="AF284" s="912" t="s">
        <v>11</v>
      </c>
      <c r="AG284" s="910" t="s">
        <v>12</v>
      </c>
      <c r="AH284" s="910" t="s">
        <v>13</v>
      </c>
      <c r="AI284" s="910" t="s">
        <v>14</v>
      </c>
      <c r="AJ284" s="911" t="s">
        <v>15</v>
      </c>
      <c r="AK284" s="912" t="s">
        <v>11</v>
      </c>
      <c r="AL284" s="910" t="s">
        <v>12</v>
      </c>
      <c r="AM284" s="910" t="s">
        <v>13</v>
      </c>
      <c r="AN284" s="910" t="s">
        <v>14</v>
      </c>
      <c r="AO284" s="911" t="s">
        <v>15</v>
      </c>
    </row>
    <row r="285" ht="15" spans="1:41">
      <c r="A285" s="65"/>
      <c r="B285" s="1322">
        <v>0</v>
      </c>
      <c r="C285" s="1213"/>
      <c r="D285" s="1213"/>
      <c r="E285" s="1213"/>
      <c r="F285" s="1213"/>
      <c r="G285" s="1214"/>
      <c r="H285" s="1215"/>
      <c r="I285" s="1215"/>
      <c r="J285" s="1215"/>
      <c r="K285" s="1215"/>
      <c r="L285" s="1214"/>
      <c r="M285" s="1215"/>
      <c r="N285" s="1215"/>
      <c r="O285" s="1215"/>
      <c r="P285" s="1215"/>
      <c r="Q285" s="1366">
        <v>0</v>
      </c>
      <c r="R285" s="1367"/>
      <c r="S285" s="1368">
        <v>36100.35</v>
      </c>
      <c r="T285" s="90"/>
      <c r="U285" s="1369">
        <v>339836.35</v>
      </c>
      <c r="V285" s="897"/>
      <c r="W285" s="897"/>
      <c r="X285" s="897"/>
      <c r="Y285" s="842"/>
      <c r="Z285" s="897"/>
      <c r="AA285" s="897"/>
      <c r="AB285" s="897"/>
      <c r="AC285" s="710"/>
      <c r="AD285" s="490"/>
      <c r="AE285" s="490"/>
      <c r="AF285" s="490"/>
      <c r="AG285" s="490"/>
      <c r="AH285" s="490"/>
      <c r="AI285" s="1389"/>
      <c r="AJ285" s="542"/>
      <c r="AK285" s="93"/>
      <c r="AL285" s="76"/>
      <c r="AM285" s="93"/>
      <c r="AN285" s="490"/>
      <c r="AO285" s="490"/>
    </row>
    <row r="286" ht="15" spans="1:41">
      <c r="A286" s="65"/>
      <c r="B286" s="1323"/>
      <c r="C286" s="1323"/>
      <c r="D286" s="1323" t="s">
        <v>48</v>
      </c>
      <c r="E286" s="1323"/>
      <c r="F286" s="1323" t="s">
        <v>48</v>
      </c>
      <c r="G286" s="1214"/>
      <c r="H286" s="1215"/>
      <c r="I286" s="1215"/>
      <c r="J286" s="1215"/>
      <c r="K286" s="1215"/>
      <c r="L286" s="1214"/>
      <c r="M286" s="1215"/>
      <c r="N286" s="1215"/>
      <c r="O286" s="1215"/>
      <c r="P286" s="1215"/>
      <c r="Q286" s="1370"/>
      <c r="R286" s="710"/>
      <c r="S286" s="490"/>
      <c r="T286" s="710"/>
      <c r="U286" s="490"/>
      <c r="V286" s="842"/>
      <c r="W286" s="897"/>
      <c r="X286" s="897"/>
      <c r="Y286" s="897"/>
      <c r="Z286" s="897"/>
      <c r="AA286" s="842"/>
      <c r="AB286" s="897"/>
      <c r="AC286" s="897"/>
      <c r="AD286" s="897"/>
      <c r="AE286" s="710"/>
      <c r="AF286" s="490"/>
      <c r="AG286" s="490"/>
      <c r="AH286" s="490"/>
      <c r="AI286" s="490"/>
      <c r="AJ286" s="490"/>
      <c r="AK286" s="1294"/>
      <c r="AL286" s="542"/>
      <c r="AM286" s="1390" t="s">
        <v>48</v>
      </c>
      <c r="AN286" s="542"/>
      <c r="AO286" s="542"/>
    </row>
    <row r="287" spans="1:41">
      <c r="A287" s="65"/>
      <c r="B287" s="1323"/>
      <c r="C287" s="1323"/>
      <c r="D287" s="1323"/>
      <c r="E287" s="1323"/>
      <c r="F287" s="1323"/>
      <c r="G287" s="1214"/>
      <c r="H287" s="1215"/>
      <c r="I287" s="1215"/>
      <c r="J287" s="1215"/>
      <c r="K287" s="1215"/>
      <c r="L287" s="1214"/>
      <c r="M287" s="1215"/>
      <c r="N287" s="1215"/>
      <c r="O287" s="1215"/>
      <c r="P287" s="1215"/>
      <c r="Q287" s="1214"/>
      <c r="R287" s="897"/>
      <c r="S287" s="897"/>
      <c r="T287" s="897"/>
      <c r="U287" s="897"/>
      <c r="V287" s="842"/>
      <c r="W287" s="897"/>
      <c r="X287" s="897"/>
      <c r="Y287" s="897"/>
      <c r="Z287" s="897"/>
      <c r="AA287" s="842"/>
      <c r="AB287" s="897"/>
      <c r="AC287" s="897"/>
      <c r="AD287" s="897"/>
      <c r="AE287" s="710"/>
      <c r="AF287" s="490"/>
      <c r="AG287" s="490"/>
      <c r="AH287" s="490"/>
      <c r="AI287" s="490"/>
      <c r="AJ287" s="490"/>
      <c r="AK287" s="563"/>
      <c r="AL287" s="542"/>
      <c r="AM287" s="542"/>
      <c r="AN287" s="542"/>
      <c r="AO287" s="542"/>
    </row>
    <row r="288" spans="1:41">
      <c r="A288" s="1226"/>
      <c r="B288" s="1324"/>
      <c r="C288" s="1324"/>
      <c r="D288" s="1324"/>
      <c r="E288" s="1324"/>
      <c r="F288" s="1324"/>
      <c r="G288" s="1324"/>
      <c r="H288" s="1324"/>
      <c r="I288" s="1324"/>
      <c r="J288" s="1324"/>
      <c r="K288" s="1354"/>
      <c r="L288" s="1324"/>
      <c r="M288" s="1324"/>
      <c r="N288" s="1324"/>
      <c r="O288" s="1324"/>
      <c r="P288" s="1324"/>
      <c r="Q288" s="1324"/>
      <c r="R288" s="431"/>
      <c r="S288" s="431"/>
      <c r="T288" s="431"/>
      <c r="U288" s="431"/>
      <c r="V288" s="876"/>
      <c r="W288" s="431"/>
      <c r="X288" s="431"/>
      <c r="Y288" s="431"/>
      <c r="Z288" s="431"/>
      <c r="AA288" s="876"/>
      <c r="AB288" s="431"/>
      <c r="AC288" s="431"/>
      <c r="AD288" s="431"/>
      <c r="AE288" s="431"/>
      <c r="AF288" s="1226"/>
      <c r="AG288" s="1226"/>
      <c r="AH288" s="1226"/>
      <c r="AI288" s="1226"/>
      <c r="AJ288" s="1226"/>
      <c r="AK288" s="431"/>
      <c r="AL288" s="1226"/>
      <c r="AM288" s="1226"/>
      <c r="AN288" s="1226" t="s">
        <v>48</v>
      </c>
      <c r="AO288" s="1226"/>
    </row>
    <row r="289" spans="1:41">
      <c r="A289" s="915"/>
      <c r="B289" s="719"/>
      <c r="C289" s="719"/>
      <c r="D289" s="719"/>
      <c r="E289" s="719"/>
      <c r="F289" s="719"/>
      <c r="G289" s="719"/>
      <c r="H289" s="719"/>
      <c r="I289" s="719"/>
      <c r="J289" s="719"/>
      <c r="K289" s="915"/>
      <c r="L289" s="719"/>
      <c r="M289" s="719"/>
      <c r="N289" s="719"/>
      <c r="O289" s="719"/>
      <c r="P289" s="719"/>
      <c r="Q289" s="719"/>
      <c r="R289" s="719"/>
      <c r="S289" s="719"/>
      <c r="T289" s="719"/>
      <c r="U289" s="719"/>
      <c r="V289" s="719"/>
      <c r="W289" s="719"/>
      <c r="X289" s="719"/>
      <c r="Y289" s="719"/>
      <c r="Z289" s="719"/>
      <c r="AA289" s="719"/>
      <c r="AB289" s="719"/>
      <c r="AC289" s="719"/>
      <c r="AD289" s="719"/>
      <c r="AE289" s="719"/>
      <c r="AF289" s="915"/>
      <c r="AG289" s="915"/>
      <c r="AH289" s="915"/>
      <c r="AI289" s="915"/>
      <c r="AJ289" s="915"/>
      <c r="AK289" s="915"/>
      <c r="AL289" s="915"/>
      <c r="AM289" s="915"/>
      <c r="AN289" s="915"/>
      <c r="AO289" s="915"/>
    </row>
    <row r="290" spans="1:41">
      <c r="A290" s="1325" t="s">
        <v>215</v>
      </c>
      <c r="B290" s="427"/>
      <c r="C290" s="427"/>
      <c r="D290" s="427"/>
      <c r="E290" s="427"/>
      <c r="F290" s="427"/>
      <c r="G290" s="427"/>
      <c r="H290" s="427"/>
      <c r="I290" s="427"/>
      <c r="J290" s="427"/>
      <c r="K290" s="427"/>
      <c r="L290" s="427"/>
      <c r="M290" s="427"/>
      <c r="N290" s="427"/>
      <c r="O290" s="427"/>
      <c r="P290" s="427"/>
      <c r="Q290" s="427"/>
      <c r="R290" s="427"/>
      <c r="S290" s="427"/>
      <c r="T290" s="427"/>
      <c r="U290" s="427"/>
      <c r="V290" s="427"/>
      <c r="W290" s="427"/>
      <c r="X290" s="427"/>
      <c r="Y290" s="427"/>
      <c r="Z290" s="427"/>
      <c r="AA290" s="427"/>
      <c r="AB290" s="427"/>
      <c r="AC290" s="427"/>
      <c r="AD290" s="427"/>
      <c r="AE290" s="427"/>
      <c r="AF290" s="427"/>
      <c r="AG290" s="427"/>
      <c r="AH290" s="427"/>
      <c r="AI290" s="427"/>
      <c r="AJ290" s="427"/>
      <c r="AK290" s="427"/>
      <c r="AL290" s="427"/>
      <c r="AM290" s="427"/>
      <c r="AN290" s="427"/>
      <c r="AO290" s="427"/>
    </row>
    <row r="291" ht="24" spans="1:41">
      <c r="A291" s="406" t="s">
        <v>22</v>
      </c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6"/>
      <c r="O291" s="406"/>
      <c r="P291" s="406"/>
      <c r="Q291" s="406"/>
      <c r="R291" s="406"/>
      <c r="S291" s="406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</row>
    <row r="292" spans="1:41">
      <c r="A292" s="776" t="s">
        <v>1</v>
      </c>
      <c r="B292" s="497"/>
      <c r="C292" s="497" t="s">
        <v>214</v>
      </c>
      <c r="D292" s="497"/>
      <c r="E292" s="497"/>
      <c r="F292" s="497"/>
      <c r="G292" s="497"/>
      <c r="H292" s="497"/>
      <c r="I292" s="497"/>
      <c r="J292" s="497"/>
      <c r="K292" s="497"/>
      <c r="L292" s="497"/>
      <c r="M292" s="756"/>
      <c r="N292" s="497" t="s">
        <v>216</v>
      </c>
      <c r="O292" s="497"/>
      <c r="P292" s="101"/>
      <c r="Q292" s="101"/>
      <c r="R292" s="101"/>
      <c r="S292" s="10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</row>
    <row r="293" spans="1:41">
      <c r="A293" s="490"/>
      <c r="B293" s="1216" t="s">
        <v>217</v>
      </c>
      <c r="C293" s="1217"/>
      <c r="D293" s="1217"/>
      <c r="E293" s="1217"/>
      <c r="F293" s="1218"/>
      <c r="G293" s="1218"/>
      <c r="H293" s="1218"/>
      <c r="I293" s="1218"/>
      <c r="J293" s="1218"/>
      <c r="K293" s="1218"/>
      <c r="L293" s="1218"/>
      <c r="M293" s="1265" t="s">
        <v>194</v>
      </c>
      <c r="N293" s="1265"/>
      <c r="O293" s="1265"/>
      <c r="P293" s="93" t="s">
        <v>218</v>
      </c>
      <c r="Q293" s="93"/>
      <c r="R293" s="93"/>
      <c r="S293" s="1371" t="s">
        <v>40</v>
      </c>
      <c r="T293" s="1372"/>
      <c r="U293" s="1372"/>
      <c r="V293" s="1372"/>
      <c r="W293" s="1372"/>
      <c r="X293" s="1372"/>
      <c r="Y293" s="1372"/>
      <c r="Z293" s="1372"/>
      <c r="AA293" s="1372"/>
      <c r="AB293" s="1372"/>
      <c r="AC293" s="1372"/>
      <c r="AD293" s="1372"/>
      <c r="AE293" s="1372"/>
      <c r="AF293" s="1372"/>
      <c r="AG293" s="1372"/>
      <c r="AH293" s="1372"/>
      <c r="AI293" s="1372"/>
      <c r="AJ293" s="1372"/>
      <c r="AK293" s="1372"/>
      <c r="AL293" s="111"/>
      <c r="AM293" s="111"/>
      <c r="AN293" s="111"/>
      <c r="AO293" s="111"/>
    </row>
    <row r="294" ht="24" spans="1:41">
      <c r="A294" s="490"/>
      <c r="B294" s="431" t="s">
        <v>11</v>
      </c>
      <c r="C294" s="431" t="s">
        <v>37</v>
      </c>
      <c r="D294" s="431" t="s">
        <v>38</v>
      </c>
      <c r="E294" s="80" t="s">
        <v>39</v>
      </c>
      <c r="F294" s="431" t="s">
        <v>40</v>
      </c>
      <c r="G294" s="431"/>
      <c r="H294" s="431"/>
      <c r="I294" s="431"/>
      <c r="J294" s="431"/>
      <c r="K294" s="431"/>
      <c r="L294" s="431"/>
      <c r="M294" s="431" t="s">
        <v>11</v>
      </c>
      <c r="N294" s="431" t="s">
        <v>37</v>
      </c>
      <c r="O294" s="431" t="s">
        <v>38</v>
      </c>
      <c r="P294" s="128" t="s">
        <v>11</v>
      </c>
      <c r="Q294" s="128" t="s">
        <v>37</v>
      </c>
      <c r="R294" s="128" t="s">
        <v>38</v>
      </c>
      <c r="S294" s="1373" t="s">
        <v>219</v>
      </c>
      <c r="T294" s="698" t="s">
        <v>57</v>
      </c>
      <c r="U294" s="890" t="s">
        <v>220</v>
      </c>
      <c r="V294" s="698" t="s">
        <v>57</v>
      </c>
      <c r="W294" s="698" t="s">
        <v>57</v>
      </c>
      <c r="X294" s="542" t="s">
        <v>221</v>
      </c>
      <c r="Y294" s="542"/>
      <c r="Z294" s="542" t="s">
        <v>222</v>
      </c>
      <c r="AA294" s="542"/>
      <c r="AB294" s="542"/>
      <c r="AC294" s="542"/>
      <c r="AD294" s="542"/>
      <c r="AE294" s="542"/>
      <c r="AF294" s="542"/>
      <c r="AG294" s="542"/>
      <c r="AH294" s="542"/>
      <c r="AI294" s="542"/>
      <c r="AJ294" s="542"/>
      <c r="AK294" s="542" t="s">
        <v>57</v>
      </c>
      <c r="AL294" s="111"/>
      <c r="AM294" s="111"/>
      <c r="AN294" s="111"/>
      <c r="AO294" s="111"/>
    </row>
    <row r="295" ht="15" spans="1:41">
      <c r="A295" s="76"/>
      <c r="B295" s="1326">
        <v>796.8</v>
      </c>
      <c r="C295" s="90">
        <v>30726.06</v>
      </c>
      <c r="D295" s="90">
        <v>307774.86</v>
      </c>
      <c r="E295" s="1327">
        <v>2220</v>
      </c>
      <c r="F295" s="1327">
        <v>15223.6</v>
      </c>
      <c r="G295" s="1328"/>
      <c r="H295" s="1328"/>
      <c r="I295" s="1328"/>
      <c r="J295" s="1328"/>
      <c r="K295" s="1328"/>
      <c r="L295" s="1328"/>
      <c r="M295" s="1355">
        <v>0</v>
      </c>
      <c r="N295" s="1355">
        <v>1.35752710557434</v>
      </c>
      <c r="O295" s="1355">
        <v>1.39374558857239</v>
      </c>
      <c r="P295" s="1356">
        <v>0</v>
      </c>
      <c r="Q295" s="1356">
        <v>312.61595856303</v>
      </c>
      <c r="R295" s="1356">
        <v>249.170594870375</v>
      </c>
      <c r="S295" s="1374">
        <v>13612.6</v>
      </c>
      <c r="T295" s="1374">
        <v>481.1</v>
      </c>
      <c r="U295" s="1375">
        <v>59225.23</v>
      </c>
      <c r="V295" s="1376">
        <v>0</v>
      </c>
      <c r="W295" s="1377"/>
      <c r="X295" s="1331">
        <v>0</v>
      </c>
      <c r="Y295" s="1333"/>
      <c r="Z295" s="76">
        <v>221</v>
      </c>
      <c r="AA295" s="490"/>
      <c r="AB295" s="490"/>
      <c r="AC295" s="490"/>
      <c r="AD295" s="490"/>
      <c r="AE295" s="490"/>
      <c r="AF295" s="490"/>
      <c r="AG295" s="490"/>
      <c r="AH295" s="490"/>
      <c r="AI295" s="490"/>
      <c r="AJ295" s="490"/>
      <c r="AK295" s="76"/>
      <c r="AL295" s="111"/>
      <c r="AM295" s="111"/>
      <c r="AN295" s="111"/>
      <c r="AO295" s="111"/>
    </row>
    <row r="296" spans="1:41">
      <c r="A296" s="76"/>
      <c r="B296" s="1329"/>
      <c r="C296" s="93"/>
      <c r="D296" s="1219"/>
      <c r="E296" s="1220"/>
      <c r="F296" s="76"/>
      <c r="G296" s="76"/>
      <c r="H296" s="76"/>
      <c r="I296" s="76"/>
      <c r="J296" s="76"/>
      <c r="K296" s="76"/>
      <c r="L296" s="76"/>
      <c r="M296" s="1357"/>
      <c r="N296" s="85"/>
      <c r="O296" s="85"/>
      <c r="P296" s="1357"/>
      <c r="Q296" s="85"/>
      <c r="R296" s="85"/>
      <c r="S296" s="490"/>
      <c r="T296" s="490"/>
      <c r="U296" s="490"/>
      <c r="V296" s="490"/>
      <c r="W296" s="490"/>
      <c r="X296" s="490"/>
      <c r="Y296" s="490"/>
      <c r="Z296" s="490"/>
      <c r="AA296" s="490"/>
      <c r="AB296" s="490"/>
      <c r="AC296" s="490"/>
      <c r="AD296" s="490"/>
      <c r="AE296" s="490"/>
      <c r="AF296" s="490"/>
      <c r="AG296" s="490"/>
      <c r="AH296" s="490"/>
      <c r="AI296" s="490"/>
      <c r="AJ296" s="490"/>
      <c r="AK296" s="490"/>
      <c r="AL296" s="111"/>
      <c r="AM296" s="111"/>
      <c r="AN296" s="111"/>
      <c r="AO296" s="111"/>
    </row>
    <row r="297" spans="1:41">
      <c r="A297" s="76"/>
      <c r="B297" s="1330"/>
      <c r="C297" s="76"/>
      <c r="D297" s="76"/>
      <c r="E297" s="431"/>
      <c r="F297" s="76"/>
      <c r="G297" s="76"/>
      <c r="H297" s="76"/>
      <c r="I297" s="76"/>
      <c r="J297" s="76"/>
      <c r="K297" s="76"/>
      <c r="L297" s="76"/>
      <c r="M297" s="1357"/>
      <c r="N297" s="85"/>
      <c r="O297" s="85"/>
      <c r="P297" s="85"/>
      <c r="Q297" s="85"/>
      <c r="R297" s="85"/>
      <c r="S297" s="85"/>
      <c r="T297" s="490"/>
      <c r="U297" s="490"/>
      <c r="V297" s="490"/>
      <c r="W297" s="490"/>
      <c r="X297" s="490"/>
      <c r="Y297" s="490"/>
      <c r="Z297" s="490"/>
      <c r="AA297" s="490"/>
      <c r="AB297" s="490"/>
      <c r="AC297" s="490"/>
      <c r="AD297" s="490"/>
      <c r="AE297" s="490"/>
      <c r="AF297" s="490"/>
      <c r="AG297" s="490"/>
      <c r="AH297" s="490"/>
      <c r="AI297" s="490"/>
      <c r="AJ297" s="490"/>
      <c r="AK297" s="490"/>
      <c r="AL297" s="111"/>
      <c r="AM297" s="111"/>
      <c r="AN297" s="111"/>
      <c r="AO297" s="111"/>
    </row>
    <row r="298" spans="1:41">
      <c r="A298" s="76"/>
      <c r="B298" s="1330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1357"/>
      <c r="N298" s="85"/>
      <c r="O298" s="85"/>
      <c r="P298" s="85"/>
      <c r="Q298" s="85"/>
      <c r="R298" s="85"/>
      <c r="S298" s="85"/>
      <c r="T298" s="490"/>
      <c r="U298" s="490"/>
      <c r="V298" s="490"/>
      <c r="W298" s="490"/>
      <c r="X298" s="490"/>
      <c r="Y298" s="490"/>
      <c r="Z298" s="490"/>
      <c r="AA298" s="490"/>
      <c r="AB298" s="490"/>
      <c r="AC298" s="490"/>
      <c r="AD298" s="490"/>
      <c r="AE298" s="490"/>
      <c r="AF298" s="490"/>
      <c r="AG298" s="490"/>
      <c r="AH298" s="490"/>
      <c r="AI298" s="490"/>
      <c r="AJ298" s="490"/>
      <c r="AK298" s="490"/>
      <c r="AL298" s="111"/>
      <c r="AM298" s="111"/>
      <c r="AN298" s="111"/>
      <c r="AO298" s="111"/>
    </row>
    <row r="299" spans="1:41">
      <c r="A299" s="1331" t="s">
        <v>64</v>
      </c>
      <c r="B299" s="1332"/>
      <c r="C299" s="1333"/>
      <c r="D299" s="1331"/>
      <c r="E299" s="1332"/>
      <c r="F299" s="1332"/>
      <c r="G299" s="1332"/>
      <c r="H299" s="1332"/>
      <c r="I299" s="1332"/>
      <c r="J299" s="1332"/>
      <c r="K299" s="1332"/>
      <c r="L299" s="1332"/>
      <c r="M299" s="1332"/>
      <c r="N299" s="1332"/>
      <c r="O299" s="1332"/>
      <c r="P299" s="1332"/>
      <c r="Q299" s="1332"/>
      <c r="R299" s="1332"/>
      <c r="S299" s="1332"/>
      <c r="T299" s="1332"/>
      <c r="U299" s="1332"/>
      <c r="V299" s="1332"/>
      <c r="W299" s="1332"/>
      <c r="X299" s="1332"/>
      <c r="Y299" s="1332"/>
      <c r="Z299" s="1332"/>
      <c r="AA299" s="1332"/>
      <c r="AB299" s="1332"/>
      <c r="AC299" s="1332"/>
      <c r="AD299" s="1332"/>
      <c r="AE299" s="1332"/>
      <c r="AF299" s="1332"/>
      <c r="AG299" s="1332"/>
      <c r="AH299" s="1332"/>
      <c r="AI299" s="1332"/>
      <c r="AJ299" s="1332"/>
      <c r="AK299" s="1333"/>
      <c r="AL299" s="111"/>
      <c r="AM299" s="111"/>
      <c r="AN299" s="111"/>
      <c r="AO299" s="111"/>
    </row>
    <row r="300" customFormat="1" ht="28.5" spans="1:9">
      <c r="A300" s="1334" t="s">
        <v>223</v>
      </c>
      <c r="B300" s="1335" t="s">
        <v>224</v>
      </c>
      <c r="C300" s="1336"/>
      <c r="D300" s="1336"/>
      <c r="E300" s="1336"/>
      <c r="F300" s="1336"/>
      <c r="G300" s="1336"/>
      <c r="H300" s="1336"/>
      <c r="I300" s="1358"/>
    </row>
    <row r="301" customFormat="1" spans="1:9">
      <c r="A301" s="1337"/>
      <c r="B301" s="1338" t="s">
        <v>11</v>
      </c>
      <c r="C301" s="1338" t="s">
        <v>225</v>
      </c>
      <c r="D301" s="1338" t="s">
        <v>226</v>
      </c>
      <c r="E301" s="1338" t="s">
        <v>227</v>
      </c>
      <c r="F301" s="1338" t="s">
        <v>228</v>
      </c>
      <c r="G301" s="1338" t="s">
        <v>229</v>
      </c>
      <c r="H301" s="1338" t="s">
        <v>230</v>
      </c>
      <c r="I301" s="1338" t="s">
        <v>231</v>
      </c>
    </row>
    <row r="302" customFormat="1" spans="1:9">
      <c r="A302" s="1337" t="s">
        <v>232</v>
      </c>
      <c r="B302" s="1339">
        <v>538</v>
      </c>
      <c r="C302" s="1339"/>
      <c r="D302" s="90">
        <v>11000</v>
      </c>
      <c r="E302" s="1339">
        <v>11310</v>
      </c>
      <c r="F302" s="90">
        <v>310</v>
      </c>
      <c r="G302" s="90">
        <v>200000</v>
      </c>
      <c r="H302" s="1340">
        <v>71613</v>
      </c>
      <c r="I302" s="90">
        <v>-128387</v>
      </c>
    </row>
    <row r="303" customFormat="1" spans="1:9">
      <c r="A303" s="1337" t="s">
        <v>233</v>
      </c>
      <c r="B303" s="1339">
        <v>222</v>
      </c>
      <c r="C303" s="1339"/>
      <c r="D303" s="90">
        <v>10000</v>
      </c>
      <c r="E303" s="1339">
        <v>4917</v>
      </c>
      <c r="F303" s="90">
        <v>-5083</v>
      </c>
      <c r="G303" s="90">
        <v>150000</v>
      </c>
      <c r="H303" s="1340">
        <v>26875</v>
      </c>
      <c r="I303" s="90">
        <v>-123125</v>
      </c>
    </row>
    <row r="304" customFormat="1" ht="57" spans="1:6">
      <c r="A304" s="710" t="s">
        <v>223</v>
      </c>
      <c r="B304" s="1341" t="s">
        <v>234</v>
      </c>
      <c r="C304" s="1342"/>
      <c r="D304" s="1342"/>
      <c r="E304" s="1342"/>
      <c r="F304" s="1343"/>
    </row>
    <row r="305" customFormat="1" spans="1:6">
      <c r="A305" s="76"/>
      <c r="B305" s="431" t="s">
        <v>11</v>
      </c>
      <c r="C305" s="431" t="s">
        <v>37</v>
      </c>
      <c r="D305" s="431" t="s">
        <v>38</v>
      </c>
      <c r="E305" s="1344" t="s">
        <v>235</v>
      </c>
      <c r="F305" s="1344" t="s">
        <v>40</v>
      </c>
    </row>
    <row r="306" customFormat="1" spans="1:6">
      <c r="A306" s="76" t="s">
        <v>232</v>
      </c>
      <c r="B306" s="1339">
        <v>755</v>
      </c>
      <c r="C306" s="1339">
        <v>10449</v>
      </c>
      <c r="D306" s="1340">
        <v>66480</v>
      </c>
      <c r="E306" s="90">
        <v>7009</v>
      </c>
      <c r="F306" s="1345">
        <v>23850</v>
      </c>
    </row>
    <row r="307" customFormat="1" spans="1:6">
      <c r="A307" s="76" t="s">
        <v>233</v>
      </c>
      <c r="B307" s="1339">
        <v>248</v>
      </c>
      <c r="C307" s="1339">
        <v>5506</v>
      </c>
      <c r="D307" s="1340">
        <v>27216</v>
      </c>
      <c r="E307" s="90">
        <v>5978</v>
      </c>
      <c r="F307" s="1345">
        <v>6877</v>
      </c>
    </row>
  </sheetData>
  <mergeCells count="42">
    <mergeCell ref="AL83:AM83"/>
    <mergeCell ref="A176:F176"/>
    <mergeCell ref="B178:F178"/>
    <mergeCell ref="G178:K178"/>
    <mergeCell ref="L178:P178"/>
    <mergeCell ref="Q178:U178"/>
    <mergeCell ref="V178:Z178"/>
    <mergeCell ref="AA178:AF178"/>
    <mergeCell ref="AD179:AE179"/>
    <mergeCell ref="A181:F181"/>
    <mergeCell ref="B182:K182"/>
    <mergeCell ref="L182:U182"/>
    <mergeCell ref="AK182:AM182"/>
    <mergeCell ref="AN182:AQ182"/>
    <mergeCell ref="B183:F183"/>
    <mergeCell ref="G183:K183"/>
    <mergeCell ref="L183:P183"/>
    <mergeCell ref="Q183:U183"/>
    <mergeCell ref="V183:Z183"/>
    <mergeCell ref="AA183:AE183"/>
    <mergeCell ref="AF183:AK183"/>
    <mergeCell ref="AL183:AQ183"/>
    <mergeCell ref="AR183:AU183"/>
    <mergeCell ref="AH184:AI184"/>
    <mergeCell ref="A207:C207"/>
    <mergeCell ref="D207:E207"/>
    <mergeCell ref="X295:Y295"/>
    <mergeCell ref="A178:A179"/>
    <mergeCell ref="A183:A184"/>
    <mergeCell ref="D124:D125"/>
    <mergeCell ref="E124:E125"/>
    <mergeCell ref="F124:F125"/>
    <mergeCell ref="G124:G125"/>
    <mergeCell ref="H124:H125"/>
    <mergeCell ref="I124:I125"/>
    <mergeCell ref="I173:I174"/>
    <mergeCell ref="J124:J125"/>
    <mergeCell ref="J173:J174"/>
    <mergeCell ref="K124:K125"/>
    <mergeCell ref="K173:K174"/>
    <mergeCell ref="L124:L125"/>
    <mergeCell ref="C174:E175"/>
  </mergeCells>
  <dataValidations count="5">
    <dataValidation allowBlank="1" showErrorMessage="1" promptTitle="注意" prompt="请保留整数" sqref="A5 A6 A7 B7:AE7 A8 B8:AE8 A9 B9:AE9 A10 B10:C10 D10:E10 F10:AE10 A15 B15:E15 F15 P15:R15 T15:U15 AC15:AD15 AE15 AF15:AG15 A16 P16 Q16:R16 U16 A17 B17 C17:D17 E17 F17 G17 H17:I17 J17 K17 L17 M17:N17 O17 A18 B18 C18:D18 E18 F18 G18 H18:I18 J18 K18 L18 M18:N18 O18 A19 A20 B20:E20 F20:J20 K20:O20 P20:AM20 S15:S16 A11:E14 F11:J14 K11:O14 A1:AE4 P11:AM14"/>
    <dataValidation allowBlank="1" showInputMessage="1" showErrorMessage="1" promptTitle="注意" prompt="单位：千瓦时/吨&#10;请保留整数" sqref="Y15:AA15 Y16 AE16:AG16 Y17:AA17 AE17:AG17 Y18:AA18 AE18:AG18 Y19:AA19 AE19:AG19 AC23 AD23 AC24 AD24 Y33 Z33 Y34 Z34 Y73:AA73 AE73:AG73 Y85:AD85 AE85:AG85 Y86 Z86 AA86 AE86:AF86 AG86 Y112 AA112 AE112 AG112 AA143 AE143:AF143 Y205 AE205 Y206 AE206 Y207 AE207 Y208 AE208 Y209 AE209 Y210 AE210 Y211 AE211 Y239:AA239 AE239 AF239:AG239 Y240:AA240 AE240 AF240:AG240 Y251:AA251 AE251 P296:R296 Z143:Z144 AE33:AE34 AF33:AF34 AI23:AI24 AJ23:AJ24 BE33:BF34 BK33:BL34 Y55:AA61 AE55:AG61 AC25:AD29 AI25:AJ29 Y35:Z39 AE35:AF39 Y203:AA204 AE203:AG204 V221:X223"/>
    <dataValidation allowBlank="1" showInputMessage="1" showErrorMessage="1" promptTitle="注意" prompt="请保留整数" sqref="B5:U5 V5:AE5 C6 D6 E6 F6:G6 H6 I6 J6 K6:L6 M6 N6 O6 P6:Q6 R6 S6 T6 U6 V6:W6 Y6 AA6:AE6 G15:J15 K15 L15:O15 B16:E16 F16:J16 K16:O16 P17 Q17:R17 T17:U17 P18 Q18:R18 T18:U18 B19:O19 Q19:R19 T19:U19 F22:J22 K22:M22 N22:S22 F23:H23 I23:J23 K23:L23 M23 O23 Q23:S23 F24:G24 H24 I24:J24 K24 L24 M24 N24 O24 Q24:S24 U24:V24 B25:U25 B26:C26 E26 G26:H26 J26 L26:M26 O26 Q26:R26 T26 B27:C27 E27 G27:H27 J27 L27:M27 O27 Q27:R27 T27 B32:F32 G32:I32 J32:O32 AN32:AQ32 AR32:AT32 AU32 B33:D33 E33:F33 G33:H33 I33 K33 M33:O33 AN33:AU33 B34:C34 D34 E34:F34 G34 H34 I34 J34 K34 M34:O34 AN34:AU34 AW34:AY34 B35 C35:D35 E35:F35 K35 M35:O35 B36 C36:D36 E36:F36 B37 C37:D37 E37:F37 T46 T48 U48 V48 W48:AE48 R49:S49 T49 U49:V49 W49:AE49 R50:S50 T50 U50:AE50 B55:I55 J55 K55:R55 B59:O59 P59 Q59:R59 B68:J68 L68:AE68 B73:P73 Q73:R73 T73:U73 B78:K78 M78 Q78:U78 V78 X78 Y78:AE78 B79:E79 F79 G79:I79 J79:K79 L79:P79 Q79:S79 T79:U79 Y79 AB79 AD79 B80:AE80 B85:E85 G85:J85 L85:P85 Q85:R85 T85:U85 B86 C86 D86 E86:J86 L86:O86 T86 B87:O87 P87:R87 V87:AG87 AH87:AM87 B92:J92 L92:W92 B95:U95 B97:J97 L97:AE97 B100:AE100 B101 D101:K101 J107:K107 J108 Q118:S118 B134 G134 L134 Q134 B135:R135 T135:AA135 AC135:AE135 R136 B142 G142 L142 S142 B143:M143 O143:U143 AH143:AI143 C144:E144 H144:I144 N144 I196 N196 S196 AC196 B198:J198 L198:AE198 M203:N203 N204 A205 B205:R205 W205:X205 Z205:AA205 AC205:AD205 AF205:AK205 A206:R206 T206:U206 W206:X206 Z206:AA206 AC206:AD206 AF206:AK206 A207 C207:R207 T207:U207 W207:X207 Z207:AA207 AC207:AD207 AF207:AK207 A208:B208 C208 D208:R208 T208:U208 W208:X208 Z208:AA208 AC208:AD208 AF208:AK208 A209:B209 D209:R209 T209:U209 W209:X209 Z209:AA209 AC209:AD209 AF209:AK209 A210:R210 T210:U210 W210:X210 Z210:AA210 AC210:AD210 AF210:AK210 A211:R211 T211:U211 W211:X211 Z211:AA211 AC211:AD211 AF211:AK211 B216:F216 G216:I216 J216:K216 L216:P216 Q216 R216:S216 T216 U216 V216:AE216 C220:M220 B221:C221 D221 AD221:AE221 B222:C222 D222 F222 B223:C223 D223 F223 AD223:AE223 L233:AE233 L234:P234 Q234 R234:AE234 B239:D239 E239 F239 G239:K239 L239:M239 N239 O239:P239 Q239:S239 T239:U239 B240:E240 F240:P240 Q240:S240 T240:U240 B251:U251 B256:C256 D256 E256:O256 P256 Q256:R256 T256:U256 P265:AE265 F270 K270 P270:R270 T270:U270 L286:P286 R286 T286 V286:AE286 J288 B289:J289 C294:D294 F294 G294:L294 S294 E296 E221:E222 E297:E298 G36:G39 K28:K29 L33:L39 P23:P24 P28:P29 P32:P39 Q297:Q298 T22:T24 T28:T29 V25:V27 W293:W294 AV32:AV34 I233:J234 G107:I108 M293:O294 P293:R294 Q28:S29 F28:J29 U22:V23 U28:V29 Q32:R33 AW32:AX33 J44:AE45 AZ32:BA34 T203:U205 AB221:AC223 B49:Q50 U46:AE47 J46:K48 B60:R61 G102:K106 B102:F108 L46:S48 B44:I48 T55:U61 B233:G234 B56:R58 X22:Y29 L28:M29 N28:O29 AD196:AE197 J286:K287 R297:S298 F296:L298 B286:I288 L287:AE289 B296:D298 T293:V294 O196:R197 B196:H197 O219:AE220 Q221:R223 G221:P223 B203:L204 O203:R204 L101:AE108 T111:U118 Q111:R117 B111:P118 T196:AB197 J196:M197 T32:U39 M36:O39 Q34:R39 H36:I39 J36:K39 B38:F39"/>
    <dataValidation allowBlank="1" showInputMessage="1" showErrorMessage="1" promptTitle="注意" prompt="单位：千克/吨&#10;请保留整数" sqref="V15:X15 Z16:AD16 V17 W17:X17 AB17 AC17:AD17 V18 W18:X18 AB18 AC18:AD18 V19:X19 AB19:AD19 Z22:AB22 AC22:AE22 AF22:AH22 AI22:AK22 Z23 AA23 AB23 AF23 AG23 AH23 Z24 AA24 AB24 AF24 AG24 AH24 V32:X32 Y32:AA32 AB32:AD32 AE32:AG32 BE32:BG32 BK32:BM32 V33 W33 X33 AB33 AC33 AD33 V34 W34 X34 AB34 AC34 AD34 V73:X73 AB73:AD73 V85:X85 V86:X86 AB86:AD86 V112:X112 Z112 AB112:AD112 AF112 AB143:AD143 V205 AB205 S206 V206 AB206 S207 V207 AB207 S208 V208 AB208 S209 V209 AB209 S210 V210 AB210 S211 V211 AB211 S221 Y221:Z221 AA221 S223 W239:X239 AB239:AD239 V240:X240 AB240:AD240 V251:X251 AB251:AD251 W256:X256 Z256:AG256 V270:AG270 P297:P298 S203:S205 AA33:AA39 AE23:AE29 AG33:AG39 AK23:AK29 BG33:BG34 BM33:BM34 V55:X61 AB55:AD61 V203:X204 AB203:AD204 M296:O298 T221:U223 Z25:AB29 AF25:AH29 BB32:BD34 BH32:BJ34 Y222:AA223 V35:X39 AB35:AD39"/>
    <dataValidation allowBlank="1" showInputMessage="1" showErrorMessage="1" sqref="D275 P275:R275 T275 V275 Z275:AD275"/>
  </dataValidation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284"/>
  <sheetViews>
    <sheetView zoomScale="85" zoomScaleNormal="85" topLeftCell="BD29" workbookViewId="0">
      <selection activeCell="CA56" sqref="CA56"/>
    </sheetView>
  </sheetViews>
  <sheetFormatPr defaultColWidth="9" defaultRowHeight="14.25"/>
  <cols>
    <col min="1" max="1" width="2.625" customWidth="1"/>
    <col min="2" max="2" width="4.625" style="507" customWidth="1"/>
    <col min="3" max="3" width="7.625" customWidth="1"/>
    <col min="4" max="4" width="9" hidden="1" customWidth="1"/>
    <col min="5" max="5" width="3.75" hidden="1" customWidth="1"/>
    <col min="6" max="6" width="4.75" hidden="1" customWidth="1"/>
    <col min="7" max="7" width="0.625" hidden="1" customWidth="1"/>
    <col min="8" max="8" width="7.625" customWidth="1"/>
    <col min="9" max="12" width="9" hidden="1" customWidth="1"/>
    <col min="13" max="13" width="7.625" customWidth="1"/>
    <col min="14" max="17" width="9" hidden="1" customWidth="1"/>
    <col min="18" max="18" width="7.5" customWidth="1"/>
    <col min="19" max="22" width="9" hidden="1" customWidth="1"/>
    <col min="23" max="23" width="7.625" customWidth="1"/>
    <col min="24" max="27" width="9" hidden="1" customWidth="1"/>
    <col min="28" max="28" width="6.875" customWidth="1"/>
    <col min="29" max="32" width="9" hidden="1" customWidth="1"/>
    <col min="33" max="33" width="6.625" customWidth="1"/>
    <col min="34" max="37" width="8.125" hidden="1" customWidth="1"/>
    <col min="38" max="38" width="6.375" customWidth="1"/>
    <col min="39" max="43" width="4.625" hidden="1" customWidth="1"/>
    <col min="44" max="44" width="3.375" customWidth="1"/>
    <col min="45" max="45" width="5.375" customWidth="1"/>
    <col min="46" max="46" width="6.25" customWidth="1"/>
    <col min="47" max="48" width="9" hidden="1" customWidth="1"/>
    <col min="49" max="49" width="6.5" customWidth="1"/>
    <col min="50" max="50" width="7.75" customWidth="1"/>
    <col min="51" max="51" width="6.25" customWidth="1"/>
    <col min="52" max="53" width="6.25" hidden="1" customWidth="1"/>
    <col min="54" max="54" width="5.625" customWidth="1"/>
    <col min="55" max="55" width="8.625" customWidth="1"/>
    <col min="56" max="56" width="5.75" customWidth="1"/>
    <col min="57" max="58" width="6.125" hidden="1" customWidth="1"/>
    <col min="59" max="59" width="6.125" customWidth="1"/>
    <col min="60" max="60" width="6.625" customWidth="1"/>
    <col min="61" max="62" width="6.25" hidden="1" customWidth="1"/>
    <col min="63" max="63" width="6.625" customWidth="1"/>
    <col min="64" max="64" width="0.25" hidden="1" customWidth="1"/>
    <col min="65" max="65" width="2.5" hidden="1" customWidth="1"/>
    <col min="66" max="66" width="7.78333333333333" customWidth="1"/>
    <col min="67" max="67" width="7.65" customWidth="1"/>
    <col min="68" max="68" width="9.85" customWidth="1"/>
    <col min="69" max="69" width="6.75" customWidth="1"/>
    <col min="70" max="71" width="5.625" customWidth="1"/>
    <col min="72" max="72" width="6.375" customWidth="1"/>
    <col min="73" max="74" width="5.625" customWidth="1"/>
    <col min="75" max="76" width="5.125" customWidth="1"/>
    <col min="77" max="77" width="6.125" customWidth="1"/>
    <col min="78" max="78" width="8.5" customWidth="1"/>
    <col min="79" max="79" width="8" customWidth="1"/>
    <col min="80" max="80" width="7.125" customWidth="1"/>
    <col min="81" max="81" width="5.625" customWidth="1"/>
  </cols>
  <sheetData>
    <row r="1" ht="12.95" customHeight="1" spans="3:59">
      <c r="C1" s="508"/>
      <c r="D1" s="508"/>
      <c r="E1" s="508"/>
      <c r="F1" s="508"/>
      <c r="G1" s="508"/>
      <c r="H1" s="508" t="s">
        <v>48</v>
      </c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508"/>
      <c r="AC1" s="508"/>
      <c r="AD1" s="508"/>
      <c r="AE1" s="508"/>
      <c r="AF1" s="508"/>
      <c r="AG1" s="508"/>
      <c r="AH1" s="508"/>
      <c r="AI1" s="508"/>
      <c r="AJ1" s="508"/>
      <c r="AK1" s="508"/>
      <c r="AL1" s="508"/>
      <c r="AM1" s="508"/>
      <c r="AN1" s="508"/>
      <c r="AO1" s="508"/>
      <c r="AP1" s="508"/>
      <c r="AQ1" s="508"/>
      <c r="AR1" s="508"/>
      <c r="AS1" s="508"/>
      <c r="AT1" s="508"/>
      <c r="AU1" s="508"/>
      <c r="AV1" s="508"/>
      <c r="AW1" s="508"/>
      <c r="AX1" s="508"/>
      <c r="AY1" s="508"/>
      <c r="AZ1" s="508"/>
      <c r="BB1" s="508"/>
      <c r="BC1" s="581"/>
      <c r="BD1" s="581"/>
      <c r="BG1" t="s">
        <v>48</v>
      </c>
    </row>
    <row r="2" ht="19.5" customHeight="1" spans="3:56">
      <c r="C2" s="509" t="s">
        <v>4</v>
      </c>
      <c r="D2" s="510"/>
      <c r="E2" s="510"/>
      <c r="F2" s="510"/>
      <c r="G2" s="510"/>
      <c r="H2" s="511"/>
      <c r="I2" s="511"/>
      <c r="J2" s="511"/>
      <c r="K2" s="511"/>
      <c r="L2" s="511"/>
      <c r="M2" s="532">
        <v>44300</v>
      </c>
      <c r="N2" s="533"/>
      <c r="O2" s="533"/>
      <c r="P2" s="533"/>
      <c r="Q2" s="533"/>
      <c r="R2" s="533"/>
      <c r="S2" s="534"/>
      <c r="T2" s="534"/>
      <c r="U2" s="534"/>
      <c r="V2" s="534"/>
      <c r="W2" s="509" t="s">
        <v>236</v>
      </c>
      <c r="X2" s="510"/>
      <c r="Y2" s="510"/>
      <c r="Z2" s="510"/>
      <c r="AA2" s="510"/>
      <c r="AB2" s="511"/>
      <c r="AC2" s="511"/>
      <c r="AD2" s="511"/>
      <c r="AE2" s="511"/>
      <c r="AF2" s="511"/>
      <c r="AG2" s="537" t="s">
        <v>237</v>
      </c>
      <c r="AH2" s="538"/>
      <c r="AI2" s="538"/>
      <c r="AJ2" s="538"/>
      <c r="AK2" s="538"/>
      <c r="AL2" s="539"/>
      <c r="AM2" s="510" t="s">
        <v>238</v>
      </c>
      <c r="AN2" s="510"/>
      <c r="AO2" s="510"/>
      <c r="AP2" s="510"/>
      <c r="AQ2" s="510"/>
      <c r="AR2" s="510"/>
      <c r="AS2" s="511"/>
      <c r="AT2" s="556">
        <v>30</v>
      </c>
      <c r="AU2" s="557"/>
      <c r="AV2" s="558"/>
      <c r="AW2" s="582" t="s">
        <v>239</v>
      </c>
      <c r="AX2" s="583"/>
      <c r="AY2" s="556">
        <v>14</v>
      </c>
      <c r="AZ2" s="508"/>
      <c r="BB2" s="508"/>
      <c r="BC2" s="584" t="s">
        <v>240</v>
      </c>
      <c r="BD2" s="585">
        <v>104</v>
      </c>
    </row>
    <row r="3" ht="12.95" customHeight="1" spans="3:56"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8"/>
      <c r="AZ3" s="508"/>
      <c r="BB3" s="508"/>
      <c r="BC3" s="581"/>
      <c r="BD3" s="581"/>
    </row>
    <row r="4" ht="15.75" customHeight="1" spans="1:81">
      <c r="A4" s="512" t="s">
        <v>241</v>
      </c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48"/>
      <c r="AN4" s="48"/>
      <c r="AO4" s="48"/>
      <c r="AP4" s="48"/>
      <c r="AQ4" s="48"/>
      <c r="AR4" s="48"/>
      <c r="AS4" s="559" t="s">
        <v>242</v>
      </c>
      <c r="AT4" s="559"/>
      <c r="AU4" s="559"/>
      <c r="AV4" s="559"/>
      <c r="AW4" s="559"/>
      <c r="AX4" s="559"/>
      <c r="AY4" s="559"/>
      <c r="AZ4" s="559"/>
      <c r="BA4" s="559"/>
      <c r="BB4" s="559"/>
      <c r="BC4" s="559"/>
      <c r="BD4" s="559"/>
      <c r="BE4" s="559"/>
      <c r="BF4" s="559"/>
      <c r="BG4" s="559"/>
      <c r="BH4" s="559"/>
      <c r="BI4" s="559"/>
      <c r="BJ4" s="559"/>
      <c r="BK4" s="559"/>
      <c r="BL4" s="591"/>
      <c r="BM4" s="591"/>
      <c r="BN4" s="199" t="s">
        <v>243</v>
      </c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641" t="s">
        <v>244</v>
      </c>
      <c r="CA4" s="641"/>
      <c r="CB4" s="641"/>
      <c r="CC4" s="641"/>
    </row>
    <row r="5" spans="1:81">
      <c r="A5" s="513">
        <v>19090</v>
      </c>
      <c r="B5" s="431"/>
      <c r="C5" s="514" t="s">
        <v>128</v>
      </c>
      <c r="D5" s="514"/>
      <c r="E5" s="514"/>
      <c r="F5" s="514"/>
      <c r="G5" s="514"/>
      <c r="H5" s="514" t="s">
        <v>152</v>
      </c>
      <c r="I5" s="514"/>
      <c r="J5" s="514"/>
      <c r="K5" s="514"/>
      <c r="L5" s="514"/>
      <c r="M5" s="514" t="s">
        <v>153</v>
      </c>
      <c r="N5" s="514"/>
      <c r="O5" s="514"/>
      <c r="P5" s="514"/>
      <c r="Q5" s="514"/>
      <c r="R5" s="514" t="s">
        <v>154</v>
      </c>
      <c r="S5" s="514"/>
      <c r="T5" s="514"/>
      <c r="U5" s="514"/>
      <c r="V5" s="514"/>
      <c r="W5" s="514" t="s">
        <v>245</v>
      </c>
      <c r="X5" s="514"/>
      <c r="Y5" s="514"/>
      <c r="Z5" s="514"/>
      <c r="AA5" s="514"/>
      <c r="AB5" s="514" t="s">
        <v>246</v>
      </c>
      <c r="AC5" s="514"/>
      <c r="AD5" s="514"/>
      <c r="AE5" s="514"/>
      <c r="AF5" s="514"/>
      <c r="AG5" s="514" t="s">
        <v>247</v>
      </c>
      <c r="AH5" s="514"/>
      <c r="AI5" s="514"/>
      <c r="AJ5" s="514"/>
      <c r="AK5" s="514"/>
      <c r="AL5" s="514" t="s">
        <v>248</v>
      </c>
      <c r="AM5" s="48"/>
      <c r="AN5" s="48"/>
      <c r="AO5" s="48"/>
      <c r="AP5" s="48"/>
      <c r="AQ5" s="48"/>
      <c r="AR5" s="48"/>
      <c r="AS5" s="560"/>
      <c r="AT5" s="561" t="s">
        <v>153</v>
      </c>
      <c r="AU5" s="561"/>
      <c r="AV5" s="561"/>
      <c r="AW5" s="561"/>
      <c r="AX5" s="561"/>
      <c r="AY5" s="561" t="s">
        <v>154</v>
      </c>
      <c r="AZ5" s="561"/>
      <c r="BA5" s="561"/>
      <c r="BB5" s="561"/>
      <c r="BC5" s="561"/>
      <c r="BD5" s="561" t="s">
        <v>163</v>
      </c>
      <c r="BE5" s="561"/>
      <c r="BF5" s="561"/>
      <c r="BG5" s="561"/>
      <c r="BH5" s="561" t="s">
        <v>249</v>
      </c>
      <c r="BI5" s="561"/>
      <c r="BJ5" s="561"/>
      <c r="BK5" s="561" t="s">
        <v>250</v>
      </c>
      <c r="BL5" s="561"/>
      <c r="BM5" s="614"/>
      <c r="BN5" s="615" t="s">
        <v>32</v>
      </c>
      <c r="BO5" s="616"/>
      <c r="BP5" s="617"/>
      <c r="BQ5" s="618" t="s">
        <v>33</v>
      </c>
      <c r="BR5" s="616"/>
      <c r="BS5" s="619"/>
      <c r="BT5" s="615" t="s">
        <v>34</v>
      </c>
      <c r="BU5" s="616"/>
      <c r="BV5" s="617"/>
      <c r="BW5" s="618" t="s">
        <v>35</v>
      </c>
      <c r="BX5" s="616"/>
      <c r="BY5" s="617"/>
      <c r="BZ5" s="642" t="s">
        <v>251</v>
      </c>
      <c r="CA5" s="643"/>
      <c r="CB5" s="642" t="s">
        <v>252</v>
      </c>
      <c r="CC5" s="643"/>
    </row>
    <row r="6" ht="11.25" customHeight="1" spans="1:81">
      <c r="A6" s="515"/>
      <c r="B6" s="431" t="s">
        <v>21</v>
      </c>
      <c r="C6" s="516">
        <f>SUM(C7:C24)</f>
        <v>45947.0244428571</v>
      </c>
      <c r="D6" s="516" t="e">
        <f>SUM(D7:D22)</f>
        <v>#REF!</v>
      </c>
      <c r="E6" s="516" t="e">
        <f>SUM(E7:E22)</f>
        <v>#REF!</v>
      </c>
      <c r="F6" s="516" t="e">
        <f>SUM(F7:F22)</f>
        <v>#REF!</v>
      </c>
      <c r="G6" s="516" t="e">
        <f>SUM(G7:G22)</f>
        <v>#REF!</v>
      </c>
      <c r="H6" s="516">
        <f>SUM(H7:H23)</f>
        <v>32423.0473</v>
      </c>
      <c r="I6" s="516" t="e">
        <f>SUM(I7:I22)</f>
        <v>#REF!</v>
      </c>
      <c r="J6" s="516" t="e">
        <f>SUM(J7:J22)</f>
        <v>#REF!</v>
      </c>
      <c r="K6" s="516" t="e">
        <f>SUM(K7:K22)</f>
        <v>#REF!</v>
      </c>
      <c r="L6" s="516" t="e">
        <f>SUM(L7:L22)</f>
        <v>#REF!</v>
      </c>
      <c r="M6" s="516">
        <f>SUM(M7:M23)</f>
        <v>29786.814</v>
      </c>
      <c r="N6" s="516" t="e">
        <f>SUM(N7:N22)</f>
        <v>#REF!</v>
      </c>
      <c r="O6" s="516" t="e">
        <f>SUM(O7:O22)</f>
        <v>#REF!</v>
      </c>
      <c r="P6" s="516" t="e">
        <f>SUM(P7:P22)</f>
        <v>#REF!</v>
      </c>
      <c r="Q6" s="516" t="e">
        <f>SUM(Q7:Q22)</f>
        <v>#REF!</v>
      </c>
      <c r="R6" s="516">
        <f>SUM(R7:R24)</f>
        <v>10199.606</v>
      </c>
      <c r="S6" s="516" t="e">
        <f t="shared" ref="S6:AA6" si="0">SUM(S7:S22)</f>
        <v>#REF!</v>
      </c>
      <c r="T6" s="516" t="e">
        <f t="shared" si="0"/>
        <v>#REF!</v>
      </c>
      <c r="U6" s="516" t="e">
        <f t="shared" si="0"/>
        <v>#REF!</v>
      </c>
      <c r="V6" s="516" t="e">
        <f t="shared" si="0"/>
        <v>#REF!</v>
      </c>
      <c r="W6" s="516">
        <f t="shared" si="0"/>
        <v>8929.87</v>
      </c>
      <c r="X6" s="516" t="e">
        <f t="shared" si="0"/>
        <v>#REF!</v>
      </c>
      <c r="Y6" s="516" t="e">
        <f t="shared" si="0"/>
        <v>#REF!</v>
      </c>
      <c r="Z6" s="516" t="e">
        <f t="shared" si="0"/>
        <v>#REF!</v>
      </c>
      <c r="AA6" s="516" t="e">
        <f t="shared" si="0"/>
        <v>#REF!</v>
      </c>
      <c r="AB6" s="516">
        <f>SUM(AB7:AB23)</f>
        <v>4819.48</v>
      </c>
      <c r="AC6" s="516" t="e">
        <f>SUM(AC7:AC22)</f>
        <v>#REF!</v>
      </c>
      <c r="AD6" s="516" t="e">
        <f>SUM(AD7:AD22)</f>
        <v>#REF!</v>
      </c>
      <c r="AE6" s="516" t="e">
        <f>SUM(AE7:AE22)</f>
        <v>#REF!</v>
      </c>
      <c r="AF6" s="516" t="e">
        <f>SUM(AF7:AF22)</f>
        <v>#REF!</v>
      </c>
      <c r="AG6" s="516">
        <f>AG25</f>
        <v>760</v>
      </c>
      <c r="AH6" s="516">
        <f>SUM(AH7:AH22)</f>
        <v>0</v>
      </c>
      <c r="AI6" s="516">
        <f>SUM(AI7:AI22)</f>
        <v>0</v>
      </c>
      <c r="AJ6" s="516">
        <f>SUM(AJ7:AJ22)</f>
        <v>0</v>
      </c>
      <c r="AK6" s="516">
        <f>SUM(AK7:AK22)</f>
        <v>0</v>
      </c>
      <c r="AL6" s="516">
        <f>SUM(AL7:AL22)</f>
        <v>0</v>
      </c>
      <c r="AM6" s="540"/>
      <c r="AN6" s="540"/>
      <c r="AO6" s="540"/>
      <c r="AP6" s="540"/>
      <c r="AQ6" s="540"/>
      <c r="AR6" s="540"/>
      <c r="AS6" s="562"/>
      <c r="AT6" s="562" t="s">
        <v>11</v>
      </c>
      <c r="AU6" s="562" t="s">
        <v>37</v>
      </c>
      <c r="AV6" s="562" t="s">
        <v>38</v>
      </c>
      <c r="AW6" s="562" t="s">
        <v>195</v>
      </c>
      <c r="AX6" s="562" t="s">
        <v>40</v>
      </c>
      <c r="AY6" s="562" t="s">
        <v>11</v>
      </c>
      <c r="AZ6" s="562" t="s">
        <v>37</v>
      </c>
      <c r="BA6" s="562" t="s">
        <v>38</v>
      </c>
      <c r="BB6" s="562" t="s">
        <v>195</v>
      </c>
      <c r="BC6" s="562" t="s">
        <v>40</v>
      </c>
      <c r="BD6" s="562" t="s">
        <v>11</v>
      </c>
      <c r="BE6" s="562" t="s">
        <v>37</v>
      </c>
      <c r="BF6" s="562" t="s">
        <v>38</v>
      </c>
      <c r="BG6" s="562" t="s">
        <v>195</v>
      </c>
      <c r="BH6" s="562" t="s">
        <v>11</v>
      </c>
      <c r="BI6" s="562" t="s">
        <v>37</v>
      </c>
      <c r="BJ6" s="562" t="s">
        <v>38</v>
      </c>
      <c r="BK6" s="562" t="s">
        <v>11</v>
      </c>
      <c r="BL6" s="213" t="s">
        <v>37</v>
      </c>
      <c r="BM6" s="620" t="s">
        <v>38</v>
      </c>
      <c r="BN6" s="621" t="s">
        <v>11</v>
      </c>
      <c r="BO6" s="622" t="s">
        <v>253</v>
      </c>
      <c r="BP6" s="623" t="s">
        <v>254</v>
      </c>
      <c r="BQ6" s="624" t="s">
        <v>11</v>
      </c>
      <c r="BR6" s="622" t="s">
        <v>253</v>
      </c>
      <c r="BS6" s="625" t="s">
        <v>254</v>
      </c>
      <c r="BT6" s="621" t="s">
        <v>11</v>
      </c>
      <c r="BU6" s="622" t="s">
        <v>253</v>
      </c>
      <c r="BV6" s="623" t="s">
        <v>254</v>
      </c>
      <c r="BW6" s="624" t="s">
        <v>11</v>
      </c>
      <c r="BX6" s="622" t="s">
        <v>253</v>
      </c>
      <c r="BY6" s="623" t="s">
        <v>254</v>
      </c>
      <c r="BZ6" s="644" t="s">
        <v>56</v>
      </c>
      <c r="CA6" s="645" t="s">
        <v>57</v>
      </c>
      <c r="CB6" s="644" t="s">
        <v>56</v>
      </c>
      <c r="CC6" s="645" t="s">
        <v>57</v>
      </c>
    </row>
    <row r="7" spans="1:83">
      <c r="A7" s="515"/>
      <c r="B7" s="200" t="s">
        <v>255</v>
      </c>
      <c r="C7" s="415">
        <f>数据基表!B10</f>
        <v>4535</v>
      </c>
      <c r="D7" s="415" t="e">
        <f>#REF!</f>
        <v>#REF!</v>
      </c>
      <c r="E7" s="415" t="e">
        <f>#REF!</f>
        <v>#REF!</v>
      </c>
      <c r="F7" s="415" t="e">
        <f>#REF!</f>
        <v>#REF!</v>
      </c>
      <c r="G7" s="415" t="e">
        <f>#REF!</f>
        <v>#REF!</v>
      </c>
      <c r="H7" s="415">
        <f>数据基表!G10</f>
        <v>3527.92</v>
      </c>
      <c r="I7" s="415" t="e">
        <f>#REF!</f>
        <v>#REF!</v>
      </c>
      <c r="J7" s="415" t="e">
        <f>#REF!</f>
        <v>#REF!</v>
      </c>
      <c r="K7" s="415" t="e">
        <f>#REF!</f>
        <v>#REF!</v>
      </c>
      <c r="L7" s="415" t="e">
        <f>#REF!</f>
        <v>#REF!</v>
      </c>
      <c r="M7" s="415">
        <f>数据基表!L10</f>
        <v>1612.8</v>
      </c>
      <c r="N7" s="415" t="e">
        <f>#REF!</f>
        <v>#REF!</v>
      </c>
      <c r="O7" s="415" t="e">
        <f>#REF!</f>
        <v>#REF!</v>
      </c>
      <c r="P7" s="415" t="e">
        <f>#REF!</f>
        <v>#REF!</v>
      </c>
      <c r="Q7" s="415" t="e">
        <f>#REF!</f>
        <v>#REF!</v>
      </c>
      <c r="R7" s="415">
        <f>数据基表!Q10</f>
        <v>737.18</v>
      </c>
      <c r="S7" s="415" t="e">
        <f>#REF!</f>
        <v>#REF!</v>
      </c>
      <c r="T7" s="415" t="e">
        <f>#REF!</f>
        <v>#REF!</v>
      </c>
      <c r="U7" s="415" t="e">
        <f>#REF!</f>
        <v>#REF!</v>
      </c>
      <c r="V7" s="415" t="e">
        <f>#REF!</f>
        <v>#REF!</v>
      </c>
      <c r="W7" s="415">
        <f>数据基表!V10</f>
        <v>2054</v>
      </c>
      <c r="X7" s="415" t="e">
        <f>#REF!</f>
        <v>#REF!</v>
      </c>
      <c r="Y7" s="415" t="e">
        <f>#REF!</f>
        <v>#REF!</v>
      </c>
      <c r="Z7" s="415" t="e">
        <f>#REF!</f>
        <v>#REF!</v>
      </c>
      <c r="AA7" s="415" t="e">
        <f>#REF!</f>
        <v>#REF!</v>
      </c>
      <c r="AB7" s="415">
        <f>数据基表!AA10</f>
        <v>1344</v>
      </c>
      <c r="AC7" s="415" t="e">
        <f>#REF!</f>
        <v>#REF!</v>
      </c>
      <c r="AD7" s="415" t="e">
        <f>#REF!</f>
        <v>#REF!</v>
      </c>
      <c r="AE7" s="415" t="e">
        <f>#REF!</f>
        <v>#REF!</v>
      </c>
      <c r="AF7" s="415" t="e">
        <f>#REF!</f>
        <v>#REF!</v>
      </c>
      <c r="AG7" s="415"/>
      <c r="AH7" s="415"/>
      <c r="AI7" s="415"/>
      <c r="AJ7" s="415"/>
      <c r="AK7" s="415"/>
      <c r="AL7" s="415"/>
      <c r="AM7" s="541"/>
      <c r="AN7" s="541"/>
      <c r="AO7" s="541"/>
      <c r="AP7" s="541"/>
      <c r="AQ7" s="541"/>
      <c r="AR7" s="540"/>
      <c r="AS7" s="200" t="s">
        <v>255</v>
      </c>
      <c r="AT7" s="517">
        <f>数据基表!B20</f>
        <v>838.457</v>
      </c>
      <c r="AU7" s="517" t="e">
        <f>#REF!</f>
        <v>#REF!</v>
      </c>
      <c r="AV7" s="517" t="e">
        <f>#REF!</f>
        <v>#REF!</v>
      </c>
      <c r="AW7" s="517">
        <f>数据基表!E20</f>
        <v>2120</v>
      </c>
      <c r="AX7" s="517">
        <f>数据基表!F20</f>
        <v>5621.135</v>
      </c>
      <c r="AY7" s="517">
        <f>数据基表!G20</f>
        <v>452</v>
      </c>
      <c r="AZ7" s="517" t="e">
        <f>#REF!</f>
        <v>#REF!</v>
      </c>
      <c r="BA7" s="517" t="e">
        <f>#REF!</f>
        <v>#REF!</v>
      </c>
      <c r="BB7" s="517">
        <f>数据基表!J20</f>
        <v>2234.44690265487</v>
      </c>
      <c r="BC7" s="200">
        <f>数据基表!K20</f>
        <v>2833</v>
      </c>
      <c r="BD7" s="517">
        <f>数据基表!L20</f>
        <v>2246.86</v>
      </c>
      <c r="BE7" s="517" t="e">
        <f>#REF!</f>
        <v>#REF!</v>
      </c>
      <c r="BF7" s="517" t="e">
        <f>#REF!</f>
        <v>#REF!</v>
      </c>
      <c r="BG7" s="517">
        <f>数据基表!O20</f>
        <v>3503.88951692584</v>
      </c>
      <c r="BH7" s="517">
        <f>数据基表!P20</f>
        <v>1700</v>
      </c>
      <c r="BI7" s="517" t="e">
        <f>#REF!</f>
        <v>#REF!</v>
      </c>
      <c r="BJ7" s="517" t="e">
        <f>#REF!</f>
        <v>#REF!</v>
      </c>
      <c r="BK7" s="517">
        <f>数据基表!S20</f>
        <v>1026.14</v>
      </c>
      <c r="BL7" s="517" t="e">
        <f>#REF!</f>
        <v>#REF!</v>
      </c>
      <c r="BM7" s="517" t="e">
        <f>#REF!</f>
        <v>#REF!</v>
      </c>
      <c r="BN7" s="517">
        <f>数据基表!V20</f>
        <v>1207.97067254686</v>
      </c>
      <c r="BO7" s="517">
        <f>数据基表!W20</f>
        <v>1181.05597931936</v>
      </c>
      <c r="BP7" s="517">
        <f>数据基表!X20</f>
        <v>1178.02711227579</v>
      </c>
      <c r="BQ7" s="517">
        <f>数据基表!Y20</f>
        <v>1115.26901874311</v>
      </c>
      <c r="BR7" s="517">
        <f>数据基表!Z20</f>
        <v>1107.58636036798</v>
      </c>
      <c r="BS7" s="517">
        <f>数据基表!AA20</f>
        <v>1128.70303505895</v>
      </c>
      <c r="BT7" s="517">
        <f>数据基表!AB20</f>
        <v>896.271577380952</v>
      </c>
      <c r="BU7" s="517">
        <f>数据基表!AC20</f>
        <v>875.128497632372</v>
      </c>
      <c r="BV7" s="517">
        <f>数据基表!AD20</f>
        <v>977.428595369548</v>
      </c>
      <c r="BW7" s="517">
        <f>数据基表!AE20</f>
        <v>157.85900297619</v>
      </c>
      <c r="BX7" s="517">
        <f>数据基表!AF20</f>
        <v>161.99504950495</v>
      </c>
      <c r="BY7" s="517">
        <f>数据基表!AG20</f>
        <v>168.429014336629</v>
      </c>
      <c r="BZ7" s="517">
        <f>数据基表!AH20</f>
        <v>65303</v>
      </c>
      <c r="CA7" s="517">
        <f>数据基表!AI20</f>
        <v>5952.07</v>
      </c>
      <c r="CB7" s="517">
        <f>数据基表!AJ20</f>
        <v>5550</v>
      </c>
      <c r="CC7" s="517">
        <f>数据基表!AK20</f>
        <v>0</v>
      </c>
      <c r="CD7" s="517">
        <f>数据基表!AL20</f>
        <v>41811</v>
      </c>
      <c r="CE7" s="517">
        <f>数据基表!AM20</f>
        <v>2019.5</v>
      </c>
    </row>
    <row r="8" s="262" customFormat="1" spans="1:83">
      <c r="A8" s="515"/>
      <c r="B8" s="200" t="s">
        <v>51</v>
      </c>
      <c r="C8" s="197">
        <f>数据基表!B25</f>
        <v>1513</v>
      </c>
      <c r="D8" s="197" t="e">
        <f>#REF!</f>
        <v>#REF!</v>
      </c>
      <c r="E8" s="197" t="e">
        <f>#REF!</f>
        <v>#REF!</v>
      </c>
      <c r="F8" s="197" t="e">
        <f>#REF!</f>
        <v>#REF!</v>
      </c>
      <c r="G8" s="197" t="e">
        <f>#REF!</f>
        <v>#REF!</v>
      </c>
      <c r="H8" s="197">
        <f>数据基表!G25</f>
        <v>1303</v>
      </c>
      <c r="I8" s="197" t="e">
        <f>#REF!</f>
        <v>#REF!</v>
      </c>
      <c r="J8" s="197" t="e">
        <f>#REF!</f>
        <v>#REF!</v>
      </c>
      <c r="K8" s="197" t="e">
        <f>#REF!</f>
        <v>#REF!</v>
      </c>
      <c r="L8" s="197" t="e">
        <f>#REF!</f>
        <v>#REF!</v>
      </c>
      <c r="M8" s="197">
        <f>数据基表!L25</f>
        <v>1937</v>
      </c>
      <c r="N8" s="197" t="e">
        <f>#REF!</f>
        <v>#REF!</v>
      </c>
      <c r="O8" s="197" t="e">
        <f>#REF!</f>
        <v>#REF!</v>
      </c>
      <c r="P8" s="197" t="e">
        <f>#REF!</f>
        <v>#REF!</v>
      </c>
      <c r="Q8" s="197" t="e">
        <f>#REF!</f>
        <v>#REF!</v>
      </c>
      <c r="R8" s="197">
        <f>数据基表!Q25</f>
        <v>147</v>
      </c>
      <c r="S8" s="197" t="e">
        <f>#REF!</f>
        <v>#REF!</v>
      </c>
      <c r="T8" s="197" t="e">
        <f>#REF!</f>
        <v>#REF!</v>
      </c>
      <c r="U8" s="197" t="e">
        <f>#REF!</f>
        <v>#REF!</v>
      </c>
      <c r="V8" s="197" t="e">
        <f>#REF!</f>
        <v>#REF!</v>
      </c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541"/>
      <c r="AN8" s="541"/>
      <c r="AO8" s="541"/>
      <c r="AP8" s="541"/>
      <c r="AQ8" s="541"/>
      <c r="AR8" s="541"/>
      <c r="AS8" s="200" t="s">
        <v>51</v>
      </c>
      <c r="AT8" s="197">
        <f>数据基表!B32</f>
        <v>3023</v>
      </c>
      <c r="AU8" s="197" t="e">
        <f>#REF!</f>
        <v>#REF!</v>
      </c>
      <c r="AV8" s="197" t="e">
        <f>#REF!</f>
        <v>#REF!</v>
      </c>
      <c r="AW8" s="197">
        <f>数据基表!E32</f>
        <v>2008.59411180946</v>
      </c>
      <c r="AX8" s="197">
        <f>数据基表!F32</f>
        <v>2944</v>
      </c>
      <c r="AY8" s="197">
        <f>数据基表!G32</f>
        <v>439</v>
      </c>
      <c r="AZ8" s="197" t="e">
        <f>#REF!</f>
        <v>#REF!</v>
      </c>
      <c r="BA8" s="197" t="e">
        <f>#REF!</f>
        <v>#REF!</v>
      </c>
      <c r="BB8" s="197">
        <f>数据基表!J32</f>
        <v>2120</v>
      </c>
      <c r="BC8" s="197">
        <f>数据基表!K32</f>
        <v>1335</v>
      </c>
      <c r="BD8" s="197">
        <f>数据基表!L32</f>
        <v>557</v>
      </c>
      <c r="BE8" s="197" t="e">
        <f>#REF!</f>
        <v>#REF!</v>
      </c>
      <c r="BF8" s="197" t="e">
        <f>#REF!</f>
        <v>#REF!</v>
      </c>
      <c r="BG8" s="197">
        <f>数据基表!O32</f>
        <v>3250</v>
      </c>
      <c r="BH8" s="197"/>
      <c r="BI8" s="197"/>
      <c r="BJ8" s="197"/>
      <c r="BK8" s="197"/>
      <c r="BL8" s="197" t="e">
        <f>#REF!</f>
        <v>#REF!</v>
      </c>
      <c r="BM8" s="197" t="e">
        <f>#REF!</f>
        <v>#REF!</v>
      </c>
      <c r="BN8" s="197">
        <f>数据基表!V32</f>
        <v>1168</v>
      </c>
      <c r="BO8" s="197">
        <f>数据基表!W32</f>
        <v>1127.54497354497</v>
      </c>
      <c r="BP8" s="197">
        <f>数据基表!X32</f>
        <v>1150.16544728573</v>
      </c>
      <c r="BQ8" s="197">
        <f>数据基表!Y32</f>
        <v>1191</v>
      </c>
      <c r="BR8" s="197">
        <f>数据基表!Z32</f>
        <v>1236.52842508162</v>
      </c>
      <c r="BS8" s="197">
        <f>数据基表!AA32</f>
        <v>1375.76308307804</v>
      </c>
      <c r="BT8" s="197">
        <f>数据基表!AB32</f>
        <v>990</v>
      </c>
      <c r="BU8" s="197">
        <f>数据基表!AC32</f>
        <v>997.557492562242</v>
      </c>
      <c r="BV8" s="197">
        <f>数据基表!AD32</f>
        <v>983.456380658372</v>
      </c>
      <c r="BW8" s="197">
        <f>数据基表!AE32</f>
        <v>169</v>
      </c>
      <c r="BX8" s="197">
        <f>数据基表!AF32</f>
        <v>167.733080536562</v>
      </c>
      <c r="BY8" s="197">
        <f>数据基表!AG32</f>
        <v>165.141674896357</v>
      </c>
      <c r="BZ8" s="197">
        <f>数据基表!AH32</f>
        <v>17420</v>
      </c>
      <c r="CA8" s="197">
        <f>数据基表!AI32</f>
        <v>1551</v>
      </c>
      <c r="CB8" s="197">
        <f>数据基表!AJ32</f>
        <v>0</v>
      </c>
      <c r="CC8" s="197">
        <f>数据基表!AK32</f>
        <v>0</v>
      </c>
      <c r="CD8" s="197">
        <f>数据基表!AL32</f>
        <v>2844</v>
      </c>
      <c r="CE8" s="197">
        <f>数据基表!AM32</f>
        <v>483</v>
      </c>
    </row>
    <row r="9" s="262" customFormat="1" ht="13.5" customHeight="1" spans="1:85">
      <c r="A9" s="515"/>
      <c r="B9" s="200" t="s">
        <v>256</v>
      </c>
      <c r="C9" s="197">
        <f>数据基表!B44</f>
        <v>4019</v>
      </c>
      <c r="D9" s="197" t="e">
        <f>#REF!</f>
        <v>#REF!</v>
      </c>
      <c r="E9" s="197" t="e">
        <f>#REF!</f>
        <v>#REF!</v>
      </c>
      <c r="F9" s="197" t="e">
        <f>#REF!</f>
        <v>#REF!</v>
      </c>
      <c r="G9" s="197" t="e">
        <f>#REF!</f>
        <v>#REF!</v>
      </c>
      <c r="H9" s="197">
        <f>数据基表!G44</f>
        <v>4019</v>
      </c>
      <c r="I9" s="197" t="e">
        <f>#REF!</f>
        <v>#REF!</v>
      </c>
      <c r="J9" s="197" t="e">
        <f>#REF!</f>
        <v>#REF!</v>
      </c>
      <c r="K9" s="197" t="e">
        <f>#REF!</f>
        <v>#REF!</v>
      </c>
      <c r="L9" s="197" t="e">
        <f>#REF!</f>
        <v>#REF!</v>
      </c>
      <c r="M9" s="197">
        <f>数据基表!L44</f>
        <v>2645</v>
      </c>
      <c r="N9" s="197" t="e">
        <f>#REF!</f>
        <v>#REF!</v>
      </c>
      <c r="O9" s="197" t="e">
        <f>#REF!</f>
        <v>#REF!</v>
      </c>
      <c r="P9" s="197" t="e">
        <f>#REF!</f>
        <v>#REF!</v>
      </c>
      <c r="Q9" s="197" t="e">
        <f>#REF!</f>
        <v>#REF!</v>
      </c>
      <c r="R9" s="197">
        <f>数据基表!Q44</f>
        <v>0</v>
      </c>
      <c r="S9" s="197" t="e">
        <f>#REF!</f>
        <v>#REF!</v>
      </c>
      <c r="T9" s="197" t="e">
        <f>#REF!</f>
        <v>#REF!</v>
      </c>
      <c r="U9" s="197" t="e">
        <f>#REF!</f>
        <v>#REF!</v>
      </c>
      <c r="V9" s="197" t="e">
        <f>#REF!</f>
        <v>#REF!</v>
      </c>
      <c r="W9" s="197">
        <f>数据基表!V44</f>
        <v>360</v>
      </c>
      <c r="X9" s="197" t="e">
        <f>#REF!</f>
        <v>#REF!</v>
      </c>
      <c r="Y9" s="197" t="e">
        <f>#REF!</f>
        <v>#REF!</v>
      </c>
      <c r="Z9" s="197" t="e">
        <f>#REF!</f>
        <v>#REF!</v>
      </c>
      <c r="AA9" s="197" t="e">
        <f>#REF!</f>
        <v>#REF!</v>
      </c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541"/>
      <c r="AN9" s="541"/>
      <c r="AO9" s="541"/>
      <c r="AP9" s="541"/>
      <c r="AQ9" s="541"/>
      <c r="AR9" s="541"/>
      <c r="AS9" s="200" t="s">
        <v>256</v>
      </c>
      <c r="AT9" s="197">
        <f>数据基表!B55</f>
        <v>1680</v>
      </c>
      <c r="AU9" s="197" t="e">
        <f>#REF!</f>
        <v>#REF!</v>
      </c>
      <c r="AV9" s="197" t="e">
        <f>#REF!</f>
        <v>#REF!</v>
      </c>
      <c r="AW9" s="197">
        <f>数据基表!E55</f>
        <v>2045</v>
      </c>
      <c r="AX9" s="197">
        <f>数据基表!F55</f>
        <v>32549</v>
      </c>
      <c r="AY9" s="197">
        <f>数据基表!G55</f>
        <v>0</v>
      </c>
      <c r="AZ9" s="197" t="e">
        <f>#REF!</f>
        <v>#REF!</v>
      </c>
      <c r="BA9" s="197" t="e">
        <f>#REF!</f>
        <v>#REF!</v>
      </c>
      <c r="BB9" s="197">
        <f>数据基表!J55</f>
        <v>0</v>
      </c>
      <c r="BC9" s="197">
        <f>数据基表!K55</f>
        <v>0</v>
      </c>
      <c r="BD9" s="197">
        <f>数据基表!L55</f>
        <v>1453.2</v>
      </c>
      <c r="BE9" s="197" t="e">
        <f>#REF!</f>
        <v>#REF!</v>
      </c>
      <c r="BF9" s="197" t="e">
        <f>#REF!</f>
        <v>#REF!</v>
      </c>
      <c r="BG9" s="197">
        <f>数据基表!O55</f>
        <v>3438.55</v>
      </c>
      <c r="BH9" s="197">
        <f>数据基表!P55</f>
        <v>1027.2</v>
      </c>
      <c r="BI9" s="197" t="e">
        <f>#REF!</f>
        <v>#REF!</v>
      </c>
      <c r="BJ9" s="197" t="e">
        <f>#REF!</f>
        <v>#REF!</v>
      </c>
      <c r="BK9" s="197"/>
      <c r="BL9" s="197" t="e">
        <f>#REF!</f>
        <v>#REF!</v>
      </c>
      <c r="BM9" s="197" t="e">
        <f>#REF!</f>
        <v>#REF!</v>
      </c>
      <c r="BN9" s="197">
        <f>数据基表!V55</f>
        <v>1361</v>
      </c>
      <c r="BO9" s="197">
        <f>数据基表!W55</f>
        <v>1367</v>
      </c>
      <c r="BP9" s="197">
        <f>数据基表!X55</f>
        <v>1365</v>
      </c>
      <c r="BQ9" s="197">
        <f>数据基表!Y55</f>
        <v>183</v>
      </c>
      <c r="BR9" s="197">
        <f>数据基表!Z55</f>
        <v>191</v>
      </c>
      <c r="BS9" s="197">
        <f>数据基表!AA55</f>
        <v>185</v>
      </c>
      <c r="BT9" s="197">
        <f>数据基表!AB55</f>
        <v>1033</v>
      </c>
      <c r="BU9" s="197">
        <f>数据基表!AC55</f>
        <v>1018</v>
      </c>
      <c r="BV9" s="197">
        <f>数据基表!AD55</f>
        <v>1031</v>
      </c>
      <c r="BW9" s="197">
        <f>数据基表!AE55</f>
        <v>156</v>
      </c>
      <c r="BX9" s="197">
        <f>数据基表!AF55</f>
        <v>144</v>
      </c>
      <c r="BY9" s="197">
        <f>数据基表!AG55</f>
        <v>140</v>
      </c>
      <c r="BZ9" s="197">
        <f>数据基表!AH55</f>
        <v>4466</v>
      </c>
      <c r="CA9" s="197">
        <f>数据基表!AI55</f>
        <v>0</v>
      </c>
      <c r="CB9" s="197">
        <f>数据基表!AJ55</f>
        <v>42761</v>
      </c>
      <c r="CC9" s="197">
        <f>数据基表!AK55</f>
        <v>5722</v>
      </c>
      <c r="CD9" s="197">
        <f>数据基表!AL55</f>
        <v>8933</v>
      </c>
      <c r="CE9" s="197">
        <f>数据基表!AM55</f>
        <v>2656</v>
      </c>
      <c r="CF9" s="452"/>
      <c r="CG9" s="110"/>
    </row>
    <row r="10" s="262" customFormat="1" spans="1:85">
      <c r="A10" s="515"/>
      <c r="B10" s="200" t="s">
        <v>257</v>
      </c>
      <c r="C10" s="197">
        <f>数据基表!B66</f>
        <v>1143</v>
      </c>
      <c r="D10" s="197" t="e">
        <f>#REF!</f>
        <v>#REF!</v>
      </c>
      <c r="E10" s="197" t="e">
        <f>#REF!</f>
        <v>#REF!</v>
      </c>
      <c r="F10" s="197" t="e">
        <f>#REF!</f>
        <v>#REF!</v>
      </c>
      <c r="G10" s="197" t="e">
        <f>#REF!</f>
        <v>#REF!</v>
      </c>
      <c r="H10" s="197">
        <f>数据基表!G66</f>
        <v>888</v>
      </c>
      <c r="I10" s="197" t="e">
        <f>#REF!</f>
        <v>#REF!</v>
      </c>
      <c r="J10" s="197" t="e">
        <f>#REF!</f>
        <v>#REF!</v>
      </c>
      <c r="K10" s="197" t="e">
        <f>#REF!</f>
        <v>#REF!</v>
      </c>
      <c r="L10" s="197" t="e">
        <f>#REF!</f>
        <v>#REF!</v>
      </c>
      <c r="M10" s="197">
        <f>数据基表!L66</f>
        <v>0</v>
      </c>
      <c r="N10" s="197" t="e">
        <f>#REF!</f>
        <v>#REF!</v>
      </c>
      <c r="O10" s="197" t="e">
        <f>#REF!</f>
        <v>#REF!</v>
      </c>
      <c r="P10" s="197" t="e">
        <f>#REF!</f>
        <v>#REF!</v>
      </c>
      <c r="Q10" s="197" t="e">
        <f>#REF!</f>
        <v>#REF!</v>
      </c>
      <c r="R10" s="197">
        <f>数据基表!Q66</f>
        <v>241</v>
      </c>
      <c r="S10" s="197" t="e">
        <f>#REF!</f>
        <v>#REF!</v>
      </c>
      <c r="T10" s="197" t="e">
        <f>#REF!</f>
        <v>#REF!</v>
      </c>
      <c r="U10" s="197" t="e">
        <f>#REF!</f>
        <v>#REF!</v>
      </c>
      <c r="V10" s="197" t="e">
        <f>#REF!</f>
        <v>#REF!</v>
      </c>
      <c r="W10" s="197">
        <f>数据基表!V66</f>
        <v>0</v>
      </c>
      <c r="X10" s="197" t="e">
        <f>#REF!</f>
        <v>#REF!</v>
      </c>
      <c r="Y10" s="197" t="e">
        <f>#REF!</f>
        <v>#REF!</v>
      </c>
      <c r="Z10" s="197" t="e">
        <f>#REF!</f>
        <v>#REF!</v>
      </c>
      <c r="AA10" s="197" t="e">
        <f>#REF!</f>
        <v>#REF!</v>
      </c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541"/>
      <c r="AN10" s="541"/>
      <c r="AO10" s="541"/>
      <c r="AP10" s="541"/>
      <c r="AQ10" s="541"/>
      <c r="AR10" s="541"/>
      <c r="AS10" s="200" t="s">
        <v>257</v>
      </c>
      <c r="AT10" s="197">
        <f>数据基表!B73</f>
        <v>0</v>
      </c>
      <c r="AU10" s="197" t="e">
        <f>#REF!</f>
        <v>#REF!</v>
      </c>
      <c r="AV10" s="197" t="e">
        <f>#REF!</f>
        <v>#REF!</v>
      </c>
      <c r="AW10" s="197">
        <f>数据基表!E73</f>
        <v>0</v>
      </c>
      <c r="AX10" s="197">
        <f>数据基表!F73</f>
        <v>0</v>
      </c>
      <c r="AY10" s="197">
        <f>数据基表!G73</f>
        <v>106</v>
      </c>
      <c r="AZ10" s="197" t="e">
        <f>#REF!</f>
        <v>#REF!</v>
      </c>
      <c r="BA10" s="197" t="e">
        <f>#REF!</f>
        <v>#REF!</v>
      </c>
      <c r="BB10" s="197">
        <f>数据基表!J73</f>
        <v>2350</v>
      </c>
      <c r="BC10" s="197">
        <f>数据基表!K73</f>
        <v>1538</v>
      </c>
      <c r="BD10" s="197">
        <f>数据基表!L73</f>
        <v>932</v>
      </c>
      <c r="BE10" s="197" t="e">
        <f>#REF!</f>
        <v>#REF!</v>
      </c>
      <c r="BF10" s="197" t="e">
        <f>#REF!</f>
        <v>#REF!</v>
      </c>
      <c r="BG10" s="197">
        <f>数据基表!O73</f>
        <v>3530</v>
      </c>
      <c r="BH10" s="197"/>
      <c r="BI10" s="197"/>
      <c r="BJ10" s="197"/>
      <c r="BK10" s="197"/>
      <c r="BL10" s="197" t="e">
        <f>#REF!</f>
        <v>#REF!</v>
      </c>
      <c r="BM10" s="197" t="e">
        <f>#REF!</f>
        <v>#REF!</v>
      </c>
      <c r="BN10" s="197">
        <f>数据基表!V73</f>
        <v>1112</v>
      </c>
      <c r="BO10" s="197">
        <f>数据基表!W73</f>
        <v>1112</v>
      </c>
      <c r="BP10" s="197">
        <f>数据基表!X73</f>
        <v>1109</v>
      </c>
      <c r="BQ10" s="197">
        <f>数据基表!Y73</f>
        <v>1228</v>
      </c>
      <c r="BR10" s="197">
        <f>数据基表!Z73</f>
        <v>1228</v>
      </c>
      <c r="BS10" s="197">
        <f>数据基表!AA73</f>
        <v>1240</v>
      </c>
      <c r="BT10" s="197">
        <f>数据基表!AB73</f>
        <v>0</v>
      </c>
      <c r="BU10" s="197">
        <f>数据基表!AC73</f>
        <v>0</v>
      </c>
      <c r="BV10" s="197">
        <f>数据基表!AD73</f>
        <v>1097</v>
      </c>
      <c r="BW10" s="197">
        <f>数据基表!AE73</f>
        <v>0</v>
      </c>
      <c r="BX10" s="197">
        <f>数据基表!AF73</f>
        <v>0</v>
      </c>
      <c r="BY10" s="197">
        <f>数据基表!AG73</f>
        <v>140</v>
      </c>
      <c r="BZ10" s="197">
        <f>数据基表!AH73</f>
        <v>7325</v>
      </c>
      <c r="CA10" s="197">
        <f>数据基表!AI73</f>
        <v>1206</v>
      </c>
      <c r="CB10" s="197">
        <f>数据基表!AJ73</f>
        <v>123</v>
      </c>
      <c r="CC10" s="197">
        <f>数据基表!AK73</f>
        <v>0</v>
      </c>
      <c r="CD10" s="197">
        <f>数据基表!AL73</f>
        <v>5919</v>
      </c>
      <c r="CE10" s="197">
        <f>数据基表!AM73</f>
        <v>127</v>
      </c>
      <c r="CF10" s="110"/>
      <c r="CG10" s="110"/>
    </row>
    <row r="11" s="262" customFormat="1" ht="13.5" customHeight="1" spans="1:85">
      <c r="A11" s="515"/>
      <c r="B11" s="200" t="s">
        <v>258</v>
      </c>
      <c r="C11" s="197">
        <f>数据基表!B80</f>
        <v>4196.4651</v>
      </c>
      <c r="D11" s="197" t="e">
        <f>#REF!</f>
        <v>#REF!</v>
      </c>
      <c r="E11" s="197" t="e">
        <f>#REF!</f>
        <v>#REF!</v>
      </c>
      <c r="F11" s="197" t="e">
        <f>#REF!</f>
        <v>#REF!</v>
      </c>
      <c r="G11" s="197" t="e">
        <f>#REF!</f>
        <v>#REF!</v>
      </c>
      <c r="H11" s="197">
        <f>数据基表!G80</f>
        <v>3586.4445</v>
      </c>
      <c r="I11" s="197" t="e">
        <f>#REF!</f>
        <v>#REF!</v>
      </c>
      <c r="J11" s="197" t="e">
        <f>#REF!</f>
        <v>#REF!</v>
      </c>
      <c r="K11" s="197" t="e">
        <f>#REF!</f>
        <v>#REF!</v>
      </c>
      <c r="L11" s="197" t="e">
        <f>#REF!</f>
        <v>#REF!</v>
      </c>
      <c r="M11" s="197">
        <f>数据基表!L80</f>
        <v>4192.9</v>
      </c>
      <c r="N11" s="197" t="e">
        <f>#REF!</f>
        <v>#REF!</v>
      </c>
      <c r="O11" s="197" t="e">
        <f>#REF!</f>
        <v>#REF!</v>
      </c>
      <c r="P11" s="197" t="e">
        <f>#REF!</f>
        <v>#REF!</v>
      </c>
      <c r="Q11" s="197" t="e">
        <f>#REF!</f>
        <v>#REF!</v>
      </c>
      <c r="R11" s="197">
        <f>数据基表!Q80</f>
        <v>553.746</v>
      </c>
      <c r="S11" s="197" t="e">
        <f>#REF!</f>
        <v>#REF!</v>
      </c>
      <c r="T11" s="197" t="e">
        <f>#REF!</f>
        <v>#REF!</v>
      </c>
      <c r="U11" s="197" t="e">
        <f>#REF!</f>
        <v>#REF!</v>
      </c>
      <c r="V11" s="197" t="e">
        <f>#REF!</f>
        <v>#REF!</v>
      </c>
      <c r="W11" s="197"/>
      <c r="X11" s="197"/>
      <c r="Y11" s="197"/>
      <c r="Z11" s="197"/>
      <c r="AA11" s="197"/>
      <c r="AB11" s="197">
        <f>数据基表!AA80</f>
        <v>125</v>
      </c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541"/>
      <c r="AN11" s="541"/>
      <c r="AO11" s="541"/>
      <c r="AP11" s="541"/>
      <c r="AQ11" s="541"/>
      <c r="AR11" s="541"/>
      <c r="AS11" s="200" t="s">
        <v>258</v>
      </c>
      <c r="AT11" s="197">
        <f>数据基表!B87</f>
        <v>4114</v>
      </c>
      <c r="AU11" s="197" t="e">
        <f>#REF!</f>
        <v>#REF!</v>
      </c>
      <c r="AV11" s="197" t="e">
        <f>#REF!</f>
        <v>#REF!</v>
      </c>
      <c r="AW11" s="197">
        <f>数据基表!E87</f>
        <v>2133</v>
      </c>
      <c r="AX11" s="197">
        <f>数据基表!F87</f>
        <v>0</v>
      </c>
      <c r="AY11" s="197">
        <f>数据基表!G87</f>
        <v>816.14</v>
      </c>
      <c r="AZ11" s="197" t="e">
        <f>#REF!</f>
        <v>#REF!</v>
      </c>
      <c r="BA11" s="197" t="e">
        <f>#REF!</f>
        <v>#REF!</v>
      </c>
      <c r="BB11" s="197">
        <f>数据基表!J87</f>
        <v>2441</v>
      </c>
      <c r="BC11" s="197">
        <f>数据基表!K87</f>
        <v>2240</v>
      </c>
      <c r="BD11" s="197">
        <f>数据基表!L87</f>
        <v>1106.5</v>
      </c>
      <c r="BE11" s="197"/>
      <c r="BF11" s="197"/>
      <c r="BG11" s="197">
        <f>数据基表!O87</f>
        <v>3554</v>
      </c>
      <c r="BH11" s="197"/>
      <c r="BI11" s="197"/>
      <c r="BJ11" s="197"/>
      <c r="BK11" s="197"/>
      <c r="BL11" s="197" t="e">
        <f>#REF!</f>
        <v>#REF!</v>
      </c>
      <c r="BM11" s="197" t="e">
        <f>#REF!</f>
        <v>#REF!</v>
      </c>
      <c r="BN11" s="197">
        <f>数据基表!V87</f>
        <v>1295.71975</v>
      </c>
      <c r="BO11" s="197">
        <f>数据基表!W87</f>
        <v>1277.20605</v>
      </c>
      <c r="BP11" s="197">
        <f>数据基表!X87</f>
        <v>1212.9066</v>
      </c>
      <c r="BQ11" s="197">
        <f>数据基表!Y87</f>
        <v>839.02611122053</v>
      </c>
      <c r="BR11" s="197">
        <f>数据基表!Z87</f>
        <v>825.987079797747</v>
      </c>
      <c r="BS11" s="197">
        <f>数据基表!AA87</f>
        <v>799.338388899284</v>
      </c>
      <c r="BT11" s="197">
        <f>数据基表!AB87</f>
        <v>913.1362</v>
      </c>
      <c r="BU11" s="197">
        <f>数据基表!AC87</f>
        <v>908.5688</v>
      </c>
      <c r="BV11" s="197">
        <f>数据基表!AD87</f>
        <v>931.67905</v>
      </c>
      <c r="BW11" s="197">
        <f>数据基表!AE87</f>
        <v>103.05145</v>
      </c>
      <c r="BX11" s="197">
        <f>数据基表!AF87</f>
        <v>101.54505</v>
      </c>
      <c r="BY11" s="197">
        <f>数据基表!AG87</f>
        <v>100.7696</v>
      </c>
      <c r="BZ11" s="197">
        <f>数据基表!AH87</f>
        <v>39044</v>
      </c>
      <c r="CA11" s="197">
        <f>数据基表!AI87</f>
        <v>2716</v>
      </c>
      <c r="CB11" s="197">
        <f>数据基表!AJ87</f>
        <v>15203</v>
      </c>
      <c r="CC11" s="197">
        <f>数据基表!AK87</f>
        <v>2896</v>
      </c>
      <c r="CD11" s="452"/>
      <c r="CE11" s="668"/>
      <c r="CF11" s="110"/>
      <c r="CG11" s="110"/>
    </row>
    <row r="12" s="262" customFormat="1" ht="13.5" customHeight="1" spans="1:83">
      <c r="A12" s="515"/>
      <c r="B12" s="200" t="s">
        <v>259</v>
      </c>
      <c r="C12" s="197">
        <f>数据基表!B92</f>
        <v>5316.19294285714</v>
      </c>
      <c r="D12" s="197" t="e">
        <f>#REF!</f>
        <v>#REF!</v>
      </c>
      <c r="E12" s="197" t="e">
        <f>#REF!</f>
        <v>#REF!</v>
      </c>
      <c r="F12" s="197" t="e">
        <f>#REF!</f>
        <v>#REF!</v>
      </c>
      <c r="G12" s="197" t="e">
        <f>#REF!</f>
        <v>#REF!</v>
      </c>
      <c r="H12" s="197">
        <f>数据基表!G92</f>
        <v>3072.43</v>
      </c>
      <c r="I12" s="197" t="e">
        <f>#REF!</f>
        <v>#REF!</v>
      </c>
      <c r="J12" s="197" t="e">
        <f>#REF!</f>
        <v>#REF!</v>
      </c>
      <c r="K12" s="197" t="e">
        <f>#REF!</f>
        <v>#REF!</v>
      </c>
      <c r="L12" s="197" t="e">
        <f>#REF!</f>
        <v>#REF!</v>
      </c>
      <c r="M12" s="197">
        <f>数据基表!L92</f>
        <v>4228.51</v>
      </c>
      <c r="N12" s="197" t="e">
        <f>#REF!</f>
        <v>#REF!</v>
      </c>
      <c r="O12" s="197" t="e">
        <f>#REF!</f>
        <v>#REF!</v>
      </c>
      <c r="P12" s="197" t="e">
        <f>#REF!</f>
        <v>#REF!</v>
      </c>
      <c r="Q12" s="197" t="e">
        <f>#REF!</f>
        <v>#REF!</v>
      </c>
      <c r="R12" s="197">
        <f>数据基表!Q92</f>
        <v>1997</v>
      </c>
      <c r="S12" s="197" t="e">
        <f>#REF!</f>
        <v>#REF!</v>
      </c>
      <c r="T12" s="197" t="e">
        <f>#REF!</f>
        <v>#REF!</v>
      </c>
      <c r="U12" s="197" t="e">
        <f>#REF!</f>
        <v>#REF!</v>
      </c>
      <c r="V12" s="197" t="e">
        <f>#REF!</f>
        <v>#REF!</v>
      </c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541"/>
      <c r="AN12" s="541"/>
      <c r="AO12" s="541"/>
      <c r="AP12" s="541"/>
      <c r="AQ12" s="541"/>
      <c r="AR12" s="541"/>
      <c r="AS12" s="200" t="s">
        <v>259</v>
      </c>
      <c r="AT12" s="197">
        <f>数据基表!B95</f>
        <v>4116</v>
      </c>
      <c r="AU12" s="197" t="e">
        <f>#REF!</f>
        <v>#REF!</v>
      </c>
      <c r="AV12" s="197" t="e">
        <f>#REF!</f>
        <v>#REF!</v>
      </c>
      <c r="AW12" s="197">
        <f>数据基表!E95</f>
        <v>2077.05758017493</v>
      </c>
      <c r="AX12" s="197">
        <f>数据基表!F95</f>
        <v>3187</v>
      </c>
      <c r="AY12" s="197">
        <f>数据基表!G95</f>
        <v>1635.73</v>
      </c>
      <c r="AZ12" s="197" t="e">
        <f>#REF!</f>
        <v>#REF!</v>
      </c>
      <c r="BA12" s="197" t="e">
        <f>#REF!</f>
        <v>#REF!</v>
      </c>
      <c r="BB12" s="197">
        <f>数据基表!J95</f>
        <v>2220.59242662298</v>
      </c>
      <c r="BC12" s="197">
        <f>数据基表!K95</f>
        <v>5525</v>
      </c>
      <c r="BD12" s="197">
        <f>数据基表!L95</f>
        <v>629.04</v>
      </c>
      <c r="BE12" s="197" t="e">
        <f>#REF!</f>
        <v>#REF!</v>
      </c>
      <c r="BF12" s="197" t="e">
        <f>#REF!</f>
        <v>#REF!</v>
      </c>
      <c r="BG12" s="197">
        <f>数据基表!O95</f>
        <v>3454.00133536818</v>
      </c>
      <c r="BH12" s="197"/>
      <c r="BI12" s="197"/>
      <c r="BJ12" s="197"/>
      <c r="BK12" s="197"/>
      <c r="BL12" s="197" t="e">
        <f>#REF!</f>
        <v>#REF!</v>
      </c>
      <c r="BM12" s="197" t="e">
        <f>#REF!</f>
        <v>#REF!</v>
      </c>
      <c r="BN12" s="197">
        <f>数据基表!V95</f>
        <v>1288.39633429837</v>
      </c>
      <c r="BO12" s="197">
        <f>数据基表!W95</f>
        <v>1283.65238079005</v>
      </c>
      <c r="BP12" s="197">
        <f>数据基表!X95</f>
        <v>1290.32720139945</v>
      </c>
      <c r="BQ12" s="197">
        <f>数据基表!Y95</f>
        <v>354.651913552767</v>
      </c>
      <c r="BR12" s="197">
        <f>数据基表!Z95</f>
        <v>363.085675039318</v>
      </c>
      <c r="BS12" s="197">
        <f>数据基表!AA95</f>
        <v>362.662619258593</v>
      </c>
      <c r="BT12" s="197"/>
      <c r="BU12" s="197">
        <f>数据基表!AC95</f>
        <v>1044.38890135709</v>
      </c>
      <c r="BV12" s="197">
        <f>数据基表!AD95</f>
        <v>1060.17756947069</v>
      </c>
      <c r="BW12" s="197"/>
      <c r="BX12" s="197">
        <f>数据基表!AF95</f>
        <v>69.9210507459568</v>
      </c>
      <c r="BY12" s="197">
        <f>数据基表!AG95</f>
        <v>71.8134004575818</v>
      </c>
      <c r="BZ12" s="197">
        <f>数据基表!AH95</f>
        <v>12482</v>
      </c>
      <c r="CA12" s="197">
        <f>数据基表!AI95</f>
        <v>1048.34</v>
      </c>
      <c r="CB12" s="197">
        <f>数据基表!G127</f>
        <v>23304.15</v>
      </c>
      <c r="CC12" s="197">
        <f>数据基表!H127</f>
        <v>2706.1</v>
      </c>
      <c r="CD12" s="262">
        <f>数据基表!J124+数据基表!J127</f>
        <v>13785.59</v>
      </c>
      <c r="CE12" s="262">
        <f>数据基表!K124+数据基表!K127</f>
        <v>1748.8</v>
      </c>
    </row>
    <row r="13" s="262" customFormat="1" ht="13.5" customHeight="1" spans="1:81">
      <c r="A13" s="515"/>
      <c r="B13" s="200" t="s">
        <v>260</v>
      </c>
      <c r="C13" s="197">
        <f>数据基表!B133</f>
        <v>4024</v>
      </c>
      <c r="D13" s="197" t="e">
        <f>#REF!</f>
        <v>#REF!</v>
      </c>
      <c r="E13" s="197" t="e">
        <f>#REF!</f>
        <v>#REF!</v>
      </c>
      <c r="F13" s="197" t="e">
        <f>#REF!</f>
        <v>#REF!</v>
      </c>
      <c r="G13" s="197" t="e">
        <f>#REF!</f>
        <v>#REF!</v>
      </c>
      <c r="H13" s="197">
        <f>数据基表!G133</f>
        <v>2568</v>
      </c>
      <c r="I13" s="197" t="e">
        <f>#REF!</f>
        <v>#REF!</v>
      </c>
      <c r="J13" s="197" t="e">
        <f>#REF!</f>
        <v>#REF!</v>
      </c>
      <c r="K13" s="197" t="e">
        <f>#REF!</f>
        <v>#REF!</v>
      </c>
      <c r="L13" s="197" t="e">
        <f>#REF!</f>
        <v>#REF!</v>
      </c>
      <c r="M13" s="197">
        <f>数据基表!L133</f>
        <v>2871</v>
      </c>
      <c r="N13" s="197" t="e">
        <f>#REF!</f>
        <v>#REF!</v>
      </c>
      <c r="O13" s="197" t="e">
        <f>#REF!</f>
        <v>#REF!</v>
      </c>
      <c r="P13" s="197" t="e">
        <f>#REF!</f>
        <v>#REF!</v>
      </c>
      <c r="Q13" s="197" t="e">
        <f>#REF!</f>
        <v>#REF!</v>
      </c>
      <c r="R13" s="197">
        <f>数据基表!Q133</f>
        <v>1280</v>
      </c>
      <c r="S13" s="197" t="e">
        <f>#REF!</f>
        <v>#REF!</v>
      </c>
      <c r="T13" s="197" t="e">
        <f>#REF!</f>
        <v>#REF!</v>
      </c>
      <c r="U13" s="197" t="e">
        <f>#REF!</f>
        <v>#REF!</v>
      </c>
      <c r="V13" s="197" t="e">
        <f>#REF!</f>
        <v>#REF!</v>
      </c>
      <c r="W13" s="197"/>
      <c r="X13" s="197"/>
      <c r="Y13" s="197"/>
      <c r="Z13" s="197"/>
      <c r="AA13" s="197"/>
      <c r="AB13" s="197">
        <f>数据基表!AA133</f>
        <v>1146</v>
      </c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541"/>
      <c r="AN13" s="541"/>
      <c r="AO13" s="541"/>
      <c r="AP13" s="541"/>
      <c r="AQ13" s="541"/>
      <c r="AR13" s="541"/>
      <c r="AS13" s="200" t="s">
        <v>260</v>
      </c>
      <c r="AT13" s="197">
        <f>数据基表!B141</f>
        <v>2144</v>
      </c>
      <c r="AU13" s="197" t="e">
        <f>#REF!</f>
        <v>#REF!</v>
      </c>
      <c r="AV13" s="197" t="e">
        <f>#REF!</f>
        <v>#REF!</v>
      </c>
      <c r="AW13" s="197">
        <f>数据基表!E141</f>
        <v>2119</v>
      </c>
      <c r="AX13" s="197">
        <f>数据基表!F141</f>
        <v>36805</v>
      </c>
      <c r="AY13" s="197">
        <f>数据基表!G141</f>
        <v>1601</v>
      </c>
      <c r="AZ13" s="197" t="e">
        <f>#REF!</f>
        <v>#REF!</v>
      </c>
      <c r="BA13" s="197" t="e">
        <f>#REF!</f>
        <v>#REF!</v>
      </c>
      <c r="BB13" s="197">
        <f>数据基表!J141</f>
        <v>2306</v>
      </c>
      <c r="BC13" s="197">
        <f>数据基表!K141</f>
        <v>22071</v>
      </c>
      <c r="BD13" s="197">
        <f>数据基表!L141</f>
        <v>718</v>
      </c>
      <c r="BE13" s="197" t="e">
        <f>#REF!</f>
        <v>#REF!</v>
      </c>
      <c r="BF13" s="197" t="e">
        <f>#REF!</f>
        <v>#REF!</v>
      </c>
      <c r="BG13" s="197">
        <f>数据基表!O141</f>
        <v>3627</v>
      </c>
      <c r="BH13" s="197"/>
      <c r="BI13" s="197" t="e">
        <f>#REF!</f>
        <v>#REF!</v>
      </c>
      <c r="BJ13" s="197" t="e">
        <f>#REF!</f>
        <v>#REF!</v>
      </c>
      <c r="BK13" s="197">
        <f>数据基表!S141</f>
        <v>1284</v>
      </c>
      <c r="BL13" s="197" t="e">
        <f>#REF!</f>
        <v>#REF!</v>
      </c>
      <c r="BM13" s="197" t="e">
        <f>#REF!</f>
        <v>#REF!</v>
      </c>
      <c r="BN13" s="197">
        <f>数据基表!V141</f>
        <v>1112</v>
      </c>
      <c r="BO13" s="197">
        <f>数据基表!W141</f>
        <v>1106</v>
      </c>
      <c r="BP13" s="197">
        <f>数据基表!X141</f>
        <v>1078</v>
      </c>
      <c r="BQ13" s="197">
        <f>数据基表!Y141</f>
        <v>1277</v>
      </c>
      <c r="BR13" s="197">
        <f>数据基表!Z141</f>
        <v>1273</v>
      </c>
      <c r="BS13" s="197">
        <f>数据基表!AA141</f>
        <v>1301</v>
      </c>
      <c r="BT13" s="197">
        <f>数据基表!AB141</f>
        <v>936</v>
      </c>
      <c r="BU13" s="197">
        <f>数据基表!AC141</f>
        <v>990</v>
      </c>
      <c r="BV13" s="197">
        <f>数据基表!AD141</f>
        <v>994</v>
      </c>
      <c r="BW13" s="197">
        <f>数据基表!AE141</f>
        <v>147</v>
      </c>
      <c r="BX13" s="197">
        <f>数据基表!AF141</f>
        <v>148</v>
      </c>
      <c r="BY13" s="197">
        <f>数据基表!AG141</f>
        <v>147</v>
      </c>
      <c r="BZ13" s="197">
        <f>数据基表!AH141</f>
        <v>42283</v>
      </c>
      <c r="CA13" s="197">
        <f>数据基表!AI141</f>
        <v>663</v>
      </c>
      <c r="CB13" s="197">
        <f>数据基表!AJ141</f>
        <v>90527</v>
      </c>
      <c r="CC13" s="197">
        <f>数据基表!AK141</f>
        <v>4635</v>
      </c>
    </row>
    <row r="14" ht="13.5" customHeight="1" spans="1:83">
      <c r="A14" s="515"/>
      <c r="B14" s="200" t="s">
        <v>261</v>
      </c>
      <c r="C14" s="197">
        <f>数据基表!B159</f>
        <v>7519.2014</v>
      </c>
      <c r="D14" s="197" t="e">
        <f>#REF!</f>
        <v>#REF!</v>
      </c>
      <c r="E14" s="197" t="e">
        <f>#REF!</f>
        <v>#REF!</v>
      </c>
      <c r="F14" s="197" t="e">
        <f>#REF!</f>
        <v>#REF!</v>
      </c>
      <c r="G14" s="197" t="e">
        <f>#REF!</f>
        <v>#REF!</v>
      </c>
      <c r="H14" s="197">
        <f>数据基表!G159</f>
        <v>4282.4278</v>
      </c>
      <c r="I14" s="197" t="e">
        <f>#REF!</f>
        <v>#REF!</v>
      </c>
      <c r="J14" s="197" t="e">
        <f>#REF!</f>
        <v>#REF!</v>
      </c>
      <c r="K14" s="197" t="e">
        <f>#REF!</f>
        <v>#REF!</v>
      </c>
      <c r="L14" s="197" t="e">
        <f>#REF!</f>
        <v>#REF!</v>
      </c>
      <c r="M14" s="197">
        <f>数据基表!L159</f>
        <v>2825.77</v>
      </c>
      <c r="N14" s="197" t="e">
        <f>#REF!</f>
        <v>#REF!</v>
      </c>
      <c r="O14" s="197" t="e">
        <f>#REF!</f>
        <v>#REF!</v>
      </c>
      <c r="P14" s="197" t="e">
        <f>#REF!</f>
        <v>#REF!</v>
      </c>
      <c r="Q14" s="197" t="e">
        <f>#REF!</f>
        <v>#REF!</v>
      </c>
      <c r="R14" s="197">
        <f>数据基表!Q159</f>
        <v>2531.8</v>
      </c>
      <c r="S14" s="197" t="e">
        <f>#REF!</f>
        <v>#REF!</v>
      </c>
      <c r="T14" s="197" t="e">
        <f>#REF!</f>
        <v>#REF!</v>
      </c>
      <c r="U14" s="197" t="e">
        <f>#REF!</f>
        <v>#REF!</v>
      </c>
      <c r="V14" s="197" t="e">
        <f>#REF!</f>
        <v>#REF!</v>
      </c>
      <c r="W14" s="197">
        <f>数据基表!V159</f>
        <v>0</v>
      </c>
      <c r="X14" s="197" t="e">
        <f>#REF!</f>
        <v>#REF!</v>
      </c>
      <c r="Y14" s="197" t="e">
        <f>#REF!</f>
        <v>#REF!</v>
      </c>
      <c r="Z14" s="197" t="e">
        <f>#REF!</f>
        <v>#REF!</v>
      </c>
      <c r="AA14" s="197" t="e">
        <f>#REF!</f>
        <v>#REF!</v>
      </c>
      <c r="AB14" s="197">
        <f>数据基表!AA156</f>
        <v>1223.35</v>
      </c>
      <c r="AC14" s="197" t="e">
        <f>#REF!</f>
        <v>#REF!</v>
      </c>
      <c r="AD14" s="197" t="e">
        <f>#REF!</f>
        <v>#REF!</v>
      </c>
      <c r="AE14" s="197" t="e">
        <f>#REF!</f>
        <v>#REF!</v>
      </c>
      <c r="AF14" s="197" t="e">
        <f>#REF!</f>
        <v>#REF!</v>
      </c>
      <c r="AG14" s="197"/>
      <c r="AH14" s="197"/>
      <c r="AI14" s="197"/>
      <c r="AJ14" s="197"/>
      <c r="AK14" s="197"/>
      <c r="AL14" s="197"/>
      <c r="AM14" s="540"/>
      <c r="AN14" s="540"/>
      <c r="AO14" s="540"/>
      <c r="AP14" s="540"/>
      <c r="AQ14" s="540"/>
      <c r="AR14" s="540"/>
      <c r="AS14" s="200" t="s">
        <v>261</v>
      </c>
      <c r="AT14" s="197">
        <f>数据基表!B167</f>
        <v>2991.72</v>
      </c>
      <c r="AU14" s="197" t="e">
        <f>#REF!</f>
        <v>#REF!</v>
      </c>
      <c r="AV14" s="197" t="e">
        <f>#REF!</f>
        <v>#REF!</v>
      </c>
      <c r="AW14" s="197">
        <f>数据基表!E167</f>
        <v>2210</v>
      </c>
      <c r="AX14" s="197">
        <f>数据基表!F167</f>
        <v>3227.37</v>
      </c>
      <c r="AY14" s="197">
        <f>数据基表!G167</f>
        <v>2417.3</v>
      </c>
      <c r="AZ14" s="197" t="e">
        <f>#REF!</f>
        <v>#REF!</v>
      </c>
      <c r="BA14" s="197" t="e">
        <f>#REF!</f>
        <v>#REF!</v>
      </c>
      <c r="BB14" s="197">
        <f>数据基表!J167</f>
        <v>2300</v>
      </c>
      <c r="BC14" s="197">
        <f>数据基表!K167</f>
        <v>17264.36</v>
      </c>
      <c r="BD14" s="197">
        <f>数据基表!L167</f>
        <v>1961.92</v>
      </c>
      <c r="BE14" s="197" t="e">
        <f>#REF!</f>
        <v>#REF!</v>
      </c>
      <c r="BF14" s="197" t="e">
        <f>#REF!</f>
        <v>#REF!</v>
      </c>
      <c r="BG14" s="197">
        <f>数据基表!O167</f>
        <v>3450</v>
      </c>
      <c r="BH14" s="197"/>
      <c r="BI14" s="197" t="e">
        <f>#REF!</f>
        <v>#REF!</v>
      </c>
      <c r="BJ14" s="197" t="e">
        <f>#REF!</f>
        <v>#REF!</v>
      </c>
      <c r="BK14" s="197">
        <f>数据基表!S167</f>
        <v>902.77</v>
      </c>
      <c r="BL14" s="197" t="e">
        <f>#REF!</f>
        <v>#REF!</v>
      </c>
      <c r="BM14" s="197" t="e">
        <f>#REF!</f>
        <v>#REF!</v>
      </c>
      <c r="BN14" s="197">
        <f>数据基表!V167</f>
        <v>1193.25317698878</v>
      </c>
      <c r="BO14" s="197">
        <f>数据基表!W167</f>
        <v>1187.04111156528</v>
      </c>
      <c r="BP14" s="197">
        <f>数据基表!X167</f>
        <v>1200.98631573463</v>
      </c>
      <c r="BQ14" s="197">
        <f>数据基表!Y167</f>
        <v>921.593360316657</v>
      </c>
      <c r="BR14" s="197">
        <f>数据基表!Z167</f>
        <v>929.125629511123</v>
      </c>
      <c r="BS14" s="197">
        <f>数据基表!AA167</f>
        <v>931.019351668818</v>
      </c>
      <c r="BT14" s="197">
        <f>数据基表!AB167</f>
        <v>979.909900664244</v>
      </c>
      <c r="BU14" s="197">
        <f>数据基表!AC167</f>
        <v>1461.3950109241</v>
      </c>
      <c r="BV14" s="197">
        <f>数据基表!AD167</f>
        <v>991.9329377398</v>
      </c>
      <c r="BW14" s="197">
        <f>数据基表!AE167</f>
        <v>155</v>
      </c>
      <c r="BX14" s="197">
        <f>数据基表!AF167</f>
        <v>155</v>
      </c>
      <c r="BY14" s="197">
        <f>数据基表!AG167</f>
        <v>155</v>
      </c>
      <c r="BZ14" s="197">
        <f>数据基表!C173</f>
        <v>23240</v>
      </c>
      <c r="CA14" s="197">
        <f>数据基表!D173</f>
        <v>2448</v>
      </c>
      <c r="CB14" s="197">
        <f>数据基表!F173+数据基表!F174+数据基表!F175</f>
        <v>70024</v>
      </c>
      <c r="CC14" s="197">
        <f>数据基表!G173+数据基表!G174+数据基表!G175</f>
        <v>4919</v>
      </c>
      <c r="CD14" s="197">
        <f>数据基表!I173+数据基表!I175</f>
        <v>15558</v>
      </c>
      <c r="CE14" s="197">
        <f>数据基表!J173+数据基表!J175</f>
        <v>1060</v>
      </c>
    </row>
    <row r="15" ht="13.5" customHeight="1" spans="1:84">
      <c r="A15" s="515"/>
      <c r="B15" s="200" t="s">
        <v>162</v>
      </c>
      <c r="C15" s="197">
        <f>数据基表!B180</f>
        <v>4477.125</v>
      </c>
      <c r="D15" s="197" t="e">
        <f>#REF!</f>
        <v>#REF!</v>
      </c>
      <c r="E15" s="197" t="e">
        <f>#REF!</f>
        <v>#REF!</v>
      </c>
      <c r="F15" s="197" t="e">
        <f>#REF!</f>
        <v>#REF!</v>
      </c>
      <c r="G15" s="197" t="e">
        <f>#REF!</f>
        <v>#REF!</v>
      </c>
      <c r="H15" s="197">
        <f>数据基表!G180</f>
        <v>3759.945</v>
      </c>
      <c r="I15" s="197" t="e">
        <f>#REF!</f>
        <v>#REF!</v>
      </c>
      <c r="J15" s="197" t="e">
        <f>#REF!</f>
        <v>#REF!</v>
      </c>
      <c r="K15" s="197" t="e">
        <f>#REF!</f>
        <v>#REF!</v>
      </c>
      <c r="L15" s="197" t="e">
        <f>#REF!</f>
        <v>#REF!</v>
      </c>
      <c r="M15" s="197">
        <f>数据基表!L180</f>
        <v>2508.49</v>
      </c>
      <c r="N15" s="197" t="e">
        <f>#REF!</f>
        <v>#REF!</v>
      </c>
      <c r="O15" s="197" t="e">
        <f>#REF!</f>
        <v>#REF!</v>
      </c>
      <c r="P15" s="197" t="e">
        <f>#REF!</f>
        <v>#REF!</v>
      </c>
      <c r="Q15" s="197" t="e">
        <f>#REF!</f>
        <v>#REF!</v>
      </c>
      <c r="R15" s="197">
        <f>数据基表!Q180</f>
        <v>717.18</v>
      </c>
      <c r="S15" s="197" t="e">
        <f>#REF!</f>
        <v>#REF!</v>
      </c>
      <c r="T15" s="197" t="e">
        <f>#REF!</f>
        <v>#REF!</v>
      </c>
      <c r="U15" s="197" t="e">
        <f>#REF!</f>
        <v>#REF!</v>
      </c>
      <c r="V15" s="197" t="e">
        <f>#REF!</f>
        <v>#REF!</v>
      </c>
      <c r="W15" s="197">
        <f>数据基表!AA180</f>
        <v>6515.87</v>
      </c>
      <c r="X15" s="197" t="e">
        <f>#REF!</f>
        <v>#REF!</v>
      </c>
      <c r="Y15" s="197" t="e">
        <f>#REF!</f>
        <v>#REF!</v>
      </c>
      <c r="Z15" s="197" t="e">
        <f>#REF!</f>
        <v>#REF!</v>
      </c>
      <c r="AA15" s="197" t="e">
        <f>#REF!</f>
        <v>#REF!</v>
      </c>
      <c r="AB15" s="197">
        <f>数据基表!V180</f>
        <v>448.13</v>
      </c>
      <c r="AC15" s="197" t="e">
        <f>#REF!</f>
        <v>#REF!</v>
      </c>
      <c r="AD15" s="197" t="e">
        <f>#REF!</f>
        <v>#REF!</v>
      </c>
      <c r="AE15" s="197" t="e">
        <f>#REF!</f>
        <v>#REF!</v>
      </c>
      <c r="AF15" s="197" t="e">
        <f>#REF!</f>
        <v>#REF!</v>
      </c>
      <c r="AG15" s="197"/>
      <c r="AH15" s="197"/>
      <c r="AI15" s="197"/>
      <c r="AJ15" s="197"/>
      <c r="AK15" s="197"/>
      <c r="AL15" s="197"/>
      <c r="AM15" s="540"/>
      <c r="AN15" s="540"/>
      <c r="AO15" s="540"/>
      <c r="AP15" s="540"/>
      <c r="AQ15" s="540"/>
      <c r="AR15" s="540"/>
      <c r="AS15" s="200" t="s">
        <v>162</v>
      </c>
      <c r="AT15" s="197">
        <f>数据基表!B185</f>
        <v>2670</v>
      </c>
      <c r="AU15" s="197" t="e">
        <f>#REF!</f>
        <v>#REF!</v>
      </c>
      <c r="AV15" s="197" t="e">
        <f>#REF!</f>
        <v>#REF!</v>
      </c>
      <c r="AW15" s="197">
        <f>数据基表!E185</f>
        <v>2091.064</v>
      </c>
      <c r="AX15" s="197">
        <f>数据基表!F185</f>
        <v>15518.92</v>
      </c>
      <c r="AY15" s="197">
        <f>数据基表!G185</f>
        <v>412.08</v>
      </c>
      <c r="AZ15" s="197" t="e">
        <f>#REF!</f>
        <v>#REF!</v>
      </c>
      <c r="BA15" s="197" t="e">
        <f>#REF!</f>
        <v>#REF!</v>
      </c>
      <c r="BB15" s="197">
        <f>数据基表!J185</f>
        <v>2360</v>
      </c>
      <c r="BC15" s="197">
        <f>数据基表!K185</f>
        <v>18835.707</v>
      </c>
      <c r="BD15" s="197">
        <f>数据基表!L185</f>
        <v>1178.88</v>
      </c>
      <c r="BE15" s="197" t="e">
        <f>#REF!</f>
        <v>#REF!</v>
      </c>
      <c r="BF15" s="197" t="e">
        <f>#REF!</f>
        <v>#REF!</v>
      </c>
      <c r="BG15" s="197">
        <f>数据基表!O185</f>
        <v>3600</v>
      </c>
      <c r="BH15" s="197">
        <f>数据基表!V185</f>
        <v>4794.67</v>
      </c>
      <c r="BI15" s="197" t="e">
        <f>#REF!</f>
        <v>#REF!</v>
      </c>
      <c r="BJ15" s="197" t="e">
        <f>#REF!</f>
        <v>#REF!</v>
      </c>
      <c r="BK15" s="197">
        <f>数据基表!Q185</f>
        <v>552.72</v>
      </c>
      <c r="BL15" s="197" t="e">
        <f>#REF!</f>
        <v>#REF!</v>
      </c>
      <c r="BM15" s="197" t="e">
        <f>#REF!</f>
        <v>#REF!</v>
      </c>
      <c r="BN15" s="197">
        <f>数据基表!AF185*1000</f>
        <v>1024</v>
      </c>
      <c r="BO15" s="197">
        <f>数据基表!AG185*1000</f>
        <v>915</v>
      </c>
      <c r="BP15" s="197">
        <f>数据基表!AH185*1000</f>
        <v>1117</v>
      </c>
      <c r="BQ15" s="197">
        <f>数据基表!AE185</f>
        <v>505.7</v>
      </c>
      <c r="BR15" s="197">
        <f>数据基表!AF185</f>
        <v>1.024</v>
      </c>
      <c r="BS15" s="197">
        <f>数据基表!AG185</f>
        <v>0.915</v>
      </c>
      <c r="BT15" s="197">
        <f>数据基表!AH185*1000</f>
        <v>1117</v>
      </c>
      <c r="BU15" s="197">
        <f>数据基表!AP185*1000</f>
        <v>1019</v>
      </c>
      <c r="BV15" s="197">
        <f>数据基表!AQ185*1000</f>
        <v>1046</v>
      </c>
      <c r="BW15" s="197">
        <f>数据基表!AL185</f>
        <v>93.303</v>
      </c>
      <c r="BX15" s="197">
        <f>数据基表!AM185</f>
        <v>97.845</v>
      </c>
      <c r="BY15" s="197">
        <f>数据基表!AN185</f>
        <v>121.659</v>
      </c>
      <c r="BZ15" s="646"/>
      <c r="CA15" s="647"/>
      <c r="CB15" s="648">
        <f>数据基表!G190+数据基表!G191</f>
        <v>105660.047</v>
      </c>
      <c r="CC15" s="648">
        <f>数据基表!H190+数据基表!H191</f>
        <v>6000.5</v>
      </c>
      <c r="CF15" s="262"/>
    </row>
    <row r="16" s="262" customFormat="1" ht="13.5" customHeight="1" spans="1:83">
      <c r="A16" s="515"/>
      <c r="B16" s="200" t="s">
        <v>186</v>
      </c>
      <c r="C16" s="197">
        <f>数据基表!B197</f>
        <v>1140</v>
      </c>
      <c r="D16" s="197" t="e">
        <f>#REF!</f>
        <v>#REF!</v>
      </c>
      <c r="E16" s="197" t="e">
        <f>#REF!</f>
        <v>#REF!</v>
      </c>
      <c r="F16" s="197" t="e">
        <f>#REF!</f>
        <v>#REF!</v>
      </c>
      <c r="G16" s="197" t="e">
        <f>#REF!</f>
        <v>#REF!</v>
      </c>
      <c r="H16" s="197">
        <f>数据基表!G197</f>
        <v>880</v>
      </c>
      <c r="I16" s="197" t="e">
        <f>#REF!</f>
        <v>#REF!</v>
      </c>
      <c r="J16" s="197" t="e">
        <f>#REF!</f>
        <v>#REF!</v>
      </c>
      <c r="K16" s="197" t="e">
        <f>#REF!</f>
        <v>#REF!</v>
      </c>
      <c r="L16" s="197" t="e">
        <f>#REF!</f>
        <v>#REF!</v>
      </c>
      <c r="M16" s="197">
        <f>数据基表!L197</f>
        <v>0</v>
      </c>
      <c r="N16" s="197" t="e">
        <f>#REF!</f>
        <v>#REF!</v>
      </c>
      <c r="O16" s="197" t="e">
        <f>#REF!</f>
        <v>#REF!</v>
      </c>
      <c r="P16" s="197" t="e">
        <f>#REF!</f>
        <v>#REF!</v>
      </c>
      <c r="Q16" s="197" t="e">
        <f>#REF!</f>
        <v>#REF!</v>
      </c>
      <c r="R16" s="197">
        <f>数据基表!Q197</f>
        <v>260</v>
      </c>
      <c r="S16" s="197" t="e">
        <f>#REF!</f>
        <v>#REF!</v>
      </c>
      <c r="T16" s="197" t="e">
        <f>#REF!</f>
        <v>#REF!</v>
      </c>
      <c r="U16" s="197" t="e">
        <f>#REF!</f>
        <v>#REF!</v>
      </c>
      <c r="V16" s="197" t="e">
        <f>#REF!</f>
        <v>#REF!</v>
      </c>
      <c r="W16" s="197">
        <f>数据基表!V197</f>
        <v>0</v>
      </c>
      <c r="X16" s="197" t="e">
        <f>#REF!</f>
        <v>#REF!</v>
      </c>
      <c r="Y16" s="197" t="e">
        <f>#REF!</f>
        <v>#REF!</v>
      </c>
      <c r="Z16" s="197" t="e">
        <f>#REF!</f>
        <v>#REF!</v>
      </c>
      <c r="AA16" s="197" t="e">
        <f>#REF!</f>
        <v>#REF!</v>
      </c>
      <c r="AB16" s="197">
        <f>数据基表!AA197</f>
        <v>533</v>
      </c>
      <c r="AC16" s="197" t="e">
        <f>#REF!</f>
        <v>#REF!</v>
      </c>
      <c r="AD16" s="197" t="e">
        <f>#REF!</f>
        <v>#REF!</v>
      </c>
      <c r="AE16" s="197" t="e">
        <f>#REF!</f>
        <v>#REF!</v>
      </c>
      <c r="AF16" s="197" t="e">
        <f>#REF!</f>
        <v>#REF!</v>
      </c>
      <c r="AG16" s="197"/>
      <c r="AH16" s="197"/>
      <c r="AI16" s="197"/>
      <c r="AJ16" s="197"/>
      <c r="AK16" s="197"/>
      <c r="AL16" s="197"/>
      <c r="AM16" s="541"/>
      <c r="AN16" s="541"/>
      <c r="AO16" s="541"/>
      <c r="AP16" s="541"/>
      <c r="AQ16" s="541"/>
      <c r="AR16" s="541"/>
      <c r="AS16" s="200" t="s">
        <v>186</v>
      </c>
      <c r="AT16" s="197">
        <f>数据基表!B204</f>
        <v>0</v>
      </c>
      <c r="AU16" s="197" t="e">
        <f>#REF!</f>
        <v>#REF!</v>
      </c>
      <c r="AV16" s="197" t="e">
        <f>#REF!</f>
        <v>#REF!</v>
      </c>
      <c r="AW16" s="197">
        <f>数据基表!E204</f>
        <v>0</v>
      </c>
      <c r="AX16" s="197">
        <f>数据基表!F204</f>
        <v>0</v>
      </c>
      <c r="AY16" s="197">
        <f>数据基表!G204</f>
        <v>0</v>
      </c>
      <c r="AZ16" s="197" t="e">
        <f>#REF!</f>
        <v>#REF!</v>
      </c>
      <c r="BA16" s="197" t="e">
        <f>#REF!</f>
        <v>#REF!</v>
      </c>
      <c r="BB16" s="197">
        <f>数据基表!J204</f>
        <v>0</v>
      </c>
      <c r="BC16" s="197">
        <f>数据基表!K204</f>
        <v>569</v>
      </c>
      <c r="BD16" s="197">
        <f>数据基表!L204</f>
        <v>294</v>
      </c>
      <c r="BE16" s="197" t="e">
        <f>#REF!</f>
        <v>#REF!</v>
      </c>
      <c r="BF16" s="197" t="e">
        <f>#REF!</f>
        <v>#REF!</v>
      </c>
      <c r="BG16" s="197">
        <f>数据基表!O204</f>
        <v>3480</v>
      </c>
      <c r="BH16" s="197"/>
      <c r="BI16" s="197" t="e">
        <f>#REF!</f>
        <v>#REF!</v>
      </c>
      <c r="BJ16" s="197" t="e">
        <f>#REF!</f>
        <v>#REF!</v>
      </c>
      <c r="BK16" s="197">
        <f>数据基表!S204</f>
        <v>419</v>
      </c>
      <c r="BL16" s="197" t="e">
        <f>#REF!</f>
        <v>#REF!</v>
      </c>
      <c r="BM16" s="197" t="e">
        <f>#REF!</f>
        <v>#REF!</v>
      </c>
      <c r="BN16" s="197">
        <f>数据基表!V204</f>
        <v>0</v>
      </c>
      <c r="BO16" s="197">
        <f>数据基表!W204</f>
        <v>0</v>
      </c>
      <c r="BP16" s="197">
        <f>数据基表!X204</f>
        <v>0</v>
      </c>
      <c r="BQ16" s="197">
        <f>数据基表!Y204</f>
        <v>1129</v>
      </c>
      <c r="BR16" s="197">
        <f>数据基表!Z204</f>
        <v>0</v>
      </c>
      <c r="BS16" s="197">
        <f>数据基表!AA204</f>
        <v>0</v>
      </c>
      <c r="BT16" s="197">
        <f>数据基表!AB204</f>
        <v>0</v>
      </c>
      <c r="BU16" s="197">
        <f>数据基表!AC204</f>
        <v>0</v>
      </c>
      <c r="BV16" s="197">
        <f>数据基表!AD204</f>
        <v>0</v>
      </c>
      <c r="BW16" s="197">
        <f>数据基表!AE204</f>
        <v>0</v>
      </c>
      <c r="BX16" s="197">
        <f>数据基表!AF204</f>
        <v>0</v>
      </c>
      <c r="BY16" s="197">
        <f>数据基表!AG204</f>
        <v>0</v>
      </c>
      <c r="BZ16" s="197">
        <f>数据基表!AH204</f>
        <v>0</v>
      </c>
      <c r="CA16" s="197">
        <f>数据基表!AI204</f>
        <v>0</v>
      </c>
      <c r="CB16" s="649"/>
      <c r="CC16" s="669"/>
      <c r="CE16"/>
    </row>
    <row r="17" ht="13.5" customHeight="1" spans="1:81">
      <c r="A17" s="515"/>
      <c r="B17" s="200" t="s">
        <v>262</v>
      </c>
      <c r="C17" s="197">
        <f>数据基表!B216</f>
        <v>1166</v>
      </c>
      <c r="D17" s="197" t="e">
        <f>#REF!</f>
        <v>#REF!</v>
      </c>
      <c r="E17" s="197" t="e">
        <f>#REF!</f>
        <v>#REF!</v>
      </c>
      <c r="F17" s="197" t="e">
        <f>#REF!</f>
        <v>#REF!</v>
      </c>
      <c r="G17" s="197" t="e">
        <f>#REF!</f>
        <v>#REF!</v>
      </c>
      <c r="H17" s="197">
        <f>数据基表!G216</f>
        <v>0</v>
      </c>
      <c r="I17" s="197" t="e">
        <f>#REF!</f>
        <v>#REF!</v>
      </c>
      <c r="J17" s="197" t="e">
        <f>#REF!</f>
        <v>#REF!</v>
      </c>
      <c r="K17" s="197" t="e">
        <f>#REF!</f>
        <v>#REF!</v>
      </c>
      <c r="L17" s="197" t="e">
        <f>#REF!</f>
        <v>#REF!</v>
      </c>
      <c r="M17" s="197"/>
      <c r="N17" s="197" t="e">
        <f>#REF!</f>
        <v>#REF!</v>
      </c>
      <c r="O17" s="197" t="e">
        <f>#REF!</f>
        <v>#REF!</v>
      </c>
      <c r="P17" s="197" t="e">
        <f>#REF!</f>
        <v>#REF!</v>
      </c>
      <c r="Q17" s="197" t="e">
        <f>#REF!</f>
        <v>#REF!</v>
      </c>
      <c r="R17" s="197">
        <f>数据基表!Q216</f>
        <v>1100</v>
      </c>
      <c r="S17" s="197" t="e">
        <f>#REF!</f>
        <v>#REF!</v>
      </c>
      <c r="T17" s="197" t="e">
        <f>#REF!</f>
        <v>#REF!</v>
      </c>
      <c r="U17" s="197" t="e">
        <f>#REF!</f>
        <v>#REF!</v>
      </c>
      <c r="V17" s="197" t="e">
        <f>#REF!</f>
        <v>#REF!</v>
      </c>
      <c r="W17" s="197"/>
      <c r="X17" s="197"/>
      <c r="Y17" s="197"/>
      <c r="Z17" s="197"/>
      <c r="AA17" s="197"/>
      <c r="AB17" s="197"/>
      <c r="AC17" s="197" t="e">
        <f>#REF!</f>
        <v>#REF!</v>
      </c>
      <c r="AD17" s="197" t="e">
        <f>#REF!</f>
        <v>#REF!</v>
      </c>
      <c r="AE17" s="197" t="e">
        <f>#REF!</f>
        <v>#REF!</v>
      </c>
      <c r="AF17" s="197" t="e">
        <f>#REF!</f>
        <v>#REF!</v>
      </c>
      <c r="AG17" s="197"/>
      <c r="AH17" s="197"/>
      <c r="AI17" s="197"/>
      <c r="AJ17" s="197"/>
      <c r="AK17" s="197"/>
      <c r="AL17" s="197"/>
      <c r="AM17" s="542"/>
      <c r="AN17" s="543">
        <v>0</v>
      </c>
      <c r="AO17" s="563" t="s">
        <v>48</v>
      </c>
      <c r="AP17" s="543">
        <v>0</v>
      </c>
      <c r="AQ17" s="540"/>
      <c r="AR17" s="540"/>
      <c r="AS17" s="200" t="s">
        <v>262</v>
      </c>
      <c r="AT17" s="197"/>
      <c r="AU17" s="197"/>
      <c r="AV17" s="197"/>
      <c r="AW17" s="197"/>
      <c r="AX17" s="197"/>
      <c r="AY17" s="197">
        <f>数据基表!B221</f>
        <v>919</v>
      </c>
      <c r="AZ17" s="197">
        <v>18202</v>
      </c>
      <c r="BA17" s="197">
        <v>256394.72</v>
      </c>
      <c r="BB17" s="197">
        <f>数据基表!E221</f>
        <v>2120</v>
      </c>
      <c r="BC17" s="197">
        <f>数据基表!F222+数据基表!F221</f>
        <v>6305</v>
      </c>
      <c r="BD17" s="197"/>
      <c r="BE17" s="197"/>
      <c r="BF17" s="197"/>
      <c r="BG17" s="197"/>
      <c r="BH17" s="197"/>
      <c r="BI17" s="197"/>
      <c r="BJ17" s="197"/>
      <c r="BK17" s="197"/>
      <c r="BL17" s="517"/>
      <c r="BM17" s="626"/>
      <c r="BN17" s="627">
        <f>数据基表!Y221</f>
        <v>1607</v>
      </c>
      <c r="BO17" s="627">
        <f>数据基表!Z221</f>
        <v>1790</v>
      </c>
      <c r="BP17" s="627">
        <f>数据基表!AA221</f>
        <v>1550</v>
      </c>
      <c r="BQ17" s="628"/>
      <c r="BR17" s="517"/>
      <c r="BS17" s="626"/>
      <c r="BT17" s="629"/>
      <c r="BU17" s="200"/>
      <c r="BV17" s="650"/>
      <c r="BW17" s="651"/>
      <c r="BX17" s="200"/>
      <c r="BY17" s="650"/>
      <c r="BZ17" s="629"/>
      <c r="CA17" s="652"/>
      <c r="CB17" s="653"/>
      <c r="CC17" s="652"/>
    </row>
    <row r="18" s="506" customFormat="1" ht="13.5" customHeight="1" spans="1:81">
      <c r="A18" s="515"/>
      <c r="B18" s="200" t="s">
        <v>263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 t="e">
        <f>#REF!</f>
        <v>#REF!</v>
      </c>
      <c r="AD18" s="197" t="e">
        <f>#REF!</f>
        <v>#REF!</v>
      </c>
      <c r="AE18" s="197" t="e">
        <f>#REF!</f>
        <v>#REF!</v>
      </c>
      <c r="AF18" s="197" t="e">
        <f>#REF!</f>
        <v>#REF!</v>
      </c>
      <c r="AG18" s="197"/>
      <c r="AH18" s="197"/>
      <c r="AI18" s="197"/>
      <c r="AJ18" s="197"/>
      <c r="AK18" s="197"/>
      <c r="AL18" s="197"/>
      <c r="AM18" s="544"/>
      <c r="AN18" s="544"/>
      <c r="AO18" s="544"/>
      <c r="AP18" s="544"/>
      <c r="AQ18" s="544"/>
      <c r="AR18" s="564"/>
      <c r="AS18" s="517" t="s">
        <v>263</v>
      </c>
      <c r="AT18" s="517"/>
      <c r="AU18" s="517"/>
      <c r="AV18" s="517"/>
      <c r="AW18" s="517"/>
      <c r="AX18" s="517"/>
      <c r="AY18" s="517"/>
      <c r="AZ18" s="517"/>
      <c r="BA18" s="517"/>
      <c r="BB18" s="517"/>
      <c r="BC18" s="200"/>
      <c r="BD18" s="517"/>
      <c r="BE18" s="517"/>
      <c r="BF18" s="517"/>
      <c r="BG18" s="517"/>
      <c r="BH18" s="517"/>
      <c r="BI18" s="517"/>
      <c r="BJ18" s="517"/>
      <c r="BK18" s="517"/>
      <c r="BL18" s="517"/>
      <c r="BM18" s="517"/>
      <c r="BN18" s="517"/>
      <c r="BO18" s="517"/>
      <c r="BP18" s="517"/>
      <c r="BQ18" s="517"/>
      <c r="BR18" s="517"/>
      <c r="BS18" s="517"/>
      <c r="BT18" s="517"/>
      <c r="BU18" s="517"/>
      <c r="BV18" s="517"/>
      <c r="BW18" s="517"/>
      <c r="BX18" s="517"/>
      <c r="BY18" s="517"/>
      <c r="BZ18" s="517"/>
      <c r="CA18" s="517"/>
      <c r="CB18" s="517"/>
      <c r="CC18" s="517"/>
    </row>
    <row r="19" ht="13.5" hidden="1" customHeight="1" spans="1:81">
      <c r="A19" s="515"/>
      <c r="B19" s="200" t="s">
        <v>264</v>
      </c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540"/>
      <c r="AN19" s="540"/>
      <c r="AO19" s="540"/>
      <c r="AP19" s="540"/>
      <c r="AQ19" s="540"/>
      <c r="AR19" s="541"/>
      <c r="AS19" s="200" t="s">
        <v>264</v>
      </c>
      <c r="AT19" s="517"/>
      <c r="AU19" s="517"/>
      <c r="AV19" s="517"/>
      <c r="AW19" s="517"/>
      <c r="AX19" s="517"/>
      <c r="AY19" s="517"/>
      <c r="AZ19" s="517"/>
      <c r="BA19" s="517"/>
      <c r="BB19" s="517"/>
      <c r="BC19" s="200"/>
      <c r="BD19" s="517"/>
      <c r="BE19" s="517"/>
      <c r="BF19" s="517"/>
      <c r="BG19" s="517"/>
      <c r="BH19" s="517"/>
      <c r="BI19" s="517"/>
      <c r="BJ19" s="517"/>
      <c r="BK19" s="517"/>
      <c r="BL19" s="517"/>
      <c r="BM19" s="517"/>
      <c r="BN19" s="197"/>
      <c r="BO19" s="197"/>
      <c r="BP19" s="630"/>
      <c r="BQ19" s="631"/>
      <c r="BR19" s="197"/>
      <c r="BS19" s="632"/>
      <c r="BT19" s="633"/>
      <c r="BU19" s="197"/>
      <c r="BV19" s="630"/>
      <c r="BW19" s="631"/>
      <c r="BX19" s="654"/>
      <c r="BY19" s="630"/>
      <c r="BZ19" s="655"/>
      <c r="CA19" s="655"/>
      <c r="CB19" s="655"/>
      <c r="CC19" s="655"/>
    </row>
    <row r="20" ht="13.5" customHeight="1" spans="1:81">
      <c r="A20" s="515"/>
      <c r="B20" s="200" t="s">
        <v>265</v>
      </c>
      <c r="C20" s="197">
        <f>数据基表!B233</f>
        <v>836</v>
      </c>
      <c r="D20" s="197" t="e">
        <f>#REF!</f>
        <v>#REF!</v>
      </c>
      <c r="E20" s="197" t="e">
        <f>#REF!</f>
        <v>#REF!</v>
      </c>
      <c r="F20" s="197" t="e">
        <f>#REF!</f>
        <v>#REF!</v>
      </c>
      <c r="G20" s="197" t="e">
        <f>#REF!</f>
        <v>#REF!</v>
      </c>
      <c r="H20" s="197">
        <f>数据基表!G233</f>
        <v>775</v>
      </c>
      <c r="I20" s="197" t="e">
        <f>#REF!</f>
        <v>#REF!</v>
      </c>
      <c r="J20" s="197" t="e">
        <f>#REF!</f>
        <v>#REF!</v>
      </c>
      <c r="K20" s="197" t="e">
        <f>#REF!</f>
        <v>#REF!</v>
      </c>
      <c r="L20" s="197" t="e">
        <f>#REF!</f>
        <v>#REF!</v>
      </c>
      <c r="M20" s="197">
        <f>数据基表!L233</f>
        <v>1308</v>
      </c>
      <c r="N20" s="197" t="e">
        <f>#REF!</f>
        <v>#REF!</v>
      </c>
      <c r="O20" s="197" t="e">
        <f>#REF!</f>
        <v>#REF!</v>
      </c>
      <c r="P20" s="197" t="e">
        <f>#REF!</f>
        <v>#REF!</v>
      </c>
      <c r="Q20" s="197" t="e">
        <f>#REF!</f>
        <v>#REF!</v>
      </c>
      <c r="R20" s="197">
        <f>数据基表!Q233</f>
        <v>62</v>
      </c>
      <c r="S20" s="197" t="e">
        <f>#REF!</f>
        <v>#REF!</v>
      </c>
      <c r="T20" s="197" t="e">
        <f>#REF!</f>
        <v>#REF!</v>
      </c>
      <c r="U20" s="197" t="e">
        <f>#REF!</f>
        <v>#REF!</v>
      </c>
      <c r="V20" s="197" t="e">
        <f>#REF!</f>
        <v>#REF!</v>
      </c>
      <c r="W20" s="197"/>
      <c r="X20" s="197"/>
      <c r="Y20" s="197"/>
      <c r="Z20" s="197"/>
      <c r="AA20" s="197"/>
      <c r="AB20" s="197"/>
      <c r="AC20" s="197" t="e">
        <f>#REF!</f>
        <v>#REF!</v>
      </c>
      <c r="AD20" s="197" t="e">
        <f>#REF!</f>
        <v>#REF!</v>
      </c>
      <c r="AE20" s="197" t="e">
        <f>#REF!</f>
        <v>#REF!</v>
      </c>
      <c r="AF20" s="197" t="e">
        <f>#REF!</f>
        <v>#REF!</v>
      </c>
      <c r="AG20" s="197"/>
      <c r="AH20" s="197"/>
      <c r="AI20" s="197"/>
      <c r="AJ20" s="197"/>
      <c r="AK20" s="197"/>
      <c r="AL20" s="197"/>
      <c r="AM20" s="540"/>
      <c r="AN20" s="540"/>
      <c r="AO20" s="540"/>
      <c r="AP20" s="540"/>
      <c r="AQ20" s="540"/>
      <c r="AR20" s="541"/>
      <c r="AS20" s="200" t="s">
        <v>265</v>
      </c>
      <c r="AT20" s="517">
        <f>数据基表!B239</f>
        <v>2102</v>
      </c>
      <c r="AU20" s="517" t="e">
        <f>#REF!</f>
        <v>#REF!</v>
      </c>
      <c r="AV20" s="517" t="e">
        <f>#REF!</f>
        <v>#REF!</v>
      </c>
      <c r="AW20" s="517">
        <f>数据基表!E239</f>
        <v>2080</v>
      </c>
      <c r="AX20" s="517">
        <f>数据基表!F239</f>
        <v>35624</v>
      </c>
      <c r="AY20" s="517">
        <f>数据基表!G239</f>
        <v>0</v>
      </c>
      <c r="AZ20" s="517" t="e">
        <f>#REF!</f>
        <v>#REF!</v>
      </c>
      <c r="BA20" s="517" t="e">
        <f>#REF!</f>
        <v>#REF!</v>
      </c>
      <c r="BB20" s="517">
        <f>数据基表!J239</f>
        <v>2280</v>
      </c>
      <c r="BC20" s="517">
        <f>数据基表!K239+数据基表!K240</f>
        <v>2022</v>
      </c>
      <c r="BD20" s="517">
        <f>数据基表!L239</f>
        <v>150</v>
      </c>
      <c r="BE20" s="517" t="e">
        <f>#REF!</f>
        <v>#REF!</v>
      </c>
      <c r="BF20" s="517" t="e">
        <f>#REF!</f>
        <v>#REF!</v>
      </c>
      <c r="BG20" s="517">
        <f>数据基表!O239</f>
        <v>3580</v>
      </c>
      <c r="BH20" s="517"/>
      <c r="BI20" s="517"/>
      <c r="BJ20" s="517"/>
      <c r="BK20" s="517"/>
      <c r="BL20" s="517" t="e">
        <f>#REF!</f>
        <v>#REF!</v>
      </c>
      <c r="BM20" s="517" t="e">
        <f>#REF!</f>
        <v>#REF!</v>
      </c>
      <c r="BN20" s="517">
        <f>数据基表!V239</f>
        <v>1180</v>
      </c>
      <c r="BO20" s="517">
        <f>数据基表!W239</f>
        <v>1167</v>
      </c>
      <c r="BP20" s="517">
        <f>数据基表!X239</f>
        <v>1178</v>
      </c>
      <c r="BQ20" s="517">
        <f>数据基表!Y239</f>
        <v>1332</v>
      </c>
      <c r="BR20" s="517">
        <f>数据基表!Z239</f>
        <v>1318</v>
      </c>
      <c r="BS20" s="517">
        <f>数据基表!AA239</f>
        <v>1296</v>
      </c>
      <c r="BT20" s="517">
        <f>数据基表!AB239</f>
        <v>1114</v>
      </c>
      <c r="BU20" s="517">
        <f>数据基表!AC239</f>
        <v>1112</v>
      </c>
      <c r="BV20" s="517">
        <f>数据基表!AD239</f>
        <v>1111</v>
      </c>
      <c r="BW20" s="517">
        <f>数据基表!AE239</f>
        <v>146</v>
      </c>
      <c r="BX20" s="517">
        <f>数据基表!AF239</f>
        <v>154</v>
      </c>
      <c r="BY20" s="517">
        <f>数据基表!AG239</f>
        <v>148</v>
      </c>
      <c r="BZ20" s="517">
        <f>数据基表!AH239</f>
        <v>17040</v>
      </c>
      <c r="CA20" s="517">
        <f>数据基表!AI239</f>
        <v>1088</v>
      </c>
      <c r="CB20" s="517">
        <f>数据基表!AJ239</f>
        <v>0</v>
      </c>
      <c r="CC20" s="517">
        <f>数据基表!AK239</f>
        <v>0</v>
      </c>
    </row>
    <row r="21" ht="13.5" customHeight="1" spans="1:81">
      <c r="A21" s="515"/>
      <c r="B21" s="200" t="s">
        <v>266</v>
      </c>
      <c r="C21" s="197">
        <f>数据基表!B251</f>
        <v>1206.44</v>
      </c>
      <c r="D21" s="197" t="e">
        <f>#REF!</f>
        <v>#REF!</v>
      </c>
      <c r="E21" s="197" t="e">
        <f>#REF!</f>
        <v>#REF!</v>
      </c>
      <c r="F21" s="197" t="e">
        <f>#REF!</f>
        <v>#REF!</v>
      </c>
      <c r="G21" s="197" t="e">
        <f>#REF!</f>
        <v>#REF!</v>
      </c>
      <c r="H21" s="197">
        <f>数据基表!G251</f>
        <v>982.78</v>
      </c>
      <c r="I21" s="197" t="e">
        <f>#REF!</f>
        <v>#REF!</v>
      </c>
      <c r="J21" s="197" t="e">
        <f>#REF!</f>
        <v>#REF!</v>
      </c>
      <c r="K21" s="197" t="e">
        <f>#REF!</f>
        <v>#REF!</v>
      </c>
      <c r="L21" s="197" t="e">
        <f>#REF!</f>
        <v>#REF!</v>
      </c>
      <c r="M21" s="197">
        <f>数据基表!L251</f>
        <v>1320</v>
      </c>
      <c r="N21" s="197" t="e">
        <f>#REF!</f>
        <v>#REF!</v>
      </c>
      <c r="O21" s="197" t="e">
        <f>#REF!</f>
        <v>#REF!</v>
      </c>
      <c r="P21" s="197" t="e">
        <f>#REF!</f>
        <v>#REF!</v>
      </c>
      <c r="Q21" s="197" t="e">
        <f>#REF!</f>
        <v>#REF!</v>
      </c>
      <c r="R21" s="197">
        <f>数据基表!Q251</f>
        <v>211</v>
      </c>
      <c r="S21" s="197" t="e">
        <f>#REF!</f>
        <v>#REF!</v>
      </c>
      <c r="T21" s="197" t="e">
        <f>#REF!</f>
        <v>#REF!</v>
      </c>
      <c r="U21" s="197" t="e">
        <f>#REF!</f>
        <v>#REF!</v>
      </c>
      <c r="V21" s="197" t="e">
        <f>#REF!</f>
        <v>#REF!</v>
      </c>
      <c r="W21" s="197"/>
      <c r="X21" s="197"/>
      <c r="Y21" s="197"/>
      <c r="Z21" s="197"/>
      <c r="AA21" s="197"/>
      <c r="AB21" s="197"/>
      <c r="AC21" s="197" t="e">
        <f>#REF!</f>
        <v>#REF!</v>
      </c>
      <c r="AD21" s="197" t="e">
        <f>#REF!</f>
        <v>#REF!</v>
      </c>
      <c r="AE21" s="197" t="e">
        <f>#REF!</f>
        <v>#REF!</v>
      </c>
      <c r="AF21" s="197" t="e">
        <f>#REF!</f>
        <v>#REF!</v>
      </c>
      <c r="AG21" s="197"/>
      <c r="AH21" s="197"/>
      <c r="AI21" s="197"/>
      <c r="AJ21" s="197"/>
      <c r="AK21" s="197"/>
      <c r="AL21" s="197"/>
      <c r="AM21" s="540"/>
      <c r="AN21" s="540"/>
      <c r="AO21" s="540"/>
      <c r="AP21" s="540"/>
      <c r="AQ21" s="540"/>
      <c r="AR21" s="541"/>
      <c r="AS21" s="200" t="s">
        <v>266</v>
      </c>
      <c r="AT21" s="517">
        <f>数据基表!B256</f>
        <v>1484</v>
      </c>
      <c r="AU21" s="517" t="e">
        <f>#REF!</f>
        <v>#REF!</v>
      </c>
      <c r="AV21" s="517" t="e">
        <f>#REF!</f>
        <v>#REF!</v>
      </c>
      <c r="AW21" s="517">
        <f>数据基表!E256</f>
        <v>2020</v>
      </c>
      <c r="AX21" s="517">
        <f>数据基表!F256</f>
        <v>3189</v>
      </c>
      <c r="AY21" s="517">
        <f>数据基表!G256</f>
        <v>33</v>
      </c>
      <c r="AZ21" s="517" t="e">
        <f>#REF!</f>
        <v>#REF!</v>
      </c>
      <c r="BA21" s="517" t="e">
        <f>#REF!</f>
        <v>#REF!</v>
      </c>
      <c r="BB21" s="517">
        <f>数据基表!J256</f>
        <v>2120</v>
      </c>
      <c r="BC21" s="517">
        <f>数据基表!K256</f>
        <v>1687</v>
      </c>
      <c r="BD21" s="517">
        <f>数据基表!L256</f>
        <v>315</v>
      </c>
      <c r="BE21" s="517" t="e">
        <f>#REF!</f>
        <v>#REF!</v>
      </c>
      <c r="BF21" s="517" t="e">
        <f>#REF!</f>
        <v>#REF!</v>
      </c>
      <c r="BG21" s="517">
        <f>数据基表!O256</f>
        <v>3250</v>
      </c>
      <c r="BH21" s="517"/>
      <c r="BI21" s="517"/>
      <c r="BJ21" s="517"/>
      <c r="BK21" s="517"/>
      <c r="BL21" s="517" t="e">
        <f>#REF!</f>
        <v>#REF!</v>
      </c>
      <c r="BM21" s="517" t="e">
        <f>#REF!</f>
        <v>#REF!</v>
      </c>
      <c r="BN21" s="517">
        <f>数据基表!V256</f>
        <v>1146</v>
      </c>
      <c r="BO21" s="517">
        <f>数据基表!W256</f>
        <v>1144</v>
      </c>
      <c r="BP21" s="517">
        <f>数据基表!X256</f>
        <v>1213</v>
      </c>
      <c r="BQ21" s="517">
        <f>数据基表!Y256</f>
        <v>1176.3</v>
      </c>
      <c r="BR21" s="517">
        <f>数据基表!Z256</f>
        <v>1169.19</v>
      </c>
      <c r="BS21" s="517">
        <f>数据基表!AA256</f>
        <v>1201.33</v>
      </c>
      <c r="BT21" s="517">
        <f>数据基表!AB256</f>
        <v>983</v>
      </c>
      <c r="BU21" s="517">
        <f>数据基表!AC256</f>
        <v>978</v>
      </c>
      <c r="BV21" s="517">
        <f>数据基表!AD256</f>
        <v>999</v>
      </c>
      <c r="BW21" s="517">
        <f>数据基表!AE256</f>
        <v>153.64</v>
      </c>
      <c r="BX21" s="517">
        <f>数据基表!AF256</f>
        <v>154.86</v>
      </c>
      <c r="BY21" s="517">
        <f>数据基表!AG256</f>
        <v>153.94</v>
      </c>
      <c r="BZ21" s="517">
        <f>数据基表!D260</f>
        <v>8474.81</v>
      </c>
      <c r="CA21" s="517">
        <f>数据基表!E260</f>
        <v>1470.65</v>
      </c>
      <c r="CB21" s="656"/>
      <c r="CC21" s="656"/>
    </row>
    <row r="22" ht="13.5" customHeight="1" spans="1:83">
      <c r="A22" s="515"/>
      <c r="B22" s="200" t="s">
        <v>267</v>
      </c>
      <c r="C22" s="197">
        <f>数据基表!B265</f>
        <v>2029.69</v>
      </c>
      <c r="D22" s="197" t="e">
        <f>#REF!</f>
        <v>#REF!</v>
      </c>
      <c r="E22" s="197" t="e">
        <f>#REF!</f>
        <v>#REF!</v>
      </c>
      <c r="F22" s="197" t="e">
        <f>#REF!</f>
        <v>#REF!</v>
      </c>
      <c r="G22" s="197" t="e">
        <f>#REF!</f>
        <v>#REF!</v>
      </c>
      <c r="H22" s="197">
        <f>数据基表!G265</f>
        <v>1641.71</v>
      </c>
      <c r="I22" s="197" t="e">
        <f>#REF!</f>
        <v>#REF!</v>
      </c>
      <c r="J22" s="197" t="e">
        <f>#REF!</f>
        <v>#REF!</v>
      </c>
      <c r="K22" s="197" t="e">
        <f>#REF!</f>
        <v>#REF!</v>
      </c>
      <c r="L22" s="197" t="e">
        <f>#REF!</f>
        <v>#REF!</v>
      </c>
      <c r="M22" s="197">
        <f>数据基表!L265</f>
        <v>2562</v>
      </c>
      <c r="N22" s="197" t="e">
        <f>#REF!</f>
        <v>#REF!</v>
      </c>
      <c r="O22" s="197" t="e">
        <f>#REF!</f>
        <v>#REF!</v>
      </c>
      <c r="P22" s="197" t="e">
        <f>#REF!</f>
        <v>#REF!</v>
      </c>
      <c r="Q22" s="197" t="e">
        <f>#REF!</f>
        <v>#REF!</v>
      </c>
      <c r="R22" s="197">
        <f>数据基表!Q265</f>
        <v>361.7</v>
      </c>
      <c r="S22" s="197" t="e">
        <f>#REF!</f>
        <v>#REF!</v>
      </c>
      <c r="T22" s="197" t="e">
        <f>#REF!</f>
        <v>#REF!</v>
      </c>
      <c r="U22" s="197" t="e">
        <f>#REF!</f>
        <v>#REF!</v>
      </c>
      <c r="V22" s="197" t="e">
        <f>#REF!</f>
        <v>#REF!</v>
      </c>
      <c r="W22" s="197"/>
      <c r="X22" s="197"/>
      <c r="Y22" s="197"/>
      <c r="Z22" s="197"/>
      <c r="AA22" s="197"/>
      <c r="AB22" s="197"/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 t="e">
        <f>#REF!</f>
        <v>#REF!</v>
      </c>
      <c r="AG22" s="197"/>
      <c r="AH22" s="197"/>
      <c r="AI22" s="197"/>
      <c r="AJ22" s="197"/>
      <c r="AK22" s="197"/>
      <c r="AL22" s="197"/>
      <c r="AM22" s="540">
        <v>2135</v>
      </c>
      <c r="AN22" s="540">
        <v>788</v>
      </c>
      <c r="AO22" s="540"/>
      <c r="AP22" s="540"/>
      <c r="AQ22" s="540"/>
      <c r="AR22" s="541"/>
      <c r="AS22" s="200" t="s">
        <v>267</v>
      </c>
      <c r="AT22" s="517">
        <f>数据基表!B270</f>
        <v>2860</v>
      </c>
      <c r="AU22" s="517" t="e">
        <f>#REF!</f>
        <v>#REF!</v>
      </c>
      <c r="AV22" s="517" t="e">
        <f>#REF!</f>
        <v>#REF!</v>
      </c>
      <c r="AW22" s="517">
        <f>数据基表!E270</f>
        <v>2000</v>
      </c>
      <c r="AX22" s="517">
        <f>数据基表!F270</f>
        <v>1835.7</v>
      </c>
      <c r="AY22" s="517">
        <f>数据基表!G270</f>
        <v>629.94</v>
      </c>
      <c r="AZ22" s="517" t="e">
        <f>#REF!</f>
        <v>#REF!</v>
      </c>
      <c r="BA22" s="517" t="e">
        <f>#REF!</f>
        <v>#REF!</v>
      </c>
      <c r="BB22" s="517">
        <f>数据基表!J270</f>
        <v>2120</v>
      </c>
      <c r="BC22" s="517">
        <f>数据基表!K270</f>
        <v>2371.9504</v>
      </c>
      <c r="BD22" s="517">
        <f>数据基表!L270</f>
        <v>325.86</v>
      </c>
      <c r="BE22" s="517" t="e">
        <f>#REF!</f>
        <v>#REF!</v>
      </c>
      <c r="BF22" s="517" t="e">
        <f>#REF!</f>
        <v>#REF!</v>
      </c>
      <c r="BG22" s="517">
        <f>数据基表!O270</f>
        <v>3250</v>
      </c>
      <c r="BH22" s="517"/>
      <c r="BI22" s="517"/>
      <c r="BJ22" s="517"/>
      <c r="BK22" s="517"/>
      <c r="BL22" s="517" t="e">
        <f>#REF!</f>
        <v>#REF!</v>
      </c>
      <c r="BM22" s="517" t="e">
        <f>#REF!</f>
        <v>#REF!</v>
      </c>
      <c r="BN22" s="517">
        <f>数据基表!V270</f>
        <v>1114</v>
      </c>
      <c r="BO22" s="517">
        <f>数据基表!W270</f>
        <v>1111</v>
      </c>
      <c r="BP22" s="517">
        <f>数据基表!X270</f>
        <v>1106</v>
      </c>
      <c r="BQ22" s="517">
        <f>数据基表!Y270</f>
        <v>959</v>
      </c>
      <c r="BR22" s="517">
        <f>数据基表!Z270</f>
        <v>968</v>
      </c>
      <c r="BS22" s="517">
        <f>数据基表!AA270</f>
        <v>926</v>
      </c>
      <c r="BT22" s="517">
        <f>数据基表!AB270</f>
        <v>931</v>
      </c>
      <c r="BU22" s="517">
        <f>数据基表!AC270</f>
        <v>926</v>
      </c>
      <c r="BV22" s="517">
        <f>数据基表!AD270</f>
        <v>923</v>
      </c>
      <c r="BW22" s="517">
        <f>数据基表!AE270</f>
        <v>180</v>
      </c>
      <c r="BX22" s="517">
        <f>数据基表!AF270</f>
        <v>183</v>
      </c>
      <c r="BY22" s="517">
        <f>数据基表!AG270</f>
        <v>176</v>
      </c>
      <c r="BZ22" s="517">
        <f>数据基表!AH270</f>
        <v>5331.08</v>
      </c>
      <c r="CA22" s="517">
        <f>数据基表!AI270</f>
        <v>2563.9</v>
      </c>
      <c r="CB22" s="517">
        <f>数据基表!AJ270</f>
        <v>0</v>
      </c>
      <c r="CC22" s="517">
        <f>数据基表!AK270</f>
        <v>0</v>
      </c>
      <c r="CD22" s="517">
        <f>数据基表!AL270</f>
        <v>2105.42</v>
      </c>
      <c r="CE22" s="517">
        <f>数据基表!AM270</f>
        <v>916.57</v>
      </c>
    </row>
    <row r="23" ht="13.5" customHeight="1" spans="1:83">
      <c r="A23" s="515"/>
      <c r="B23" s="517" t="s">
        <v>268</v>
      </c>
      <c r="C23" s="197">
        <f>数据基表!A275</f>
        <v>2825.91</v>
      </c>
      <c r="D23" s="197" t="e">
        <f>#REF!</f>
        <v>#REF!</v>
      </c>
      <c r="E23" s="197" t="e">
        <f>#REF!</f>
        <v>#REF!</v>
      </c>
      <c r="F23" s="197" t="e">
        <f>#REF!</f>
        <v>#REF!</v>
      </c>
      <c r="G23" s="197" t="e">
        <f>#REF!</f>
        <v>#REF!</v>
      </c>
      <c r="H23" s="197">
        <f>数据基表!F275</f>
        <v>1136.39</v>
      </c>
      <c r="I23" s="197" t="e">
        <f>#REF!</f>
        <v>#REF!</v>
      </c>
      <c r="J23" s="197" t="e">
        <f>#REF!</f>
        <v>#REF!</v>
      </c>
      <c r="K23" s="197" t="e">
        <f>#REF!</f>
        <v>#REF!</v>
      </c>
      <c r="L23" s="197" t="e">
        <f>#REF!</f>
        <v>#REF!</v>
      </c>
      <c r="M23" s="197">
        <f>数据基表!K275</f>
        <v>1775.344</v>
      </c>
      <c r="N23" s="197" t="e">
        <f>#REF!</f>
        <v>#REF!</v>
      </c>
      <c r="O23" s="197" t="e">
        <f>#REF!</f>
        <v>#REF!</v>
      </c>
      <c r="P23" s="197" t="e">
        <f>#REF!</f>
        <v>#REF!</v>
      </c>
      <c r="Q23" s="197" t="e">
        <f>#REF!</f>
        <v>#REF!</v>
      </c>
      <c r="R23" s="197">
        <f>数据基表!P275</f>
        <v>0</v>
      </c>
      <c r="S23" s="197" t="e">
        <f>#REF!</f>
        <v>#REF!</v>
      </c>
      <c r="T23" s="197" t="e">
        <f>#REF!</f>
        <v>#REF!</v>
      </c>
      <c r="U23" s="197" t="e">
        <f>#REF!</f>
        <v>#REF!</v>
      </c>
      <c r="V23" s="197" t="e">
        <f>#REF!</f>
        <v>#REF!</v>
      </c>
      <c r="W23" s="197">
        <f>数据基表!U275</f>
        <v>1013712</v>
      </c>
      <c r="X23" s="197">
        <v>24000000</v>
      </c>
      <c r="Y23" s="197">
        <v>13239000</v>
      </c>
      <c r="Z23" s="197"/>
      <c r="AA23" s="197">
        <v>84827949</v>
      </c>
      <c r="AB23" s="197"/>
      <c r="AC23" s="197"/>
      <c r="AD23" s="197"/>
      <c r="AE23" s="197"/>
      <c r="AF23" s="197"/>
      <c r="AG23" s="197"/>
      <c r="AH23" s="415"/>
      <c r="AI23" s="415"/>
      <c r="AJ23" s="415"/>
      <c r="AK23" s="415"/>
      <c r="AL23" s="415"/>
      <c r="AM23" s="540"/>
      <c r="AN23" s="540"/>
      <c r="AO23" s="540"/>
      <c r="AP23" s="540"/>
      <c r="AQ23" s="540"/>
      <c r="AR23" s="541"/>
      <c r="AS23" s="200" t="s">
        <v>268</v>
      </c>
      <c r="AT23" s="517">
        <f>数据基表!B280</f>
        <v>2013.872</v>
      </c>
      <c r="AU23" s="517" t="e">
        <f>#REF!</f>
        <v>#REF!</v>
      </c>
      <c r="AV23" s="517" t="e">
        <f>#REF!</f>
        <v>#REF!</v>
      </c>
      <c r="AW23" s="517">
        <f>数据基表!E280</f>
        <v>2070</v>
      </c>
      <c r="AX23" s="517">
        <f>数据基表!F280</f>
        <v>2153.05800000001</v>
      </c>
      <c r="AY23" s="517"/>
      <c r="AZ23" s="517"/>
      <c r="BA23" s="517"/>
      <c r="BB23" s="517"/>
      <c r="BC23" s="200"/>
      <c r="BD23" s="517">
        <f>数据基表!L280</f>
        <v>63.28</v>
      </c>
      <c r="BE23" s="517" t="e">
        <f>#REF!</f>
        <v>#REF!</v>
      </c>
      <c r="BF23" s="517" t="e">
        <f>#REF!</f>
        <v>#REF!</v>
      </c>
      <c r="BG23" s="517">
        <f>数据基表!O280</f>
        <v>3350</v>
      </c>
      <c r="BH23" s="517"/>
      <c r="BI23" s="517"/>
      <c r="BJ23" s="517"/>
      <c r="BK23" s="517"/>
      <c r="BL23" s="517" t="e">
        <f>#REF!</f>
        <v>#REF!</v>
      </c>
      <c r="BM23" s="517" t="e">
        <f>#REF!</f>
        <v>#REF!</v>
      </c>
      <c r="BN23" s="517">
        <f>数据基表!V280</f>
        <v>1058.9296899052</v>
      </c>
      <c r="BO23" s="517">
        <f>数据基表!W280</f>
        <v>1038.51354788461</v>
      </c>
      <c r="BP23" s="517">
        <f>数据基表!X280</f>
        <v>1047.78853532623</v>
      </c>
      <c r="BQ23" s="517">
        <f>数据基表!Y280</f>
        <v>235.229713614376</v>
      </c>
      <c r="BR23" s="517">
        <f>数据基表!Z280</f>
        <v>232.396070992071</v>
      </c>
      <c r="BS23" s="517">
        <f>数据基表!AA280</f>
        <v>233.00361724188</v>
      </c>
      <c r="BT23" s="517">
        <f>数据基表!AB280</f>
        <v>817.869663569427</v>
      </c>
      <c r="BU23" s="517">
        <f>数据基表!AC280</f>
        <v>818.192009070419</v>
      </c>
      <c r="BV23" s="517">
        <f>数据基表!AD280</f>
        <v>818.710668470253</v>
      </c>
      <c r="BW23" s="517">
        <f>数据基表!AE280</f>
        <v>140.141854198398</v>
      </c>
      <c r="BX23" s="517">
        <f>数据基表!AF280</f>
        <v>140.969468016915</v>
      </c>
      <c r="BY23" s="517">
        <f>数据基表!AG280</f>
        <v>141.561177635844</v>
      </c>
      <c r="BZ23" s="517">
        <f>数据基表!AH280</f>
        <v>24120.307</v>
      </c>
      <c r="CA23" s="517">
        <f>数据基表!AI280</f>
        <v>2992.44</v>
      </c>
      <c r="CB23" s="517">
        <f>数据基表!AJ280</f>
        <v>0</v>
      </c>
      <c r="CC23" s="517">
        <f>数据基表!AK280</f>
        <v>540.82</v>
      </c>
      <c r="CD23" s="517">
        <f>数据基表!AL280</f>
        <v>8997.7500000001</v>
      </c>
      <c r="CE23" s="517">
        <f>数据基表!AM280</f>
        <v>1901.6</v>
      </c>
    </row>
    <row r="24" ht="13.5" customHeight="1" spans="1:83">
      <c r="A24" s="515"/>
      <c r="B24" s="517" t="s">
        <v>269</v>
      </c>
      <c r="C24" s="197">
        <f>数据基表!B285</f>
        <v>0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>
        <f>数据基表!Q285</f>
        <v>0</v>
      </c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415"/>
      <c r="AI24" s="415"/>
      <c r="AJ24" s="415"/>
      <c r="AK24" s="415"/>
      <c r="AL24" s="415"/>
      <c r="AM24" s="540"/>
      <c r="AN24" s="540"/>
      <c r="AO24" s="540"/>
      <c r="AP24" s="540"/>
      <c r="AQ24" s="540"/>
      <c r="AR24" s="541"/>
      <c r="AS24" s="200" t="s">
        <v>269</v>
      </c>
      <c r="AT24" s="565"/>
      <c r="AU24" s="565"/>
      <c r="AV24" s="565"/>
      <c r="AW24" s="565"/>
      <c r="AX24" s="565"/>
      <c r="AY24" s="565">
        <f>数据基表!B295</f>
        <v>796.8</v>
      </c>
      <c r="AZ24" s="565"/>
      <c r="BA24" s="565"/>
      <c r="BB24" s="565">
        <f>数据基表!E295</f>
        <v>2220</v>
      </c>
      <c r="BC24" s="565">
        <f>数据基表!F295</f>
        <v>15223.6</v>
      </c>
      <c r="BD24" s="565"/>
      <c r="BE24" s="565"/>
      <c r="BF24" s="565"/>
      <c r="BG24" s="565"/>
      <c r="BH24" s="565"/>
      <c r="BI24" s="565"/>
      <c r="BJ24" s="565"/>
      <c r="BK24" s="565"/>
      <c r="BL24" s="565"/>
      <c r="BM24" s="565"/>
      <c r="BN24" s="517">
        <f>数据基表!M295*1000</f>
        <v>0</v>
      </c>
      <c r="BO24" s="517">
        <f>数据基表!N295*1000</f>
        <v>1357.52710557434</v>
      </c>
      <c r="BP24" s="517">
        <f>数据基表!O295*1000</f>
        <v>1393.74558857239</v>
      </c>
      <c r="BQ24" s="517">
        <f>数据基表!P295</f>
        <v>0</v>
      </c>
      <c r="BR24" s="517">
        <f>数据基表!Q295</f>
        <v>312.61595856303</v>
      </c>
      <c r="BS24" s="517">
        <f>数据基表!R295</f>
        <v>249.170594870375</v>
      </c>
      <c r="BT24" s="517"/>
      <c r="BU24" s="565"/>
      <c r="BV24" s="565"/>
      <c r="BW24" s="565"/>
      <c r="BX24" s="565"/>
      <c r="BY24" s="657"/>
      <c r="BZ24" s="658"/>
      <c r="CA24" s="658"/>
      <c r="CB24" s="658">
        <f>数据基表!U295</f>
        <v>59225.23</v>
      </c>
      <c r="CC24" s="658">
        <f>数据基表!V295</f>
        <v>0</v>
      </c>
      <c r="CD24" s="658">
        <f>数据基表!S295</f>
        <v>13612.6</v>
      </c>
      <c r="CE24" s="658">
        <f>数据基表!T295</f>
        <v>481.1</v>
      </c>
    </row>
    <row r="25" ht="13.5" customHeight="1" spans="1:81">
      <c r="A25" s="515"/>
      <c r="B25" s="517" t="s">
        <v>270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306">
        <f>数据基表!B302+数据基表!B303</f>
        <v>760</v>
      </c>
      <c r="AH25" s="80"/>
      <c r="AI25" s="80"/>
      <c r="AJ25" s="80"/>
      <c r="AK25" s="80"/>
      <c r="AL25" s="80"/>
      <c r="AM25" s="545"/>
      <c r="AN25" s="545"/>
      <c r="AO25" s="545"/>
      <c r="AP25" s="545"/>
      <c r="AQ25" s="545"/>
      <c r="AR25" s="545"/>
      <c r="AS25" s="566"/>
      <c r="AT25" s="567"/>
      <c r="AU25" s="568"/>
      <c r="AV25" s="568"/>
      <c r="AW25" s="568"/>
      <c r="AX25" s="586"/>
      <c r="AY25" s="567"/>
      <c r="AZ25" s="568"/>
      <c r="BA25" s="568"/>
      <c r="BB25" s="568"/>
      <c r="BC25" s="586"/>
      <c r="BD25" s="567"/>
      <c r="BE25" s="568"/>
      <c r="BF25" s="568"/>
      <c r="BG25" s="568"/>
      <c r="BH25" s="586"/>
      <c r="BI25" s="592"/>
      <c r="BJ25" s="592"/>
      <c r="BK25" s="593"/>
      <c r="BL25" s="594"/>
      <c r="BM25" s="594"/>
      <c r="BN25" s="594"/>
      <c r="BO25" s="594"/>
      <c r="BP25" s="634"/>
      <c r="BQ25" s="634"/>
      <c r="BR25" s="634"/>
      <c r="BS25" s="634"/>
      <c r="BT25" s="634"/>
      <c r="BU25" s="634"/>
      <c r="BV25" s="634"/>
      <c r="BW25" s="634"/>
      <c r="BX25" s="634"/>
      <c r="BY25" s="659"/>
      <c r="BZ25" s="660"/>
      <c r="CA25" s="660"/>
      <c r="CB25" s="660"/>
      <c r="CC25" s="613"/>
    </row>
    <row r="26" ht="13.5" customHeight="1" spans="1:81">
      <c r="A26" s="518"/>
      <c r="B26" s="431"/>
      <c r="C26" s="519"/>
      <c r="D26" s="519"/>
      <c r="E26" s="519"/>
      <c r="F26" s="519"/>
      <c r="G26" s="519"/>
      <c r="H26" s="519"/>
      <c r="I26" s="519"/>
      <c r="J26" s="519"/>
      <c r="K26" s="519"/>
      <c r="L26" s="519"/>
      <c r="M26" s="519"/>
      <c r="N26" s="519"/>
      <c r="O26" s="519"/>
      <c r="P26" s="519"/>
      <c r="Q26" s="519"/>
      <c r="R26" s="519"/>
      <c r="S26" s="519"/>
      <c r="T26" s="519"/>
      <c r="U26" s="519"/>
      <c r="V26" s="519"/>
      <c r="W26" s="519"/>
      <c r="X26" s="519"/>
      <c r="Y26" s="519"/>
      <c r="Z26" s="519"/>
      <c r="AA26" s="519"/>
      <c r="AB26" s="519"/>
      <c r="AC26" s="519"/>
      <c r="AD26" s="519"/>
      <c r="AE26" s="519"/>
      <c r="AF26" s="519"/>
      <c r="AG26" s="546"/>
      <c r="AH26" s="519"/>
      <c r="AI26" s="519"/>
      <c r="AJ26" s="519"/>
      <c r="AK26" s="519"/>
      <c r="AL26" s="519"/>
      <c r="AM26" s="545"/>
      <c r="AN26" s="545"/>
      <c r="AO26" s="545"/>
      <c r="AP26" s="545"/>
      <c r="AQ26" s="545"/>
      <c r="AR26" s="545"/>
      <c r="AS26" s="566"/>
      <c r="AT26" s="569" t="s">
        <v>11</v>
      </c>
      <c r="AU26" s="569"/>
      <c r="AV26" s="569"/>
      <c r="AW26" s="569" t="s">
        <v>195</v>
      </c>
      <c r="AX26" s="569" t="s">
        <v>40</v>
      </c>
      <c r="AY26" s="569"/>
      <c r="AZ26" s="569"/>
      <c r="BA26" s="569"/>
      <c r="BB26" s="569"/>
      <c r="BC26" s="569"/>
      <c r="BD26" s="587"/>
      <c r="BE26" s="587"/>
      <c r="BF26" s="587"/>
      <c r="BG26" s="587"/>
      <c r="BH26" s="587"/>
      <c r="BI26" s="587"/>
      <c r="BJ26" s="587"/>
      <c r="BK26" s="595" t="s">
        <v>11</v>
      </c>
      <c r="BL26" s="595"/>
      <c r="BM26" s="595"/>
      <c r="BN26" s="595" t="s">
        <v>195</v>
      </c>
      <c r="BO26" s="635" t="s">
        <v>40</v>
      </c>
      <c r="BP26" s="636" t="s">
        <v>11</v>
      </c>
      <c r="BQ26" s="636" t="s">
        <v>253</v>
      </c>
      <c r="BR26" s="636" t="s">
        <v>254</v>
      </c>
      <c r="BS26" s="636" t="s">
        <v>11</v>
      </c>
      <c r="BT26" s="636" t="s">
        <v>253</v>
      </c>
      <c r="BU26" s="636" t="s">
        <v>254</v>
      </c>
      <c r="BV26" s="636" t="s">
        <v>11</v>
      </c>
      <c r="BW26" s="636" t="s">
        <v>253</v>
      </c>
      <c r="BX26" s="636" t="s">
        <v>254</v>
      </c>
      <c r="BY26" s="225" t="s">
        <v>271</v>
      </c>
      <c r="BZ26" s="225" t="s">
        <v>57</v>
      </c>
      <c r="CA26" s="225" t="s">
        <v>272</v>
      </c>
      <c r="CB26" s="225" t="s">
        <v>57</v>
      </c>
      <c r="CC26" s="613"/>
    </row>
    <row r="27" spans="1:81">
      <c r="A27" s="520"/>
      <c r="B27" s="521"/>
      <c r="C27" s="522"/>
      <c r="D27" s="522"/>
      <c r="E27" s="522"/>
      <c r="F27" s="522"/>
      <c r="G27" s="522"/>
      <c r="H27" s="522"/>
      <c r="I27" s="522"/>
      <c r="J27" s="522"/>
      <c r="K27" s="522"/>
      <c r="L27" s="522"/>
      <c r="M27" s="522"/>
      <c r="N27" s="522"/>
      <c r="O27" s="522"/>
      <c r="P27" s="522"/>
      <c r="Q27" s="522"/>
      <c r="R27" s="522"/>
      <c r="S27" s="522"/>
      <c r="T27" s="522"/>
      <c r="U27" s="522"/>
      <c r="V27" s="522"/>
      <c r="W27" s="522"/>
      <c r="X27" s="522"/>
      <c r="Y27" s="522"/>
      <c r="Z27" s="522"/>
      <c r="AA27" s="522"/>
      <c r="AB27" s="522"/>
      <c r="AC27" s="522"/>
      <c r="AD27" s="522"/>
      <c r="AE27" s="522"/>
      <c r="AF27" s="522"/>
      <c r="AG27" s="522"/>
      <c r="AH27" s="522"/>
      <c r="AI27" s="522"/>
      <c r="AJ27" s="522"/>
      <c r="AK27" s="522"/>
      <c r="AL27" s="547"/>
      <c r="AM27" s="47"/>
      <c r="AN27" s="47"/>
      <c r="AO27" s="47"/>
      <c r="AP27" s="47"/>
      <c r="AQ27" s="47"/>
      <c r="AR27" s="47"/>
      <c r="AS27" s="570" t="s">
        <v>270</v>
      </c>
      <c r="AT27" s="571">
        <f>数据基表!B306+数据基表!B307</f>
        <v>1003</v>
      </c>
      <c r="AU27" s="571" t="e">
        <f>#REF!</f>
        <v>#REF!</v>
      </c>
      <c r="AV27" s="571" t="e">
        <f>#REF!</f>
        <v>#REF!</v>
      </c>
      <c r="AW27" s="571">
        <f>数据基表!E306</f>
        <v>7009</v>
      </c>
      <c r="AX27" s="571">
        <f>数据基表!F306+数据基表!F307</f>
        <v>30727</v>
      </c>
      <c r="AY27" s="588"/>
      <c r="AZ27" s="588"/>
      <c r="BA27" s="588"/>
      <c r="BB27" s="588"/>
      <c r="BC27" s="588"/>
      <c r="BD27" s="588"/>
      <c r="BE27" s="588"/>
      <c r="BF27" s="588"/>
      <c r="BG27" s="588"/>
      <c r="BH27" s="588"/>
      <c r="BI27" s="588"/>
      <c r="BJ27" s="588"/>
      <c r="BK27" s="596"/>
      <c r="BL27" s="596"/>
      <c r="BM27" s="596"/>
      <c r="BN27" s="596"/>
      <c r="BO27" s="596"/>
      <c r="BP27" s="637"/>
      <c r="BQ27" s="637"/>
      <c r="BR27" s="637"/>
      <c r="BS27" s="637"/>
      <c r="BT27" s="637"/>
      <c r="BU27" s="661"/>
      <c r="BV27" s="661"/>
      <c r="BW27" s="661"/>
      <c r="BX27" s="661"/>
      <c r="BY27" s="661"/>
      <c r="BZ27" s="661"/>
      <c r="CA27" s="661"/>
      <c r="CB27" s="661"/>
      <c r="CC27" s="135"/>
    </row>
    <row r="28" spans="1:81">
      <c r="A28" s="523"/>
      <c r="B28" s="524"/>
      <c r="C28" s="525"/>
      <c r="D28" s="525"/>
      <c r="E28" s="525"/>
      <c r="F28" s="525"/>
      <c r="G28" s="525"/>
      <c r="H28" s="525"/>
      <c r="I28" s="525"/>
      <c r="J28" s="525"/>
      <c r="K28" s="525"/>
      <c r="L28" s="525"/>
      <c r="M28" s="525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F28" s="525"/>
      <c r="AG28" s="525"/>
      <c r="AH28" s="525"/>
      <c r="AI28" s="525"/>
      <c r="AJ28" s="525"/>
      <c r="AK28" s="525"/>
      <c r="AL28" s="548"/>
      <c r="AM28" s="47"/>
      <c r="AN28" s="47"/>
      <c r="AO28" s="47"/>
      <c r="AP28" s="47"/>
      <c r="AQ28" s="47"/>
      <c r="AR28" s="47"/>
      <c r="AS28" s="572" t="s">
        <v>262</v>
      </c>
      <c r="AT28" s="573"/>
      <c r="AU28" s="573"/>
      <c r="AV28" s="573"/>
      <c r="AW28" s="573"/>
      <c r="AX28" s="573"/>
      <c r="AY28" s="589"/>
      <c r="AZ28" s="589"/>
      <c r="BA28" s="589"/>
      <c r="BB28" s="589"/>
      <c r="BC28" s="589"/>
      <c r="BD28" s="589"/>
      <c r="BE28" s="589"/>
      <c r="BF28" s="589"/>
      <c r="BG28" s="589"/>
      <c r="BH28" s="589"/>
      <c r="BI28" s="588"/>
      <c r="BJ28" s="588"/>
      <c r="BK28" s="223">
        <f>数据基表!N221</f>
        <v>0</v>
      </c>
      <c r="BL28" s="223" t="e">
        <f>#REF!</f>
        <v>#REF!</v>
      </c>
      <c r="BM28" s="223" t="e">
        <f>#REF!</f>
        <v>#REF!</v>
      </c>
      <c r="BN28" s="223">
        <f>数据基表!Q221</f>
        <v>0</v>
      </c>
      <c r="BO28" s="223">
        <f>数据基表!R221</f>
        <v>0</v>
      </c>
      <c r="BP28" s="223">
        <f>数据基表!S221</f>
        <v>0</v>
      </c>
      <c r="BQ28" s="223">
        <f>数据基表!T221</f>
        <v>0</v>
      </c>
      <c r="BR28" s="223">
        <f>数据基表!U221</f>
        <v>0</v>
      </c>
      <c r="BS28" s="223">
        <f>数据基表!V221</f>
        <v>0</v>
      </c>
      <c r="BT28" s="223">
        <f>数据基表!W221</f>
        <v>0</v>
      </c>
      <c r="BU28" s="223">
        <f>数据基表!X221</f>
        <v>0</v>
      </c>
      <c r="BV28" s="223">
        <f>数据基表!Y221</f>
        <v>1607</v>
      </c>
      <c r="BW28" s="223">
        <f>数据基表!Z221</f>
        <v>1790</v>
      </c>
      <c r="BX28" s="223">
        <f>数据基表!AA221</f>
        <v>1550</v>
      </c>
      <c r="BY28" s="223">
        <f>数据基表!G226</f>
        <v>9700</v>
      </c>
      <c r="BZ28" s="223">
        <f>数据基表!H226</f>
        <v>1768</v>
      </c>
      <c r="CA28" s="223">
        <f>数据基表!J226</f>
        <v>3000</v>
      </c>
      <c r="CB28" s="223">
        <f>数据基表!K226</f>
        <v>668</v>
      </c>
      <c r="CC28" s="135"/>
    </row>
    <row r="29" customHeight="1" spans="1:83">
      <c r="A29" s="526"/>
      <c r="B29" s="527"/>
      <c r="C29" s="527"/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7"/>
      <c r="O29" s="527"/>
      <c r="P29" s="527"/>
      <c r="Q29" s="527"/>
      <c r="R29" s="527"/>
      <c r="S29" s="527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  <c r="AE29" s="527"/>
      <c r="AF29" s="527"/>
      <c r="AG29" s="527"/>
      <c r="AH29" s="527"/>
      <c r="AI29" s="527"/>
      <c r="AJ29" s="527"/>
      <c r="AK29" s="527"/>
      <c r="AL29" s="549"/>
      <c r="AM29" s="550"/>
      <c r="AN29" s="550"/>
      <c r="AO29" s="550"/>
      <c r="AP29" s="550"/>
      <c r="AQ29" s="550"/>
      <c r="AR29" s="550"/>
      <c r="AS29" s="550"/>
      <c r="AT29" s="550"/>
      <c r="AU29" s="550"/>
      <c r="AV29" s="550"/>
      <c r="AW29" s="550"/>
      <c r="AX29" s="550"/>
      <c r="AY29" s="590"/>
      <c r="AZ29" s="590"/>
      <c r="BA29" s="590"/>
      <c r="BB29" s="590"/>
      <c r="BC29" s="590"/>
      <c r="BD29" s="590"/>
      <c r="BE29" s="590"/>
      <c r="BF29" s="590"/>
      <c r="BG29" s="590"/>
      <c r="BH29" s="590"/>
      <c r="BI29" s="590"/>
      <c r="BJ29" s="590"/>
      <c r="BK29" s="597"/>
      <c r="BL29" s="597"/>
      <c r="BM29" s="597"/>
      <c r="BN29" s="597"/>
      <c r="BO29" s="597"/>
      <c r="BP29" s="597"/>
      <c r="BQ29" s="597"/>
      <c r="BR29" s="597"/>
      <c r="BS29" s="597"/>
      <c r="BT29" s="597"/>
      <c r="BU29" s="597"/>
      <c r="BV29" s="597"/>
      <c r="BW29" s="597"/>
      <c r="BX29" s="597"/>
      <c r="BY29" s="597"/>
      <c r="BZ29" s="597"/>
      <c r="CA29" s="597"/>
      <c r="CB29" s="597"/>
      <c r="CC29" s="590"/>
      <c r="CD29" s="590"/>
      <c r="CE29" s="590"/>
    </row>
    <row r="30" spans="1:66">
      <c r="A30" s="528" t="s">
        <v>273</v>
      </c>
      <c r="B30" s="529">
        <v>2</v>
      </c>
      <c r="C30" s="530" t="s">
        <v>128</v>
      </c>
      <c r="D30" s="530"/>
      <c r="E30" s="530"/>
      <c r="F30" s="530"/>
      <c r="G30" s="530"/>
      <c r="H30" s="530" t="s">
        <v>152</v>
      </c>
      <c r="I30" s="530"/>
      <c r="J30" s="530"/>
      <c r="K30" s="530"/>
      <c r="L30" s="530"/>
      <c r="M30" s="530" t="s">
        <v>153</v>
      </c>
      <c r="N30" s="530"/>
      <c r="O30" s="530"/>
      <c r="P30" s="530"/>
      <c r="Q30" s="530"/>
      <c r="R30" s="530" t="s">
        <v>154</v>
      </c>
      <c r="S30" s="530"/>
      <c r="T30" s="530"/>
      <c r="U30" s="530"/>
      <c r="V30" s="530"/>
      <c r="W30" s="535" t="s">
        <v>245</v>
      </c>
      <c r="X30" s="530"/>
      <c r="Y30" s="530"/>
      <c r="Z30" s="530"/>
      <c r="AA30" s="530"/>
      <c r="AB30" s="530" t="s">
        <v>246</v>
      </c>
      <c r="AC30" s="530"/>
      <c r="AD30" s="530"/>
      <c r="AE30" s="530"/>
      <c r="AF30" s="530"/>
      <c r="AG30" s="530" t="s">
        <v>247</v>
      </c>
      <c r="AH30" s="530"/>
      <c r="AI30" s="530"/>
      <c r="AJ30" s="530"/>
      <c r="AK30" s="530"/>
      <c r="AL30" s="530" t="s">
        <v>248</v>
      </c>
      <c r="AM30" s="551"/>
      <c r="AN30" s="551"/>
      <c r="AO30" s="551"/>
      <c r="AP30" s="551"/>
      <c r="AQ30" s="551"/>
      <c r="AR30" s="551"/>
      <c r="AS30" s="530"/>
      <c r="AT30" s="574" t="s">
        <v>153</v>
      </c>
      <c r="AU30" s="574"/>
      <c r="AV30" s="574"/>
      <c r="AW30" s="574" t="s">
        <v>154</v>
      </c>
      <c r="AX30" s="574" t="s">
        <v>163</v>
      </c>
      <c r="AY30" s="574" t="s">
        <v>274</v>
      </c>
      <c r="AZ30" s="574"/>
      <c r="BA30" s="574"/>
      <c r="BB30" s="574" t="s">
        <v>250</v>
      </c>
      <c r="BC30" s="574" t="s">
        <v>275</v>
      </c>
      <c r="BD30" s="574" t="s">
        <v>248</v>
      </c>
      <c r="BE30" s="598"/>
      <c r="BF30" s="598"/>
      <c r="BG30" s="599" t="s">
        <v>276</v>
      </c>
      <c r="BH30" s="599"/>
      <c r="BK30" s="600" t="s">
        <v>277</v>
      </c>
      <c r="BL30" s="601"/>
      <c r="BM30" s="601"/>
      <c r="BN30" s="601"/>
    </row>
    <row r="31" spans="1:85">
      <c r="A31" s="214"/>
      <c r="B31" s="529" t="s">
        <v>255</v>
      </c>
      <c r="C31" s="227">
        <v>59106.2980885181</v>
      </c>
      <c r="D31" s="227"/>
      <c r="E31" s="227"/>
      <c r="F31" s="227"/>
      <c r="G31" s="227"/>
      <c r="H31" s="227">
        <v>46013.57</v>
      </c>
      <c r="I31" s="227"/>
      <c r="J31" s="227"/>
      <c r="K31" s="227"/>
      <c r="L31" s="227"/>
      <c r="M31" s="227">
        <v>25474.2</v>
      </c>
      <c r="N31" s="227"/>
      <c r="O31" s="227"/>
      <c r="P31" s="227"/>
      <c r="Q31" s="227"/>
      <c r="R31" s="227">
        <v>9183.75</v>
      </c>
      <c r="S31" s="227"/>
      <c r="T31" s="227"/>
      <c r="U31" s="227"/>
      <c r="V31" s="227"/>
      <c r="W31" s="227">
        <v>49922</v>
      </c>
      <c r="X31" s="227"/>
      <c r="Y31" s="227"/>
      <c r="Z31" s="227"/>
      <c r="AA31" s="227"/>
      <c r="AB31" s="227">
        <v>17237</v>
      </c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552"/>
      <c r="AN31" s="552"/>
      <c r="AO31" s="552"/>
      <c r="AP31" s="552"/>
      <c r="AQ31" s="552"/>
      <c r="AR31" s="552"/>
      <c r="AS31" s="575" t="s">
        <v>255</v>
      </c>
      <c r="AT31" s="209">
        <v>12694.1246</v>
      </c>
      <c r="AU31" s="209"/>
      <c r="AV31" s="209"/>
      <c r="AW31" s="209">
        <v>6034.65</v>
      </c>
      <c r="AX31" s="209">
        <v>27519.2</v>
      </c>
      <c r="AY31" s="209">
        <v>22590</v>
      </c>
      <c r="AZ31" s="209"/>
      <c r="BA31" s="209"/>
      <c r="BB31" s="209">
        <v>14004.782</v>
      </c>
      <c r="BC31" s="209"/>
      <c r="BD31" s="209"/>
      <c r="BG31" s="602" t="s">
        <v>153</v>
      </c>
      <c r="BH31" s="603">
        <v>142904.278</v>
      </c>
      <c r="BK31" s="601"/>
      <c r="BL31" s="601"/>
      <c r="BM31" s="601"/>
      <c r="BN31" s="601"/>
      <c r="BY31" s="662" t="s">
        <v>278</v>
      </c>
      <c r="BZ31" s="47"/>
      <c r="CA31" s="662" t="s">
        <v>279</v>
      </c>
      <c r="CB31" s="47"/>
      <c r="CF31" s="47"/>
      <c r="CG31" s="47"/>
    </row>
    <row r="32" spans="1:82">
      <c r="A32" s="214"/>
      <c r="B32" s="529" t="s">
        <v>51</v>
      </c>
      <c r="C32" s="227">
        <v>23321.11</v>
      </c>
      <c r="D32" s="227"/>
      <c r="E32" s="227"/>
      <c r="F32" s="227"/>
      <c r="G32" s="227"/>
      <c r="H32" s="227">
        <v>20080.12</v>
      </c>
      <c r="I32" s="227"/>
      <c r="J32" s="227"/>
      <c r="K32" s="227"/>
      <c r="L32" s="227"/>
      <c r="M32" s="227">
        <v>24686.04</v>
      </c>
      <c r="N32" s="227"/>
      <c r="O32" s="227"/>
      <c r="P32" s="227"/>
      <c r="Q32" s="227"/>
      <c r="R32" s="227">
        <v>2841.11</v>
      </c>
      <c r="S32" s="536"/>
      <c r="T32" s="536"/>
      <c r="U32" s="536"/>
      <c r="V32" s="536"/>
      <c r="W32" s="227">
        <v>0</v>
      </c>
      <c r="X32" s="227"/>
      <c r="Y32" s="227"/>
      <c r="Z32" s="227"/>
      <c r="AA32" s="227"/>
      <c r="AB32" s="227">
        <v>0</v>
      </c>
      <c r="AC32" s="234"/>
      <c r="AD32" s="234"/>
      <c r="AE32" s="234"/>
      <c r="AF32" s="234"/>
      <c r="AG32" s="227"/>
      <c r="AH32" s="227"/>
      <c r="AI32" s="227"/>
      <c r="AJ32" s="227"/>
      <c r="AK32" s="227"/>
      <c r="AL32" s="227"/>
      <c r="AM32" s="552"/>
      <c r="AN32" s="552"/>
      <c r="AO32" s="552"/>
      <c r="AP32" s="552"/>
      <c r="AQ32" s="552"/>
      <c r="AR32" s="552"/>
      <c r="AS32" s="575" t="s">
        <v>51</v>
      </c>
      <c r="AT32" s="209">
        <v>30328.248</v>
      </c>
      <c r="AU32" s="209"/>
      <c r="AV32" s="209"/>
      <c r="AW32" s="209">
        <v>2259.18</v>
      </c>
      <c r="AX32" s="209">
        <v>5368.6</v>
      </c>
      <c r="AY32" s="209">
        <v>0</v>
      </c>
      <c r="AZ32" s="209"/>
      <c r="BA32" s="209"/>
      <c r="BB32" s="209">
        <v>0</v>
      </c>
      <c r="BC32" s="209"/>
      <c r="BD32" s="209"/>
      <c r="BG32" s="602" t="s">
        <v>154</v>
      </c>
      <c r="BH32" s="603">
        <v>101749.3943</v>
      </c>
      <c r="BK32" s="601"/>
      <c r="BL32" s="601"/>
      <c r="BM32" s="601"/>
      <c r="BN32" s="601"/>
      <c r="BX32" t="s">
        <v>255</v>
      </c>
      <c r="BY32" s="135">
        <f t="shared" ref="BY32:BY42" si="1">M7-AT7</f>
        <v>774.343</v>
      </c>
      <c r="BZ32" s="135"/>
      <c r="CA32" s="135">
        <f t="shared" ref="CA32:CA42" si="2">R7-AY7</f>
        <v>285.18</v>
      </c>
      <c r="CB32" s="47"/>
      <c r="CD32" s="670">
        <f t="shared" ref="CD32:CD42" si="3">AX7-BY32</f>
        <v>4846.792</v>
      </c>
    </row>
    <row r="33" spans="1:82">
      <c r="A33" s="214"/>
      <c r="B33" s="529" t="s">
        <v>256</v>
      </c>
      <c r="C33" s="227">
        <v>47977</v>
      </c>
      <c r="D33" s="227"/>
      <c r="E33" s="227"/>
      <c r="F33" s="227"/>
      <c r="G33" s="227"/>
      <c r="H33" s="227">
        <v>47977</v>
      </c>
      <c r="I33" s="227"/>
      <c r="J33" s="227"/>
      <c r="K33" s="227"/>
      <c r="L33" s="227"/>
      <c r="M33" s="227">
        <v>21453</v>
      </c>
      <c r="N33" s="227"/>
      <c r="O33" s="227"/>
      <c r="P33" s="227"/>
      <c r="Q33" s="227"/>
      <c r="R33" s="227">
        <v>1181</v>
      </c>
      <c r="S33" s="227"/>
      <c r="T33" s="227"/>
      <c r="U33" s="227"/>
      <c r="V33" s="227"/>
      <c r="W33" s="227">
        <v>20615</v>
      </c>
      <c r="X33" s="227"/>
      <c r="Y33" s="227"/>
      <c r="Z33" s="227"/>
      <c r="AA33" s="227"/>
      <c r="AB33" s="227">
        <v>0</v>
      </c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552"/>
      <c r="AN33" s="552"/>
      <c r="AO33" s="552"/>
      <c r="AP33" s="552"/>
      <c r="AQ33" s="552"/>
      <c r="AR33" s="552"/>
      <c r="AS33" s="575" t="s">
        <v>256</v>
      </c>
      <c r="AT33" s="209">
        <v>23847</v>
      </c>
      <c r="AU33" s="209"/>
      <c r="AV33" s="209"/>
      <c r="AW33" s="209">
        <v>0</v>
      </c>
      <c r="AX33" s="209">
        <v>18055.02</v>
      </c>
      <c r="AY33" s="209">
        <v>9441.16</v>
      </c>
      <c r="AZ33" s="209"/>
      <c r="BA33" s="209"/>
      <c r="BB33" s="209">
        <v>0</v>
      </c>
      <c r="BC33" s="209"/>
      <c r="BD33" s="209"/>
      <c r="BG33" s="604"/>
      <c r="BH33" s="605"/>
      <c r="BK33" s="601"/>
      <c r="BL33" s="601"/>
      <c r="BM33" s="601"/>
      <c r="BN33" s="601"/>
      <c r="BO33">
        <v>1229.631327222</v>
      </c>
      <c r="BR33" s="384" t="s">
        <v>280</v>
      </c>
      <c r="BU33">
        <v>900</v>
      </c>
      <c r="BX33" t="s">
        <v>51</v>
      </c>
      <c r="BY33" s="135">
        <f t="shared" si="1"/>
        <v>-1086</v>
      </c>
      <c r="BZ33" s="135"/>
      <c r="CA33" s="135">
        <f t="shared" si="2"/>
        <v>-292</v>
      </c>
      <c r="CB33" s="47"/>
      <c r="CD33" s="670">
        <f t="shared" si="3"/>
        <v>4030</v>
      </c>
    </row>
    <row r="34" spans="1:82">
      <c r="A34" s="214"/>
      <c r="B34" s="529" t="s">
        <v>257</v>
      </c>
      <c r="C34" s="227">
        <v>14334</v>
      </c>
      <c r="D34" s="227"/>
      <c r="E34" s="227"/>
      <c r="F34" s="227"/>
      <c r="G34" s="227"/>
      <c r="H34" s="227">
        <v>11279</v>
      </c>
      <c r="I34" s="227"/>
      <c r="J34" s="227"/>
      <c r="K34" s="227"/>
      <c r="L34" s="227"/>
      <c r="M34" s="227">
        <v>0</v>
      </c>
      <c r="N34" s="227"/>
      <c r="O34" s="227"/>
      <c r="P34" s="227"/>
      <c r="Q34" s="227"/>
      <c r="R34" s="227">
        <v>2884</v>
      </c>
      <c r="S34" s="227"/>
      <c r="T34" s="227"/>
      <c r="U34" s="227"/>
      <c r="V34" s="227"/>
      <c r="W34" s="227">
        <v>0</v>
      </c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552"/>
      <c r="AN34" s="552"/>
      <c r="AO34" s="552"/>
      <c r="AP34" s="552"/>
      <c r="AQ34" s="552"/>
      <c r="AR34" s="552"/>
      <c r="AS34" s="575" t="s">
        <v>257</v>
      </c>
      <c r="AT34" s="209">
        <v>2090</v>
      </c>
      <c r="AU34" s="209"/>
      <c r="AV34" s="209"/>
      <c r="AW34" s="209">
        <v>1393</v>
      </c>
      <c r="AX34" s="209">
        <v>11088</v>
      </c>
      <c r="AY34" s="209">
        <v>0</v>
      </c>
      <c r="AZ34" s="209"/>
      <c r="BA34" s="209"/>
      <c r="BB34" s="209">
        <v>0</v>
      </c>
      <c r="BC34" s="209"/>
      <c r="BD34" s="209"/>
      <c r="BG34" s="606" t="s">
        <v>153</v>
      </c>
      <c r="BH34" s="603">
        <v>2082.63002217865</v>
      </c>
      <c r="BK34" s="601"/>
      <c r="BL34" s="601"/>
      <c r="BM34" s="601"/>
      <c r="BN34" s="601"/>
      <c r="BO34">
        <v>1122.17129977461</v>
      </c>
      <c r="BR34" t="s">
        <v>281</v>
      </c>
      <c r="BU34">
        <v>400</v>
      </c>
      <c r="BX34" t="s">
        <v>256</v>
      </c>
      <c r="BY34" s="135">
        <f t="shared" si="1"/>
        <v>965</v>
      </c>
      <c r="BZ34" s="135"/>
      <c r="CA34" s="135">
        <f t="shared" si="2"/>
        <v>0</v>
      </c>
      <c r="CB34" s="47"/>
      <c r="CD34" s="670">
        <f t="shared" si="3"/>
        <v>31584</v>
      </c>
    </row>
    <row r="35" spans="1:82">
      <c r="A35" s="214"/>
      <c r="B35" s="529" t="s">
        <v>258</v>
      </c>
      <c r="C35" s="227">
        <v>56853.1245</v>
      </c>
      <c r="D35" s="227"/>
      <c r="E35" s="227"/>
      <c r="F35" s="227"/>
      <c r="G35" s="227"/>
      <c r="H35" s="227">
        <v>47640.6532</v>
      </c>
      <c r="I35" s="227"/>
      <c r="J35" s="227"/>
      <c r="K35" s="227"/>
      <c r="L35" s="227"/>
      <c r="M35" s="227">
        <v>56013.85</v>
      </c>
      <c r="N35" s="227"/>
      <c r="O35" s="227"/>
      <c r="P35" s="227"/>
      <c r="Q35" s="227"/>
      <c r="R35" s="227">
        <v>8370.883</v>
      </c>
      <c r="S35" s="227"/>
      <c r="T35" s="227"/>
      <c r="U35" s="227"/>
      <c r="V35" s="227"/>
      <c r="W35" s="227">
        <v>0</v>
      </c>
      <c r="X35" s="227"/>
      <c r="Y35" s="227"/>
      <c r="Z35" s="227"/>
      <c r="AA35" s="227"/>
      <c r="AB35" s="227">
        <v>2364</v>
      </c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552"/>
      <c r="AN35" s="552"/>
      <c r="AO35" s="552"/>
      <c r="AP35" s="552"/>
      <c r="AQ35" s="552"/>
      <c r="AR35" s="552"/>
      <c r="AS35" s="575" t="s">
        <v>258</v>
      </c>
      <c r="AT35" s="209">
        <v>61395.58</v>
      </c>
      <c r="AU35" s="209"/>
      <c r="AV35" s="209"/>
      <c r="AW35" s="209">
        <v>9049.34</v>
      </c>
      <c r="AX35" s="209">
        <v>13430.11</v>
      </c>
      <c r="AY35" s="209">
        <v>0</v>
      </c>
      <c r="AZ35" s="209"/>
      <c r="BA35" s="209"/>
      <c r="BB35" s="209">
        <v>0</v>
      </c>
      <c r="BC35" s="209"/>
      <c r="BD35" s="209"/>
      <c r="BG35" s="606" t="s">
        <v>154</v>
      </c>
      <c r="BH35" s="603">
        <v>2271.04075222461</v>
      </c>
      <c r="BK35" s="601"/>
      <c r="BL35" s="601"/>
      <c r="BM35" s="601"/>
      <c r="BN35" s="601"/>
      <c r="BR35" t="s">
        <v>282</v>
      </c>
      <c r="BU35">
        <v>400</v>
      </c>
      <c r="BX35" t="s">
        <v>257</v>
      </c>
      <c r="BY35" s="135">
        <f t="shared" si="1"/>
        <v>0</v>
      </c>
      <c r="BZ35" s="135"/>
      <c r="CA35" s="135">
        <f t="shared" si="2"/>
        <v>135</v>
      </c>
      <c r="CB35" s="47"/>
      <c r="CD35" s="670">
        <f t="shared" si="3"/>
        <v>0</v>
      </c>
    </row>
    <row r="36" spans="1:82">
      <c r="A36" s="214"/>
      <c r="B36" s="529" t="s">
        <v>259</v>
      </c>
      <c r="C36" s="227">
        <v>68779.6803761905</v>
      </c>
      <c r="D36" s="227"/>
      <c r="E36" s="227"/>
      <c r="F36" s="227"/>
      <c r="G36" s="227"/>
      <c r="H36" s="227">
        <v>39485.51</v>
      </c>
      <c r="I36" s="227"/>
      <c r="J36" s="227"/>
      <c r="K36" s="227"/>
      <c r="L36" s="227"/>
      <c r="M36" s="227">
        <v>52928.86</v>
      </c>
      <c r="N36" s="227"/>
      <c r="O36" s="227"/>
      <c r="P36" s="227"/>
      <c r="Q36" s="227"/>
      <c r="R36" s="227">
        <v>25777</v>
      </c>
      <c r="S36" s="227"/>
      <c r="T36" s="227"/>
      <c r="U36" s="227"/>
      <c r="V36" s="227"/>
      <c r="W36" s="227">
        <v>0</v>
      </c>
      <c r="X36" s="227"/>
      <c r="Y36" s="227"/>
      <c r="Z36" s="227"/>
      <c r="AA36" s="227"/>
      <c r="AB36" s="227">
        <v>0</v>
      </c>
      <c r="AC36" s="227"/>
      <c r="AD36" s="227"/>
      <c r="AE36" s="227"/>
      <c r="AF36" s="227"/>
      <c r="AG36" s="227">
        <v>78</v>
      </c>
      <c r="AH36" s="227"/>
      <c r="AI36" s="227"/>
      <c r="AJ36" s="227"/>
      <c r="AK36" s="227"/>
      <c r="AL36" s="227"/>
      <c r="AM36" s="552"/>
      <c r="AN36" s="552"/>
      <c r="AO36" s="552"/>
      <c r="AP36" s="552"/>
      <c r="AQ36" s="552"/>
      <c r="AR36" s="552"/>
      <c r="AS36" s="575" t="s">
        <v>259</v>
      </c>
      <c r="AT36" s="209">
        <v>58097.74</v>
      </c>
      <c r="AU36" s="209"/>
      <c r="AV36" s="209"/>
      <c r="AW36" s="209">
        <v>19626.1</v>
      </c>
      <c r="AX36" s="209">
        <v>8560.06</v>
      </c>
      <c r="AY36" s="209">
        <v>0</v>
      </c>
      <c r="AZ36" s="209"/>
      <c r="BA36" s="209"/>
      <c r="BB36" s="209">
        <v>0</v>
      </c>
      <c r="BC36" s="209"/>
      <c r="BD36" s="209"/>
      <c r="BG36" s="607" t="s">
        <v>163</v>
      </c>
      <c r="BH36" s="608">
        <v>3494.73294771492</v>
      </c>
      <c r="BK36" s="601"/>
      <c r="BL36" s="601"/>
      <c r="BM36" s="601"/>
      <c r="BN36" s="601"/>
      <c r="BO36">
        <v>1320</v>
      </c>
      <c r="BR36" t="s">
        <v>283</v>
      </c>
      <c r="BU36">
        <v>400</v>
      </c>
      <c r="BX36" t="s">
        <v>258</v>
      </c>
      <c r="BY36" s="135">
        <f t="shared" si="1"/>
        <v>78.8999999999996</v>
      </c>
      <c r="BZ36" s="135"/>
      <c r="CA36" s="135">
        <f t="shared" si="2"/>
        <v>-262.394</v>
      </c>
      <c r="CB36" s="47"/>
      <c r="CD36" s="670">
        <f t="shared" si="3"/>
        <v>-78.8999999999996</v>
      </c>
    </row>
    <row r="37" spans="1:82">
      <c r="A37" s="214"/>
      <c r="B37" s="529" t="s">
        <v>260</v>
      </c>
      <c r="C37" s="227">
        <v>51737</v>
      </c>
      <c r="D37" s="227"/>
      <c r="E37" s="227"/>
      <c r="F37" s="227"/>
      <c r="G37" s="227"/>
      <c r="H37" s="227">
        <v>34085</v>
      </c>
      <c r="I37" s="227"/>
      <c r="J37" s="227"/>
      <c r="K37" s="227"/>
      <c r="L37" s="227"/>
      <c r="M37" s="227">
        <v>37731</v>
      </c>
      <c r="N37" s="227"/>
      <c r="O37" s="227"/>
      <c r="P37" s="227"/>
      <c r="Q37" s="227"/>
      <c r="R37" s="227">
        <v>14447</v>
      </c>
      <c r="S37" s="227"/>
      <c r="T37" s="227"/>
      <c r="U37" s="227"/>
      <c r="V37" s="227"/>
      <c r="W37" s="227">
        <v>0</v>
      </c>
      <c r="X37" s="227"/>
      <c r="Y37" s="227"/>
      <c r="Z37" s="227"/>
      <c r="AA37" s="227"/>
      <c r="AB37" s="227">
        <v>13752</v>
      </c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552"/>
      <c r="AN37" s="552"/>
      <c r="AO37" s="552"/>
      <c r="AP37" s="552"/>
      <c r="AQ37" s="552"/>
      <c r="AR37" s="552"/>
      <c r="AS37" s="575" t="s">
        <v>260</v>
      </c>
      <c r="AT37" s="209">
        <v>52446</v>
      </c>
      <c r="AU37" s="209"/>
      <c r="AV37" s="209"/>
      <c r="AW37" s="209">
        <v>19657</v>
      </c>
      <c r="AX37" s="209">
        <v>9766</v>
      </c>
      <c r="AY37" s="209">
        <v>0</v>
      </c>
      <c r="AZ37" s="209"/>
      <c r="BA37" s="209"/>
      <c r="BB37" s="209">
        <v>13718</v>
      </c>
      <c r="BC37" s="209"/>
      <c r="BD37" s="209"/>
      <c r="BG37" s="605"/>
      <c r="BH37" s="605"/>
      <c r="BK37" s="601"/>
      <c r="BL37" s="601"/>
      <c r="BM37" s="601"/>
      <c r="BN37" s="601"/>
      <c r="BO37">
        <v>1200</v>
      </c>
      <c r="BX37" t="s">
        <v>259</v>
      </c>
      <c r="BY37" s="135">
        <f t="shared" si="1"/>
        <v>112.51</v>
      </c>
      <c r="BZ37" s="135"/>
      <c r="CA37" s="135">
        <f t="shared" si="2"/>
        <v>361.27</v>
      </c>
      <c r="CB37" s="47"/>
      <c r="CD37" s="670">
        <f t="shared" si="3"/>
        <v>3074.49</v>
      </c>
    </row>
    <row r="38" spans="1:82">
      <c r="A38" s="214"/>
      <c r="B38" s="529" t="s">
        <v>261</v>
      </c>
      <c r="C38" s="227">
        <v>97834.2548</v>
      </c>
      <c r="D38" s="227"/>
      <c r="E38" s="227"/>
      <c r="F38" s="227"/>
      <c r="G38" s="227"/>
      <c r="H38" s="227">
        <v>54315.3474</v>
      </c>
      <c r="I38" s="227"/>
      <c r="J38" s="227"/>
      <c r="K38" s="227"/>
      <c r="L38" s="227"/>
      <c r="M38" s="227">
        <v>38131.8</v>
      </c>
      <c r="N38" s="227"/>
      <c r="O38" s="227"/>
      <c r="P38" s="227"/>
      <c r="Q38" s="227"/>
      <c r="R38" s="227">
        <v>33581.39</v>
      </c>
      <c r="S38" s="227"/>
      <c r="T38" s="227"/>
      <c r="U38" s="227"/>
      <c r="V38" s="227"/>
      <c r="W38" s="227">
        <v>0</v>
      </c>
      <c r="X38" s="227"/>
      <c r="Y38" s="227"/>
      <c r="Z38" s="227"/>
      <c r="AA38" s="227"/>
      <c r="AB38" s="227">
        <v>21315.1</v>
      </c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552"/>
      <c r="AN38" s="552"/>
      <c r="AO38" s="552"/>
      <c r="AP38" s="552"/>
      <c r="AQ38" s="552"/>
      <c r="AR38" s="552"/>
      <c r="AS38" s="575" t="s">
        <v>261</v>
      </c>
      <c r="AT38" s="209">
        <v>42102.63</v>
      </c>
      <c r="AU38" s="209"/>
      <c r="AV38" s="209"/>
      <c r="AW38" s="209">
        <v>29453.05</v>
      </c>
      <c r="AX38" s="209">
        <v>24948.85</v>
      </c>
      <c r="AY38" s="209">
        <v>0</v>
      </c>
      <c r="AZ38" s="209"/>
      <c r="BA38" s="209"/>
      <c r="BB38" s="209">
        <v>11738.52</v>
      </c>
      <c r="BC38" s="209"/>
      <c r="BD38" s="209"/>
      <c r="BG38" s="605"/>
      <c r="BH38" s="609"/>
      <c r="BK38" s="601"/>
      <c r="BL38" s="601"/>
      <c r="BM38" s="601"/>
      <c r="BN38" s="601"/>
      <c r="BX38" t="s">
        <v>260</v>
      </c>
      <c r="BY38" s="135">
        <f t="shared" si="1"/>
        <v>727</v>
      </c>
      <c r="BZ38" s="135"/>
      <c r="CA38" s="135">
        <f t="shared" si="2"/>
        <v>-321</v>
      </c>
      <c r="CB38" s="47"/>
      <c r="CD38" s="670">
        <f t="shared" si="3"/>
        <v>36078</v>
      </c>
    </row>
    <row r="39" spans="1:82">
      <c r="A39" s="214"/>
      <c r="B39" s="529" t="s">
        <v>162</v>
      </c>
      <c r="C39" s="227">
        <v>68582.106</v>
      </c>
      <c r="D39" s="227"/>
      <c r="E39" s="227"/>
      <c r="F39" s="227"/>
      <c r="G39" s="227"/>
      <c r="H39" s="227">
        <v>58775.056</v>
      </c>
      <c r="I39" s="227"/>
      <c r="J39" s="227"/>
      <c r="K39" s="227"/>
      <c r="L39" s="227"/>
      <c r="M39" s="227">
        <v>43632.04</v>
      </c>
      <c r="N39" s="227"/>
      <c r="O39" s="227"/>
      <c r="P39" s="227"/>
      <c r="Q39" s="227"/>
      <c r="R39" s="227">
        <v>9607.05</v>
      </c>
      <c r="S39" s="227"/>
      <c r="T39" s="227"/>
      <c r="U39" s="227"/>
      <c r="V39" s="227"/>
      <c r="W39" s="227">
        <v>130045.949</v>
      </c>
      <c r="X39" s="227"/>
      <c r="Y39" s="227"/>
      <c r="Z39" s="227"/>
      <c r="AA39" s="227"/>
      <c r="AB39" s="227">
        <v>7616.66</v>
      </c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552"/>
      <c r="AN39" s="552"/>
      <c r="AO39" s="552"/>
      <c r="AP39" s="552"/>
      <c r="AQ39" s="552"/>
      <c r="AR39" s="552"/>
      <c r="AS39" s="575" t="s">
        <v>162</v>
      </c>
      <c r="AT39" s="209">
        <v>7829.14</v>
      </c>
      <c r="AU39" s="209"/>
      <c r="AV39" s="209"/>
      <c r="AW39" s="209">
        <v>3408.36</v>
      </c>
      <c r="AX39" s="209">
        <v>15631.84</v>
      </c>
      <c r="AY39" s="209">
        <v>0</v>
      </c>
      <c r="AZ39" s="209"/>
      <c r="BA39" s="209"/>
      <c r="BB39" s="209">
        <v>6228.14</v>
      </c>
      <c r="BC39" s="209"/>
      <c r="BD39" s="209"/>
      <c r="BG39" s="605"/>
      <c r="BH39" s="609"/>
      <c r="BK39" s="601"/>
      <c r="BL39" s="601"/>
      <c r="BM39" s="601"/>
      <c r="BN39" s="601"/>
      <c r="BO39">
        <v>1240</v>
      </c>
      <c r="BX39" t="s">
        <v>261</v>
      </c>
      <c r="BY39" s="135">
        <f t="shared" si="1"/>
        <v>-165.95</v>
      </c>
      <c r="BZ39" s="135"/>
      <c r="CA39" s="135">
        <f t="shared" si="2"/>
        <v>114.5</v>
      </c>
      <c r="CB39" s="47"/>
      <c r="CD39" s="670">
        <f t="shared" si="3"/>
        <v>3393.32</v>
      </c>
    </row>
    <row r="40" spans="1:82">
      <c r="A40" s="214"/>
      <c r="B40" s="529" t="s">
        <v>186</v>
      </c>
      <c r="C40" s="227">
        <v>14709</v>
      </c>
      <c r="D40" s="227"/>
      <c r="E40" s="227"/>
      <c r="F40" s="227"/>
      <c r="G40" s="227"/>
      <c r="H40" s="227">
        <v>11470</v>
      </c>
      <c r="I40" s="227"/>
      <c r="J40" s="227"/>
      <c r="K40" s="227"/>
      <c r="L40" s="227"/>
      <c r="M40" s="227">
        <v>0</v>
      </c>
      <c r="N40" s="227"/>
      <c r="O40" s="227"/>
      <c r="P40" s="227"/>
      <c r="Q40" s="227"/>
      <c r="R40" s="227">
        <v>3239</v>
      </c>
      <c r="S40" s="227"/>
      <c r="T40" s="227"/>
      <c r="U40" s="227"/>
      <c r="V40" s="227"/>
      <c r="W40" s="227"/>
      <c r="X40" s="227"/>
      <c r="Y40" s="227"/>
      <c r="Z40" s="227"/>
      <c r="AA40" s="227"/>
      <c r="AB40" s="227">
        <v>6275</v>
      </c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552"/>
      <c r="AN40" s="552"/>
      <c r="AO40" s="552"/>
      <c r="AP40" s="552"/>
      <c r="AQ40" s="552"/>
      <c r="AR40" s="552"/>
      <c r="AS40" s="575" t="s">
        <v>186</v>
      </c>
      <c r="AT40" s="209">
        <v>0</v>
      </c>
      <c r="AU40" s="209"/>
      <c r="AV40" s="209"/>
      <c r="AW40" s="209">
        <v>0</v>
      </c>
      <c r="AX40" s="209">
        <v>3351</v>
      </c>
      <c r="AY40" s="209"/>
      <c r="AZ40" s="209"/>
      <c r="BA40" s="209"/>
      <c r="BB40" s="209">
        <v>5183</v>
      </c>
      <c r="BC40" s="209"/>
      <c r="BD40" s="209"/>
      <c r="BG40" s="605"/>
      <c r="BH40" s="605"/>
      <c r="BK40" s="601"/>
      <c r="BL40" s="601"/>
      <c r="BM40" s="601"/>
      <c r="BN40" s="601"/>
      <c r="BO40">
        <v>1250</v>
      </c>
      <c r="BX40" t="s">
        <v>162</v>
      </c>
      <c r="BY40" s="135">
        <f t="shared" si="1"/>
        <v>-161.51</v>
      </c>
      <c r="BZ40" s="135"/>
      <c r="CA40" s="135">
        <f t="shared" si="2"/>
        <v>305.1</v>
      </c>
      <c r="CB40" s="47"/>
      <c r="CD40" s="670">
        <f t="shared" si="3"/>
        <v>15680.43</v>
      </c>
    </row>
    <row r="41" spans="1:82">
      <c r="A41" s="214"/>
      <c r="B41" s="529" t="s">
        <v>262</v>
      </c>
      <c r="C41" s="227">
        <v>1092.86</v>
      </c>
      <c r="D41" s="227"/>
      <c r="E41" s="227"/>
      <c r="F41" s="227"/>
      <c r="G41" s="227"/>
      <c r="H41" s="227">
        <v>0</v>
      </c>
      <c r="I41" s="227"/>
      <c r="J41" s="227"/>
      <c r="K41" s="227"/>
      <c r="L41" s="227"/>
      <c r="M41" s="227">
        <v>0</v>
      </c>
      <c r="N41" s="227"/>
      <c r="O41" s="227"/>
      <c r="P41" s="227"/>
      <c r="Q41" s="227"/>
      <c r="R41" s="227">
        <v>1031</v>
      </c>
      <c r="S41" s="227"/>
      <c r="T41" s="227"/>
      <c r="U41" s="227"/>
      <c r="V41" s="227"/>
      <c r="W41" s="227"/>
      <c r="X41" s="536"/>
      <c r="Y41" s="536"/>
      <c r="Z41" s="536"/>
      <c r="AA41" s="536"/>
      <c r="AB41" s="234"/>
      <c r="AC41" s="234"/>
      <c r="AD41" s="234"/>
      <c r="AE41" s="234"/>
      <c r="AF41" s="234"/>
      <c r="AG41" s="227"/>
      <c r="AH41" s="227"/>
      <c r="AI41" s="227"/>
      <c r="AJ41" s="227"/>
      <c r="AK41" s="227"/>
      <c r="AL41" s="227">
        <v>0</v>
      </c>
      <c r="AM41" s="552"/>
      <c r="AN41" s="552"/>
      <c r="AO41" s="552"/>
      <c r="AP41" s="552"/>
      <c r="AQ41" s="552"/>
      <c r="AR41" s="552"/>
      <c r="AS41" s="575" t="s">
        <v>262</v>
      </c>
      <c r="AT41" s="209">
        <v>0</v>
      </c>
      <c r="AU41" s="209"/>
      <c r="AV41" s="209"/>
      <c r="AW41" s="209">
        <v>100</v>
      </c>
      <c r="AX41" s="209"/>
      <c r="AY41" s="209"/>
      <c r="AZ41" s="209"/>
      <c r="BA41" s="209"/>
      <c r="BB41" s="209">
        <v>0</v>
      </c>
      <c r="BC41" s="209"/>
      <c r="BD41" s="209">
        <v>0</v>
      </c>
      <c r="BG41" s="605"/>
      <c r="BH41" s="605"/>
      <c r="BK41" s="601"/>
      <c r="BL41" s="601"/>
      <c r="BM41" s="601"/>
      <c r="BN41" s="601"/>
      <c r="BO41">
        <v>1294</v>
      </c>
      <c r="BX41" t="s">
        <v>186</v>
      </c>
      <c r="BY41" s="135">
        <f t="shared" si="1"/>
        <v>0</v>
      </c>
      <c r="BZ41" s="135"/>
      <c r="CA41" s="135">
        <f t="shared" si="2"/>
        <v>260</v>
      </c>
      <c r="CB41" s="47"/>
      <c r="CD41" s="670">
        <f t="shared" si="3"/>
        <v>0</v>
      </c>
    </row>
    <row r="42" spans="1:82">
      <c r="A42" s="214"/>
      <c r="B42" s="529" t="s">
        <v>263</v>
      </c>
      <c r="C42" s="227">
        <v>0</v>
      </c>
      <c r="D42" s="227"/>
      <c r="E42" s="227"/>
      <c r="F42" s="227"/>
      <c r="G42" s="227"/>
      <c r="H42" s="227">
        <v>0</v>
      </c>
      <c r="I42" s="227"/>
      <c r="J42" s="227"/>
      <c r="K42" s="227"/>
      <c r="L42" s="227"/>
      <c r="M42" s="227">
        <v>0</v>
      </c>
      <c r="N42" s="227"/>
      <c r="O42" s="227"/>
      <c r="P42" s="227"/>
      <c r="Q42" s="227"/>
      <c r="R42" s="227">
        <v>0</v>
      </c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552"/>
      <c r="AN42" s="552"/>
      <c r="AO42" s="552"/>
      <c r="AP42" s="552"/>
      <c r="AQ42" s="552"/>
      <c r="AR42" s="552"/>
      <c r="AS42" s="575" t="s">
        <v>263</v>
      </c>
      <c r="AT42" s="209">
        <v>0</v>
      </c>
      <c r="AU42" s="209"/>
      <c r="AV42" s="209"/>
      <c r="AW42" s="209">
        <v>0</v>
      </c>
      <c r="AX42" s="209">
        <v>0</v>
      </c>
      <c r="AY42" s="209"/>
      <c r="AZ42" s="209"/>
      <c r="BA42" s="209"/>
      <c r="BB42" s="209">
        <v>0</v>
      </c>
      <c r="BC42" s="209"/>
      <c r="BD42" s="209"/>
      <c r="BG42" s="605"/>
      <c r="BH42" s="605"/>
      <c r="BK42" s="601"/>
      <c r="BL42" s="601"/>
      <c r="BM42" s="601"/>
      <c r="BN42" s="601"/>
      <c r="BO42">
        <v>1250</v>
      </c>
      <c r="BV42" t="s">
        <v>284</v>
      </c>
      <c r="BX42" t="s">
        <v>262</v>
      </c>
      <c r="BY42" s="135">
        <f t="shared" si="1"/>
        <v>0</v>
      </c>
      <c r="BZ42" s="135"/>
      <c r="CA42" s="135">
        <f t="shared" si="2"/>
        <v>181</v>
      </c>
      <c r="CB42" s="47"/>
      <c r="CD42" s="670">
        <f t="shared" si="3"/>
        <v>0</v>
      </c>
    </row>
    <row r="43" spans="1:82">
      <c r="A43" s="214"/>
      <c r="B43" s="529" t="s">
        <v>265</v>
      </c>
      <c r="C43" s="227">
        <v>11299</v>
      </c>
      <c r="D43" s="227"/>
      <c r="E43" s="227"/>
      <c r="F43" s="227"/>
      <c r="G43" s="227"/>
      <c r="H43" s="227">
        <v>10464</v>
      </c>
      <c r="I43" s="227"/>
      <c r="J43" s="227"/>
      <c r="K43" s="227"/>
      <c r="L43" s="227"/>
      <c r="M43" s="227">
        <v>15743</v>
      </c>
      <c r="N43" s="227"/>
      <c r="O43" s="227"/>
      <c r="P43" s="227"/>
      <c r="Q43" s="227"/>
      <c r="R43" s="227">
        <v>833</v>
      </c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552"/>
      <c r="AN43" s="552"/>
      <c r="AO43" s="552"/>
      <c r="AP43" s="552"/>
      <c r="AQ43" s="552"/>
      <c r="AR43" s="552"/>
      <c r="AS43" s="575" t="s">
        <v>265</v>
      </c>
      <c r="AT43" s="209">
        <v>25612</v>
      </c>
      <c r="AU43" s="209"/>
      <c r="AV43" s="209"/>
      <c r="AW43" s="209">
        <v>239</v>
      </c>
      <c r="AX43" s="209"/>
      <c r="AY43" s="209"/>
      <c r="AZ43" s="209"/>
      <c r="BA43" s="209"/>
      <c r="BB43" s="209"/>
      <c r="BC43" s="209"/>
      <c r="BD43" s="209"/>
      <c r="BG43" s="605"/>
      <c r="BH43" s="605"/>
      <c r="BK43" s="601"/>
      <c r="BL43" s="601"/>
      <c r="BM43" s="601"/>
      <c r="BN43" s="601"/>
      <c r="BX43" t="s">
        <v>264</v>
      </c>
      <c r="BY43" s="135">
        <f>M19-AT19</f>
        <v>0</v>
      </c>
      <c r="BZ43" s="135"/>
      <c r="CA43" s="135">
        <f>R19-AY19</f>
        <v>0</v>
      </c>
      <c r="CB43" s="47"/>
      <c r="CD43" s="670">
        <f>AX19-BY43</f>
        <v>0</v>
      </c>
    </row>
    <row r="44" spans="1:82">
      <c r="A44" s="214"/>
      <c r="B44" s="529" t="s">
        <v>266</v>
      </c>
      <c r="C44" s="227">
        <v>15752.64</v>
      </c>
      <c r="D44" s="227"/>
      <c r="E44" s="227"/>
      <c r="F44" s="227"/>
      <c r="G44" s="227"/>
      <c r="H44" s="227">
        <v>12875.95</v>
      </c>
      <c r="I44" s="227"/>
      <c r="J44" s="227"/>
      <c r="K44" s="227"/>
      <c r="L44" s="227"/>
      <c r="M44" s="227">
        <v>17274.28</v>
      </c>
      <c r="N44" s="227"/>
      <c r="O44" s="227"/>
      <c r="P44" s="227"/>
      <c r="Q44" s="227"/>
      <c r="R44" s="227">
        <v>2716.6</v>
      </c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552"/>
      <c r="AN44" s="552"/>
      <c r="AO44" s="552"/>
      <c r="AP44" s="552"/>
      <c r="AQ44" s="552"/>
      <c r="AR44" s="552"/>
      <c r="AS44" s="575" t="s">
        <v>266</v>
      </c>
      <c r="AT44" s="209">
        <v>13357</v>
      </c>
      <c r="AU44" s="209"/>
      <c r="AV44" s="209"/>
      <c r="AW44" s="209">
        <v>1846.68</v>
      </c>
      <c r="AX44" s="209"/>
      <c r="AY44" s="209"/>
      <c r="AZ44" s="209"/>
      <c r="BA44" s="209"/>
      <c r="BB44" s="209"/>
      <c r="BC44" s="209"/>
      <c r="BD44" s="209"/>
      <c r="BG44" s="605"/>
      <c r="BH44" s="605"/>
      <c r="BK44" s="601"/>
      <c r="BL44" s="601"/>
      <c r="BM44" s="601"/>
      <c r="BN44" s="601"/>
      <c r="BO44">
        <v>1350</v>
      </c>
      <c r="BX44" t="s">
        <v>265</v>
      </c>
      <c r="BY44" s="135">
        <f>M20-AT20</f>
        <v>-794</v>
      </c>
      <c r="BZ44" s="135"/>
      <c r="CA44" s="135">
        <f>R20-AY20</f>
        <v>62</v>
      </c>
      <c r="CB44" s="47"/>
      <c r="CD44" s="670">
        <f>AX20-BY44</f>
        <v>36418</v>
      </c>
    </row>
    <row r="45" spans="1:82">
      <c r="A45" s="214"/>
      <c r="B45" s="529" t="s">
        <v>267</v>
      </c>
      <c r="C45" s="227">
        <v>26095.96</v>
      </c>
      <c r="D45" s="227"/>
      <c r="E45" s="227"/>
      <c r="F45" s="227"/>
      <c r="G45" s="227"/>
      <c r="H45" s="227">
        <v>21177.37</v>
      </c>
      <c r="I45" s="227"/>
      <c r="J45" s="227"/>
      <c r="K45" s="227"/>
      <c r="L45" s="227"/>
      <c r="M45" s="227">
        <v>32608</v>
      </c>
      <c r="N45" s="227"/>
      <c r="O45" s="227"/>
      <c r="P45" s="227"/>
      <c r="Q45" s="227"/>
      <c r="R45" s="227">
        <v>4363.1</v>
      </c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552"/>
      <c r="AN45" s="552"/>
      <c r="AO45" s="552"/>
      <c r="AP45" s="552"/>
      <c r="AQ45" s="552"/>
      <c r="AR45" s="552"/>
      <c r="AS45" s="575" t="s">
        <v>267</v>
      </c>
      <c r="AT45" s="209">
        <v>42976.68</v>
      </c>
      <c r="AU45" s="209"/>
      <c r="AV45" s="209"/>
      <c r="AW45" s="209">
        <v>2692.54</v>
      </c>
      <c r="AX45" s="209">
        <v>0</v>
      </c>
      <c r="AY45" s="209"/>
      <c r="AZ45" s="209"/>
      <c r="BA45" s="209"/>
      <c r="BB45" s="209"/>
      <c r="BC45" s="209"/>
      <c r="BD45" s="209"/>
      <c r="BG45" s="605"/>
      <c r="BH45" s="605"/>
      <c r="BK45" s="601"/>
      <c r="BL45" s="601"/>
      <c r="BM45" s="601"/>
      <c r="BN45" s="601"/>
      <c r="BO45">
        <v>1100</v>
      </c>
      <c r="BX45" t="s">
        <v>266</v>
      </c>
      <c r="BY45" s="135">
        <f>M21-AT21</f>
        <v>-164</v>
      </c>
      <c r="BZ45" s="135"/>
      <c r="CA45" s="135">
        <f>R21-AY21</f>
        <v>178</v>
      </c>
      <c r="CB45" s="47"/>
      <c r="CD45" s="670">
        <f>AX21-BY45</f>
        <v>3353</v>
      </c>
    </row>
    <row r="46" spans="1:82">
      <c r="A46" s="214"/>
      <c r="B46" s="529" t="s">
        <v>268</v>
      </c>
      <c r="C46" s="227">
        <v>37441.1919999999</v>
      </c>
      <c r="D46" s="227"/>
      <c r="E46" s="227"/>
      <c r="F46" s="227"/>
      <c r="G46" s="227"/>
      <c r="H46" s="227">
        <v>14778.212</v>
      </c>
      <c r="I46" s="227"/>
      <c r="J46" s="227"/>
      <c r="K46" s="227"/>
      <c r="L46" s="227"/>
      <c r="M46" s="227">
        <v>23067.377</v>
      </c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552"/>
      <c r="AN46" s="552"/>
      <c r="AO46" s="552"/>
      <c r="AP46" s="552"/>
      <c r="AQ46" s="552"/>
      <c r="AR46" s="552"/>
      <c r="AS46" s="575" t="s">
        <v>268</v>
      </c>
      <c r="AT46" s="209">
        <v>32415.802</v>
      </c>
      <c r="AU46" s="209"/>
      <c r="AV46" s="209"/>
      <c r="AW46" s="209">
        <v>0</v>
      </c>
      <c r="AX46" s="209"/>
      <c r="AY46" s="209"/>
      <c r="AZ46" s="209"/>
      <c r="BA46" s="209"/>
      <c r="BB46" s="209"/>
      <c r="BC46" s="209"/>
      <c r="BD46" s="209"/>
      <c r="BG46" s="605"/>
      <c r="BH46" s="605"/>
      <c r="BK46" s="601"/>
      <c r="BL46" s="601"/>
      <c r="BM46" s="601"/>
      <c r="BN46" s="601"/>
      <c r="BO46">
        <v>1120</v>
      </c>
      <c r="BX46" t="s">
        <v>267</v>
      </c>
      <c r="BY46" s="135">
        <f>M22-AT22</f>
        <v>-298</v>
      </c>
      <c r="BZ46" s="135"/>
      <c r="CA46" s="135">
        <f>R22-AY22</f>
        <v>-268.24</v>
      </c>
      <c r="CB46" s="47"/>
      <c r="CD46" s="670">
        <f>AX22-BY46</f>
        <v>2133.7</v>
      </c>
    </row>
    <row r="47" spans="1:82">
      <c r="A47" s="214"/>
      <c r="B47" s="517" t="s">
        <v>269</v>
      </c>
      <c r="C47" s="227">
        <v>19961.29248</v>
      </c>
      <c r="D47" s="227"/>
      <c r="E47" s="227"/>
      <c r="F47" s="227"/>
      <c r="G47" s="227"/>
      <c r="H47" s="227">
        <v>0</v>
      </c>
      <c r="I47" s="227"/>
      <c r="J47" s="227"/>
      <c r="K47" s="227"/>
      <c r="L47" s="227"/>
      <c r="M47" s="227" t="e">
        <v>#REF!</v>
      </c>
      <c r="N47" s="227"/>
      <c r="O47" s="227"/>
      <c r="P47" s="227"/>
      <c r="Q47" s="227"/>
      <c r="R47" s="227">
        <v>19616.05</v>
      </c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552"/>
      <c r="AN47" s="552"/>
      <c r="AO47" s="552"/>
      <c r="AP47" s="552"/>
      <c r="AQ47" s="552"/>
      <c r="AR47" s="552"/>
      <c r="AS47" s="576" t="s">
        <v>269</v>
      </c>
      <c r="AT47" s="209">
        <v>828.26</v>
      </c>
      <c r="AU47" s="209"/>
      <c r="AV47" s="209"/>
      <c r="AW47" s="209">
        <v>15189.88</v>
      </c>
      <c r="AX47" s="209"/>
      <c r="AY47" s="209"/>
      <c r="AZ47" s="209"/>
      <c r="BA47" s="209"/>
      <c r="BB47" s="209"/>
      <c r="BC47" s="209"/>
      <c r="BD47" s="209"/>
      <c r="BG47" s="605"/>
      <c r="BH47" s="605"/>
      <c r="BK47" s="601"/>
      <c r="BL47" s="601"/>
      <c r="BM47" s="601"/>
      <c r="BN47" s="601"/>
      <c r="BY47" s="135"/>
      <c r="BZ47" s="135"/>
      <c r="CA47" s="135"/>
      <c r="CB47" s="47"/>
      <c r="CD47" s="670"/>
    </row>
    <row r="48" spans="1:82">
      <c r="A48" s="214"/>
      <c r="B48" s="529" t="s">
        <v>270</v>
      </c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>
        <v>10592</v>
      </c>
      <c r="AH48" s="227"/>
      <c r="AI48" s="227"/>
      <c r="AJ48" s="227"/>
      <c r="AK48" s="227"/>
      <c r="AL48" s="227"/>
      <c r="AM48" s="552"/>
      <c r="AN48" s="552"/>
      <c r="AO48" s="552"/>
      <c r="AP48" s="552"/>
      <c r="AQ48" s="552"/>
      <c r="AR48" s="552"/>
      <c r="AS48" s="577" t="s">
        <v>270</v>
      </c>
      <c r="AT48" s="209"/>
      <c r="AU48" s="209"/>
      <c r="AV48" s="209"/>
      <c r="AW48" s="209"/>
      <c r="AX48" s="209"/>
      <c r="AY48" s="209"/>
      <c r="AZ48" s="209"/>
      <c r="BA48" s="209"/>
      <c r="BB48" s="209"/>
      <c r="BC48" s="209">
        <v>12753</v>
      </c>
      <c r="BD48" s="209"/>
      <c r="BG48" s="605"/>
      <c r="BH48" s="605"/>
      <c r="BK48" s="601"/>
      <c r="BL48" s="601"/>
      <c r="BM48" s="601"/>
      <c r="BN48" s="601"/>
      <c r="BX48" s="233" t="s">
        <v>268</v>
      </c>
      <c r="BY48" s="135">
        <f>M23-AT23</f>
        <v>-238.528</v>
      </c>
      <c r="BZ48" s="135"/>
      <c r="CA48" s="135">
        <f>R23-AY23</f>
        <v>0</v>
      </c>
      <c r="CB48" s="47"/>
      <c r="CD48" s="670">
        <f>AX23-BY48</f>
        <v>2391.58600000001</v>
      </c>
    </row>
    <row r="49" spans="1:80">
      <c r="A49" s="214"/>
      <c r="B49" s="529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553"/>
      <c r="AN49" s="553"/>
      <c r="AO49" s="553"/>
      <c r="AP49" s="553"/>
      <c r="AQ49" s="553"/>
      <c r="AR49" s="553"/>
      <c r="AS49" s="553"/>
      <c r="AT49" s="578"/>
      <c r="AU49" s="578"/>
      <c r="AV49" s="578"/>
      <c r="AW49" s="578"/>
      <c r="AX49" s="578"/>
      <c r="AY49" s="578"/>
      <c r="AZ49" s="578"/>
      <c r="BA49" s="578"/>
      <c r="BB49" s="578"/>
      <c r="BC49" s="578"/>
      <c r="BD49" s="578"/>
      <c r="BG49" s="608"/>
      <c r="BH49" s="608"/>
      <c r="BO49">
        <v>1198</v>
      </c>
      <c r="CA49" s="135">
        <f>R24-AY24</f>
        <v>-796.8</v>
      </c>
      <c r="CB49" s="47"/>
    </row>
    <row r="50" ht="3.95" customHeight="1" spans="1:83">
      <c r="A50" s="531"/>
      <c r="B50" s="531"/>
      <c r="C50" s="531"/>
      <c r="D50" s="531"/>
      <c r="E50" s="531"/>
      <c r="F50" s="531"/>
      <c r="G50" s="531"/>
      <c r="H50" s="531"/>
      <c r="I50" s="531"/>
      <c r="J50" s="531"/>
      <c r="K50" s="531"/>
      <c r="L50" s="531"/>
      <c r="M50" s="531"/>
      <c r="N50" s="531"/>
      <c r="O50" s="531"/>
      <c r="P50" s="531"/>
      <c r="Q50" s="531"/>
      <c r="R50" s="531"/>
      <c r="S50" s="531"/>
      <c r="T50" s="531"/>
      <c r="U50" s="531"/>
      <c r="V50" s="531"/>
      <c r="W50" s="531"/>
      <c r="X50" s="531"/>
      <c r="Y50" s="531"/>
      <c r="Z50" s="531"/>
      <c r="AA50" s="531"/>
      <c r="AB50" s="531"/>
      <c r="AC50" s="531"/>
      <c r="AD50" s="531"/>
      <c r="AE50" s="531"/>
      <c r="AF50" s="531"/>
      <c r="AG50" s="531"/>
      <c r="AH50" s="531"/>
      <c r="AI50" s="531"/>
      <c r="AJ50" s="531"/>
      <c r="AK50" s="531"/>
      <c r="AL50" s="554"/>
      <c r="AM50" s="555"/>
      <c r="AN50" s="555"/>
      <c r="AO50" s="555"/>
      <c r="AP50" s="555"/>
      <c r="AQ50" s="555"/>
      <c r="AR50" s="555"/>
      <c r="AS50" s="555"/>
      <c r="AT50" s="579"/>
      <c r="AU50" s="579"/>
      <c r="AV50" s="579"/>
      <c r="AW50" s="579"/>
      <c r="AX50" s="579"/>
      <c r="AY50" s="579"/>
      <c r="AZ50" s="579"/>
      <c r="BA50" s="579"/>
      <c r="BB50" s="579"/>
      <c r="BC50" s="579"/>
      <c r="BD50" s="579"/>
      <c r="BE50" s="590"/>
      <c r="BF50" s="590"/>
      <c r="BG50" s="610"/>
      <c r="BH50" s="610"/>
      <c r="BI50" s="590"/>
      <c r="BJ50" s="590"/>
      <c r="BK50" s="590"/>
      <c r="BL50" s="590"/>
      <c r="BM50" s="590"/>
      <c r="BN50" s="590"/>
      <c r="BO50" s="590"/>
      <c r="BP50" s="590"/>
      <c r="BQ50" s="590"/>
      <c r="BR50" s="590"/>
      <c r="BS50" s="590"/>
      <c r="BT50" s="590"/>
      <c r="BU50" s="590"/>
      <c r="BV50" s="590"/>
      <c r="BW50" s="590"/>
      <c r="BX50" s="590"/>
      <c r="BY50" s="590"/>
      <c r="BZ50" s="590"/>
      <c r="CA50" s="590"/>
      <c r="CB50" s="590"/>
      <c r="CC50" s="590"/>
      <c r="CD50" s="590"/>
      <c r="CE50" s="590"/>
    </row>
    <row r="51" spans="1:66">
      <c r="A51" s="528" t="s">
        <v>285</v>
      </c>
      <c r="B51" s="529">
        <v>1</v>
      </c>
      <c r="C51" s="530" t="s">
        <v>128</v>
      </c>
      <c r="D51" s="530"/>
      <c r="E51" s="530"/>
      <c r="F51" s="530"/>
      <c r="G51" s="530"/>
      <c r="H51" s="530" t="s">
        <v>152</v>
      </c>
      <c r="I51" s="530"/>
      <c r="J51" s="530"/>
      <c r="K51" s="530"/>
      <c r="L51" s="530"/>
      <c r="M51" s="530" t="s">
        <v>153</v>
      </c>
      <c r="N51" s="530"/>
      <c r="O51" s="530"/>
      <c r="P51" s="530"/>
      <c r="Q51" s="530"/>
      <c r="R51" s="530" t="s">
        <v>154</v>
      </c>
      <c r="S51" s="530"/>
      <c r="T51" s="530"/>
      <c r="U51" s="530"/>
      <c r="V51" s="530"/>
      <c r="W51" s="535" t="s">
        <v>245</v>
      </c>
      <c r="X51" s="530"/>
      <c r="Y51" s="530"/>
      <c r="Z51" s="530"/>
      <c r="AA51" s="530"/>
      <c r="AB51" s="530" t="s">
        <v>246</v>
      </c>
      <c r="AC51" s="530"/>
      <c r="AD51" s="530"/>
      <c r="AE51" s="530"/>
      <c r="AF51" s="530"/>
      <c r="AG51" s="530" t="s">
        <v>247</v>
      </c>
      <c r="AH51" s="530"/>
      <c r="AI51" s="530"/>
      <c r="AJ51" s="530"/>
      <c r="AK51" s="530"/>
      <c r="AL51" s="530" t="s">
        <v>248</v>
      </c>
      <c r="AM51" s="551"/>
      <c r="AN51" s="551"/>
      <c r="AO51" s="551"/>
      <c r="AP51" s="551"/>
      <c r="AQ51" s="551"/>
      <c r="AR51" s="551"/>
      <c r="AS51" s="530"/>
      <c r="AT51" s="580" t="s">
        <v>153</v>
      </c>
      <c r="AU51" s="580"/>
      <c r="AV51" s="580"/>
      <c r="AW51" s="580" t="s">
        <v>154</v>
      </c>
      <c r="AX51" s="580" t="s">
        <v>163</v>
      </c>
      <c r="AY51" s="580" t="s">
        <v>274</v>
      </c>
      <c r="AZ51" s="580"/>
      <c r="BA51" s="580"/>
      <c r="BB51" s="580" t="s">
        <v>250</v>
      </c>
      <c r="BC51" s="580" t="s">
        <v>275</v>
      </c>
      <c r="BD51" s="580" t="s">
        <v>248</v>
      </c>
      <c r="BE51" s="598"/>
      <c r="BF51" s="598"/>
      <c r="BG51" s="611" t="s">
        <v>276</v>
      </c>
      <c r="BH51" s="612"/>
      <c r="BK51" s="600" t="s">
        <v>286</v>
      </c>
      <c r="BL51" s="600"/>
      <c r="BM51" s="600"/>
      <c r="BN51" s="600"/>
    </row>
    <row r="52" customHeight="1" spans="1:83">
      <c r="A52" s="214"/>
      <c r="B52" s="529" t="s">
        <v>255</v>
      </c>
      <c r="C52" s="227">
        <f>表一!E6</f>
        <v>63641.2980885181</v>
      </c>
      <c r="D52" s="227"/>
      <c r="E52" s="227"/>
      <c r="F52" s="227"/>
      <c r="G52" s="227"/>
      <c r="H52" s="227">
        <f>表一!M6</f>
        <v>49541.49</v>
      </c>
      <c r="I52" s="227"/>
      <c r="J52" s="227"/>
      <c r="K52" s="227"/>
      <c r="L52" s="227"/>
      <c r="M52" s="227">
        <f>表一!E26</f>
        <v>27087</v>
      </c>
      <c r="N52" s="227"/>
      <c r="O52" s="227"/>
      <c r="P52" s="227"/>
      <c r="Q52" s="227"/>
      <c r="R52" s="227">
        <f>表一!M26</f>
        <v>9920.93</v>
      </c>
      <c r="S52" s="227"/>
      <c r="T52" s="227"/>
      <c r="U52" s="227"/>
      <c r="V52" s="227"/>
      <c r="W52" s="227">
        <f>数据基表!X10</f>
        <v>51976</v>
      </c>
      <c r="X52" s="227"/>
      <c r="Y52" s="227"/>
      <c r="Z52" s="227"/>
      <c r="AA52" s="227"/>
      <c r="AB52" s="227">
        <f>表一!M46</f>
        <v>18581</v>
      </c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552"/>
      <c r="AN52" s="552"/>
      <c r="AO52" s="552"/>
      <c r="AP52" s="552"/>
      <c r="AQ52" s="552"/>
      <c r="AR52" s="552"/>
      <c r="AS52" s="577" t="s">
        <v>255</v>
      </c>
      <c r="AT52" s="209">
        <f>表二!C7</f>
        <v>13532.5816</v>
      </c>
      <c r="AU52" s="209"/>
      <c r="AV52" s="209"/>
      <c r="AW52" s="209">
        <f>表二!H7</f>
        <v>6486.65</v>
      </c>
      <c r="AX52" s="209">
        <f>表二!C27</f>
        <v>29766.06</v>
      </c>
      <c r="AY52" s="209">
        <f>表二!G27</f>
        <v>24290</v>
      </c>
      <c r="AZ52" s="209"/>
      <c r="BA52" s="209"/>
      <c r="BB52" s="209">
        <f>表二!J27</f>
        <v>15030.922</v>
      </c>
      <c r="BC52" s="209"/>
      <c r="BD52" s="209"/>
      <c r="BG52" s="602" t="s">
        <v>153</v>
      </c>
      <c r="BH52" s="603">
        <f>表二!F6</f>
        <v>142654.183</v>
      </c>
      <c r="BK52" s="600"/>
      <c r="BL52" s="600"/>
      <c r="BM52" s="600"/>
      <c r="BN52" s="600"/>
      <c r="BO52" s="638" t="s">
        <v>287</v>
      </c>
      <c r="BP52" s="639"/>
      <c r="BQ52" s="491">
        <f>表二!B6/表一!B25</f>
        <v>1.00840086489277</v>
      </c>
      <c r="BR52" s="491"/>
      <c r="BS52" s="640" t="s">
        <v>288</v>
      </c>
      <c r="BT52" s="197">
        <f>表二!B6</f>
        <v>30037.049</v>
      </c>
      <c r="BU52" s="197"/>
      <c r="BV52" s="640" t="s">
        <v>195</v>
      </c>
      <c r="BW52" s="197">
        <f>表二!E6</f>
        <v>2084.2917345176</v>
      </c>
      <c r="BX52" s="197"/>
      <c r="BY52" s="197" t="s">
        <v>289</v>
      </c>
      <c r="BZ52" s="197"/>
      <c r="CA52" s="663">
        <f>BH34</f>
        <v>2082.63002217865</v>
      </c>
      <c r="CB52" s="664" t="s">
        <v>290</v>
      </c>
      <c r="CC52" s="175">
        <f>BW52-CA52</f>
        <v>1.66171233894511</v>
      </c>
      <c r="CD52" s="664" t="s">
        <v>291</v>
      </c>
      <c r="CE52" s="663">
        <f>表二!F6-数据填报!BH31</f>
        <v>-250.094999999972</v>
      </c>
    </row>
    <row r="53" customHeight="1" spans="1:83">
      <c r="A53" s="214"/>
      <c r="B53" s="529" t="s">
        <v>51</v>
      </c>
      <c r="C53" s="227">
        <f>表一!E7</f>
        <v>24834.11</v>
      </c>
      <c r="D53" s="227"/>
      <c r="E53" s="227"/>
      <c r="F53" s="227"/>
      <c r="G53" s="227"/>
      <c r="H53" s="227">
        <f>表一!M7</f>
        <v>21383.12</v>
      </c>
      <c r="I53" s="227"/>
      <c r="J53" s="227"/>
      <c r="K53" s="227"/>
      <c r="L53" s="227"/>
      <c r="M53" s="227">
        <f>表一!E27</f>
        <v>26623.04</v>
      </c>
      <c r="N53" s="227"/>
      <c r="O53" s="227"/>
      <c r="P53" s="227"/>
      <c r="Q53" s="227"/>
      <c r="R53" s="227">
        <f>表一!M27</f>
        <v>2988.11</v>
      </c>
      <c r="S53" s="227"/>
      <c r="T53" s="227"/>
      <c r="U53" s="227"/>
      <c r="V53" s="227"/>
      <c r="W53" s="227">
        <f>数据基表!X25</f>
        <v>0</v>
      </c>
      <c r="X53" s="227"/>
      <c r="Y53" s="227"/>
      <c r="Z53" s="227"/>
      <c r="AA53" s="227"/>
      <c r="AB53" s="227">
        <f>表一!M47</f>
        <v>0</v>
      </c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552"/>
      <c r="AN53" s="552"/>
      <c r="AO53" s="552"/>
      <c r="AP53" s="552"/>
      <c r="AQ53" s="552"/>
      <c r="AR53" s="552"/>
      <c r="AS53" s="577" t="s">
        <v>51</v>
      </c>
      <c r="AT53" s="209">
        <f>表二!C8</f>
        <v>33351.248</v>
      </c>
      <c r="AU53" s="209"/>
      <c r="AV53" s="209"/>
      <c r="AW53" s="209">
        <f>表二!H8</f>
        <v>2698.18</v>
      </c>
      <c r="AX53" s="209">
        <f>表二!C28</f>
        <v>5925.6</v>
      </c>
      <c r="AY53" s="209">
        <f>表二!G28</f>
        <v>0</v>
      </c>
      <c r="AZ53" s="209"/>
      <c r="BA53" s="209"/>
      <c r="BB53" s="209">
        <f>表二!J28</f>
        <v>0</v>
      </c>
      <c r="BC53" s="209"/>
      <c r="BD53" s="209"/>
      <c r="BG53" s="602" t="s">
        <v>154</v>
      </c>
      <c r="BH53" s="603">
        <f>表二!K6</f>
        <v>99820.6174</v>
      </c>
      <c r="BK53" s="600"/>
      <c r="BL53" s="600"/>
      <c r="BM53" s="600"/>
      <c r="BN53" s="600"/>
      <c r="BO53" s="638" t="s">
        <v>292</v>
      </c>
      <c r="BP53" s="639"/>
      <c r="BQ53" s="491">
        <f>表二!G6/表一!J25</f>
        <v>1.00572414267767</v>
      </c>
      <c r="BR53" s="491"/>
      <c r="BS53" s="640" t="s">
        <v>288</v>
      </c>
      <c r="BT53" s="197">
        <f>表二!G6</f>
        <v>10257.99</v>
      </c>
      <c r="BU53" s="197"/>
      <c r="BV53" s="640" t="s">
        <v>195</v>
      </c>
      <c r="BW53" s="665">
        <f>表二!J6</f>
        <v>2258.93367115406</v>
      </c>
      <c r="BX53" s="665"/>
      <c r="BY53" s="197" t="s">
        <v>289</v>
      </c>
      <c r="BZ53" s="197"/>
      <c r="CA53" s="666">
        <f>BH35</f>
        <v>2271.04075222461</v>
      </c>
      <c r="CB53" s="664" t="s">
        <v>290</v>
      </c>
      <c r="CC53" s="175">
        <f>BW53-CA53</f>
        <v>-12.1070810705501</v>
      </c>
      <c r="CD53" s="664" t="s">
        <v>291</v>
      </c>
      <c r="CE53" s="663">
        <f>表二!K6-数据填报!BH32</f>
        <v>-1928.7769</v>
      </c>
    </row>
    <row r="54" customHeight="1" spans="1:81">
      <c r="A54" s="214"/>
      <c r="B54" s="529" t="s">
        <v>256</v>
      </c>
      <c r="C54" s="227">
        <f>表一!E8</f>
        <v>51996</v>
      </c>
      <c r="D54" s="227"/>
      <c r="E54" s="227"/>
      <c r="F54" s="227"/>
      <c r="G54" s="227"/>
      <c r="H54" s="227">
        <f>表一!M8</f>
        <v>51996</v>
      </c>
      <c r="I54" s="227"/>
      <c r="J54" s="227"/>
      <c r="K54" s="227"/>
      <c r="L54" s="227"/>
      <c r="M54" s="227">
        <f>表一!E28</f>
        <v>24098</v>
      </c>
      <c r="N54" s="227"/>
      <c r="O54" s="227"/>
      <c r="P54" s="227"/>
      <c r="Q54" s="227"/>
      <c r="R54" s="227">
        <f>表一!M28</f>
        <v>1181</v>
      </c>
      <c r="S54" s="227"/>
      <c r="T54" s="227"/>
      <c r="U54" s="227"/>
      <c r="V54" s="227"/>
      <c r="W54" s="227">
        <f>数据基表!X44</f>
        <v>20975</v>
      </c>
      <c r="X54" s="227"/>
      <c r="Y54" s="227"/>
      <c r="Z54" s="227"/>
      <c r="AA54" s="227"/>
      <c r="AB54" s="227">
        <f>表一!M48</f>
        <v>0</v>
      </c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552"/>
      <c r="AN54" s="552"/>
      <c r="AO54" s="552"/>
      <c r="AP54" s="552"/>
      <c r="AQ54" s="552"/>
      <c r="AR54" s="552"/>
      <c r="AS54" s="577" t="s">
        <v>256</v>
      </c>
      <c r="AT54" s="209">
        <f>表二!C9</f>
        <v>25527</v>
      </c>
      <c r="AU54" s="209"/>
      <c r="AV54" s="209"/>
      <c r="AW54" s="209">
        <f>表二!H9</f>
        <v>0</v>
      </c>
      <c r="AX54" s="209">
        <f>表二!C29</f>
        <v>19508.22</v>
      </c>
      <c r="AY54" s="209">
        <f>表二!G29</f>
        <v>10468.36</v>
      </c>
      <c r="AZ54" s="209"/>
      <c r="BA54" s="209"/>
      <c r="BB54" s="209">
        <f>表二!J29</f>
        <v>0</v>
      </c>
      <c r="BC54" s="209"/>
      <c r="BD54" s="209"/>
      <c r="BG54" s="604"/>
      <c r="BH54" s="604"/>
      <c r="BK54" s="600"/>
      <c r="BL54" s="600"/>
      <c r="BM54" s="600"/>
      <c r="BN54" s="600"/>
      <c r="BT54" s="76" t="s">
        <v>163</v>
      </c>
      <c r="BU54" s="85"/>
      <c r="BV54" s="667" t="s">
        <v>195</v>
      </c>
      <c r="BW54" s="210">
        <f>BH57</f>
        <v>3482.79857873016</v>
      </c>
      <c r="BX54" s="84"/>
      <c r="BY54" s="197" t="s">
        <v>289</v>
      </c>
      <c r="BZ54" s="197"/>
      <c r="CA54" s="175">
        <f>BH36</f>
        <v>3494.73294771492</v>
      </c>
      <c r="CB54" s="664" t="s">
        <v>290</v>
      </c>
      <c r="CC54" s="175">
        <f>BW54-CA54</f>
        <v>-11.934368984761</v>
      </c>
    </row>
    <row r="55" customHeight="1" spans="1:73">
      <c r="A55" s="214"/>
      <c r="B55" s="529" t="s">
        <v>257</v>
      </c>
      <c r="C55" s="227">
        <f>表一!E9</f>
        <v>15477</v>
      </c>
      <c r="D55" s="227"/>
      <c r="E55" s="227"/>
      <c r="F55" s="227"/>
      <c r="G55" s="227"/>
      <c r="H55" s="227">
        <f>表一!M9</f>
        <v>12167</v>
      </c>
      <c r="I55" s="227"/>
      <c r="J55" s="227"/>
      <c r="K55" s="227"/>
      <c r="L55" s="227"/>
      <c r="M55" s="227">
        <f>表一!E29</f>
        <v>0</v>
      </c>
      <c r="N55" s="227"/>
      <c r="O55" s="227"/>
      <c r="P55" s="227"/>
      <c r="Q55" s="227"/>
      <c r="R55" s="227">
        <f>表一!M29</f>
        <v>3125</v>
      </c>
      <c r="S55" s="227"/>
      <c r="T55" s="227"/>
      <c r="U55" s="227"/>
      <c r="V55" s="227"/>
      <c r="W55" s="227">
        <f>数据基表!X66</f>
        <v>0</v>
      </c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227"/>
      <c r="AM55" s="552"/>
      <c r="AN55" s="552"/>
      <c r="AO55" s="552"/>
      <c r="AP55" s="552"/>
      <c r="AQ55" s="552"/>
      <c r="AR55" s="552"/>
      <c r="AS55" s="577" t="s">
        <v>257</v>
      </c>
      <c r="AT55" s="209">
        <f>表二!C10</f>
        <v>2090</v>
      </c>
      <c r="AU55" s="209"/>
      <c r="AV55" s="209"/>
      <c r="AW55" s="209">
        <f>表二!H10</f>
        <v>1499</v>
      </c>
      <c r="AX55" s="209">
        <f>表二!C30</f>
        <v>12020</v>
      </c>
      <c r="AY55" s="209">
        <f>表二!G30</f>
        <v>0</v>
      </c>
      <c r="AZ55" s="209"/>
      <c r="BA55" s="209"/>
      <c r="BB55" s="209">
        <f>表二!J30</f>
        <v>0</v>
      </c>
      <c r="BC55" s="209"/>
      <c r="BD55" s="209"/>
      <c r="BG55" s="606" t="s">
        <v>153</v>
      </c>
      <c r="BH55" s="602">
        <f>表二!E6</f>
        <v>2084.2917345176</v>
      </c>
      <c r="BK55" s="600"/>
      <c r="BL55" s="600"/>
      <c r="BM55" s="600"/>
      <c r="BN55" s="600"/>
      <c r="BO55" t="s">
        <v>128</v>
      </c>
      <c r="BP55" t="s">
        <v>293</v>
      </c>
      <c r="BQ55" s="551">
        <f>C6</f>
        <v>45947.0244428571</v>
      </c>
      <c r="BR55" s="551"/>
      <c r="BS55" s="164"/>
      <c r="BT55" s="164"/>
      <c r="BU55" s="164"/>
    </row>
    <row r="56" customHeight="1" spans="1:76">
      <c r="A56" s="214"/>
      <c r="B56" s="529" t="s">
        <v>258</v>
      </c>
      <c r="C56" s="227">
        <f>表一!E10</f>
        <v>61049.5896</v>
      </c>
      <c r="D56" s="227"/>
      <c r="E56" s="227"/>
      <c r="F56" s="227"/>
      <c r="G56" s="227"/>
      <c r="H56" s="227">
        <f>表一!M10</f>
        <v>51227.0977</v>
      </c>
      <c r="I56" s="227"/>
      <c r="J56" s="227"/>
      <c r="K56" s="227"/>
      <c r="L56" s="227"/>
      <c r="M56" s="227">
        <f>表一!E30</f>
        <v>60206.75</v>
      </c>
      <c r="N56" s="227"/>
      <c r="O56" s="227"/>
      <c r="P56" s="227"/>
      <c r="Q56" s="227"/>
      <c r="R56" s="227">
        <f>表一!M30</f>
        <v>8924.629</v>
      </c>
      <c r="S56" s="227"/>
      <c r="T56" s="227"/>
      <c r="U56" s="227"/>
      <c r="V56" s="227"/>
      <c r="W56" s="227">
        <f>数据基表!X78</f>
        <v>0</v>
      </c>
      <c r="X56" s="227"/>
      <c r="Y56" s="227"/>
      <c r="Z56" s="227"/>
      <c r="AA56" s="227"/>
      <c r="AB56" s="227">
        <f>数据基表!AC80</f>
        <v>2613</v>
      </c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552"/>
      <c r="AN56" s="552"/>
      <c r="AO56" s="552"/>
      <c r="AP56" s="552"/>
      <c r="AQ56" s="552"/>
      <c r="AR56" s="552"/>
      <c r="AS56" s="577" t="s">
        <v>258</v>
      </c>
      <c r="AT56" s="209">
        <f>表二!C11</f>
        <v>65509.58</v>
      </c>
      <c r="AU56" s="209"/>
      <c r="AV56" s="209"/>
      <c r="AW56" s="209">
        <f>表二!H11</f>
        <v>9865.48</v>
      </c>
      <c r="AX56" s="209">
        <f>表二!C31</f>
        <v>14536.61</v>
      </c>
      <c r="AY56" s="209">
        <f>表二!G31</f>
        <v>0</v>
      </c>
      <c r="AZ56" s="209"/>
      <c r="BA56" s="209"/>
      <c r="BB56" s="209">
        <f>表二!J31</f>
        <v>0</v>
      </c>
      <c r="BC56" s="209"/>
      <c r="BD56" s="209"/>
      <c r="BG56" s="606" t="s">
        <v>154</v>
      </c>
      <c r="BH56" s="602">
        <f>表二!J6</f>
        <v>2258.93367115406</v>
      </c>
      <c r="BK56" s="600"/>
      <c r="BL56" s="600"/>
      <c r="BM56" s="600"/>
      <c r="BN56" s="600"/>
      <c r="BO56" t="s">
        <v>152</v>
      </c>
      <c r="BP56" t="s">
        <v>293</v>
      </c>
      <c r="BQ56" s="551">
        <f>H6</f>
        <v>32423.0473</v>
      </c>
      <c r="BR56" s="551"/>
      <c r="BS56" s="164" t="s">
        <v>288</v>
      </c>
      <c r="BT56" s="551">
        <f>表二!B26</f>
        <v>11868.26</v>
      </c>
      <c r="BU56" s="551"/>
      <c r="BV56" t="s">
        <v>195</v>
      </c>
      <c r="BW56" s="551">
        <f>表二!E26</f>
        <v>3482.79857873016</v>
      </c>
      <c r="BX56" s="551"/>
    </row>
    <row r="57" customHeight="1" spans="1:73">
      <c r="A57" s="214"/>
      <c r="B57" s="529" t="s">
        <v>259</v>
      </c>
      <c r="C57" s="227">
        <f>表一!E11</f>
        <v>74095.8733190476</v>
      </c>
      <c r="D57" s="227"/>
      <c r="E57" s="227"/>
      <c r="F57" s="227"/>
      <c r="G57" s="227"/>
      <c r="H57" s="227">
        <f>表一!M11</f>
        <v>42557.94</v>
      </c>
      <c r="I57" s="227"/>
      <c r="J57" s="227"/>
      <c r="K57" s="227"/>
      <c r="L57" s="227"/>
      <c r="M57" s="227">
        <f>表一!E31</f>
        <v>57157.37</v>
      </c>
      <c r="N57" s="227"/>
      <c r="O57" s="227"/>
      <c r="P57" s="227"/>
      <c r="Q57" s="227"/>
      <c r="R57" s="227">
        <f>表一!M31</f>
        <v>27774</v>
      </c>
      <c r="S57" s="227"/>
      <c r="T57" s="227"/>
      <c r="U57" s="227"/>
      <c r="V57" s="227"/>
      <c r="W57" s="227">
        <f>数据基表!X92</f>
        <v>0</v>
      </c>
      <c r="X57" s="227"/>
      <c r="Y57" s="227"/>
      <c r="Z57" s="227"/>
      <c r="AA57" s="227"/>
      <c r="AB57" s="227">
        <f>数据基表!AC92</f>
        <v>0</v>
      </c>
      <c r="AC57" s="227"/>
      <c r="AD57" s="227"/>
      <c r="AE57" s="227"/>
      <c r="AF57" s="227"/>
      <c r="AG57" s="227">
        <v>78</v>
      </c>
      <c r="AH57" s="227"/>
      <c r="AI57" s="227"/>
      <c r="AJ57" s="227"/>
      <c r="AK57" s="227"/>
      <c r="AL57" s="227"/>
      <c r="AM57" s="552"/>
      <c r="AN57" s="552"/>
      <c r="AO57" s="552"/>
      <c r="AP57" s="552"/>
      <c r="AQ57" s="552"/>
      <c r="AR57" s="552"/>
      <c r="AS57" s="577" t="s">
        <v>259</v>
      </c>
      <c r="AT57" s="209">
        <f>表二!C12</f>
        <v>62213.74</v>
      </c>
      <c r="AU57" s="209"/>
      <c r="AV57" s="209"/>
      <c r="AW57" s="209">
        <f>表二!H12</f>
        <v>21261.83</v>
      </c>
      <c r="AX57" s="209">
        <f>表二!C32</f>
        <v>9189.1</v>
      </c>
      <c r="AY57" s="209">
        <f>表二!G32</f>
        <v>0</v>
      </c>
      <c r="AZ57" s="209"/>
      <c r="BA57" s="209"/>
      <c r="BB57" s="209">
        <f>表二!J32</f>
        <v>0</v>
      </c>
      <c r="BC57" s="209"/>
      <c r="BD57" s="209"/>
      <c r="BG57" s="545" t="s">
        <v>163</v>
      </c>
      <c r="BH57" s="613">
        <f>表二!E26</f>
        <v>3482.79857873016</v>
      </c>
      <c r="BK57" s="600"/>
      <c r="BL57" s="600"/>
      <c r="BM57" s="600"/>
      <c r="BN57" s="600"/>
      <c r="BO57" t="s">
        <v>153</v>
      </c>
      <c r="BP57" t="s">
        <v>293</v>
      </c>
      <c r="BQ57" s="551">
        <f>M6</f>
        <v>29786.814</v>
      </c>
      <c r="BR57" s="551"/>
      <c r="BS57" s="164" t="s">
        <v>288</v>
      </c>
      <c r="BT57" s="553">
        <f>表二!B6</f>
        <v>30037.049</v>
      </c>
      <c r="BU57" s="553"/>
    </row>
    <row r="58" customHeight="1" spans="1:73">
      <c r="A58" s="214"/>
      <c r="B58" s="529" t="s">
        <v>260</v>
      </c>
      <c r="C58" s="227">
        <f>表一!E12</f>
        <v>55761</v>
      </c>
      <c r="D58" s="227"/>
      <c r="E58" s="227"/>
      <c r="F58" s="227"/>
      <c r="G58" s="227"/>
      <c r="H58" s="227">
        <f>表一!M12</f>
        <v>36653</v>
      </c>
      <c r="I58" s="227"/>
      <c r="J58" s="227"/>
      <c r="K58" s="227"/>
      <c r="L58" s="227"/>
      <c r="M58" s="227">
        <f>表一!E32</f>
        <v>40602</v>
      </c>
      <c r="N58" s="227"/>
      <c r="O58" s="227"/>
      <c r="P58" s="227"/>
      <c r="Q58" s="227"/>
      <c r="R58" s="227">
        <f>表一!M32</f>
        <v>15727</v>
      </c>
      <c r="S58" s="227"/>
      <c r="T58" s="227"/>
      <c r="U58" s="227"/>
      <c r="V58" s="227"/>
      <c r="W58" s="227">
        <f>数据基表!X133</f>
        <v>0</v>
      </c>
      <c r="X58" s="227"/>
      <c r="Y58" s="227"/>
      <c r="Z58" s="227"/>
      <c r="AA58" s="227"/>
      <c r="AB58" s="227">
        <f>数据基表!AC133</f>
        <v>14898</v>
      </c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552"/>
      <c r="AN58" s="552"/>
      <c r="AO58" s="552"/>
      <c r="AP58" s="552"/>
      <c r="AQ58" s="552"/>
      <c r="AR58" s="552"/>
      <c r="AS58" s="577" t="s">
        <v>260</v>
      </c>
      <c r="AT58" s="209">
        <f>表二!C13</f>
        <v>54590</v>
      </c>
      <c r="AU58" s="209"/>
      <c r="AV58" s="209"/>
      <c r="AW58" s="209">
        <f>表二!H13</f>
        <v>21258</v>
      </c>
      <c r="AX58" s="209">
        <f>表二!C33</f>
        <v>10484</v>
      </c>
      <c r="AY58" s="209">
        <f>表二!G33</f>
        <v>0</v>
      </c>
      <c r="AZ58" s="209"/>
      <c r="BA58" s="209"/>
      <c r="BB58" s="209">
        <f>表二!J33</f>
        <v>15002</v>
      </c>
      <c r="BC58" s="209"/>
      <c r="BD58" s="209"/>
      <c r="BG58" s="604"/>
      <c r="BH58" s="604"/>
      <c r="BK58" s="600"/>
      <c r="BL58" s="600"/>
      <c r="BM58" s="600"/>
      <c r="BN58" s="600"/>
      <c r="BP58" t="s">
        <v>56</v>
      </c>
      <c r="BQ58" s="553">
        <f>BH52</f>
        <v>142654.183</v>
      </c>
      <c r="BR58" s="553"/>
      <c r="BS58" s="164" t="s">
        <v>195</v>
      </c>
      <c r="BT58" s="553">
        <f>BH55</f>
        <v>2084.2917345176</v>
      </c>
      <c r="BU58" s="553"/>
    </row>
    <row r="59" customHeight="1" spans="1:73">
      <c r="A59" s="214"/>
      <c r="B59" s="529" t="s">
        <v>261</v>
      </c>
      <c r="C59" s="227">
        <f>表一!E13</f>
        <v>105353.4562</v>
      </c>
      <c r="D59" s="227"/>
      <c r="E59" s="227"/>
      <c r="F59" s="227"/>
      <c r="G59" s="227"/>
      <c r="H59" s="227">
        <f>表一!M13</f>
        <v>58597.7752</v>
      </c>
      <c r="I59" s="227"/>
      <c r="J59" s="227"/>
      <c r="K59" s="227"/>
      <c r="L59" s="227"/>
      <c r="M59" s="227">
        <f>表一!E33</f>
        <v>40957.57</v>
      </c>
      <c r="N59" s="227"/>
      <c r="O59" s="227"/>
      <c r="P59" s="227"/>
      <c r="Q59" s="227"/>
      <c r="R59" s="227">
        <f>表一!M33</f>
        <v>36113.19</v>
      </c>
      <c r="S59" s="227"/>
      <c r="T59" s="227"/>
      <c r="U59" s="227"/>
      <c r="V59" s="227"/>
      <c r="W59" s="227">
        <f>数据基表!X156</f>
        <v>0</v>
      </c>
      <c r="X59" s="227"/>
      <c r="Y59" s="227"/>
      <c r="Z59" s="227"/>
      <c r="AA59" s="227"/>
      <c r="AB59" s="227">
        <f>数据基表!AC156</f>
        <v>22538.45</v>
      </c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552"/>
      <c r="AN59" s="552"/>
      <c r="AO59" s="552"/>
      <c r="AP59" s="552"/>
      <c r="AQ59" s="552"/>
      <c r="AR59" s="552"/>
      <c r="AS59" s="577" t="s">
        <v>261</v>
      </c>
      <c r="AT59" s="209">
        <f>表二!C14</f>
        <v>45094.35</v>
      </c>
      <c r="AU59" s="209"/>
      <c r="AV59" s="209"/>
      <c r="AW59" s="209">
        <f>表二!H14</f>
        <v>31870.35</v>
      </c>
      <c r="AX59" s="209">
        <f>表二!C34</f>
        <v>26910.77</v>
      </c>
      <c r="AY59" s="209">
        <f>表二!G34</f>
        <v>0</v>
      </c>
      <c r="AZ59" s="209"/>
      <c r="BA59" s="209"/>
      <c r="BB59" s="209">
        <f>表二!J34</f>
        <v>12641.29</v>
      </c>
      <c r="BC59" s="209"/>
      <c r="BD59" s="209"/>
      <c r="BG59" s="604"/>
      <c r="BH59" s="604"/>
      <c r="BK59" s="600"/>
      <c r="BL59" s="600"/>
      <c r="BM59" s="600"/>
      <c r="BN59" s="600"/>
      <c r="BQ59" s="164"/>
      <c r="BR59" s="164"/>
      <c r="BS59" s="164"/>
      <c r="BT59" s="164"/>
      <c r="BU59" s="164"/>
    </row>
    <row r="60" customHeight="1" spans="1:73">
      <c r="A60" s="214"/>
      <c r="B60" s="529" t="s">
        <v>162</v>
      </c>
      <c r="C60" s="227">
        <f>表一!E14</f>
        <v>73059.231</v>
      </c>
      <c r="D60" s="227"/>
      <c r="E60" s="227"/>
      <c r="F60" s="227"/>
      <c r="G60" s="227"/>
      <c r="H60" s="227">
        <f>表一!M14</f>
        <v>62535.001</v>
      </c>
      <c r="I60" s="227"/>
      <c r="J60" s="227"/>
      <c r="K60" s="227"/>
      <c r="L60" s="227"/>
      <c r="M60" s="227">
        <f>表一!E34</f>
        <v>46140.53</v>
      </c>
      <c r="N60" s="227"/>
      <c r="O60" s="227"/>
      <c r="P60" s="227"/>
      <c r="Q60" s="227"/>
      <c r="R60" s="227">
        <f>表一!M34</f>
        <v>10324.23</v>
      </c>
      <c r="S60" s="227"/>
      <c r="T60" s="227"/>
      <c r="U60" s="227"/>
      <c r="V60" s="227"/>
      <c r="W60" s="227">
        <f>数据基表!AC180</f>
        <v>136632.019</v>
      </c>
      <c r="X60" s="227"/>
      <c r="Y60" s="227"/>
      <c r="Z60" s="227"/>
      <c r="AA60" s="227"/>
      <c r="AB60" s="227">
        <f>数据基表!X180</f>
        <v>8074.79</v>
      </c>
      <c r="AC60" s="227"/>
      <c r="AD60" s="227"/>
      <c r="AE60" s="227"/>
      <c r="AF60" s="227"/>
      <c r="AG60" s="227"/>
      <c r="AH60" s="227"/>
      <c r="AI60" s="227"/>
      <c r="AJ60" s="227"/>
      <c r="AK60" s="227"/>
      <c r="AL60" s="227"/>
      <c r="AM60" s="552"/>
      <c r="AN60" s="552"/>
      <c r="AO60" s="552"/>
      <c r="AP60" s="552"/>
      <c r="AQ60" s="552"/>
      <c r="AR60" s="552"/>
      <c r="AS60" s="577" t="s">
        <v>162</v>
      </c>
      <c r="AT60" s="209">
        <f>表二!C15</f>
        <v>10499.14</v>
      </c>
      <c r="AU60" s="209"/>
      <c r="AV60" s="209"/>
      <c r="AW60" s="209">
        <f>表二!H15</f>
        <v>3820.44</v>
      </c>
      <c r="AX60" s="209">
        <f>表二!C35</f>
        <v>16810.72</v>
      </c>
      <c r="AY60" s="209">
        <f>表二!G35</f>
        <v>0</v>
      </c>
      <c r="AZ60" s="209"/>
      <c r="BA60" s="209"/>
      <c r="BB60" s="209">
        <f>表二!J35</f>
        <v>6780.86</v>
      </c>
      <c r="BC60" s="209"/>
      <c r="BD60" s="209"/>
      <c r="BG60" s="604"/>
      <c r="BH60" s="604"/>
      <c r="BK60" s="600"/>
      <c r="BL60" s="600"/>
      <c r="BM60" s="600"/>
      <c r="BN60" s="600"/>
      <c r="BO60" t="s">
        <v>154</v>
      </c>
      <c r="BP60" t="s">
        <v>293</v>
      </c>
      <c r="BQ60" s="551">
        <f>R6</f>
        <v>10199.606</v>
      </c>
      <c r="BR60" s="551"/>
      <c r="BS60" s="164" t="s">
        <v>288</v>
      </c>
      <c r="BT60" s="553">
        <f>表二!G6</f>
        <v>10257.99</v>
      </c>
      <c r="BU60" s="553"/>
    </row>
    <row r="61" customHeight="1" spans="1:73">
      <c r="A61" s="214"/>
      <c r="B61" s="529" t="s">
        <v>186</v>
      </c>
      <c r="C61" s="227">
        <f>表一!E15</f>
        <v>15849</v>
      </c>
      <c r="D61" s="227"/>
      <c r="E61" s="227"/>
      <c r="F61" s="227"/>
      <c r="G61" s="227"/>
      <c r="H61" s="227">
        <f>表一!M15</f>
        <v>12350</v>
      </c>
      <c r="I61" s="227"/>
      <c r="J61" s="227"/>
      <c r="K61" s="227"/>
      <c r="L61" s="227"/>
      <c r="M61" s="227">
        <f>表一!E35</f>
        <v>0</v>
      </c>
      <c r="N61" s="227"/>
      <c r="O61" s="227"/>
      <c r="P61" s="227"/>
      <c r="Q61" s="227"/>
      <c r="R61" s="227">
        <f>表一!M35</f>
        <v>3499</v>
      </c>
      <c r="S61" s="227"/>
      <c r="T61" s="227"/>
      <c r="U61" s="227"/>
      <c r="V61" s="227"/>
      <c r="W61" s="227"/>
      <c r="X61" s="227"/>
      <c r="Y61" s="227"/>
      <c r="Z61" s="227"/>
      <c r="AA61" s="227"/>
      <c r="AB61" s="227">
        <f>数据基表!AC197</f>
        <v>6808</v>
      </c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552"/>
      <c r="AN61" s="552"/>
      <c r="AO61" s="552"/>
      <c r="AP61" s="552"/>
      <c r="AQ61" s="552"/>
      <c r="AR61" s="552"/>
      <c r="AS61" s="577" t="s">
        <v>186</v>
      </c>
      <c r="AT61" s="209">
        <f>表二!C16</f>
        <v>0</v>
      </c>
      <c r="AU61" s="209"/>
      <c r="AV61" s="209"/>
      <c r="AW61" s="209">
        <f>表二!H16</f>
        <v>0</v>
      </c>
      <c r="AX61" s="209">
        <f>表二!C36</f>
        <v>3645</v>
      </c>
      <c r="AY61" s="209"/>
      <c r="AZ61" s="209"/>
      <c r="BA61" s="209"/>
      <c r="BB61" s="209">
        <f>表二!J36</f>
        <v>5602</v>
      </c>
      <c r="BC61" s="209"/>
      <c r="BD61" s="209"/>
      <c r="BG61" s="604"/>
      <c r="BH61" s="604"/>
      <c r="BK61" s="600"/>
      <c r="BL61" s="600"/>
      <c r="BM61" s="600"/>
      <c r="BN61" s="600"/>
      <c r="BP61" t="s">
        <v>56</v>
      </c>
      <c r="BQ61" s="553">
        <f>BH53</f>
        <v>99820.6174</v>
      </c>
      <c r="BR61" s="553"/>
      <c r="BS61" s="164" t="s">
        <v>195</v>
      </c>
      <c r="BT61" s="553">
        <f>BH56</f>
        <v>2258.93367115406</v>
      </c>
      <c r="BU61" s="553"/>
    </row>
    <row r="62" customHeight="1" spans="1:73">
      <c r="A62" s="214"/>
      <c r="B62" s="529" t="s">
        <v>262</v>
      </c>
      <c r="C62" s="227">
        <f>表一!E16</f>
        <v>2258.86</v>
      </c>
      <c r="D62" s="227"/>
      <c r="E62" s="227"/>
      <c r="F62" s="227"/>
      <c r="G62" s="227"/>
      <c r="H62" s="227">
        <f>表一!M16</f>
        <v>0</v>
      </c>
      <c r="I62" s="227"/>
      <c r="J62" s="227"/>
      <c r="K62" s="227"/>
      <c r="L62" s="227"/>
      <c r="M62" s="227">
        <f>表一!E36</f>
        <v>0</v>
      </c>
      <c r="N62" s="227"/>
      <c r="O62" s="227"/>
      <c r="P62" s="227"/>
      <c r="Q62" s="227"/>
      <c r="R62" s="227">
        <f>表一!M36</f>
        <v>2131</v>
      </c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>
        <f>表一!M60</f>
        <v>0</v>
      </c>
      <c r="AM62" s="552"/>
      <c r="AN62" s="552"/>
      <c r="AO62" s="552"/>
      <c r="AP62" s="552"/>
      <c r="AQ62" s="552"/>
      <c r="AR62" s="552"/>
      <c r="AS62" s="577" t="s">
        <v>262</v>
      </c>
      <c r="AT62" s="209">
        <f>表二!C17</f>
        <v>0</v>
      </c>
      <c r="AU62" s="209"/>
      <c r="AV62" s="209"/>
      <c r="AW62" s="209">
        <f>表二!H17</f>
        <v>1019</v>
      </c>
      <c r="AX62" s="209"/>
      <c r="AY62" s="209"/>
      <c r="AZ62" s="209"/>
      <c r="BA62" s="209"/>
      <c r="BB62" s="209">
        <f>表二!J37</f>
        <v>0</v>
      </c>
      <c r="BC62" s="209"/>
      <c r="BD62" s="209">
        <f>表二!H48</f>
        <v>0</v>
      </c>
      <c r="BG62" s="604"/>
      <c r="BH62" s="604"/>
      <c r="BK62" s="600"/>
      <c r="BL62" s="600"/>
      <c r="BM62" s="600"/>
      <c r="BN62" s="600"/>
      <c r="BQ62" s="164"/>
      <c r="BR62" s="164"/>
      <c r="BS62" s="164"/>
      <c r="BT62" s="164"/>
      <c r="BU62" s="164"/>
    </row>
    <row r="63" customHeight="1" spans="1:73">
      <c r="A63" s="214"/>
      <c r="B63" s="529" t="s">
        <v>263</v>
      </c>
      <c r="C63" s="227">
        <f>表一!E17</f>
        <v>0</v>
      </c>
      <c r="D63" s="227"/>
      <c r="E63" s="227"/>
      <c r="F63" s="227"/>
      <c r="G63" s="227"/>
      <c r="H63" s="227">
        <f>表一!M17</f>
        <v>0</v>
      </c>
      <c r="I63" s="227"/>
      <c r="J63" s="227"/>
      <c r="K63" s="227"/>
      <c r="L63" s="227"/>
      <c r="M63" s="227">
        <f>表一!E37</f>
        <v>0</v>
      </c>
      <c r="N63" s="227"/>
      <c r="O63" s="227"/>
      <c r="P63" s="227"/>
      <c r="Q63" s="227"/>
      <c r="R63" s="227">
        <f>表一!M37</f>
        <v>0</v>
      </c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552"/>
      <c r="AN63" s="552"/>
      <c r="AO63" s="552"/>
      <c r="AP63" s="552"/>
      <c r="AQ63" s="552"/>
      <c r="AR63" s="552"/>
      <c r="AS63" s="577" t="s">
        <v>263</v>
      </c>
      <c r="AT63" s="209">
        <f>表二!C18</f>
        <v>0</v>
      </c>
      <c r="AU63" s="209"/>
      <c r="AV63" s="209"/>
      <c r="AW63" s="209">
        <f>表二!H18</f>
        <v>0</v>
      </c>
      <c r="AX63" s="209">
        <f>[1]表二!C38</f>
        <v>0</v>
      </c>
      <c r="AY63" s="209"/>
      <c r="AZ63" s="209"/>
      <c r="BA63" s="209"/>
      <c r="BB63" s="209">
        <f>表二!J38</f>
        <v>0</v>
      </c>
      <c r="BC63" s="209"/>
      <c r="BD63" s="209"/>
      <c r="BG63" s="604"/>
      <c r="BH63" s="604"/>
      <c r="BK63" s="600"/>
      <c r="BL63" s="600"/>
      <c r="BM63" s="600"/>
      <c r="BN63" s="600"/>
      <c r="BO63" t="s">
        <v>75</v>
      </c>
      <c r="BP63" t="s">
        <v>293</v>
      </c>
      <c r="BQ63" s="551">
        <f>W6</f>
        <v>8929.87</v>
      </c>
      <c r="BR63" s="551"/>
      <c r="BS63" s="164" t="s">
        <v>288</v>
      </c>
      <c r="BT63" s="553">
        <f>表二!F26</f>
        <v>7521.87</v>
      </c>
      <c r="BU63" s="553"/>
    </row>
    <row r="64" customHeight="1" spans="1:73">
      <c r="A64" s="214"/>
      <c r="B64" s="529" t="s">
        <v>265</v>
      </c>
      <c r="C64" s="227">
        <f>表一!E18</f>
        <v>12135</v>
      </c>
      <c r="D64" s="227"/>
      <c r="E64" s="227"/>
      <c r="F64" s="227"/>
      <c r="G64" s="227"/>
      <c r="H64" s="227">
        <f>表一!M18</f>
        <v>11239</v>
      </c>
      <c r="I64" s="227"/>
      <c r="J64" s="227"/>
      <c r="K64" s="227"/>
      <c r="L64" s="227"/>
      <c r="M64" s="227">
        <f>表一!E38</f>
        <v>17051</v>
      </c>
      <c r="N64" s="227"/>
      <c r="O64" s="227"/>
      <c r="P64" s="227"/>
      <c r="Q64" s="227"/>
      <c r="R64" s="227">
        <f>表一!M38</f>
        <v>895</v>
      </c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227"/>
      <c r="AM64" s="552"/>
      <c r="AN64" s="552"/>
      <c r="AO64" s="552"/>
      <c r="AP64" s="552"/>
      <c r="AQ64" s="552"/>
      <c r="AR64" s="552"/>
      <c r="AS64" s="577" t="s">
        <v>265</v>
      </c>
      <c r="AT64" s="209">
        <f>表二!C19</f>
        <v>27714</v>
      </c>
      <c r="AU64" s="209"/>
      <c r="AV64" s="209"/>
      <c r="AW64" s="209">
        <f>表二!H19</f>
        <v>239</v>
      </c>
      <c r="AX64" s="209"/>
      <c r="AY64" s="209"/>
      <c r="AZ64" s="209"/>
      <c r="BA64" s="209"/>
      <c r="BB64" s="209"/>
      <c r="BC64" s="209"/>
      <c r="BD64" s="209"/>
      <c r="BG64" s="604"/>
      <c r="BH64" s="604"/>
      <c r="BK64" s="600"/>
      <c r="BL64" s="600"/>
      <c r="BM64" s="600"/>
      <c r="BN64" s="600"/>
      <c r="BO64" t="s">
        <v>275</v>
      </c>
      <c r="BP64" t="s">
        <v>293</v>
      </c>
      <c r="BQ64" s="551">
        <f>AG6</f>
        <v>760</v>
      </c>
      <c r="BR64" s="551"/>
      <c r="BS64" s="164" t="s">
        <v>288</v>
      </c>
      <c r="BT64" s="553">
        <f>AT27</f>
        <v>1003</v>
      </c>
      <c r="BU64" s="553"/>
    </row>
    <row r="65" customHeight="1" spans="1:73">
      <c r="A65" s="214"/>
      <c r="B65" s="529" t="s">
        <v>266</v>
      </c>
      <c r="C65" s="227">
        <f>表一!E19</f>
        <v>16959.08</v>
      </c>
      <c r="D65" s="227"/>
      <c r="E65" s="227"/>
      <c r="F65" s="227"/>
      <c r="G65" s="227"/>
      <c r="H65" s="227">
        <f>表一!M19</f>
        <v>13858.73</v>
      </c>
      <c r="I65" s="227"/>
      <c r="J65" s="227"/>
      <c r="K65" s="227"/>
      <c r="L65" s="227"/>
      <c r="M65" s="227">
        <f>表一!E39</f>
        <v>18594.28</v>
      </c>
      <c r="N65" s="227"/>
      <c r="O65" s="227"/>
      <c r="P65" s="227"/>
      <c r="Q65" s="227"/>
      <c r="R65" s="227">
        <f>表一!M39</f>
        <v>2927.6</v>
      </c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227"/>
      <c r="AM65" s="552"/>
      <c r="AN65" s="552"/>
      <c r="AO65" s="552"/>
      <c r="AP65" s="552"/>
      <c r="AQ65" s="552"/>
      <c r="AR65" s="552"/>
      <c r="AS65" s="577" t="s">
        <v>266</v>
      </c>
      <c r="AT65" s="209">
        <f>表二!C20</f>
        <v>14841</v>
      </c>
      <c r="AU65" s="209"/>
      <c r="AV65" s="209"/>
      <c r="AW65" s="209">
        <f>表二!H20</f>
        <v>1879.68</v>
      </c>
      <c r="AX65" s="209"/>
      <c r="AY65" s="209"/>
      <c r="AZ65" s="209"/>
      <c r="BA65" s="209"/>
      <c r="BB65" s="209"/>
      <c r="BC65" s="209"/>
      <c r="BD65" s="209"/>
      <c r="BG65" s="604"/>
      <c r="BH65" s="604"/>
      <c r="BK65" s="600"/>
      <c r="BL65" s="600"/>
      <c r="BM65" s="600"/>
      <c r="BN65" s="600"/>
      <c r="BQ65" s="164"/>
      <c r="BR65" s="164"/>
      <c r="BS65" s="164"/>
      <c r="BT65" s="164"/>
      <c r="BU65" s="164"/>
    </row>
    <row r="66" customHeight="1" spans="1:73">
      <c r="A66" s="214"/>
      <c r="B66" s="529" t="s">
        <v>267</v>
      </c>
      <c r="C66" s="227">
        <f>表一!E20</f>
        <v>28125.65</v>
      </c>
      <c r="D66" s="227"/>
      <c r="E66" s="227"/>
      <c r="F66" s="227"/>
      <c r="G66" s="227"/>
      <c r="H66" s="227">
        <f>表一!M20</f>
        <v>22819.08</v>
      </c>
      <c r="I66" s="227"/>
      <c r="J66" s="227"/>
      <c r="K66" s="227"/>
      <c r="L66" s="227"/>
      <c r="M66" s="227">
        <f>表一!E40</f>
        <v>35170</v>
      </c>
      <c r="N66" s="227"/>
      <c r="O66" s="227"/>
      <c r="P66" s="227"/>
      <c r="Q66" s="227"/>
      <c r="R66" s="227">
        <f>表一!M40</f>
        <v>4724.8</v>
      </c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227"/>
      <c r="AM66" s="552"/>
      <c r="AN66" s="552"/>
      <c r="AO66" s="552"/>
      <c r="AP66" s="552"/>
      <c r="AQ66" s="552"/>
      <c r="AR66" s="552"/>
      <c r="AS66" s="577" t="s">
        <v>267</v>
      </c>
      <c r="AT66" s="209">
        <f>表二!C21</f>
        <v>45836.68</v>
      </c>
      <c r="AU66" s="209"/>
      <c r="AV66" s="209"/>
      <c r="AW66" s="209">
        <f>表二!H21</f>
        <v>3322.48</v>
      </c>
      <c r="AX66" s="209">
        <v>0</v>
      </c>
      <c r="AY66" s="209"/>
      <c r="AZ66" s="209"/>
      <c r="BA66" s="209"/>
      <c r="BB66" s="209"/>
      <c r="BC66" s="209"/>
      <c r="BD66" s="209"/>
      <c r="BG66" s="604"/>
      <c r="BH66" s="604"/>
      <c r="BK66" s="600"/>
      <c r="BL66" s="600"/>
      <c r="BM66" s="600"/>
      <c r="BN66" s="600"/>
      <c r="BO66" t="s">
        <v>248</v>
      </c>
      <c r="BP66" t="s">
        <v>293</v>
      </c>
      <c r="BQ66" s="551">
        <f>AL6</f>
        <v>0</v>
      </c>
      <c r="BR66" s="551"/>
      <c r="BS66" s="164" t="s">
        <v>288</v>
      </c>
      <c r="BT66" s="553">
        <f>BK28</f>
        <v>0</v>
      </c>
      <c r="BU66" s="553"/>
    </row>
    <row r="67" customHeight="1" spans="1:73">
      <c r="A67" s="214"/>
      <c r="B67" s="529" t="s">
        <v>268</v>
      </c>
      <c r="C67" s="227">
        <f>表一!E21</f>
        <v>40267.1019999999</v>
      </c>
      <c r="D67" s="227"/>
      <c r="E67" s="227"/>
      <c r="F67" s="227"/>
      <c r="G67" s="227"/>
      <c r="H67" s="227">
        <f>表一!M21</f>
        <v>15914.602</v>
      </c>
      <c r="I67" s="227"/>
      <c r="J67" s="227"/>
      <c r="K67" s="227"/>
      <c r="L67" s="227"/>
      <c r="M67" s="227">
        <f>表一!E41</f>
        <v>24842.721</v>
      </c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552"/>
      <c r="AN67" s="552"/>
      <c r="AO67" s="552"/>
      <c r="AP67" s="552"/>
      <c r="AQ67" s="552"/>
      <c r="AR67" s="552"/>
      <c r="AS67" s="672" t="s">
        <v>268</v>
      </c>
      <c r="AT67" s="209">
        <f>表二!C22</f>
        <v>34429.674</v>
      </c>
      <c r="AU67" s="209"/>
      <c r="AV67" s="209"/>
      <c r="AW67" s="209">
        <f>表二!H22</f>
        <v>0</v>
      </c>
      <c r="AX67" s="209"/>
      <c r="AY67" s="209"/>
      <c r="AZ67" s="209"/>
      <c r="BA67" s="209"/>
      <c r="BB67" s="209"/>
      <c r="BC67" s="209"/>
      <c r="BD67" s="209"/>
      <c r="BG67" s="604"/>
      <c r="BH67" s="604"/>
      <c r="BK67" s="600"/>
      <c r="BL67" s="600"/>
      <c r="BM67" s="600"/>
      <c r="BN67" s="600"/>
      <c r="BQ67" s="551"/>
      <c r="BR67" s="551"/>
      <c r="BS67" s="164"/>
      <c r="BT67" s="553"/>
      <c r="BU67" s="553"/>
    </row>
    <row r="68" customHeight="1" spans="1:73">
      <c r="A68" s="214"/>
      <c r="B68" s="517" t="s">
        <v>269</v>
      </c>
      <c r="C68" s="227">
        <f>表一!E22</f>
        <v>19961.29248</v>
      </c>
      <c r="D68" s="227"/>
      <c r="E68" s="227"/>
      <c r="F68" s="227"/>
      <c r="G68" s="227"/>
      <c r="H68" s="227">
        <f>[1]表一!M22</f>
        <v>0</v>
      </c>
      <c r="I68" s="227"/>
      <c r="J68" s="227"/>
      <c r="K68" s="227"/>
      <c r="L68" s="227"/>
      <c r="M68" s="227" t="e">
        <f>[1]表一!E42</f>
        <v>#REF!</v>
      </c>
      <c r="N68" s="227"/>
      <c r="O68" s="227"/>
      <c r="P68" s="227"/>
      <c r="Q68" s="227"/>
      <c r="R68" s="227">
        <f>表一!M42</f>
        <v>19616.05</v>
      </c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227"/>
      <c r="AM68" s="552"/>
      <c r="AN68" s="552"/>
      <c r="AO68" s="552"/>
      <c r="AP68" s="552"/>
      <c r="AQ68" s="552"/>
      <c r="AR68" s="552"/>
      <c r="AS68" s="576" t="s">
        <v>269</v>
      </c>
      <c r="AT68" s="209">
        <f>数据基表!C295</f>
        <v>30726.06</v>
      </c>
      <c r="AU68" s="209"/>
      <c r="AV68" s="209"/>
      <c r="AW68" s="209">
        <f>表二!H23</f>
        <v>15986.68</v>
      </c>
      <c r="AX68" s="209"/>
      <c r="AY68" s="209"/>
      <c r="AZ68" s="209"/>
      <c r="BA68" s="209"/>
      <c r="BB68" s="209"/>
      <c r="BC68" s="209"/>
      <c r="BD68" s="209"/>
      <c r="BG68" s="604"/>
      <c r="BH68" s="604"/>
      <c r="BK68" s="600"/>
      <c r="BL68" s="600"/>
      <c r="BM68" s="600"/>
      <c r="BN68" s="600"/>
      <c r="BQ68" s="551"/>
      <c r="BR68" s="551"/>
      <c r="BS68" s="164"/>
      <c r="BT68" s="553"/>
      <c r="BU68" s="553"/>
    </row>
    <row r="69" customHeight="1" spans="1:73">
      <c r="A69" s="214"/>
      <c r="B69" s="529" t="s">
        <v>270</v>
      </c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>
        <f>表一!E59</f>
        <v>11352</v>
      </c>
      <c r="AH69" s="227"/>
      <c r="AI69" s="227"/>
      <c r="AJ69" s="227"/>
      <c r="AK69" s="227"/>
      <c r="AL69" s="227"/>
      <c r="AM69" s="552"/>
      <c r="AN69" s="552"/>
      <c r="AO69" s="552"/>
      <c r="AP69" s="552"/>
      <c r="AQ69" s="552"/>
      <c r="AR69" s="552"/>
      <c r="AS69" s="577" t="s">
        <v>270</v>
      </c>
      <c r="AT69" s="209"/>
      <c r="AU69" s="209"/>
      <c r="AV69" s="209"/>
      <c r="AW69" s="209"/>
      <c r="AX69" s="209"/>
      <c r="AY69" s="209"/>
      <c r="AZ69" s="209"/>
      <c r="BA69" s="209"/>
      <c r="BB69" s="209"/>
      <c r="BC69" s="209">
        <f>表二!C47</f>
        <v>13756</v>
      </c>
      <c r="BD69" s="209"/>
      <c r="BG69" s="604"/>
      <c r="BH69" s="604"/>
      <c r="BK69" s="600"/>
      <c r="BL69" s="600"/>
      <c r="BM69" s="600"/>
      <c r="BN69" s="600"/>
      <c r="BP69" t="s">
        <v>56</v>
      </c>
      <c r="BQ69" s="553">
        <f>BO28</f>
        <v>0</v>
      </c>
      <c r="BR69" s="553"/>
      <c r="BS69" s="164" t="s">
        <v>195</v>
      </c>
      <c r="BT69" s="553">
        <f>BN28</f>
        <v>0</v>
      </c>
      <c r="BU69" s="553"/>
    </row>
    <row r="70" spans="1:73">
      <c r="A70" s="47"/>
      <c r="B70" s="67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BQ70" s="164"/>
      <c r="BR70" s="164"/>
      <c r="BS70" s="164"/>
      <c r="BT70" s="164"/>
      <c r="BU70" s="164"/>
    </row>
    <row r="71" spans="1:73">
      <c r="A71" s="47"/>
      <c r="B71" s="671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BO71" t="s">
        <v>250</v>
      </c>
      <c r="BP71" t="s">
        <v>293</v>
      </c>
      <c r="BQ71" s="551">
        <f>AB6</f>
        <v>4819.48</v>
      </c>
      <c r="BR71" s="551"/>
      <c r="BS71" s="164" t="s">
        <v>288</v>
      </c>
      <c r="BT71" s="553">
        <f>表二!I26</f>
        <v>4184.63</v>
      </c>
      <c r="BU71" s="553"/>
    </row>
    <row r="72" spans="1:50">
      <c r="A72" s="47"/>
      <c r="B72" s="671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</row>
    <row r="73" spans="1:50">
      <c r="A73" s="47"/>
      <c r="B73" s="671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</row>
    <row r="74" spans="1:50">
      <c r="A74" s="47"/>
      <c r="B74" s="671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</row>
    <row r="75" spans="1:50">
      <c r="A75" s="47"/>
      <c r="B75" s="671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</row>
    <row r="76" spans="1:50">
      <c r="A76" s="47"/>
      <c r="B76" s="671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</row>
    <row r="77" spans="1:77">
      <c r="A77" s="47"/>
      <c r="B77" s="671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BY77" t="s">
        <v>294</v>
      </c>
    </row>
    <row r="78" spans="1:50">
      <c r="A78" s="47"/>
      <c r="B78" s="671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</row>
    <row r="79" spans="1:50">
      <c r="A79" s="47"/>
      <c r="B79" s="671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</row>
    <row r="80" spans="1:50">
      <c r="A80" s="47"/>
      <c r="B80" s="671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</row>
    <row r="81" spans="1:50">
      <c r="A81" s="47"/>
      <c r="B81" s="671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</row>
    <row r="82" spans="1:50">
      <c r="A82" s="47"/>
      <c r="B82" s="671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</row>
    <row r="83" spans="1:50">
      <c r="A83" s="47"/>
      <c r="B83" s="671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</row>
    <row r="84" spans="1:50">
      <c r="A84" s="47"/>
      <c r="B84" s="671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</row>
    <row r="85" spans="1:50">
      <c r="A85" s="47"/>
      <c r="B85" s="671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</row>
    <row r="86" spans="1:50">
      <c r="A86" s="47"/>
      <c r="B86" s="671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</row>
    <row r="87" spans="1:50">
      <c r="A87" s="47"/>
      <c r="B87" s="671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</row>
    <row r="88" spans="1:50">
      <c r="A88" s="47"/>
      <c r="B88" s="671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</row>
    <row r="89" spans="1:50">
      <c r="A89" s="47"/>
      <c r="B89" s="671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</row>
    <row r="90" spans="1:50">
      <c r="A90" s="47"/>
      <c r="B90" s="671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</row>
    <row r="91" spans="1:50">
      <c r="A91" s="47"/>
      <c r="B91" s="671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</row>
    <row r="92" spans="1:50">
      <c r="A92" s="47"/>
      <c r="B92" s="671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</row>
    <row r="93" spans="1:50">
      <c r="A93" s="47"/>
      <c r="B93" s="671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</row>
    <row r="94" spans="1:50">
      <c r="A94" s="47"/>
      <c r="B94" s="671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</row>
    <row r="95" spans="1:50">
      <c r="A95" s="47"/>
      <c r="B95" s="671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</row>
    <row r="96" spans="1:50">
      <c r="A96" s="47"/>
      <c r="B96" s="671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</row>
    <row r="97" spans="1:50">
      <c r="A97" s="47"/>
      <c r="B97" s="671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spans="1:50">
      <c r="A98" s="47"/>
      <c r="B98" s="671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</row>
    <row r="99" spans="1:50">
      <c r="A99" s="47"/>
      <c r="B99" s="671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</row>
    <row r="100" spans="1:50">
      <c r="A100" s="47"/>
      <c r="B100" s="671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</row>
    <row r="101" spans="1:50">
      <c r="A101" s="47"/>
      <c r="B101" s="671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</row>
    <row r="102" spans="1:50">
      <c r="A102" s="47"/>
      <c r="B102" s="671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</row>
    <row r="103" spans="1:50">
      <c r="A103" s="47"/>
      <c r="B103" s="671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</row>
    <row r="104" spans="1:50">
      <c r="A104" s="47"/>
      <c r="B104" s="671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</row>
    <row r="105" spans="1:50">
      <c r="A105" s="47"/>
      <c r="B105" s="671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</row>
    <row r="106" spans="1:50">
      <c r="A106" s="47"/>
      <c r="B106" s="671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</row>
    <row r="107" spans="1:50">
      <c r="A107" s="47"/>
      <c r="B107" s="671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</row>
    <row r="108" spans="1:50">
      <c r="A108" s="47"/>
      <c r="B108" s="671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</row>
    <row r="109" spans="1:50">
      <c r="A109" s="47"/>
      <c r="B109" s="671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</row>
    <row r="110" spans="1:50">
      <c r="A110" s="47"/>
      <c r="B110" s="671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</row>
    <row r="111" spans="1:50">
      <c r="A111" s="47"/>
      <c r="B111" s="671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</row>
    <row r="112" spans="1:50">
      <c r="A112" s="47"/>
      <c r="B112" s="671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</row>
    <row r="113" spans="1:50">
      <c r="A113" s="47"/>
      <c r="B113" s="671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</row>
    <row r="114" spans="1:50">
      <c r="A114" s="47"/>
      <c r="B114" s="671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</row>
    <row r="115" spans="1:50">
      <c r="A115" s="47"/>
      <c r="B115" s="671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</row>
    <row r="116" spans="1:50">
      <c r="A116" s="47"/>
      <c r="B116" s="671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</row>
    <row r="117" spans="1:50">
      <c r="A117" s="47"/>
      <c r="B117" s="671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</row>
    <row r="118" spans="1:50">
      <c r="A118" s="47"/>
      <c r="B118" s="671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</row>
    <row r="119" spans="1:50">
      <c r="A119" s="47"/>
      <c r="B119" s="671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</row>
    <row r="120" spans="1:50">
      <c r="A120" s="47"/>
      <c r="B120" s="671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</row>
    <row r="121" spans="1:50">
      <c r="A121" s="47"/>
      <c r="B121" s="671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</row>
    <row r="122" spans="1:50">
      <c r="A122" s="47"/>
      <c r="B122" s="671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</row>
    <row r="123" spans="1:50">
      <c r="A123" s="47"/>
      <c r="B123" s="671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</row>
    <row r="124" spans="1:50">
      <c r="A124" s="47"/>
      <c r="B124" s="671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</row>
    <row r="125" spans="1:50">
      <c r="A125" s="47"/>
      <c r="B125" s="671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</row>
    <row r="126" spans="1:50">
      <c r="A126" s="47"/>
      <c r="B126" s="671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</row>
    <row r="127" spans="1:50">
      <c r="A127" s="47"/>
      <c r="B127" s="671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</row>
    <row r="128" spans="1:50">
      <c r="A128" s="47"/>
      <c r="B128" s="671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</row>
    <row r="129" spans="1:50">
      <c r="A129" s="47"/>
      <c r="B129" s="671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</row>
    <row r="130" spans="1:50">
      <c r="A130" s="47"/>
      <c r="B130" s="671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</row>
    <row r="131" spans="1:50">
      <c r="A131" s="47"/>
      <c r="B131" s="671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</row>
    <row r="132" spans="1:50">
      <c r="A132" s="47"/>
      <c r="B132" s="671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</row>
    <row r="133" spans="1:50">
      <c r="A133" s="47"/>
      <c r="B133" s="671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</row>
    <row r="134" spans="1:50">
      <c r="A134" s="47"/>
      <c r="B134" s="671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</row>
    <row r="135" spans="1:50">
      <c r="A135" s="47"/>
      <c r="B135" s="671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</row>
    <row r="136" spans="1:50">
      <c r="A136" s="47"/>
      <c r="B136" s="671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</row>
    <row r="137" spans="1:50">
      <c r="A137" s="47"/>
      <c r="B137" s="671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</row>
    <row r="138" spans="1:50">
      <c r="A138" s="47"/>
      <c r="B138" s="671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</row>
    <row r="139" spans="1:50">
      <c r="A139" s="47"/>
      <c r="B139" s="671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</row>
    <row r="140" spans="1:50">
      <c r="A140" s="47"/>
      <c r="B140" s="671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</row>
    <row r="141" spans="1:50">
      <c r="A141" s="47"/>
      <c r="B141" s="671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</row>
    <row r="142" spans="1:50">
      <c r="A142" s="47"/>
      <c r="B142" s="671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</row>
    <row r="143" spans="1:50">
      <c r="A143" s="47"/>
      <c r="B143" s="671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</row>
    <row r="144" spans="1:50">
      <c r="A144" s="47"/>
      <c r="B144" s="671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</row>
    <row r="145" spans="1:50">
      <c r="A145" s="47"/>
      <c r="B145" s="671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</row>
    <row r="146" spans="1:50">
      <c r="A146" s="47"/>
      <c r="B146" s="671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</row>
    <row r="147" spans="1:50">
      <c r="A147" s="47"/>
      <c r="B147" s="671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</row>
    <row r="148" spans="1:50">
      <c r="A148" s="47"/>
      <c r="B148" s="671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</row>
    <row r="149" spans="1:50">
      <c r="A149" s="47"/>
      <c r="B149" s="671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</row>
    <row r="150" spans="1:50">
      <c r="A150" s="47"/>
      <c r="B150" s="67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</row>
    <row r="151" spans="1:50">
      <c r="A151" s="47"/>
      <c r="B151" s="67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</row>
    <row r="152" spans="1:50">
      <c r="A152" s="47"/>
      <c r="B152" s="67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</row>
    <row r="153" spans="1:50">
      <c r="A153" s="47"/>
      <c r="B153" s="671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</row>
    <row r="154" spans="1:50">
      <c r="A154" s="47"/>
      <c r="B154" s="671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</row>
    <row r="155" spans="1:50">
      <c r="A155" s="47"/>
      <c r="B155" s="671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</row>
    <row r="156" spans="1:50">
      <c r="A156" s="47"/>
      <c r="B156" s="67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</row>
    <row r="157" spans="1:50">
      <c r="A157" s="47"/>
      <c r="B157" s="671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</row>
    <row r="158" spans="1:50">
      <c r="A158" s="47"/>
      <c r="B158" s="67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</row>
    <row r="159" spans="1:50">
      <c r="A159" s="47"/>
      <c r="B159" s="671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</row>
    <row r="160" spans="1:50">
      <c r="A160" s="47"/>
      <c r="B160" s="671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</row>
    <row r="161" spans="1:50">
      <c r="A161" s="47"/>
      <c r="B161" s="671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</row>
    <row r="162" spans="1:50">
      <c r="A162" s="47"/>
      <c r="B162" s="671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</row>
    <row r="163" spans="1:50">
      <c r="A163" s="47"/>
      <c r="B163" s="671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</row>
    <row r="164" spans="1:50">
      <c r="A164" s="47"/>
      <c r="B164" s="671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</row>
    <row r="165" spans="1:50">
      <c r="A165" s="47"/>
      <c r="B165" s="671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</row>
    <row r="166" spans="1:50">
      <c r="A166" s="47"/>
      <c r="B166" s="671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</row>
    <row r="167" spans="1:50">
      <c r="A167" s="47"/>
      <c r="B167" s="671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</row>
    <row r="168" spans="1:50">
      <c r="A168" s="47"/>
      <c r="B168" s="671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</row>
    <row r="169" spans="1:50">
      <c r="A169" s="47"/>
      <c r="B169" s="671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</row>
    <row r="170" spans="1:50">
      <c r="A170" s="47"/>
      <c r="B170" s="671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</row>
    <row r="171" spans="1:50">
      <c r="A171" s="47"/>
      <c r="B171" s="671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</row>
    <row r="172" spans="1:50">
      <c r="A172" s="47"/>
      <c r="B172" s="671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</row>
    <row r="173" spans="1:50">
      <c r="A173" s="47"/>
      <c r="B173" s="671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</row>
    <row r="174" spans="1:50">
      <c r="A174" s="47"/>
      <c r="B174" s="671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</row>
    <row r="175" spans="1:50">
      <c r="A175" s="47"/>
      <c r="B175" s="671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</row>
    <row r="176" spans="1:50">
      <c r="A176" s="47"/>
      <c r="B176" s="671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</row>
    <row r="177" spans="1:50">
      <c r="A177" s="47"/>
      <c r="B177" s="671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</row>
    <row r="178" spans="1:50">
      <c r="A178" s="47"/>
      <c r="B178" s="671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</row>
    <row r="179" spans="1:50">
      <c r="A179" s="47"/>
      <c r="B179" s="671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</row>
    <row r="180" spans="1:50">
      <c r="A180" s="47"/>
      <c r="B180" s="671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</row>
    <row r="181" spans="1:50">
      <c r="A181" s="47"/>
      <c r="B181" s="671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</row>
    <row r="182" spans="1:50">
      <c r="A182" s="47"/>
      <c r="B182" s="671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</row>
    <row r="183" spans="1:50">
      <c r="A183" s="47"/>
      <c r="B183" s="671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</row>
    <row r="184" spans="1:50">
      <c r="A184" s="47"/>
      <c r="B184" s="671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</row>
    <row r="185" spans="1:50">
      <c r="A185" s="47"/>
      <c r="B185" s="671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</row>
    <row r="186" spans="1:50">
      <c r="A186" s="47"/>
      <c r="B186" s="671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</row>
    <row r="187" spans="1:50">
      <c r="A187" s="47"/>
      <c r="B187" s="671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</row>
    <row r="188" spans="1:50">
      <c r="A188" s="47"/>
      <c r="B188" s="67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</row>
    <row r="189" spans="1:50">
      <c r="A189" s="47"/>
      <c r="B189" s="671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</row>
    <row r="190" spans="1:50">
      <c r="A190" s="47"/>
      <c r="B190" s="671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</row>
    <row r="191" spans="1:50">
      <c r="A191" s="47"/>
      <c r="B191" s="671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</row>
    <row r="192" spans="1:50">
      <c r="A192" s="47"/>
      <c r="B192" s="671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</row>
    <row r="193" spans="1:50">
      <c r="A193" s="47"/>
      <c r="B193" s="671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</row>
    <row r="194" spans="1:50">
      <c r="A194" s="47"/>
      <c r="B194" s="671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</row>
    <row r="195" spans="1:50">
      <c r="A195" s="47"/>
      <c r="B195" s="671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</row>
    <row r="196" spans="1:50">
      <c r="A196" s="47"/>
      <c r="B196" s="671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</row>
    <row r="197" spans="1:50">
      <c r="A197" s="47"/>
      <c r="B197" s="671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</row>
    <row r="198" spans="1:50">
      <c r="A198" s="47"/>
      <c r="B198" s="671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</row>
    <row r="199" spans="1:50">
      <c r="A199" s="47"/>
      <c r="B199" s="671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</row>
    <row r="200" spans="1:50">
      <c r="A200" s="47"/>
      <c r="B200" s="671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</row>
    <row r="201" spans="1:50">
      <c r="A201" s="47"/>
      <c r="B201" s="671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</row>
    <row r="202" spans="1:50">
      <c r="A202" s="47"/>
      <c r="B202" s="671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</row>
    <row r="203" spans="1:50">
      <c r="A203" s="47"/>
      <c r="B203" s="671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</row>
    <row r="204" spans="1:50">
      <c r="A204" s="47"/>
      <c r="B204" s="671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</row>
    <row r="205" spans="1:50">
      <c r="A205" s="47"/>
      <c r="B205" s="671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</row>
    <row r="206" spans="1:50">
      <c r="A206" s="47"/>
      <c r="B206" s="671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</row>
    <row r="207" spans="1:50">
      <c r="A207" s="47"/>
      <c r="B207" s="671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</row>
    <row r="208" spans="1:50">
      <c r="A208" s="47"/>
      <c r="B208" s="67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</row>
    <row r="209" spans="1:50">
      <c r="A209" s="47"/>
      <c r="B209" s="671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</row>
    <row r="210" spans="1:50">
      <c r="A210" s="47"/>
      <c r="B210" s="67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</row>
    <row r="211" spans="1:50">
      <c r="A211" s="47"/>
      <c r="B211" s="671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</row>
    <row r="212" spans="1:50">
      <c r="A212" s="47"/>
      <c r="B212" s="671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</row>
    <row r="213" spans="1:50">
      <c r="A213" s="47"/>
      <c r="B213" s="671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</row>
    <row r="214" spans="1:50">
      <c r="A214" s="47"/>
      <c r="B214" s="671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</row>
    <row r="215" spans="1:50">
      <c r="A215" s="47"/>
      <c r="B215" s="671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</row>
    <row r="216" spans="1:50">
      <c r="A216" s="47"/>
      <c r="B216" s="671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</row>
    <row r="217" spans="1:50">
      <c r="A217" s="47"/>
      <c r="B217" s="671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</row>
    <row r="218" spans="1:50">
      <c r="A218" s="47"/>
      <c r="B218" s="671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</row>
    <row r="219" spans="13:22"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spans="13:22"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spans="13:22"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spans="13:22"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spans="13:22"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spans="13:22"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13:22"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spans="13:22"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spans="13:22"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spans="13:22"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spans="13:22"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spans="13:22"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spans="13:22"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spans="13:22"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spans="13:22"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spans="13:22"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65" spans="1:1">
      <c r="A265" s="581"/>
    </row>
    <row r="266" spans="1:1">
      <c r="A266" s="581"/>
    </row>
    <row r="267" spans="1:31">
      <c r="A267" s="581"/>
      <c r="B267" s="507">
        <v>0</v>
      </c>
      <c r="C267">
        <v>0</v>
      </c>
      <c r="D267">
        <v>9314</v>
      </c>
      <c r="E267">
        <v>0</v>
      </c>
      <c r="F267">
        <v>0</v>
      </c>
      <c r="G267">
        <v>5</v>
      </c>
      <c r="H267">
        <v>498</v>
      </c>
      <c r="I267">
        <v>10905</v>
      </c>
      <c r="J267">
        <v>2980</v>
      </c>
      <c r="K267">
        <v>2745</v>
      </c>
      <c r="L267">
        <v>621</v>
      </c>
      <c r="M267">
        <v>11027</v>
      </c>
      <c r="N267">
        <v>32035</v>
      </c>
      <c r="O267">
        <v>2800</v>
      </c>
      <c r="P267">
        <v>93</v>
      </c>
      <c r="Q267">
        <v>1396</v>
      </c>
      <c r="R267">
        <v>3675</v>
      </c>
      <c r="S267">
        <v>175</v>
      </c>
      <c r="T267">
        <v>4565</v>
      </c>
      <c r="U267">
        <v>12057</v>
      </c>
      <c r="V267">
        <v>1170</v>
      </c>
      <c r="W267">
        <v>1163.33333333333</v>
      </c>
      <c r="X267">
        <v>1163.27701915226</v>
      </c>
      <c r="Y267">
        <v>981</v>
      </c>
      <c r="Z267">
        <v>989.333333333333</v>
      </c>
      <c r="AA267">
        <v>989.117157849796</v>
      </c>
      <c r="AB267">
        <v>0</v>
      </c>
      <c r="AC267">
        <v>0</v>
      </c>
      <c r="AD267">
        <v>9.97914727275558e-5</v>
      </c>
      <c r="AE267">
        <v>0</v>
      </c>
    </row>
    <row r="269" spans="1:1">
      <c r="A269" s="581"/>
    </row>
    <row r="270" spans="1:1">
      <c r="A270" s="581"/>
    </row>
    <row r="271" spans="1:37">
      <c r="A271" s="581"/>
      <c r="B271" s="507">
        <v>0</v>
      </c>
      <c r="C271">
        <v>0</v>
      </c>
      <c r="D271">
        <v>9314</v>
      </c>
      <c r="E271">
        <v>0</v>
      </c>
      <c r="F271">
        <v>0</v>
      </c>
      <c r="G271">
        <v>0</v>
      </c>
      <c r="H271">
        <v>498</v>
      </c>
      <c r="I271">
        <v>10905</v>
      </c>
      <c r="J271">
        <v>2980</v>
      </c>
      <c r="K271">
        <v>3036</v>
      </c>
      <c r="L271">
        <v>465</v>
      </c>
      <c r="M271">
        <v>11492</v>
      </c>
      <c r="N271">
        <v>32500</v>
      </c>
      <c r="O271">
        <v>2800</v>
      </c>
      <c r="P271">
        <v>45</v>
      </c>
      <c r="Q271">
        <v>379</v>
      </c>
      <c r="R271">
        <v>3720</v>
      </c>
      <c r="S271">
        <v>175</v>
      </c>
      <c r="T271">
        <v>4740</v>
      </c>
      <c r="U271">
        <v>12232</v>
      </c>
      <c r="V271">
        <v>1155</v>
      </c>
      <c r="W271">
        <v>1163</v>
      </c>
      <c r="X271">
        <v>1163.13850957613</v>
      </c>
      <c r="Y271">
        <v>982</v>
      </c>
      <c r="Z271">
        <v>989.04</v>
      </c>
      <c r="AA271">
        <v>192</v>
      </c>
      <c r="AB271">
        <v>0</v>
      </c>
      <c r="AC271">
        <v>0</v>
      </c>
      <c r="AD271">
        <v>4.98957363637779e-5</v>
      </c>
      <c r="AE271">
        <v>0</v>
      </c>
      <c r="AF271">
        <v>0</v>
      </c>
      <c r="AG271">
        <v>5.48808889908303e-6</v>
      </c>
      <c r="AH271">
        <v>5386</v>
      </c>
      <c r="AI271">
        <v>1026</v>
      </c>
      <c r="AJ271">
        <v>365</v>
      </c>
      <c r="AK271">
        <v>133</v>
      </c>
    </row>
    <row r="277" spans="1:1">
      <c r="A277" s="673"/>
    </row>
    <row r="278" spans="1:1">
      <c r="A278" s="673"/>
    </row>
    <row r="279" spans="1:31">
      <c r="A279" s="673"/>
      <c r="B279" s="507">
        <v>994</v>
      </c>
      <c r="C279">
        <v>23803</v>
      </c>
      <c r="D279">
        <v>157396</v>
      </c>
      <c r="E279">
        <v>1480</v>
      </c>
      <c r="F279">
        <v>82346</v>
      </c>
      <c r="G279" t="s">
        <v>295</v>
      </c>
      <c r="H279">
        <v>1759</v>
      </c>
      <c r="I279">
        <v>4365</v>
      </c>
      <c r="K279">
        <v>15</v>
      </c>
      <c r="L279">
        <v>0</v>
      </c>
      <c r="M279">
        <v>361</v>
      </c>
      <c r="N279">
        <v>9241</v>
      </c>
      <c r="O279">
        <v>2250</v>
      </c>
      <c r="V279">
        <v>1140</v>
      </c>
      <c r="W279">
        <v>1129</v>
      </c>
      <c r="X279">
        <v>1138</v>
      </c>
      <c r="Y279">
        <v>1249</v>
      </c>
      <c r="Z279">
        <v>1244</v>
      </c>
      <c r="AA279">
        <v>1259</v>
      </c>
      <c r="AB279">
        <v>1106</v>
      </c>
      <c r="AC279">
        <v>1103</v>
      </c>
      <c r="AD279">
        <v>1102</v>
      </c>
      <c r="AE279">
        <v>143</v>
      </c>
    </row>
    <row r="280" spans="1:1">
      <c r="A280" s="673"/>
    </row>
    <row r="282" spans="1:1">
      <c r="A282" s="673"/>
    </row>
    <row r="283" spans="1:1">
      <c r="A283" s="673"/>
    </row>
    <row r="284" spans="1:35">
      <c r="A284" s="673"/>
      <c r="B284" s="507">
        <v>994</v>
      </c>
      <c r="C284">
        <v>23803</v>
      </c>
      <c r="D284">
        <v>157396</v>
      </c>
      <c r="E284">
        <v>1480</v>
      </c>
      <c r="F284">
        <v>82346</v>
      </c>
      <c r="G284" t="s">
        <v>295</v>
      </c>
      <c r="H284">
        <v>1759</v>
      </c>
      <c r="I284">
        <v>4365</v>
      </c>
      <c r="K284">
        <v>15</v>
      </c>
      <c r="L284">
        <v>0</v>
      </c>
      <c r="M284">
        <v>361</v>
      </c>
      <c r="N284">
        <v>9241</v>
      </c>
      <c r="O284">
        <v>2250</v>
      </c>
      <c r="V284">
        <v>1140</v>
      </c>
      <c r="W284">
        <v>1129</v>
      </c>
      <c r="X284">
        <v>1138</v>
      </c>
      <c r="Y284">
        <v>1249</v>
      </c>
      <c r="Z284">
        <v>1244</v>
      </c>
      <c r="AA284">
        <v>1259</v>
      </c>
      <c r="AB284">
        <v>1106</v>
      </c>
      <c r="AC284">
        <v>1103</v>
      </c>
      <c r="AD284">
        <v>1102</v>
      </c>
      <c r="AE284">
        <v>143</v>
      </c>
      <c r="AF284">
        <v>144</v>
      </c>
      <c r="AG284">
        <v>149</v>
      </c>
      <c r="AH284">
        <v>29918</v>
      </c>
      <c r="AI284">
        <v>974</v>
      </c>
    </row>
  </sheetData>
  <mergeCells count="110">
    <mergeCell ref="C2:H2"/>
    <mergeCell ref="M2:R2"/>
    <mergeCell ref="W2:AB2"/>
    <mergeCell ref="AG2:AL2"/>
    <mergeCell ref="AM2:AS2"/>
    <mergeCell ref="AU2:AV2"/>
    <mergeCell ref="AW2:AX2"/>
    <mergeCell ref="A4:AL4"/>
    <mergeCell ref="AS4:BK4"/>
    <mergeCell ref="BN4:BY4"/>
    <mergeCell ref="BZ4:CC4"/>
    <mergeCell ref="AT5:AX5"/>
    <mergeCell ref="AY5:BC5"/>
    <mergeCell ref="BD5:BG5"/>
    <mergeCell ref="BH5:BJ5"/>
    <mergeCell ref="BK5:BM5"/>
    <mergeCell ref="BN5:BP5"/>
    <mergeCell ref="BQ5:BS5"/>
    <mergeCell ref="BT5:BV5"/>
    <mergeCell ref="BW5:BY5"/>
    <mergeCell ref="BZ5:CA5"/>
    <mergeCell ref="CB5:CC5"/>
    <mergeCell ref="AT25:AX25"/>
    <mergeCell ref="AY25:BC25"/>
    <mergeCell ref="BD25:BH25"/>
    <mergeCell ref="BK25:BO25"/>
    <mergeCell ref="BP25:BR25"/>
    <mergeCell ref="BS25:BU25"/>
    <mergeCell ref="BV25:BX25"/>
    <mergeCell ref="BY25:CB25"/>
    <mergeCell ref="A29:AL29"/>
    <mergeCell ref="BG30:BH30"/>
    <mergeCell ref="BY31:BZ31"/>
    <mergeCell ref="CA31:CB31"/>
    <mergeCell ref="CF31:CG31"/>
    <mergeCell ref="BY32:BZ32"/>
    <mergeCell ref="CA32:CB32"/>
    <mergeCell ref="BY33:BZ33"/>
    <mergeCell ref="CA33:CB33"/>
    <mergeCell ref="BY34:BZ34"/>
    <mergeCell ref="CA34:CB34"/>
    <mergeCell ref="BY35:BZ35"/>
    <mergeCell ref="CA35:CB35"/>
    <mergeCell ref="BY36:BZ36"/>
    <mergeCell ref="CA36:CB36"/>
    <mergeCell ref="BY37:BZ37"/>
    <mergeCell ref="CA37:CB37"/>
    <mergeCell ref="BY38:BZ38"/>
    <mergeCell ref="CA38:CB38"/>
    <mergeCell ref="BY39:BZ39"/>
    <mergeCell ref="CA39:CB39"/>
    <mergeCell ref="BY40:BZ40"/>
    <mergeCell ref="CA40:CB40"/>
    <mergeCell ref="BY41:BZ41"/>
    <mergeCell ref="CA41:CB41"/>
    <mergeCell ref="BY42:BZ42"/>
    <mergeCell ref="CA42:CB42"/>
    <mergeCell ref="BY43:BZ43"/>
    <mergeCell ref="CA43:CB43"/>
    <mergeCell ref="BY44:BZ44"/>
    <mergeCell ref="CA44:CB44"/>
    <mergeCell ref="BY45:BZ45"/>
    <mergeCell ref="CA45:CB45"/>
    <mergeCell ref="BY46:BZ46"/>
    <mergeCell ref="CA46:CB46"/>
    <mergeCell ref="BY48:BZ48"/>
    <mergeCell ref="CA48:CB48"/>
    <mergeCell ref="CA49:CB49"/>
    <mergeCell ref="A50:AL50"/>
    <mergeCell ref="BG51:BH51"/>
    <mergeCell ref="BO52:BP52"/>
    <mergeCell ref="BQ52:BR52"/>
    <mergeCell ref="BT52:BU52"/>
    <mergeCell ref="BW52:BX52"/>
    <mergeCell ref="BY52:BZ52"/>
    <mergeCell ref="BO53:BP53"/>
    <mergeCell ref="BQ53:BR53"/>
    <mergeCell ref="BT53:BU53"/>
    <mergeCell ref="BW53:BX53"/>
    <mergeCell ref="BY53:BZ53"/>
    <mergeCell ref="BT54:BU54"/>
    <mergeCell ref="BW54:BX54"/>
    <mergeCell ref="BY54:BZ54"/>
    <mergeCell ref="BQ55:BR55"/>
    <mergeCell ref="BQ56:BR56"/>
    <mergeCell ref="BT56:BU56"/>
    <mergeCell ref="BW56:BX56"/>
    <mergeCell ref="BQ57:BR57"/>
    <mergeCell ref="BT57:BU57"/>
    <mergeCell ref="BQ58:BR58"/>
    <mergeCell ref="BT58:BU58"/>
    <mergeCell ref="BQ60:BR60"/>
    <mergeCell ref="BT60:BU60"/>
    <mergeCell ref="BQ61:BR61"/>
    <mergeCell ref="BT61:BU61"/>
    <mergeCell ref="BQ63:BR63"/>
    <mergeCell ref="BT63:BU63"/>
    <mergeCell ref="BQ64:BR64"/>
    <mergeCell ref="BT64:BU64"/>
    <mergeCell ref="BQ66:BR66"/>
    <mergeCell ref="BT66:BU66"/>
    <mergeCell ref="BQ69:BR69"/>
    <mergeCell ref="BT69:BU69"/>
    <mergeCell ref="BQ71:BR71"/>
    <mergeCell ref="BT71:BU71"/>
    <mergeCell ref="A5:A26"/>
    <mergeCell ref="A30:A49"/>
    <mergeCell ref="A51:A69"/>
    <mergeCell ref="BK30:BN48"/>
    <mergeCell ref="BK51:BN69"/>
  </mergeCells>
  <dataValidations count="3">
    <dataValidation allowBlank="1" showInputMessage="1" showErrorMessage="1" promptTitle="注意" prompt="单位：千瓦时/吨&#10;请保留整数" sqref="BQ19 BW19"/>
    <dataValidation allowBlank="1" showInputMessage="1" showErrorMessage="1" promptTitle="注意" prompt="请保留整数" sqref="C9:AL9 AT9:AW9 AX9:AY9 AZ9:BA9 BB9:BC9 BD9:BF9 BG9:BH9 BI9:BM9 BN9:CE9 AT10:AV10 AW10:AX10 AY10:BA10 BB10:BD10 BE10:BM10 BN10:BY10 BZ10:CE10 AT16:AV16 AW16:AY16 AZ16:BA16 BB16:BD16 BE16:BM16 BN16:CA16 AY17:BC17 C19:AL19 AU19:BM19 AU20:AV20 AW20:AX20 AY20:BA20 BB20:BD20 BE20:BM20 BN20:CC20 AT21:AW21 AX21:AY21 AZ21:BA21 BB21:BD21 BE21:BM21 BN21:BY21 BZ21:CA21 C22:AL22 AT22:AV22 AW22:AY22 AZ22:BA22 BB22:BD22 BE22:BM22 BN22:CE22 AT19:AT20 X23:AF24 C16:AL17"/>
    <dataValidation allowBlank="1" showInputMessage="1" showErrorMessage="1" promptTitle="注意" prompt="单位：千克/吨&#10;请保留整数" sqref="BN19:BP19 BR19:BV19 BX19:BY19"/>
  </dataValidations>
  <pageMargins left="0.75" right="0.75" top="1" bottom="1" header="0.5" footer="0.5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68"/>
  <sheetViews>
    <sheetView topLeftCell="A13" workbookViewId="0">
      <selection activeCell="J26" sqref="J26"/>
    </sheetView>
  </sheetViews>
  <sheetFormatPr defaultColWidth="9" defaultRowHeight="14.25"/>
  <cols>
    <col min="1" max="1" width="7.125" style="249" customWidth="1"/>
    <col min="2" max="2" width="6.25" style="249" customWidth="1"/>
    <col min="3" max="3" width="6.625" style="249" customWidth="1"/>
    <col min="4" max="4" width="7.625" style="249" customWidth="1"/>
    <col min="5" max="6" width="7.75" style="249" customWidth="1"/>
    <col min="7" max="7" width="8.75" style="249" customWidth="1"/>
    <col min="8" max="8" width="8.5" style="249" customWidth="1"/>
    <col min="9" max="9" width="8.625" style="249" customWidth="1"/>
    <col min="10" max="10" width="6.5" style="249" customWidth="1"/>
    <col min="11" max="11" width="6.625" style="249" customWidth="1"/>
    <col min="12" max="12" width="7.375" style="249" customWidth="1"/>
    <col min="13" max="13" width="8" style="249" customWidth="1"/>
    <col min="14" max="14" width="7.125" style="249" customWidth="1"/>
    <col min="15" max="15" width="7.625" style="249" customWidth="1"/>
    <col min="16" max="16" width="8.5" style="249" customWidth="1"/>
    <col min="17" max="17" width="7.75" style="249" customWidth="1"/>
    <col min="18" max="18" width="7.25" style="249" customWidth="1"/>
    <col min="19" max="19" width="10.5" style="249" customWidth="1"/>
    <col min="20" max="20" width="12.625" style="249" customWidth="1"/>
    <col min="21" max="21" width="9.625" style="249" customWidth="1"/>
    <col min="22" max="22" width="4.5" style="249" customWidth="1"/>
    <col min="23" max="23" width="6" style="384" customWidth="1"/>
    <col min="24" max="24" width="5.75" style="249" customWidth="1"/>
    <col min="25" max="25" width="4.75" style="249" customWidth="1"/>
    <col min="26" max="26" width="8.25" style="249" customWidth="1"/>
    <col min="27" max="28" width="9.625" style="249" customWidth="1"/>
    <col min="29" max="46" width="9" style="249"/>
    <col min="47" max="47" width="10.375" style="249"/>
    <col min="48" max="48" width="11.5" style="249"/>
    <col min="49" max="64" width="9" style="249"/>
    <col min="65" max="65" width="9.375" style="249"/>
    <col min="66" max="67" width="9" style="249"/>
    <col min="68" max="68" width="11.5" style="249"/>
    <col min="69" max="69" width="9" style="249"/>
    <col min="70" max="71" width="12.625" style="249"/>
    <col min="72" max="72" width="9" style="249"/>
    <col min="73" max="74" width="12.625" style="249"/>
    <col min="75" max="75" width="9" style="249"/>
    <col min="76" max="76" width="12.625" style="249"/>
    <col min="77" max="77" width="11.5" style="249"/>
    <col min="78" max="16384" width="9" style="249"/>
  </cols>
  <sheetData>
    <row r="1" ht="21" customHeight="1" spans="1:23">
      <c r="A1" s="406" t="s">
        <v>0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45"/>
      <c r="S1" s="487" t="s">
        <v>296</v>
      </c>
      <c r="T1" s="487"/>
      <c r="U1" s="487"/>
      <c r="W1" s="249"/>
    </row>
    <row r="2" ht="14.1" customHeight="1" spans="1:23">
      <c r="A2" s="470" t="s">
        <v>3</v>
      </c>
      <c r="B2" s="470"/>
      <c r="C2" s="470"/>
      <c r="D2" s="470"/>
      <c r="E2" s="100"/>
      <c r="F2" s="106"/>
      <c r="G2" s="100"/>
      <c r="H2" s="100"/>
      <c r="N2" s="481">
        <f>数据填报!M2</f>
        <v>44300</v>
      </c>
      <c r="O2" s="482"/>
      <c r="P2" s="482"/>
      <c r="Q2" s="482"/>
      <c r="S2" s="479" t="s">
        <v>297</v>
      </c>
      <c r="T2" s="479"/>
      <c r="U2" s="479"/>
      <c r="W2" s="249"/>
    </row>
    <row r="3" ht="16.35" customHeight="1" spans="1:23">
      <c r="A3" s="471" t="s">
        <v>98</v>
      </c>
      <c r="B3" s="472" t="s">
        <v>5</v>
      </c>
      <c r="C3" s="473"/>
      <c r="D3" s="473"/>
      <c r="E3" s="474" t="s">
        <v>298</v>
      </c>
      <c r="F3" s="473">
        <f>T5</f>
        <v>1386312.32876712</v>
      </c>
      <c r="G3" s="473" t="s">
        <v>299</v>
      </c>
      <c r="H3" s="473"/>
      <c r="I3" s="483">
        <f>E5/F3*100%</f>
        <v>0.476677245794425</v>
      </c>
      <c r="J3" s="472" t="s">
        <v>6</v>
      </c>
      <c r="K3" s="473"/>
      <c r="L3" s="473"/>
      <c r="M3" s="484" t="s">
        <v>298</v>
      </c>
      <c r="N3" s="473">
        <f>U5</f>
        <v>888230.136986301</v>
      </c>
      <c r="O3" s="473" t="s">
        <v>299</v>
      </c>
      <c r="P3" s="473"/>
      <c r="Q3" s="483">
        <f>M5/N3*100%</f>
        <v>0.521080986365067</v>
      </c>
      <c r="T3" s="384" t="s">
        <v>128</v>
      </c>
      <c r="U3" s="384" t="s">
        <v>152</v>
      </c>
      <c r="W3" s="249"/>
    </row>
    <row r="4" ht="16.35" customHeight="1" spans="1:34">
      <c r="A4" s="471"/>
      <c r="B4" s="196" t="s">
        <v>11</v>
      </c>
      <c r="C4" s="196" t="s">
        <v>225</v>
      </c>
      <c r="D4" s="196" t="s">
        <v>300</v>
      </c>
      <c r="E4" s="196" t="s">
        <v>227</v>
      </c>
      <c r="F4" s="196" t="s">
        <v>228</v>
      </c>
      <c r="G4" s="196" t="s">
        <v>301</v>
      </c>
      <c r="H4" s="196" t="s">
        <v>230</v>
      </c>
      <c r="I4" s="196" t="s">
        <v>231</v>
      </c>
      <c r="J4" s="196" t="s">
        <v>11</v>
      </c>
      <c r="K4" s="196" t="s">
        <v>225</v>
      </c>
      <c r="L4" s="196" t="s">
        <v>300</v>
      </c>
      <c r="M4" s="196" t="s">
        <v>227</v>
      </c>
      <c r="N4" s="196" t="s">
        <v>228</v>
      </c>
      <c r="O4" s="196" t="s">
        <v>301</v>
      </c>
      <c r="P4" s="196" t="s">
        <v>230</v>
      </c>
      <c r="Q4" s="196" t="s">
        <v>231</v>
      </c>
      <c r="T4" s="104" t="s">
        <v>302</v>
      </c>
      <c r="U4" s="104" t="s">
        <v>302</v>
      </c>
      <c r="W4" s="249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</row>
    <row r="5" ht="16.35" customHeight="1" spans="1:34">
      <c r="A5" s="471" t="s">
        <v>21</v>
      </c>
      <c r="B5" s="80">
        <f>SUM(B6:B22)</f>
        <v>45947.0244428571</v>
      </c>
      <c r="C5" s="80">
        <f>SUM(C6:C22)</f>
        <v>46210.3561643836</v>
      </c>
      <c r="D5" s="80">
        <f>SUM(D6:D22)</f>
        <v>646944.98630137</v>
      </c>
      <c r="E5" s="80">
        <f>SUM(E6:E22)</f>
        <v>660823.542687566</v>
      </c>
      <c r="F5" s="80">
        <f>E5-D5</f>
        <v>13878.5563861959</v>
      </c>
      <c r="G5" s="475">
        <f>SUM(G6:G22)</f>
        <v>4805877.04109589</v>
      </c>
      <c r="H5" s="475">
        <f>SUM(H6:H22)</f>
        <v>3572747.2218209</v>
      </c>
      <c r="I5" s="80">
        <f>H5-G5</f>
        <v>-1233129.81927499</v>
      </c>
      <c r="J5" s="80">
        <f>SUM(J6:J22)</f>
        <v>32423.0473</v>
      </c>
      <c r="K5" s="80">
        <f>SUM(K6:K22)</f>
        <v>29607.7479452055</v>
      </c>
      <c r="L5" s="475">
        <f>SUM(L6:L22)</f>
        <v>414508.471232877</v>
      </c>
      <c r="M5" s="80">
        <f>SUM(M6:M22)</f>
        <v>462839.8359</v>
      </c>
      <c r="N5" s="80">
        <f>M5-L5</f>
        <v>48331.364667123</v>
      </c>
      <c r="O5" s="475">
        <f>SUM(O6:O22)</f>
        <v>3079205.78630137</v>
      </c>
      <c r="P5" s="80">
        <f>SUM(P6:P22)</f>
        <v>2297435.0227</v>
      </c>
      <c r="Q5" s="80">
        <f>P5-O5</f>
        <v>-781770.763601371</v>
      </c>
      <c r="S5" s="196" t="s">
        <v>21</v>
      </c>
      <c r="T5" s="140">
        <v>1386312.32876712</v>
      </c>
      <c r="U5" s="140">
        <v>888230.136986301</v>
      </c>
      <c r="W5" s="249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</row>
    <row r="6" ht="15" customHeight="1" spans="1:34">
      <c r="A6" s="196" t="s">
        <v>303</v>
      </c>
      <c r="B6" s="80">
        <f>数据填报!C7</f>
        <v>4535</v>
      </c>
      <c r="C6" s="80">
        <f>T6/数据填报!$AT$2</f>
        <v>4763.15068493151</v>
      </c>
      <c r="D6" s="80">
        <f>T6/数据填报!$AT$2*数据填报!$AY$2</f>
        <v>66684.109589041</v>
      </c>
      <c r="E6" s="80">
        <f>数据填报!C31+数据填报!C7</f>
        <v>63641.2980885181</v>
      </c>
      <c r="F6" s="80">
        <f>E6-D6</f>
        <v>-3042.8115005229</v>
      </c>
      <c r="G6" s="80">
        <f>分月生产计划!O4-表一!T6/数据填报!$AT$2*(数据填报!$AT$2-数据填报!$AY$2)</f>
        <v>495367.671232877</v>
      </c>
      <c r="H6" s="80">
        <f>历史产量!N4+表一!E6</f>
        <v>322849.702088518</v>
      </c>
      <c r="I6" s="80">
        <f>H6-G6</f>
        <v>-172517.969144359</v>
      </c>
      <c r="J6" s="80">
        <f>数据填报!H7</f>
        <v>3527.92</v>
      </c>
      <c r="K6" s="80">
        <f>U6/数据填报!$AT$2</f>
        <v>3442.26849315069</v>
      </c>
      <c r="L6" s="80">
        <f>U6/数据填报!$AT$2*数据填报!$AY$2</f>
        <v>48191.7589041098</v>
      </c>
      <c r="M6" s="80">
        <f>数据填报!H31+数据填报!H7</f>
        <v>49541.49</v>
      </c>
      <c r="N6" s="80">
        <f>M6-L6</f>
        <v>1349.73109589019</v>
      </c>
      <c r="O6" s="475">
        <f>分月生产计划!O23-表一!U6/数据填报!$AT$2*(数据填报!$AT$2-数据填报!$AY$2)</f>
        <v>357995.923287671</v>
      </c>
      <c r="P6" s="80">
        <f>历史产量!N23+表一!M6</f>
        <v>251138.58</v>
      </c>
      <c r="Q6" s="80">
        <f>P6-O6</f>
        <v>-106857.343287671</v>
      </c>
      <c r="S6" s="196" t="s">
        <v>303</v>
      </c>
      <c r="T6" s="129">
        <v>142894.520547945</v>
      </c>
      <c r="U6" s="129">
        <v>103268.054794521</v>
      </c>
      <c r="W6" s="249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</row>
    <row r="7" ht="15" customHeight="1" spans="1:34">
      <c r="A7" s="196" t="s">
        <v>304</v>
      </c>
      <c r="B7" s="80">
        <f>数据填报!C8</f>
        <v>1513</v>
      </c>
      <c r="C7" s="80">
        <f>T7/数据填报!$AT$2</f>
        <v>1694.79452054795</v>
      </c>
      <c r="D7" s="80">
        <f>T7/数据填报!$AT$2*数据填报!$AY$2</f>
        <v>23727.1232876713</v>
      </c>
      <c r="E7" s="80">
        <f>数据填报!C32+数据填报!C8</f>
        <v>24834.11</v>
      </c>
      <c r="F7" s="80">
        <f t="shared" ref="F7:F22" si="0">E7-D7</f>
        <v>1106.9867123287</v>
      </c>
      <c r="G7" s="80">
        <f>分月生产计划!O5-表一!T7/数据填报!$AT$2*(数据填报!$AT$2-数据填报!$AY$2)</f>
        <v>176258.630136987</v>
      </c>
      <c r="H7" s="80">
        <f>历史产量!N5+表一!E7</f>
        <v>65488.82</v>
      </c>
      <c r="I7" s="80">
        <f t="shared" ref="I7:I22" si="1">H7-G7</f>
        <v>-110769.810136987</v>
      </c>
      <c r="J7" s="80">
        <f>数据填报!H8</f>
        <v>1303</v>
      </c>
      <c r="K7" s="80">
        <f>U7/数据填报!$AT$2</f>
        <v>1447.39726027397</v>
      </c>
      <c r="L7" s="80">
        <f>U7/数据填报!$AT$2*数据填报!$AY$2</f>
        <v>20263.5616438356</v>
      </c>
      <c r="M7" s="80">
        <f>数据填报!H32+数据填报!H8</f>
        <v>21383.12</v>
      </c>
      <c r="N7" s="80">
        <f t="shared" ref="N7:N22" si="2">M7-L7</f>
        <v>1119.55835616442</v>
      </c>
      <c r="O7" s="80">
        <f>分月生产计划!O24-表一!U7/数据填报!$AT$2*(数据填报!$AT$2-数据填报!$AY$2)</f>
        <v>150529.315068493</v>
      </c>
      <c r="P7" s="80">
        <f>历史产量!N24+表一!M7</f>
        <v>57080.63</v>
      </c>
      <c r="Q7" s="80">
        <f t="shared" ref="Q7:Q22" si="3">P7-O7</f>
        <v>-93448.6850684935</v>
      </c>
      <c r="S7" s="196" t="s">
        <v>304</v>
      </c>
      <c r="T7" s="129">
        <v>50843.8356164385</v>
      </c>
      <c r="U7" s="129">
        <v>43421.9178082191</v>
      </c>
      <c r="W7" s="249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ht="15" customHeight="1" spans="1:34">
      <c r="A8" s="196" t="s">
        <v>305</v>
      </c>
      <c r="B8" s="80">
        <f>数据填报!C9</f>
        <v>4019</v>
      </c>
      <c r="C8" s="80">
        <f>T8/数据填报!$AT$2</f>
        <v>3424.65753424658</v>
      </c>
      <c r="D8" s="80">
        <f>T8/数据填报!$AT$2*数据填报!$AY$2</f>
        <v>47945.2054794519</v>
      </c>
      <c r="E8" s="80">
        <f>数据填报!C33+数据填报!C9</f>
        <v>51996</v>
      </c>
      <c r="F8" s="80">
        <f t="shared" si="0"/>
        <v>4050.79452054806</v>
      </c>
      <c r="G8" s="80">
        <f>分月生产计划!O6-表一!T8/数据填报!$AT$2*(数据填报!$AT$2-数据填报!$AY$2)</f>
        <v>356164.383561645</v>
      </c>
      <c r="H8" s="80">
        <f>历史产量!N6+表一!E8</f>
        <v>285656</v>
      </c>
      <c r="I8" s="80">
        <f t="shared" si="1"/>
        <v>-70508.3835616449</v>
      </c>
      <c r="J8" s="80">
        <f>数据填报!H9</f>
        <v>4019</v>
      </c>
      <c r="K8" s="80">
        <f>U8/数据填报!$AT$2</f>
        <v>3424.65753424658</v>
      </c>
      <c r="L8" s="80">
        <f>U8/数据填报!$AT$2*数据填报!$AY$2</f>
        <v>47945.2054794519</v>
      </c>
      <c r="M8" s="80">
        <f>数据填报!H33+数据填报!H9</f>
        <v>51996</v>
      </c>
      <c r="N8" s="80">
        <f t="shared" si="2"/>
        <v>4050.79452054806</v>
      </c>
      <c r="O8" s="475">
        <f>分月生产计划!O25-表一!U8/数据填报!$AT$2*(数据填报!$AT$2-数据填报!$AY$2)</f>
        <v>356164.383561645</v>
      </c>
      <c r="P8" s="80">
        <f>历史产量!N25+表一!M8</f>
        <v>285656</v>
      </c>
      <c r="Q8" s="80">
        <f t="shared" si="3"/>
        <v>-70508.3835616449</v>
      </c>
      <c r="S8" s="196" t="s">
        <v>305</v>
      </c>
      <c r="T8" s="129">
        <v>102739.726027397</v>
      </c>
      <c r="U8" s="129">
        <v>102739.726027397</v>
      </c>
      <c r="W8" s="249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ht="15" customHeight="1" spans="1:34">
      <c r="A9" s="196" t="s">
        <v>306</v>
      </c>
      <c r="B9" s="80">
        <f>数据填报!C10</f>
        <v>1143</v>
      </c>
      <c r="C9" s="80">
        <f>T9/数据填报!$AT$2</f>
        <v>1015.61643835616</v>
      </c>
      <c r="D9" s="80">
        <f>T9/数据填报!$AT$2*数据填报!$AY$2</f>
        <v>14218.6301369862</v>
      </c>
      <c r="E9" s="80">
        <f>数据填报!C34+数据填报!C10</f>
        <v>15477</v>
      </c>
      <c r="F9" s="80">
        <f t="shared" si="0"/>
        <v>1258.36986301376</v>
      </c>
      <c r="G9" s="80">
        <f>分月生产计划!O7-表一!T9/数据填报!$AT$2*(数据填报!$AT$2-数据填报!$AY$2)</f>
        <v>105624.10958904</v>
      </c>
      <c r="H9" s="80">
        <f>历史产量!N7+表一!E9</f>
        <v>86539</v>
      </c>
      <c r="I9" s="80">
        <f t="shared" si="1"/>
        <v>-19085.1095890404</v>
      </c>
      <c r="J9" s="80">
        <f>数据填报!H10</f>
        <v>888</v>
      </c>
      <c r="K9" s="80">
        <f>U9/数据填报!$AT$2</f>
        <v>855.890410958904</v>
      </c>
      <c r="L9" s="80">
        <f>U9/数据填报!$AT$2*数据填报!$AY$2</f>
        <v>11982.4657534246</v>
      </c>
      <c r="M9" s="80">
        <f>数据填报!H34+数据填报!H10</f>
        <v>12167</v>
      </c>
      <c r="N9" s="80">
        <f t="shared" si="2"/>
        <v>184.534246575353</v>
      </c>
      <c r="O9" s="80">
        <f>分月生产计划!O26-表一!U9/数据填报!$AT$2*(数据填报!$AT$2-数据填报!$AY$2)</f>
        <v>89012.6027397256</v>
      </c>
      <c r="P9" s="80">
        <f>历史产量!N26+表一!M9</f>
        <v>69767</v>
      </c>
      <c r="Q9" s="80">
        <f t="shared" si="3"/>
        <v>-19245.6027397256</v>
      </c>
      <c r="S9" s="196" t="s">
        <v>306</v>
      </c>
      <c r="T9" s="129">
        <v>30468.4931506848</v>
      </c>
      <c r="U9" s="129">
        <v>25676.7123287671</v>
      </c>
      <c r="W9" s="249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</row>
    <row r="10" ht="15" customHeight="1" spans="1:34">
      <c r="A10" s="196" t="s">
        <v>307</v>
      </c>
      <c r="B10" s="80">
        <f>数据填报!C11</f>
        <v>4196.4651</v>
      </c>
      <c r="C10" s="80">
        <f>T10/数据填报!$AT$2</f>
        <v>4055.06849315068</v>
      </c>
      <c r="D10" s="80">
        <f>T10/数据填报!$AT$2*数据填报!$AY$2</f>
        <v>56770.9589041093</v>
      </c>
      <c r="E10" s="80">
        <f>数据填报!C35+数据填报!C11</f>
        <v>61049.5896</v>
      </c>
      <c r="F10" s="80">
        <f t="shared" si="0"/>
        <v>4278.63069589066</v>
      </c>
      <c r="G10" s="80">
        <f>分月生产计划!O8-表一!T10/数据填报!$AT$2*(数据填报!$AT$2-数据填报!$AY$2)</f>
        <v>421727.12328767</v>
      </c>
      <c r="H10" s="80">
        <f>历史产量!N8+表一!E10</f>
        <v>360643.5896</v>
      </c>
      <c r="I10" s="80">
        <f t="shared" si="1"/>
        <v>-61083.5336876704</v>
      </c>
      <c r="J10" s="80">
        <f>数据填报!H11</f>
        <v>3586.4445</v>
      </c>
      <c r="K10" s="80">
        <f>U10/数据填报!$AT$2</f>
        <v>3314.52054794521</v>
      </c>
      <c r="L10" s="80">
        <f>U10/数据填报!$AT$2*数据填报!$AY$2</f>
        <v>46403.2876712329</v>
      </c>
      <c r="M10" s="80">
        <f>数据填报!H35+数据填报!H11</f>
        <v>51227.0977</v>
      </c>
      <c r="N10" s="80">
        <f t="shared" si="2"/>
        <v>4823.81002876705</v>
      </c>
      <c r="O10" s="80">
        <f>分月生产计划!O27-表一!U10/数据填报!$AT$2*(数据填报!$AT$2-数据填报!$AY$2)</f>
        <v>344710.136986301</v>
      </c>
      <c r="P10" s="80">
        <f>历史产量!N27+表一!M10</f>
        <v>287281.0977</v>
      </c>
      <c r="Q10" s="80">
        <f t="shared" si="3"/>
        <v>-57429.0392863007</v>
      </c>
      <c r="S10" s="196" t="s">
        <v>307</v>
      </c>
      <c r="T10" s="129">
        <v>121652.05479452</v>
      </c>
      <c r="U10" s="129">
        <v>99435.6164383563</v>
      </c>
      <c r="W10" s="249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</row>
    <row r="11" ht="15" customHeight="1" spans="1:34">
      <c r="A11" s="196" t="s">
        <v>308</v>
      </c>
      <c r="B11" s="80">
        <f>数据填报!C12</f>
        <v>5316.19294285714</v>
      </c>
      <c r="C11" s="80">
        <f>T11/数据填报!$AT$2</f>
        <v>4328.76712328767</v>
      </c>
      <c r="D11" s="80">
        <f>T11/数据填报!$AT$2*数据填报!$AY$2</f>
        <v>60602.7397260273</v>
      </c>
      <c r="E11" s="80">
        <f>数据填报!C36+数据填报!C12</f>
        <v>74095.8733190476</v>
      </c>
      <c r="F11" s="80">
        <f t="shared" si="0"/>
        <v>13493.1335930203</v>
      </c>
      <c r="G11" s="80">
        <f>分月生产计划!O9-表一!T11/数据填报!$AT$2*(数据填报!$AT$2-数据填报!$AY$2)</f>
        <v>450191.780821918</v>
      </c>
      <c r="H11" s="80">
        <f>历史产量!N9+表一!E11</f>
        <v>391095.873319048</v>
      </c>
      <c r="I11" s="80">
        <f t="shared" si="1"/>
        <v>-59095.9075028707</v>
      </c>
      <c r="J11" s="80">
        <f>数据填报!H12</f>
        <v>3072.43</v>
      </c>
      <c r="K11" s="80">
        <f>U11/数据填报!$AT$2</f>
        <v>2191.78082191781</v>
      </c>
      <c r="L11" s="80">
        <f>U11/数据填报!$AT$2*数据填报!$AY$2</f>
        <v>30684.9315068493</v>
      </c>
      <c r="M11" s="80">
        <f>数据填报!H36+数据填报!H12</f>
        <v>42557.94</v>
      </c>
      <c r="N11" s="80">
        <f t="shared" si="2"/>
        <v>11873.0084931507</v>
      </c>
      <c r="O11" s="80">
        <f>分月生产计划!O28-表一!U11/数据填报!$AT$2*(数据填报!$AT$2-数据填报!$AY$2)</f>
        <v>227945.205479452</v>
      </c>
      <c r="P11" s="80">
        <f>历史产量!N28+表一!M11</f>
        <v>221507.94</v>
      </c>
      <c r="Q11" s="80">
        <f t="shared" si="3"/>
        <v>-6437.26547945206</v>
      </c>
      <c r="S11" s="196" t="s">
        <v>308</v>
      </c>
      <c r="T11" s="129">
        <v>129863.01369863</v>
      </c>
      <c r="U11" s="129">
        <v>65753.4246575343</v>
      </c>
      <c r="W11" s="249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</row>
    <row r="12" ht="15" customHeight="1" spans="1:34">
      <c r="A12" s="196" t="s">
        <v>309</v>
      </c>
      <c r="B12" s="80">
        <f>数据填报!C13</f>
        <v>4024</v>
      </c>
      <c r="C12" s="80">
        <f>T12/数据填报!$AT$2</f>
        <v>4747.53424657534</v>
      </c>
      <c r="D12" s="80">
        <f>T12/数据填报!$AT$2*数据填报!$AY$2</f>
        <v>66465.4794520547</v>
      </c>
      <c r="E12" s="80">
        <f>数据填报!C37+数据填报!C13</f>
        <v>55761</v>
      </c>
      <c r="F12" s="80">
        <f t="shared" si="0"/>
        <v>-10704.4794520547</v>
      </c>
      <c r="G12" s="80">
        <f>分月生产计划!O10-表一!T12/数据填报!$AT$2*(数据填报!$AT$2-数据填报!$AY$2)</f>
        <v>493743.561643837</v>
      </c>
      <c r="H12" s="80">
        <f>历史产量!N10+表一!E12</f>
        <v>343761</v>
      </c>
      <c r="I12" s="80">
        <f t="shared" si="1"/>
        <v>-149982.561643837</v>
      </c>
      <c r="J12" s="80">
        <f>数据填报!H13</f>
        <v>2568</v>
      </c>
      <c r="K12" s="80">
        <f>U12/数据填报!$AT$2</f>
        <v>3256.43835616438</v>
      </c>
      <c r="L12" s="80">
        <f>U12/数据填报!$AT$2*数据填报!$AY$2</f>
        <v>45590.1369863013</v>
      </c>
      <c r="M12" s="80">
        <f>数据填报!H37+数据填报!H13</f>
        <v>36653</v>
      </c>
      <c r="N12" s="80">
        <f t="shared" si="2"/>
        <v>-8937.13698630132</v>
      </c>
      <c r="O12" s="80">
        <f>分月生产计划!O29-表一!U12/数据填报!$AT$2*(数据填报!$AT$2-数据填报!$AY$2)</f>
        <v>338669.589041096</v>
      </c>
      <c r="P12" s="80">
        <f>历史产量!N29+表一!M12</f>
        <v>217653</v>
      </c>
      <c r="Q12" s="80">
        <f t="shared" si="3"/>
        <v>-121016.589041096</v>
      </c>
      <c r="S12" s="196" t="s">
        <v>309</v>
      </c>
      <c r="T12" s="129">
        <v>142426.02739726</v>
      </c>
      <c r="U12" s="129">
        <v>97693.1506849314</v>
      </c>
      <c r="W12" s="249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ht="15" customHeight="1" spans="1:81">
      <c r="A13" s="196" t="s">
        <v>310</v>
      </c>
      <c r="B13" s="80">
        <f>数据填报!C14</f>
        <v>7519.2014</v>
      </c>
      <c r="C13" s="80">
        <f>T13/数据填报!$AT$2</f>
        <v>6607.12328767123</v>
      </c>
      <c r="D13" s="80">
        <f>T13/数据填报!$AT$2*数据填报!$AY$2</f>
        <v>92499.7260273973</v>
      </c>
      <c r="E13" s="80">
        <f>数据填报!C38+数据填报!C14</f>
        <v>105353.4562</v>
      </c>
      <c r="F13" s="80">
        <f t="shared" si="0"/>
        <v>12853.7301726027</v>
      </c>
      <c r="G13" s="80">
        <f>分月生产计划!O11-表一!T13/数据填报!$AT$2*(数据填报!$AT$2-数据填报!$AY$2)</f>
        <v>687140.821917807</v>
      </c>
      <c r="H13" s="80">
        <f>历史产量!N11+表一!E13</f>
        <v>568853.4562</v>
      </c>
      <c r="I13" s="80">
        <f t="shared" si="1"/>
        <v>-118287.365717807</v>
      </c>
      <c r="J13" s="80">
        <f>数据填报!H14</f>
        <v>4282.4278</v>
      </c>
      <c r="K13" s="80">
        <f>U13/数据填报!$AT$2</f>
        <v>4039.72602739726</v>
      </c>
      <c r="L13" s="80">
        <f>U13/数据填报!$AT$2*数据填报!$AY$2</f>
        <v>56556.1643835617</v>
      </c>
      <c r="M13" s="80">
        <f>数据填报!H38+数据填报!H14</f>
        <v>58597.7752</v>
      </c>
      <c r="N13" s="80">
        <f t="shared" si="2"/>
        <v>2041.61081643827</v>
      </c>
      <c r="O13" s="80">
        <f>分月生产计划!O30-表一!U13/数据填报!$AT$2*(数据填报!$AT$2-数据填报!$AY$2)</f>
        <v>420131.506849315</v>
      </c>
      <c r="P13" s="80">
        <f>历史产量!N30+表一!M13</f>
        <v>321797.7752</v>
      </c>
      <c r="Q13" s="80">
        <f t="shared" si="3"/>
        <v>-98333.7316493148</v>
      </c>
      <c r="S13" s="196" t="s">
        <v>310</v>
      </c>
      <c r="T13" s="129">
        <v>198213.698630137</v>
      </c>
      <c r="U13" s="129">
        <v>121191.780821918</v>
      </c>
      <c r="W13" s="249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T13" s="249">
        <v>3559</v>
      </c>
      <c r="AU13" s="249">
        <v>86292</v>
      </c>
      <c r="AV13" s="249">
        <v>961418</v>
      </c>
      <c r="AW13" s="249">
        <v>1240</v>
      </c>
      <c r="AX13" s="249">
        <v>61597</v>
      </c>
      <c r="AY13" s="249">
        <v>528.34</v>
      </c>
      <c r="AZ13" s="249">
        <v>11313.66</v>
      </c>
      <c r="BA13" s="249">
        <v>123263.66</v>
      </c>
      <c r="BB13" s="249">
        <v>1808</v>
      </c>
      <c r="BC13" s="249">
        <v>7807.76</v>
      </c>
      <c r="BD13" s="249">
        <v>588</v>
      </c>
      <c r="BE13" s="249">
        <v>8539</v>
      </c>
      <c r="BF13" s="249">
        <v>105713</v>
      </c>
      <c r="BG13" s="249">
        <v>1907.21119047619</v>
      </c>
      <c r="BK13" s="249">
        <v>108.94</v>
      </c>
      <c r="BL13" s="249">
        <v>4299.36</v>
      </c>
      <c r="BM13" s="249">
        <v>56095.36</v>
      </c>
      <c r="BN13" s="249">
        <v>1202</v>
      </c>
      <c r="BO13" s="249">
        <v>1207</v>
      </c>
      <c r="BP13" s="249">
        <v>1198</v>
      </c>
      <c r="BQ13" s="249">
        <v>1259</v>
      </c>
      <c r="BR13" s="249">
        <v>1253</v>
      </c>
      <c r="BS13" s="249">
        <v>1260</v>
      </c>
      <c r="BT13" s="249">
        <v>1151</v>
      </c>
      <c r="BU13" s="249">
        <v>1156</v>
      </c>
      <c r="BV13" s="249">
        <v>1153</v>
      </c>
      <c r="BW13" s="249">
        <v>150</v>
      </c>
      <c r="BX13" s="249">
        <v>155</v>
      </c>
      <c r="BY13" s="249">
        <v>153</v>
      </c>
      <c r="BZ13" s="249">
        <v>59580</v>
      </c>
      <c r="CA13" s="249">
        <v>2158</v>
      </c>
      <c r="CB13" s="249">
        <v>43982</v>
      </c>
      <c r="CC13" s="249">
        <v>3315</v>
      </c>
    </row>
    <row r="14" ht="15" customHeight="1" spans="1:77">
      <c r="A14" s="196" t="s">
        <v>311</v>
      </c>
      <c r="B14" s="80">
        <f>数据填报!C15</f>
        <v>4477.125</v>
      </c>
      <c r="C14" s="80">
        <f>T14/数据填报!$AT$2</f>
        <v>5146.79452054795</v>
      </c>
      <c r="D14" s="80">
        <f>T14/数据填报!$AT$2*数据填报!$AY$2</f>
        <v>72055.1232876715</v>
      </c>
      <c r="E14" s="80">
        <f>数据填报!C39+数据填报!C15</f>
        <v>73059.231</v>
      </c>
      <c r="F14" s="80">
        <f t="shared" si="0"/>
        <v>1004.10771232846</v>
      </c>
      <c r="G14" s="80">
        <f>分月生产计划!O12-表一!T14/数据填报!$AT$2*(数据填报!$AT$2-数据填报!$AY$2)</f>
        <v>535266.630136986</v>
      </c>
      <c r="H14" s="80">
        <f>历史产量!N12+表一!E14</f>
        <v>302229.231</v>
      </c>
      <c r="I14" s="80">
        <f t="shared" si="1"/>
        <v>-233037.399136986</v>
      </c>
      <c r="J14" s="80">
        <f>数据填报!H15</f>
        <v>3759.945</v>
      </c>
      <c r="K14" s="80">
        <f>U14/数据填报!$AT$2</f>
        <v>3605.75342465754</v>
      </c>
      <c r="L14" s="80">
        <f>U14/数据填报!$AT$2*数据填报!$AY$2</f>
        <v>50480.5479452055</v>
      </c>
      <c r="M14" s="80">
        <f>数据填报!H39+数据填报!H15</f>
        <v>62535.001</v>
      </c>
      <c r="N14" s="80">
        <f t="shared" si="2"/>
        <v>12054.4530547945</v>
      </c>
      <c r="O14" s="80">
        <f>分月生产计划!O31-表一!U14/数据填报!$AT$2*(数据填报!$AT$2-数据填报!$AY$2)</f>
        <v>374998.356164384</v>
      </c>
      <c r="P14" s="80">
        <f>历史产量!N31+表一!M14</f>
        <v>244535.001</v>
      </c>
      <c r="Q14" s="80">
        <f t="shared" si="3"/>
        <v>-130463.355164384</v>
      </c>
      <c r="S14" s="196" t="s">
        <v>311</v>
      </c>
      <c r="T14" s="129">
        <v>154403.835616439</v>
      </c>
      <c r="U14" s="129">
        <v>108172.602739726</v>
      </c>
      <c r="W14" s="249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T14" s="249">
        <v>2446</v>
      </c>
      <c r="AU14" s="249">
        <v>28981.93</v>
      </c>
      <c r="AV14" s="249">
        <v>319633.27</v>
      </c>
      <c r="AW14" s="249">
        <v>1940.83</v>
      </c>
      <c r="AX14" s="249">
        <v>4639.52</v>
      </c>
      <c r="AY14" s="249">
        <v>1101.77</v>
      </c>
      <c r="AZ14" s="249">
        <v>9328.19</v>
      </c>
      <c r="BA14" s="249">
        <v>118691.55</v>
      </c>
      <c r="BB14" s="249">
        <v>2561.41480419365</v>
      </c>
      <c r="BC14" s="249">
        <v>1482.186</v>
      </c>
      <c r="BD14" s="249">
        <v>376.3</v>
      </c>
      <c r="BE14" s="249">
        <v>5193.88</v>
      </c>
      <c r="BF14" s="249">
        <v>51652.13</v>
      </c>
      <c r="BG14" s="249">
        <v>2878.81625192665</v>
      </c>
      <c r="BH14" s="249">
        <v>1115</v>
      </c>
      <c r="BI14" s="249">
        <v>11317.1</v>
      </c>
      <c r="BJ14" s="249">
        <v>157581.7</v>
      </c>
      <c r="BK14" s="249">
        <v>396.806</v>
      </c>
      <c r="BL14" s="249">
        <v>4584.868</v>
      </c>
      <c r="BM14" s="249">
        <v>60499.333</v>
      </c>
      <c r="BN14" s="249">
        <v>1323.79796981334</v>
      </c>
      <c r="BO14" s="249">
        <v>1327.87481179837</v>
      </c>
      <c r="BP14" s="249">
        <v>1312.00779703961</v>
      </c>
      <c r="BQ14" s="249">
        <v>1191.46897846036</v>
      </c>
      <c r="BR14" s="249">
        <v>1071.29657899114</v>
      </c>
      <c r="BS14" s="249">
        <v>1148.61439816879</v>
      </c>
      <c r="BT14" s="249">
        <v>1175.88452003058</v>
      </c>
      <c r="BU14" s="249">
        <v>1155.4880631706</v>
      </c>
      <c r="BV14" s="249">
        <v>1141.23387067959</v>
      </c>
      <c r="BW14" s="249">
        <v>155</v>
      </c>
      <c r="BX14" s="249">
        <v>155</v>
      </c>
      <c r="BY14" s="249">
        <v>155</v>
      </c>
    </row>
    <row r="15" ht="15" customHeight="1" spans="1:34">
      <c r="A15" s="196" t="s">
        <v>312</v>
      </c>
      <c r="B15" s="80">
        <f>数据填报!C16</f>
        <v>1140</v>
      </c>
      <c r="C15" s="80">
        <f>T15/数据填报!$AT$2</f>
        <v>986.301369863014</v>
      </c>
      <c r="D15" s="80">
        <f>T15/数据填报!$AT$2*数据填报!$AY$2</f>
        <v>13808.2191780822</v>
      </c>
      <c r="E15" s="80">
        <f>数据填报!C40+数据填报!C16</f>
        <v>15849</v>
      </c>
      <c r="F15" s="80">
        <f t="shared" si="0"/>
        <v>2040.78082191781</v>
      </c>
      <c r="G15" s="80">
        <f>分月生产计划!O13-表一!T15/数据填报!$AT$2*(数据填报!$AT$2-数据填报!$AY$2)</f>
        <v>102575.342465754</v>
      </c>
      <c r="H15" s="80">
        <f>历史产量!N13+表一!E15</f>
        <v>77249</v>
      </c>
      <c r="I15" s="80">
        <f t="shared" si="1"/>
        <v>-25326.3424657538</v>
      </c>
      <c r="J15" s="80">
        <f>数据填报!H16</f>
        <v>880</v>
      </c>
      <c r="K15" s="80">
        <f>U15/数据填报!$AT$2</f>
        <v>547.945205479452</v>
      </c>
      <c r="L15" s="80">
        <f>U15/数据填报!$AT$2*数据填报!$AY$2</f>
        <v>7671.23287671235</v>
      </c>
      <c r="M15" s="80">
        <f>数据填报!H40+数据填报!H16</f>
        <v>12350</v>
      </c>
      <c r="N15" s="80">
        <f t="shared" si="2"/>
        <v>4678.76712328765</v>
      </c>
      <c r="O15" s="80">
        <f>分月生产计划!O32-表一!U15/数据填报!$AT$2*(数据填报!$AT$2-数据填报!$AY$2)</f>
        <v>56986.301369863</v>
      </c>
      <c r="P15" s="80">
        <f>历史产量!N32+表一!M15</f>
        <v>44150</v>
      </c>
      <c r="Q15" s="80">
        <f t="shared" si="3"/>
        <v>-12836.301369863</v>
      </c>
      <c r="S15" s="196" t="s">
        <v>312</v>
      </c>
      <c r="T15" s="129">
        <v>29589.0410958904</v>
      </c>
      <c r="U15" s="129">
        <v>16438.3561643836</v>
      </c>
      <c r="W15" s="249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ht="15" customHeight="1" spans="1:34">
      <c r="A16" s="196" t="s">
        <v>313</v>
      </c>
      <c r="B16" s="80">
        <f>数据填报!C17</f>
        <v>1166</v>
      </c>
      <c r="C16" s="80">
        <f>T16/数据填报!$AT$2</f>
        <v>929.315068493151</v>
      </c>
      <c r="D16" s="80">
        <f>T16/数据填报!$AT$2*数据填报!$AY$2</f>
        <v>13010.4109589041</v>
      </c>
      <c r="E16" s="80">
        <f>数据填报!C41+数据填报!C17</f>
        <v>2258.86</v>
      </c>
      <c r="F16" s="80">
        <f t="shared" si="0"/>
        <v>-10751.5509589041</v>
      </c>
      <c r="G16" s="80">
        <f>分月生产计划!O14-表一!T16/数据填报!$AT$2*(数据填报!$AT$2-数据填报!$AY$2)</f>
        <v>96648.7671232876</v>
      </c>
      <c r="H16" s="80">
        <f>历史产量!N14+表一!E16</f>
        <v>70840.86</v>
      </c>
      <c r="I16" s="80">
        <f t="shared" si="1"/>
        <v>-25807.9071232876</v>
      </c>
      <c r="J16" s="80">
        <f>数据填报!H17</f>
        <v>0</v>
      </c>
      <c r="K16" s="80">
        <f>U16/数据填报!$AT$2</f>
        <v>0</v>
      </c>
      <c r="L16" s="80">
        <f>U16/数据填报!$AT$2*数据填报!$AY$2</f>
        <v>0</v>
      </c>
      <c r="M16" s="80">
        <f>数据填报!H41+数据填报!H17</f>
        <v>0</v>
      </c>
      <c r="N16" s="80">
        <f t="shared" si="2"/>
        <v>0</v>
      </c>
      <c r="O16" s="80">
        <f>分月生产计划!O33-表一!U16/数据填报!$AT$2*(数据填报!$AT$2-数据填报!$AY$2)</f>
        <v>0</v>
      </c>
      <c r="P16" s="80">
        <f>历史产量!N33+表一!M16</f>
        <v>0</v>
      </c>
      <c r="Q16" s="80">
        <f t="shared" si="3"/>
        <v>0</v>
      </c>
      <c r="S16" s="196" t="s">
        <v>313</v>
      </c>
      <c r="T16" s="129">
        <v>27879.4520547945</v>
      </c>
      <c r="U16" s="128"/>
      <c r="W16" s="249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</row>
    <row r="17" ht="15" customHeight="1" spans="1:55">
      <c r="A17" s="196" t="s">
        <v>314</v>
      </c>
      <c r="B17" s="80">
        <f>数据填报!C18</f>
        <v>0</v>
      </c>
      <c r="C17" s="80">
        <f>T17/数据填报!$AT$2</f>
        <v>0</v>
      </c>
      <c r="D17" s="80">
        <f>T17/数据填报!$AT$2*数据填报!$AY$2</f>
        <v>0</v>
      </c>
      <c r="E17" s="80">
        <f>数据填报!C42+数据填报!C18</f>
        <v>0</v>
      </c>
      <c r="F17" s="80">
        <f t="shared" si="0"/>
        <v>0</v>
      </c>
      <c r="G17" s="80">
        <f>分月生产计划!O15-表一!T17/数据填报!$AT$2*(数据填报!$AT$2-数据填报!$AY$2)</f>
        <v>0</v>
      </c>
      <c r="H17" s="80">
        <f>历史产量!N15+表一!E17</f>
        <v>0</v>
      </c>
      <c r="I17" s="80">
        <f t="shared" si="1"/>
        <v>0</v>
      </c>
      <c r="J17" s="80">
        <f>数据填报!H18</f>
        <v>0</v>
      </c>
      <c r="K17" s="80">
        <f>U17/数据填报!$AT$2</f>
        <v>0</v>
      </c>
      <c r="L17" s="80">
        <f>U17/数据填报!$AT$2*数据填报!$AY$2</f>
        <v>0</v>
      </c>
      <c r="M17" s="80">
        <f>数据填报!H42+数据填报!H18</f>
        <v>0</v>
      </c>
      <c r="N17" s="80">
        <f t="shared" si="2"/>
        <v>0</v>
      </c>
      <c r="O17" s="80">
        <f>分月生产计划!O34-表一!U17/数据填报!$AT$2*(数据填报!$AT$2-数据填报!$AY$2)</f>
        <v>0</v>
      </c>
      <c r="P17" s="80">
        <f>历史产量!N34+表一!M17</f>
        <v>0</v>
      </c>
      <c r="Q17" s="80">
        <f t="shared" si="3"/>
        <v>0</v>
      </c>
      <c r="S17" s="196" t="s">
        <v>314</v>
      </c>
      <c r="T17" s="129">
        <v>0</v>
      </c>
      <c r="U17" s="129">
        <v>0</v>
      </c>
      <c r="W17" s="249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N17" s="249">
        <v>0</v>
      </c>
      <c r="AO17" s="249" t="s">
        <v>48</v>
      </c>
      <c r="AP17" s="249">
        <v>0</v>
      </c>
      <c r="AY17" s="249">
        <v>220</v>
      </c>
      <c r="AZ17" s="249">
        <v>14531</v>
      </c>
      <c r="BA17" s="249">
        <v>187211</v>
      </c>
      <c r="BB17" s="249">
        <v>1600</v>
      </c>
      <c r="BC17" s="249">
        <v>3665</v>
      </c>
    </row>
    <row r="18" ht="15" customHeight="1" spans="1:81">
      <c r="A18" s="196" t="s">
        <v>315</v>
      </c>
      <c r="B18" s="80">
        <f>数据填报!C20</f>
        <v>836</v>
      </c>
      <c r="C18" s="80">
        <f>T18/数据填报!$AT$2</f>
        <v>811.506849315069</v>
      </c>
      <c r="D18" s="80">
        <f>T18/数据填报!$AT$2*数据填报!$AY$2</f>
        <v>11361.095890411</v>
      </c>
      <c r="E18" s="80">
        <f>数据填报!C43+数据填报!C20</f>
        <v>12135</v>
      </c>
      <c r="F18" s="80">
        <f t="shared" si="0"/>
        <v>773.904109589021</v>
      </c>
      <c r="G18" s="80">
        <f>分月生产计划!O16-表一!T18/数据填报!$AT$2*(数据填报!$AT$2-数据填报!$AY$2)</f>
        <v>84396.7123287671</v>
      </c>
      <c r="H18" s="80">
        <f>历史产量!N16+表一!E18</f>
        <v>67835</v>
      </c>
      <c r="I18" s="80">
        <f t="shared" si="1"/>
        <v>-16561.7123287671</v>
      </c>
      <c r="J18" s="80">
        <f>数据填报!H20</f>
        <v>775</v>
      </c>
      <c r="K18" s="80">
        <f>U18/数据填报!$AT$2</f>
        <v>753.424657534247</v>
      </c>
      <c r="L18" s="80">
        <f>U18/数据填报!$AT$2*数据填报!$AY$2</f>
        <v>10547.9452054795</v>
      </c>
      <c r="M18" s="80">
        <f>数据填报!H43+数据填报!H20</f>
        <v>11239</v>
      </c>
      <c r="N18" s="80">
        <f t="shared" si="2"/>
        <v>691.054794520547</v>
      </c>
      <c r="O18" s="80">
        <f>分月生产计划!O35-表一!U18/数据填报!$AT$2*(数据填报!$AT$2-数据填报!$AY$2)</f>
        <v>78356.1643835617</v>
      </c>
      <c r="P18" s="80">
        <f>历史产量!N35+表一!M18</f>
        <v>62939</v>
      </c>
      <c r="Q18" s="80">
        <f t="shared" si="3"/>
        <v>-15417.1643835617</v>
      </c>
      <c r="S18" s="196" t="s">
        <v>315</v>
      </c>
      <c r="T18" s="129">
        <v>24345.2054794521</v>
      </c>
      <c r="U18" s="129">
        <v>22602.7397260274</v>
      </c>
      <c r="W18" s="249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T18" s="249">
        <v>528</v>
      </c>
      <c r="AU18" s="249">
        <v>8733</v>
      </c>
      <c r="AV18" s="249">
        <v>109124</v>
      </c>
      <c r="AW18" s="249">
        <v>1360</v>
      </c>
      <c r="AX18" s="249">
        <v>1878</v>
      </c>
      <c r="AY18" s="249">
        <v>132</v>
      </c>
      <c r="AZ18" s="249">
        <v>2633</v>
      </c>
      <c r="BA18" s="249">
        <v>23074</v>
      </c>
      <c r="BB18" s="249">
        <v>1930</v>
      </c>
      <c r="BC18" s="249">
        <v>2209</v>
      </c>
      <c r="BD18" s="249">
        <v>94</v>
      </c>
      <c r="BE18" s="249">
        <v>1310</v>
      </c>
      <c r="BF18" s="249">
        <v>19530</v>
      </c>
      <c r="BG18" s="249">
        <v>2000</v>
      </c>
      <c r="BH18" s="249">
        <v>35</v>
      </c>
      <c r="BI18" s="249">
        <v>725</v>
      </c>
      <c r="BJ18" s="249">
        <v>9588.38</v>
      </c>
      <c r="BK18" s="249">
        <v>146</v>
      </c>
      <c r="BL18" s="249">
        <v>3278</v>
      </c>
      <c r="BM18" s="249">
        <v>29105.38</v>
      </c>
      <c r="BN18" s="249">
        <v>1144</v>
      </c>
      <c r="BO18" s="249">
        <v>1164</v>
      </c>
      <c r="BP18" s="249">
        <v>1164.26873953194</v>
      </c>
      <c r="BQ18" s="249">
        <v>1145</v>
      </c>
      <c r="BR18" s="249">
        <v>1170.38888888889</v>
      </c>
      <c r="BS18" s="249">
        <v>1171.64322918249</v>
      </c>
      <c r="BT18" s="249">
        <v>1124</v>
      </c>
      <c r="BU18" s="249">
        <v>1175.44444444444</v>
      </c>
      <c r="BV18" s="249">
        <v>1177.91251765991</v>
      </c>
      <c r="BW18" s="249">
        <v>125</v>
      </c>
      <c r="BX18" s="249">
        <v>137.055555555556</v>
      </c>
      <c r="BY18" s="249">
        <v>137.744941974408</v>
      </c>
      <c r="BZ18" s="249">
        <v>23783</v>
      </c>
      <c r="CA18" s="249">
        <v>1036</v>
      </c>
      <c r="CB18" s="249">
        <v>4795</v>
      </c>
      <c r="CC18" s="249">
        <v>109</v>
      </c>
    </row>
    <row r="19" ht="15" customHeight="1" spans="1:34">
      <c r="A19" s="196" t="s">
        <v>316</v>
      </c>
      <c r="B19" s="80">
        <f>数据填报!C21</f>
        <v>1206.44</v>
      </c>
      <c r="C19" s="80">
        <f>T19/数据填报!$AT$2</f>
        <v>932.054794520548</v>
      </c>
      <c r="D19" s="80">
        <f>T19/数据填报!$AT$2*数据填报!$AY$2</f>
        <v>13048.7671232877</v>
      </c>
      <c r="E19" s="80">
        <f>数据填报!C44+数据填报!C21</f>
        <v>16959.08</v>
      </c>
      <c r="F19" s="80">
        <f t="shared" si="0"/>
        <v>3910.31287671235</v>
      </c>
      <c r="G19" s="80">
        <f>分月生产计划!O17-表一!T19/数据填报!$AT$2*(数据填报!$AT$2-数据填报!$AY$2)</f>
        <v>96933.6986301373</v>
      </c>
      <c r="H19" s="80">
        <f>历史产量!N17+表一!E19</f>
        <v>70759.08</v>
      </c>
      <c r="I19" s="475">
        <f t="shared" si="1"/>
        <v>-26174.6186301373</v>
      </c>
      <c r="J19" s="80">
        <f>数据填报!H21</f>
        <v>982.78</v>
      </c>
      <c r="K19" s="80">
        <f>U19/数据填报!$AT$2</f>
        <v>791.232876712329</v>
      </c>
      <c r="L19" s="80">
        <f>U19/数据填报!$AT$2*数据填报!$AY$2</f>
        <v>11077.2602739726</v>
      </c>
      <c r="M19" s="80">
        <f>数据填报!H44+数据填报!H21</f>
        <v>13858.73</v>
      </c>
      <c r="N19" s="80">
        <f t="shared" si="2"/>
        <v>2781.46972602738</v>
      </c>
      <c r="O19" s="80">
        <f>分月生产计划!O36-表一!U19/数据填报!$AT$2*(数据填报!$AT$2-数据填报!$AY$2)</f>
        <v>82288.2191780822</v>
      </c>
      <c r="P19" s="80">
        <f>历史产量!N36+表一!M19</f>
        <v>59258.73</v>
      </c>
      <c r="Q19" s="80">
        <f t="shared" si="3"/>
        <v>-23029.4891780822</v>
      </c>
      <c r="S19" s="196" t="s">
        <v>316</v>
      </c>
      <c r="T19" s="129">
        <v>27961.6438356164</v>
      </c>
      <c r="U19" s="129">
        <v>23736.9863013699</v>
      </c>
      <c r="W19" s="249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ht="15" customHeight="1" spans="1:23">
      <c r="A20" s="196" t="s">
        <v>317</v>
      </c>
      <c r="B20" s="80">
        <f>数据填报!C22</f>
        <v>2029.69</v>
      </c>
      <c r="C20" s="80">
        <f>T20/数据填报!$AT$2</f>
        <v>1381.3698630137</v>
      </c>
      <c r="D20" s="80">
        <f>T20/数据填报!$AT$2*数据填报!$AY$2</f>
        <v>19339.1780821918</v>
      </c>
      <c r="E20" s="80">
        <f>数据填报!C45+数据填报!C22</f>
        <v>28125.65</v>
      </c>
      <c r="F20" s="80">
        <f t="shared" si="0"/>
        <v>8786.4719178082</v>
      </c>
      <c r="G20" s="80">
        <f>分月生产计划!O18-表一!T20/数据填报!$AT$2*(数据填报!$AT$2-数据填报!$AY$2)</f>
        <v>143662.465753425</v>
      </c>
      <c r="H20" s="80">
        <f>历史产量!N18+表一!E20</f>
        <v>119427.65</v>
      </c>
      <c r="I20" s="80">
        <f t="shared" si="1"/>
        <v>-24234.8157534248</v>
      </c>
      <c r="J20" s="80">
        <f>数据填报!H22</f>
        <v>1641.71</v>
      </c>
      <c r="K20" s="80">
        <f>U20/数据填报!$AT$2</f>
        <v>1114.79452054795</v>
      </c>
      <c r="L20" s="80">
        <f>U20/数据填报!$AT$2*数据填报!$AY$2</f>
        <v>15607.1232876713</v>
      </c>
      <c r="M20" s="80">
        <f>数据填报!H45+数据填报!H22</f>
        <v>22819.08</v>
      </c>
      <c r="N20" s="80">
        <f t="shared" si="2"/>
        <v>7211.9567123287</v>
      </c>
      <c r="O20" s="80">
        <f>分月生产计划!O37-表一!U20/数据填报!$AT$2*(数据填报!$AT$2-数据填报!$AY$2)</f>
        <v>115938.630136987</v>
      </c>
      <c r="P20" s="80">
        <f>历史产量!N37+表一!M20</f>
        <v>95219.08</v>
      </c>
      <c r="Q20" s="80">
        <f t="shared" si="3"/>
        <v>-20719.5501369868</v>
      </c>
      <c r="S20" s="196" t="s">
        <v>317</v>
      </c>
      <c r="T20" s="129">
        <v>41441.095890411</v>
      </c>
      <c r="U20" s="129">
        <v>33443.8356164385</v>
      </c>
      <c r="W20" s="249"/>
    </row>
    <row r="21" ht="15" customHeight="1" spans="1:79">
      <c r="A21" s="196" t="s">
        <v>318</v>
      </c>
      <c r="B21" s="80">
        <f>数据填报!C23</f>
        <v>2825.91</v>
      </c>
      <c r="C21" s="80">
        <f>T21/数据填报!$AT$2</f>
        <v>2191.78082191781</v>
      </c>
      <c r="D21" s="80">
        <f>T21/数据填报!$AT$2*数据填报!$AY$2</f>
        <v>30684.9315068493</v>
      </c>
      <c r="E21" s="80">
        <f>数据填报!C46+数据填报!C23</f>
        <v>40267.1019999999</v>
      </c>
      <c r="F21" s="80">
        <f t="shared" si="0"/>
        <v>9582.17049315056</v>
      </c>
      <c r="G21" s="80">
        <f>分月生产计划!O19-表一!T21/数据填报!$AT$2*(数据填报!$AT$2-数据填报!$AY$2)</f>
        <v>227945.205479452</v>
      </c>
      <c r="H21" s="80">
        <f>历史产量!N19+表一!E21</f>
        <v>204346.667133333</v>
      </c>
      <c r="I21" s="80">
        <f t="shared" si="1"/>
        <v>-23598.5383461192</v>
      </c>
      <c r="J21" s="80">
        <f>数据填报!H23</f>
        <v>1136.39</v>
      </c>
      <c r="K21" s="80">
        <f>U21/数据填报!$AT$2</f>
        <v>821.917808219178</v>
      </c>
      <c r="L21" s="80">
        <f>U21/数据填报!$AT$2*数据填报!$AY$2</f>
        <v>11506.8493150685</v>
      </c>
      <c r="M21" s="80">
        <f>数据填报!H46+数据填报!H23</f>
        <v>15914.602</v>
      </c>
      <c r="N21" s="80">
        <f t="shared" si="2"/>
        <v>4407.75268493153</v>
      </c>
      <c r="O21" s="80">
        <f>分月生产计划!O38-表一!U21/数据填报!$AT$2*(数据填报!$AT$2-数据填报!$AY$2)</f>
        <v>85479.4520547945</v>
      </c>
      <c r="P21" s="80">
        <f>历史产量!N38+表一!M21</f>
        <v>79451.1888</v>
      </c>
      <c r="Q21" s="80">
        <f t="shared" si="3"/>
        <v>-6028.26325479447</v>
      </c>
      <c r="S21" s="196" t="s">
        <v>318</v>
      </c>
      <c r="T21" s="129">
        <v>65753.4246575343</v>
      </c>
      <c r="U21" s="129">
        <v>24657.5342465753</v>
      </c>
      <c r="W21" s="249"/>
      <c r="AT21" s="249">
        <v>2681</v>
      </c>
      <c r="AU21" s="249">
        <v>50972</v>
      </c>
      <c r="AV21" s="249">
        <v>454189</v>
      </c>
      <c r="AW21" s="249">
        <v>1200</v>
      </c>
      <c r="AX21" s="249">
        <v>1763</v>
      </c>
      <c r="AY21" s="249">
        <v>445</v>
      </c>
      <c r="AZ21" s="249">
        <v>5611</v>
      </c>
      <c r="BA21" s="249">
        <v>48264</v>
      </c>
      <c r="BB21" s="249">
        <v>1570</v>
      </c>
      <c r="BC21" s="249">
        <v>1095</v>
      </c>
      <c r="BN21" s="249">
        <v>1206</v>
      </c>
      <c r="BO21" s="249">
        <v>1210</v>
      </c>
      <c r="BP21" s="249">
        <v>1222</v>
      </c>
      <c r="BQ21" s="249">
        <v>797</v>
      </c>
      <c r="BR21" s="249">
        <v>908</v>
      </c>
      <c r="BS21" s="249">
        <v>840</v>
      </c>
      <c r="BT21" s="249">
        <v>941</v>
      </c>
      <c r="BU21" s="249">
        <v>986</v>
      </c>
      <c r="BV21" s="249">
        <v>1026</v>
      </c>
      <c r="BW21" s="249">
        <v>182</v>
      </c>
      <c r="BX21" s="249">
        <v>191</v>
      </c>
      <c r="BY21" s="249">
        <v>191</v>
      </c>
      <c r="BZ21" s="249">
        <v>14358</v>
      </c>
      <c r="CA21" s="249">
        <v>2475</v>
      </c>
    </row>
    <row r="22" ht="15" customHeight="1" spans="1:23">
      <c r="A22" s="196" t="s">
        <v>319</v>
      </c>
      <c r="B22" s="80">
        <f>数据填报!C24</f>
        <v>0</v>
      </c>
      <c r="C22" s="80">
        <f>T22/数据填报!$AT$2</f>
        <v>3194.52054794521</v>
      </c>
      <c r="D22" s="80">
        <f>T22/数据填报!$AT$2*数据填报!$AY$2</f>
        <v>44723.2876712329</v>
      </c>
      <c r="E22" s="80">
        <f>数据填报!C47+数据填报!C24</f>
        <v>19961.29248</v>
      </c>
      <c r="F22" s="80">
        <f t="shared" si="0"/>
        <v>-24761.9951912329</v>
      </c>
      <c r="G22" s="80">
        <f>分月生产计划!O20-表一!T22/数据填报!$AT$2*(数据填报!$AT$2-数据填报!$AY$2)</f>
        <v>332230.136986302</v>
      </c>
      <c r="H22" s="80">
        <f>历史产量!N20+表一!E22</f>
        <v>235172.29248</v>
      </c>
      <c r="I22" s="80">
        <f t="shared" si="1"/>
        <v>-97057.8445063016</v>
      </c>
      <c r="J22" s="80"/>
      <c r="K22" s="80">
        <f>U22/数据填报!$AT$2</f>
        <v>0</v>
      </c>
      <c r="L22" s="80">
        <f>U22/数据填报!$AT$2*数据填报!$AY$2</f>
        <v>0</v>
      </c>
      <c r="M22" s="80">
        <f>数据填报!H48+数据填报!H25</f>
        <v>0</v>
      </c>
      <c r="N22" s="80">
        <f t="shared" si="2"/>
        <v>0</v>
      </c>
      <c r="O22" s="80">
        <f>分月生产计划!O39-表一!U22/数据填报!$AT$2*(数据填报!$AT$2-数据填报!$AY$2)</f>
        <v>0</v>
      </c>
      <c r="P22" s="80">
        <f>历史产量!N39+表一!M22</f>
        <v>0</v>
      </c>
      <c r="Q22" s="80">
        <f t="shared" si="3"/>
        <v>0</v>
      </c>
      <c r="S22" s="196" t="s">
        <v>319</v>
      </c>
      <c r="T22" s="129">
        <v>95835.6164383563</v>
      </c>
      <c r="U22" s="129"/>
      <c r="W22" s="249"/>
    </row>
    <row r="23" ht="16.35" customHeight="1" spans="1:81">
      <c r="A23" s="196"/>
      <c r="B23" s="472" t="s">
        <v>7</v>
      </c>
      <c r="C23" s="473"/>
      <c r="D23" s="473"/>
      <c r="E23" s="473" t="s">
        <v>298</v>
      </c>
      <c r="F23" s="473">
        <f>T25</f>
        <v>940980.821917809</v>
      </c>
      <c r="G23" s="473" t="s">
        <v>299</v>
      </c>
      <c r="H23" s="473"/>
      <c r="I23" s="483">
        <f>E25/F23</f>
        <v>0.444780861895777</v>
      </c>
      <c r="J23" s="476" t="s">
        <v>8</v>
      </c>
      <c r="K23" s="474"/>
      <c r="L23" s="474"/>
      <c r="M23" s="474" t="s">
        <v>298</v>
      </c>
      <c r="N23" s="474">
        <f>U25</f>
        <v>391544.942465754</v>
      </c>
      <c r="O23" s="474" t="s">
        <v>320</v>
      </c>
      <c r="P23" s="474"/>
      <c r="Q23" s="485">
        <f>M25/N23</f>
        <v>0.382769697026819</v>
      </c>
      <c r="T23" s="384" t="s">
        <v>153</v>
      </c>
      <c r="U23" s="384" t="s">
        <v>154</v>
      </c>
      <c r="V23" s="104"/>
      <c r="W23" s="249"/>
      <c r="X23" s="488"/>
      <c r="AT23" s="249">
        <v>1307</v>
      </c>
      <c r="AU23" s="249">
        <v>34797.321</v>
      </c>
      <c r="AV23" s="249">
        <v>169926.641</v>
      </c>
      <c r="AX23" s="249">
        <v>9584</v>
      </c>
      <c r="BN23" s="249">
        <v>1057</v>
      </c>
      <c r="BO23" s="249">
        <v>1089</v>
      </c>
      <c r="BQ23" s="249">
        <v>352</v>
      </c>
      <c r="BR23" s="249">
        <v>339</v>
      </c>
      <c r="BT23" s="249">
        <v>815</v>
      </c>
      <c r="BU23" s="249">
        <v>807</v>
      </c>
      <c r="BW23" s="249">
        <v>142</v>
      </c>
      <c r="BX23" s="249">
        <v>149</v>
      </c>
      <c r="BZ23" s="249">
        <v>10270</v>
      </c>
      <c r="CA23" s="249">
        <v>1486.13</v>
      </c>
      <c r="CC23" s="249">
        <v>0</v>
      </c>
    </row>
    <row r="24" ht="16.35" customHeight="1" spans="1:24">
      <c r="A24" s="196"/>
      <c r="B24" s="196" t="s">
        <v>11</v>
      </c>
      <c r="C24" s="196" t="s">
        <v>225</v>
      </c>
      <c r="D24" s="196" t="s">
        <v>300</v>
      </c>
      <c r="E24" s="196" t="s">
        <v>227</v>
      </c>
      <c r="F24" s="196" t="s">
        <v>228</v>
      </c>
      <c r="G24" s="196" t="s">
        <v>301</v>
      </c>
      <c r="H24" s="196" t="s">
        <v>230</v>
      </c>
      <c r="I24" s="196" t="s">
        <v>231</v>
      </c>
      <c r="J24" s="196" t="s">
        <v>11</v>
      </c>
      <c r="K24" s="196" t="s">
        <v>225</v>
      </c>
      <c r="L24" s="196" t="s">
        <v>300</v>
      </c>
      <c r="M24" s="196" t="s">
        <v>227</v>
      </c>
      <c r="N24" s="196" t="s">
        <v>228</v>
      </c>
      <c r="O24" s="196" t="s">
        <v>301</v>
      </c>
      <c r="P24" s="196" t="s">
        <v>230</v>
      </c>
      <c r="Q24" s="196" t="s">
        <v>231</v>
      </c>
      <c r="T24" s="104" t="s">
        <v>302</v>
      </c>
      <c r="U24" s="104" t="s">
        <v>302</v>
      </c>
      <c r="V24" s="104"/>
      <c r="W24" s="249"/>
      <c r="X24" s="488"/>
    </row>
    <row r="25" ht="16.35" customHeight="1" spans="1:24">
      <c r="A25" s="471" t="s">
        <v>21</v>
      </c>
      <c r="B25" s="80">
        <f>SUM(B26:B42)</f>
        <v>29786.814</v>
      </c>
      <c r="C25" s="80">
        <f>SUM(C26:C42)</f>
        <v>31366.0273972603</v>
      </c>
      <c r="D25" s="80">
        <f>SUM(D26:D42)</f>
        <v>458459.742328767</v>
      </c>
      <c r="E25" s="80">
        <f>SUM(E26:E42)</f>
        <v>418530.261</v>
      </c>
      <c r="F25" s="80">
        <f t="shared" ref="F25:F35" si="4">E25-D25</f>
        <v>-39929.4813287674</v>
      </c>
      <c r="G25" s="80">
        <f>SUM(G26:G42)</f>
        <v>3262066.84931507</v>
      </c>
      <c r="H25" s="80">
        <f>SUM(H26:H42)</f>
        <v>2183775.802</v>
      </c>
      <c r="I25" s="80">
        <f>H25-G25</f>
        <v>-1078291.04731507</v>
      </c>
      <c r="J25" s="80">
        <f>SUM(J26:J42)</f>
        <v>10199.606</v>
      </c>
      <c r="K25" s="80">
        <f>SUM(K26:K42)</f>
        <v>13051.4980821918</v>
      </c>
      <c r="L25" s="80">
        <f>SUM(L26:L42)</f>
        <v>182720.973150685</v>
      </c>
      <c r="M25" s="80">
        <f>SUM(M26:M42)</f>
        <v>149871.539</v>
      </c>
      <c r="N25" s="80">
        <f t="shared" ref="N25:N42" si="5">M25-L25</f>
        <v>-32849.4341506849</v>
      </c>
      <c r="O25" s="475">
        <f>SUM(O26:O42)</f>
        <v>1357355.80054794</v>
      </c>
      <c r="P25" s="80">
        <f>SUM(P26:P42)</f>
        <v>1042085.47036065</v>
      </c>
      <c r="Q25" s="80">
        <f t="shared" ref="Q25:Q42" si="6">P25-O25</f>
        <v>-315270.330187297</v>
      </c>
      <c r="S25" s="196" t="s">
        <v>21</v>
      </c>
      <c r="T25" s="140">
        <v>940980.821917809</v>
      </c>
      <c r="U25" s="140">
        <v>391544.942465754</v>
      </c>
      <c r="V25" s="104"/>
      <c r="W25" s="249"/>
      <c r="X25" s="488"/>
    </row>
    <row r="26" ht="16.35" customHeight="1" spans="1:24">
      <c r="A26" s="196" t="s">
        <v>303</v>
      </c>
      <c r="B26" s="80">
        <f>数据填报!M7</f>
        <v>1612.8</v>
      </c>
      <c r="C26" s="80">
        <f>T26/数据填报!$AT$2</f>
        <v>1723.56164383562</v>
      </c>
      <c r="D26" s="80">
        <f>T26/数据填报!$AT$2*数据填报!$AY$2</f>
        <v>24129.8630136987</v>
      </c>
      <c r="E26" s="80">
        <f>数据填报!M31+表一!B26</f>
        <v>27087</v>
      </c>
      <c r="F26" s="80">
        <f t="shared" si="4"/>
        <v>2957.13698630132</v>
      </c>
      <c r="G26" s="80">
        <f>分月生产计划!O42-表一!T26/数据填报!$AT$2*(数据填报!$AT$2-数据填报!$AY$2)</f>
        <v>179250.410958904</v>
      </c>
      <c r="H26" s="80">
        <f>历史产量!N41+表一!E26</f>
        <v>137774.83</v>
      </c>
      <c r="I26" s="80">
        <f t="shared" ref="I26:I33" si="7">H26-G26</f>
        <v>-41475.5809589041</v>
      </c>
      <c r="J26" s="80">
        <f>数据填报!R7</f>
        <v>737.18</v>
      </c>
      <c r="K26" s="80">
        <f>U26/数据填报!$AT$2</f>
        <v>999.169315068493</v>
      </c>
      <c r="L26" s="80">
        <f>U26/数据填报!$AT$2*数据填报!$AY$2</f>
        <v>13988.3704109589</v>
      </c>
      <c r="M26" s="80">
        <f>数据填报!R31+表一!J26</f>
        <v>9920.93</v>
      </c>
      <c r="N26" s="80">
        <f t="shared" si="5"/>
        <v>-4067.44041095891</v>
      </c>
      <c r="O26" s="80">
        <f>分月生产计划!O61-表一!U26/数据填报!$AT$2*(数据填报!$AT$2-数据填报!$AY$2)</f>
        <v>103913.608767123</v>
      </c>
      <c r="P26" s="80">
        <f>历史产量!N59+表一!M26</f>
        <v>60525.2575870626</v>
      </c>
      <c r="Q26" s="80">
        <f t="shared" si="6"/>
        <v>-43388.3511800605</v>
      </c>
      <c r="S26" s="196" t="s">
        <v>303</v>
      </c>
      <c r="T26" s="129">
        <v>51706.8493150686</v>
      </c>
      <c r="U26" s="129">
        <v>29975.0794520548</v>
      </c>
      <c r="V26" s="104"/>
      <c r="W26" s="249"/>
      <c r="X26" s="488"/>
    </row>
    <row r="27" ht="16.35" customHeight="1" spans="1:80">
      <c r="A27" s="196" t="s">
        <v>304</v>
      </c>
      <c r="B27" s="80">
        <f>数据填报!M8</f>
        <v>1937</v>
      </c>
      <c r="C27" s="80">
        <f>T27/数据填报!$AT$2</f>
        <v>2146.02739726027</v>
      </c>
      <c r="D27" s="80">
        <f>T27/数据填报!$AT$2*数据填报!$AY$2</f>
        <v>30044.3835616438</v>
      </c>
      <c r="E27" s="80">
        <f>数据填报!M32+表一!B27</f>
        <v>26623.04</v>
      </c>
      <c r="F27" s="80">
        <f t="shared" si="4"/>
        <v>-3421.34356164378</v>
      </c>
      <c r="G27" s="80">
        <f>分月生产计划!O43-表一!T27/数据填报!$AT$2*(数据填报!$AT$2-数据填报!$AY$2)</f>
        <v>223186.849315069</v>
      </c>
      <c r="H27" s="80">
        <f>历史产量!N42+表一!E27</f>
        <v>78868.53</v>
      </c>
      <c r="I27" s="80">
        <f t="shared" si="7"/>
        <v>-144318.319315069</v>
      </c>
      <c r="J27" s="80">
        <f>数据填报!R8</f>
        <v>147</v>
      </c>
      <c r="K27" s="80">
        <f>U27/数据填报!$AT$2</f>
        <v>233.698630136986</v>
      </c>
      <c r="L27" s="80">
        <f>U27/数据填报!$AT$2*数据填报!$AY$2</f>
        <v>3271.7808219178</v>
      </c>
      <c r="M27" s="80">
        <f>数据填报!R32+表一!J27</f>
        <v>2988.11</v>
      </c>
      <c r="N27" s="80">
        <f t="shared" si="5"/>
        <v>-283.670821917804</v>
      </c>
      <c r="O27" s="80">
        <f>分月生产计划!O62-表一!U27/数据填报!$AT$2*(数据填报!$AT$2-数据填报!$AY$2)</f>
        <v>24304.6575342465</v>
      </c>
      <c r="P27" s="80">
        <f>历史产量!N60+表一!M27</f>
        <v>7664.71377358489</v>
      </c>
      <c r="Q27" s="80">
        <f t="shared" si="6"/>
        <v>-16639.9437606616</v>
      </c>
      <c r="S27" s="196" t="s">
        <v>304</v>
      </c>
      <c r="T27" s="129">
        <v>64380.8219178081</v>
      </c>
      <c r="U27" s="129">
        <v>7010.95890410958</v>
      </c>
      <c r="V27" s="104"/>
      <c r="W27" s="249"/>
      <c r="X27" s="488"/>
      <c r="BM27" s="249">
        <v>368</v>
      </c>
      <c r="BN27" s="249">
        <v>4500</v>
      </c>
      <c r="BO27" s="249">
        <v>526</v>
      </c>
      <c r="BQ27" s="249">
        <v>0</v>
      </c>
      <c r="BR27" s="249">
        <v>0</v>
      </c>
      <c r="BT27" s="249">
        <v>0</v>
      </c>
      <c r="BU27" s="249">
        <v>0</v>
      </c>
      <c r="BV27" s="249">
        <v>1760</v>
      </c>
      <c r="BW27" s="249">
        <v>1510</v>
      </c>
      <c r="BX27" s="249">
        <v>1530</v>
      </c>
      <c r="CA27" s="249">
        <v>8629</v>
      </c>
      <c r="CB27" s="249">
        <v>1771</v>
      </c>
    </row>
    <row r="28" ht="16.35" customHeight="1" spans="1:24">
      <c r="A28" s="196" t="s">
        <v>305</v>
      </c>
      <c r="B28" s="80">
        <f>数据填报!M9</f>
        <v>2645</v>
      </c>
      <c r="C28" s="80">
        <f>T28/数据填报!$AT$2</f>
        <v>3013.69863013699</v>
      </c>
      <c r="D28" s="80">
        <f>T28/数据填报!$AT$2*数据填报!$AY$2</f>
        <v>42191.7808219179</v>
      </c>
      <c r="E28" s="80">
        <f>数据填报!M33+表一!B28</f>
        <v>24098</v>
      </c>
      <c r="F28" s="80">
        <f t="shared" si="4"/>
        <v>-18093.7808219179</v>
      </c>
      <c r="G28" s="80">
        <f>分月生产计划!O44-表一!T28/数据填报!$AT$2*(数据填报!$AT$2-数据填报!$AY$2)</f>
        <v>313424.657534247</v>
      </c>
      <c r="H28" s="80">
        <f>历史产量!N43+表一!E28</f>
        <v>179460</v>
      </c>
      <c r="I28" s="80">
        <f t="shared" si="7"/>
        <v>-133964.657534247</v>
      </c>
      <c r="J28" s="80">
        <f>数据填报!R9</f>
        <v>0</v>
      </c>
      <c r="K28" s="80">
        <f>U28/数据填报!$AT$2</f>
        <v>0</v>
      </c>
      <c r="L28" s="80">
        <f>U28/数据填报!$AT$2*数据填报!$AY$2</f>
        <v>0</v>
      </c>
      <c r="M28" s="80">
        <f>数据填报!R33+表一!J28</f>
        <v>1181</v>
      </c>
      <c r="N28" s="80">
        <f t="shared" si="5"/>
        <v>1181</v>
      </c>
      <c r="O28" s="80">
        <f>分月生产计划!O63-表一!U28/数据填报!$AT$2*(数据填报!$AT$2-数据填报!$AY$2)</f>
        <v>0</v>
      </c>
      <c r="P28" s="80">
        <f>历史产量!N61+表一!M28</f>
        <v>1181</v>
      </c>
      <c r="Q28" s="80">
        <f t="shared" si="6"/>
        <v>1181</v>
      </c>
      <c r="S28" s="196" t="s">
        <v>305</v>
      </c>
      <c r="T28" s="129">
        <v>90410.9589041097</v>
      </c>
      <c r="U28" s="129">
        <v>0</v>
      </c>
      <c r="V28" s="104"/>
      <c r="W28" s="249"/>
      <c r="X28" s="488"/>
    </row>
    <row r="29" ht="16.35" customHeight="1" spans="1:24">
      <c r="A29" s="196" t="s">
        <v>306</v>
      </c>
      <c r="B29" s="80">
        <f>数据填报!M10</f>
        <v>0</v>
      </c>
      <c r="C29" s="80">
        <f>T29/数据填报!$AT$2</f>
        <v>986.301369863014</v>
      </c>
      <c r="D29" s="80">
        <f>T29/数据填报!$AT$2*数据填报!$AY$2</f>
        <v>13808.2191780822</v>
      </c>
      <c r="E29" s="80">
        <f>数据填报!M34+表一!B29</f>
        <v>0</v>
      </c>
      <c r="F29" s="80">
        <f t="shared" si="4"/>
        <v>-13808.2191780822</v>
      </c>
      <c r="G29" s="80">
        <f>分月生产计划!O45-表一!T29/数据填报!$AT$2*(数据填报!$AT$2-数据填报!$AY$2)</f>
        <v>102575.342465754</v>
      </c>
      <c r="H29" s="80">
        <f>历史产量!N44+表一!E29</f>
        <v>68600</v>
      </c>
      <c r="I29" s="80">
        <f t="shared" si="7"/>
        <v>-33975.3424657538</v>
      </c>
      <c r="J29" s="80">
        <f>数据填报!R10</f>
        <v>241</v>
      </c>
      <c r="K29" s="80">
        <f>U29/数据填报!$AT$2</f>
        <v>150.684931506849</v>
      </c>
      <c r="L29" s="80">
        <f>U29/数据填报!$AT$2*数据填报!$AY$2</f>
        <v>2109.58904109589</v>
      </c>
      <c r="M29" s="80">
        <f>数据填报!R34+表一!J29</f>
        <v>3125</v>
      </c>
      <c r="N29" s="80">
        <f t="shared" si="5"/>
        <v>1015.41095890411</v>
      </c>
      <c r="O29" s="80">
        <f>分月生产计划!O64-表一!U29/数据填报!$AT$2*(数据填报!$AT$2-数据填报!$AY$2)</f>
        <v>15671.2328767123</v>
      </c>
      <c r="P29" s="80">
        <f>历史产量!N62+表一!M29</f>
        <v>15825</v>
      </c>
      <c r="Q29" s="80">
        <f t="shared" si="6"/>
        <v>153.767123287684</v>
      </c>
      <c r="S29" s="476" t="s">
        <v>306</v>
      </c>
      <c r="T29" s="129">
        <v>29589.0410958904</v>
      </c>
      <c r="U29" s="129">
        <v>4520.54794520547</v>
      </c>
      <c r="V29" s="104"/>
      <c r="W29" s="249"/>
      <c r="X29" s="488"/>
    </row>
    <row r="30" ht="16.35" customHeight="1" spans="1:24">
      <c r="A30" s="196" t="s">
        <v>307</v>
      </c>
      <c r="B30" s="80">
        <f>数据填报!M11</f>
        <v>4192.9</v>
      </c>
      <c r="C30" s="80">
        <f>T30/数据填报!$AT$2</f>
        <v>4023.42465753425</v>
      </c>
      <c r="D30" s="80">
        <f>T30/数据填报!$AT$2*数据填报!$AY$2</f>
        <v>56327.9452054797</v>
      </c>
      <c r="E30" s="80">
        <f>数据填报!M35+表一!B30</f>
        <v>60206.75</v>
      </c>
      <c r="F30" s="80">
        <f t="shared" si="4"/>
        <v>3878.80479452026</v>
      </c>
      <c r="G30" s="80">
        <f>分月生产计划!O46-表一!T30/数据填报!$AT$2*(数据填报!$AT$2-数据填报!$AY$2)</f>
        <v>418436.164383562</v>
      </c>
      <c r="H30" s="80">
        <f>历史产量!N45+表一!E30</f>
        <v>338182.75</v>
      </c>
      <c r="I30" s="80">
        <f t="shared" si="7"/>
        <v>-80253.4143835618</v>
      </c>
      <c r="J30" s="80">
        <f>数据填报!R11</f>
        <v>553.746</v>
      </c>
      <c r="K30" s="80">
        <f>U30/数据填报!$AT$2</f>
        <v>698.630136986301</v>
      </c>
      <c r="L30" s="80">
        <f>U30/数据填报!$AT$2*数据填报!$AY$2</f>
        <v>9780.8219178082</v>
      </c>
      <c r="M30" s="80">
        <f>数据填报!R35+表一!J30</f>
        <v>8924.629</v>
      </c>
      <c r="N30" s="80">
        <f t="shared" si="5"/>
        <v>-856.192917808201</v>
      </c>
      <c r="O30" s="80">
        <f>分月生产计划!O65-表一!U30/数据填报!$AT$2*(数据填报!$AT$2-数据填报!$AY$2)</f>
        <v>72657.5342465752</v>
      </c>
      <c r="P30" s="80">
        <f>历史产量!N63+表一!M30</f>
        <v>65748.629</v>
      </c>
      <c r="Q30" s="80">
        <f t="shared" si="6"/>
        <v>-6908.9052465752</v>
      </c>
      <c r="S30" s="476" t="s">
        <v>307</v>
      </c>
      <c r="T30" s="129">
        <v>120702.739726028</v>
      </c>
      <c r="U30" s="129">
        <v>20958.904109589</v>
      </c>
      <c r="V30" s="104"/>
      <c r="W30" s="249"/>
      <c r="X30" s="488"/>
    </row>
    <row r="31" ht="16.35" customHeight="1" spans="1:24">
      <c r="A31" s="196" t="s">
        <v>308</v>
      </c>
      <c r="B31" s="80">
        <f>数据填报!M12</f>
        <v>4228.51</v>
      </c>
      <c r="C31" s="80">
        <f>T31/数据填报!$AT$2</f>
        <v>3013.69863013699</v>
      </c>
      <c r="D31" s="80">
        <f>T31/数据填报!$AT$2*数据填报!$AY$2</f>
        <v>42191.7808219179</v>
      </c>
      <c r="E31" s="80">
        <f>数据填报!M36+表一!B31</f>
        <v>57157.37</v>
      </c>
      <c r="F31" s="80">
        <f t="shared" si="4"/>
        <v>14965.5891780821</v>
      </c>
      <c r="G31" s="80">
        <f>分月生产计划!O47-表一!T31/数据填报!$AT$2*(数据填报!$AT$2-数据填报!$AY$2)</f>
        <v>313424.657534247</v>
      </c>
      <c r="H31" s="80">
        <f>历史产量!N46+表一!E31</f>
        <v>310297.37</v>
      </c>
      <c r="I31" s="80">
        <f t="shared" si="7"/>
        <v>-3127.28753424715</v>
      </c>
      <c r="J31" s="80">
        <f>数据填报!R12</f>
        <v>1997</v>
      </c>
      <c r="K31" s="80">
        <f>U31/数据填报!$AT$2</f>
        <v>1939.72602739726</v>
      </c>
      <c r="L31" s="80">
        <f>U31/数据填报!$AT$2*数据填报!$AY$2</f>
        <v>27156.1643835616</v>
      </c>
      <c r="M31" s="80">
        <f>数据填报!R36+表一!J31</f>
        <v>27774</v>
      </c>
      <c r="N31" s="80">
        <f t="shared" si="5"/>
        <v>617.835616438362</v>
      </c>
      <c r="O31" s="80">
        <f>分月生产计划!O66-表一!U31/数据填报!$AT$2*(数据填报!$AT$2-数据填报!$AY$2)</f>
        <v>201731.506849315</v>
      </c>
      <c r="P31" s="80">
        <f>历史产量!N64+表一!M31</f>
        <v>158054</v>
      </c>
      <c r="Q31" s="80">
        <f t="shared" si="6"/>
        <v>-43677.5068493148</v>
      </c>
      <c r="S31" s="476" t="s">
        <v>308</v>
      </c>
      <c r="T31" s="129">
        <v>90410.9589041097</v>
      </c>
      <c r="U31" s="129">
        <v>58191.7808219178</v>
      </c>
      <c r="V31" s="104"/>
      <c r="W31" s="249"/>
      <c r="X31" s="488"/>
    </row>
    <row r="32" ht="16.35" customHeight="1" spans="1:24">
      <c r="A32" s="196" t="s">
        <v>309</v>
      </c>
      <c r="B32" s="80">
        <f>数据填报!M13</f>
        <v>2871</v>
      </c>
      <c r="C32" s="80">
        <f>T32/数据填报!$AT$2</f>
        <v>3451.09589041096</v>
      </c>
      <c r="D32" s="80">
        <f>T32/数据填报!$AT$2*数据填报!$AY$2</f>
        <v>48315.3424657535</v>
      </c>
      <c r="E32" s="80">
        <f>数据填报!M37+表一!B32</f>
        <v>40602</v>
      </c>
      <c r="F32" s="80">
        <f t="shared" si="4"/>
        <v>-7713.34246575354</v>
      </c>
      <c r="G32" s="80">
        <f>分月生产计划!O48-表一!T32/数据填报!$AT$2*(数据填报!$AT$2-数据填报!$AY$2)</f>
        <v>358913.972602741</v>
      </c>
      <c r="H32" s="80">
        <f>历史产量!N47+表一!E32</f>
        <v>231102</v>
      </c>
      <c r="I32" s="80">
        <f t="shared" si="7"/>
        <v>-127811.972602741</v>
      </c>
      <c r="J32" s="80">
        <f>数据填报!R13</f>
        <v>1280</v>
      </c>
      <c r="K32" s="80">
        <f>U32/数据填报!$AT$2</f>
        <v>1406.84931506849</v>
      </c>
      <c r="L32" s="80">
        <f>U32/数据填报!$AT$2*数据填报!$AY$2</f>
        <v>19695.8904109589</v>
      </c>
      <c r="M32" s="80">
        <f>数据填报!R37+表一!J32</f>
        <v>15727</v>
      </c>
      <c r="N32" s="80">
        <f t="shared" si="5"/>
        <v>-3968.89041095886</v>
      </c>
      <c r="O32" s="80">
        <f>分月生产计划!O67-表一!U32/数据填报!$AT$2*(数据填报!$AT$2-数据填报!$AY$2)</f>
        <v>146312.328767123</v>
      </c>
      <c r="P32" s="80">
        <f>历史产量!N65+表一!M32</f>
        <v>106227</v>
      </c>
      <c r="Q32" s="80">
        <f t="shared" si="6"/>
        <v>-40085.3287671232</v>
      </c>
      <c r="S32" s="476" t="s">
        <v>309</v>
      </c>
      <c r="T32" s="129">
        <v>103532.876712329</v>
      </c>
      <c r="U32" s="129">
        <v>42205.4794520547</v>
      </c>
      <c r="V32" s="104"/>
      <c r="W32" s="249"/>
      <c r="X32" s="488"/>
    </row>
    <row r="33" ht="16.35" customHeight="1" spans="1:24">
      <c r="A33" s="196" t="s">
        <v>310</v>
      </c>
      <c r="B33" s="80">
        <f>数据填报!M14</f>
        <v>2825.77</v>
      </c>
      <c r="C33" s="80">
        <f>T33/数据填报!$AT$2</f>
        <v>4150.68493150685</v>
      </c>
      <c r="D33" s="80">
        <f>T33/数据填报!$AT$2*数据填报!$AY$2</f>
        <v>58109.5890410957</v>
      </c>
      <c r="E33" s="80">
        <f>数据填报!M38+表一!B33</f>
        <v>40957.57</v>
      </c>
      <c r="F33" s="80">
        <f t="shared" si="4"/>
        <v>-17152.0190410957</v>
      </c>
      <c r="G33" s="80">
        <f>分月生产计划!O49-表一!T33/数据填报!$AT$2*(数据填报!$AT$2-数据填报!$AY$2)</f>
        <v>431671.232876712</v>
      </c>
      <c r="H33" s="80">
        <f>历史产量!N48+表一!E33</f>
        <v>245257.57</v>
      </c>
      <c r="I33" s="80">
        <f t="shared" si="7"/>
        <v>-186413.662876712</v>
      </c>
      <c r="J33" s="80">
        <f>数据填报!R14</f>
        <v>2531.8</v>
      </c>
      <c r="K33" s="80">
        <f>U33/数据填报!$AT$2</f>
        <v>2422.19178082192</v>
      </c>
      <c r="L33" s="80">
        <f>U33/数据填报!$AT$2*数据填报!$AY$2</f>
        <v>33910.6849315069</v>
      </c>
      <c r="M33" s="80">
        <f>数据填报!R38+表一!J33</f>
        <v>36113.19</v>
      </c>
      <c r="N33" s="80">
        <f t="shared" si="5"/>
        <v>2202.50506849312</v>
      </c>
      <c r="O33" s="80">
        <f>分月生产计划!O68-表一!U33/数据填报!$AT$2*(数据填报!$AT$2-数据填报!$AY$2)</f>
        <v>251907.945205479</v>
      </c>
      <c r="P33" s="80">
        <f>历史产量!N66+表一!M33</f>
        <v>225013.19</v>
      </c>
      <c r="Q33" s="80">
        <f t="shared" si="6"/>
        <v>-26894.7552054792</v>
      </c>
      <c r="S33" s="476" t="s">
        <v>310</v>
      </c>
      <c r="T33" s="129">
        <v>124520.547945205</v>
      </c>
      <c r="U33" s="129">
        <v>72665.7534246576</v>
      </c>
      <c r="V33" s="104"/>
      <c r="W33" s="249"/>
      <c r="X33" s="488"/>
    </row>
    <row r="34" ht="16.35" customHeight="1" spans="1:24">
      <c r="A34" s="196" t="s">
        <v>311</v>
      </c>
      <c r="B34" s="80">
        <f>数据填报!M15</f>
        <v>2508.49</v>
      </c>
      <c r="C34" s="80">
        <f>T34/数据填报!$AT$2</f>
        <v>3197.2602739726</v>
      </c>
      <c r="D34" s="80">
        <f>T34/数据填报!$AT$2*数据填报!$AY$2</f>
        <v>44761.6438356164</v>
      </c>
      <c r="E34" s="80">
        <f>数据填报!M39+表一!B34</f>
        <v>46140.53</v>
      </c>
      <c r="F34" s="80">
        <f t="shared" si="4"/>
        <v>1378.8861643836</v>
      </c>
      <c r="G34" s="80">
        <f>分月生产计划!O50-表一!T34/数据填报!$AT$2*(数据填报!$AT$2-数据填报!$AY$2)</f>
        <v>332515.06849315</v>
      </c>
      <c r="H34" s="80">
        <f>历史产量!N49+表一!E34</f>
        <v>141840.53</v>
      </c>
      <c r="I34" s="80">
        <v>56</v>
      </c>
      <c r="J34" s="80">
        <f>数据填报!R15</f>
        <v>717.18</v>
      </c>
      <c r="K34" s="80">
        <f>U34/数据填报!$AT$2</f>
        <v>542.054794520548</v>
      </c>
      <c r="L34" s="80">
        <f>U34/数据填报!$AT$2*数据填报!$AY$2</f>
        <v>7588.76712328765</v>
      </c>
      <c r="M34" s="80">
        <f>数据填报!R39+表一!J34</f>
        <v>10324.23</v>
      </c>
      <c r="N34" s="80">
        <f t="shared" si="5"/>
        <v>2735.46287671235</v>
      </c>
      <c r="O34" s="80">
        <f>分月生产计划!O69-表一!U34/数据填报!$AT$2*(数据填报!$AT$2-数据填报!$AY$2)</f>
        <v>56373.698630137</v>
      </c>
      <c r="P34" s="80">
        <f>历史产量!N67+表一!M34</f>
        <v>54824.23</v>
      </c>
      <c r="Q34" s="80">
        <f t="shared" si="6"/>
        <v>-1549.46863013696</v>
      </c>
      <c r="S34" s="476" t="s">
        <v>311</v>
      </c>
      <c r="T34" s="129">
        <v>95917.808219178</v>
      </c>
      <c r="U34" s="129">
        <v>16261.6438356164</v>
      </c>
      <c r="V34" s="104"/>
      <c r="W34" s="249"/>
      <c r="X34" s="488"/>
    </row>
    <row r="35" ht="16.35" customHeight="1" spans="1:24">
      <c r="A35" s="196" t="s">
        <v>312</v>
      </c>
      <c r="B35" s="80">
        <f>数据填报!M16</f>
        <v>0</v>
      </c>
      <c r="C35" s="80">
        <f>T35/数据填报!$AT$2</f>
        <v>82.1917808219178</v>
      </c>
      <c r="D35" s="80">
        <f>T35/数据填报!$AT$2*数据填报!$AY$2</f>
        <v>1150.68493150685</v>
      </c>
      <c r="E35" s="80">
        <f>数据填报!M40+表一!B35</f>
        <v>0</v>
      </c>
      <c r="F35" s="80">
        <f t="shared" si="4"/>
        <v>-1150.68493150685</v>
      </c>
      <c r="G35" s="80">
        <f>分月生产计划!O51-表一!T35/数据填报!$AT$2*(数据填报!$AT$2-数据填报!$AY$2)</f>
        <v>8547.94520547945</v>
      </c>
      <c r="H35" s="80">
        <f>历史产量!N50+表一!E35</f>
        <v>0</v>
      </c>
      <c r="I35" s="80">
        <f>H35-G35</f>
        <v>-8547.94520547945</v>
      </c>
      <c r="J35" s="80">
        <f>数据填报!R16</f>
        <v>260</v>
      </c>
      <c r="K35" s="80">
        <f>U35/数据填报!$AT$2</f>
        <v>328.767123287671</v>
      </c>
      <c r="L35" s="80">
        <f>U35/数据填报!$AT$2*数据填报!$AY$2</f>
        <v>4602.73972602739</v>
      </c>
      <c r="M35" s="80">
        <f>数据填报!R40+表一!J35</f>
        <v>3499</v>
      </c>
      <c r="N35" s="80">
        <f t="shared" si="5"/>
        <v>-1103.73972602739</v>
      </c>
      <c r="O35" s="80">
        <f>分月生产计划!O70-表一!U35/数据填报!$AT$2*(数据填报!$AT$2-数据填报!$AY$2)</f>
        <v>34191.7808219178</v>
      </c>
      <c r="P35" s="80">
        <f>历史产量!N68+表一!M35</f>
        <v>21499</v>
      </c>
      <c r="Q35" s="80">
        <f t="shared" si="6"/>
        <v>-12692.7808219178</v>
      </c>
      <c r="S35" s="476" t="s">
        <v>312</v>
      </c>
      <c r="T35" s="129">
        <v>2465.75342465753</v>
      </c>
      <c r="U35" s="129">
        <v>9863.01369863013</v>
      </c>
      <c r="V35" s="104"/>
      <c r="W35" s="249"/>
      <c r="X35" s="488"/>
    </row>
    <row r="36" ht="16.35" customHeight="1" spans="1:24">
      <c r="A36" s="196" t="s">
        <v>313</v>
      </c>
      <c r="B36" s="80"/>
      <c r="C36" s="80"/>
      <c r="D36" s="80"/>
      <c r="E36" s="80"/>
      <c r="F36" s="80"/>
      <c r="G36" s="80"/>
      <c r="H36" s="80"/>
      <c r="I36" s="80"/>
      <c r="J36" s="80">
        <f>数据填报!R17</f>
        <v>1100</v>
      </c>
      <c r="K36" s="80">
        <f>U36/数据填报!$AT$2</f>
        <v>876.712328767123</v>
      </c>
      <c r="L36" s="80">
        <f>U36/数据填报!$AT$2*数据填报!$AY$2</f>
        <v>12273.9726027397</v>
      </c>
      <c r="M36" s="80">
        <f>数据填报!R41+表一!J36</f>
        <v>2131</v>
      </c>
      <c r="N36" s="80">
        <f t="shared" si="5"/>
        <v>-10142.9726027397</v>
      </c>
      <c r="O36" s="80">
        <f>分月生产计划!O71-表一!U36/数据填报!$AT$2*(数据填报!$AT$2-数据填报!$AY$2)</f>
        <v>91178.082191781</v>
      </c>
      <c r="P36" s="80">
        <f>历史产量!N69+表一!M36</f>
        <v>66831</v>
      </c>
      <c r="Q36" s="80">
        <f t="shared" si="6"/>
        <v>-24347.082191781</v>
      </c>
      <c r="S36" s="476" t="s">
        <v>313</v>
      </c>
      <c r="T36" s="128"/>
      <c r="U36" s="129">
        <v>26301.3698630137</v>
      </c>
      <c r="V36" s="104"/>
      <c r="W36" s="249"/>
      <c r="X36" s="488"/>
    </row>
    <row r="37" ht="16.35" customHeight="1" spans="1:24">
      <c r="A37" s="196" t="s">
        <v>314</v>
      </c>
      <c r="B37" s="80">
        <f>数据填报!M18</f>
        <v>0</v>
      </c>
      <c r="C37" s="80">
        <f>T37/数据填报!$AT$2</f>
        <v>0</v>
      </c>
      <c r="D37" s="80">
        <f>T37/数据填报!$AT$2*数据填报!$AY$2</f>
        <v>0</v>
      </c>
      <c r="E37" s="80">
        <f>数据填报!M42+表一!B37</f>
        <v>0</v>
      </c>
      <c r="F37" s="80">
        <f>E37-D37</f>
        <v>0</v>
      </c>
      <c r="G37" s="80">
        <f>分月生产计划!O53-表一!T37/数据填报!$AT$2*(数据填报!$AT$2-数据填报!$AY$2)</f>
        <v>0</v>
      </c>
      <c r="H37" s="80">
        <f>历史产量!N52+表一!E37</f>
        <v>0</v>
      </c>
      <c r="I37" s="80">
        <f>H37-G37</f>
        <v>0</v>
      </c>
      <c r="J37" s="80">
        <f>数据填报!R18</f>
        <v>0</v>
      </c>
      <c r="K37" s="80">
        <f>U37/数据填报!$AT$2</f>
        <v>0</v>
      </c>
      <c r="L37" s="80">
        <f>U37/数据填报!$AT$2*数据填报!$AY$2</f>
        <v>0</v>
      </c>
      <c r="M37" s="80">
        <f>数据填报!R42+表一!J37</f>
        <v>0</v>
      </c>
      <c r="N37" s="80">
        <f t="shared" si="5"/>
        <v>0</v>
      </c>
      <c r="O37" s="80">
        <f>分月生产计划!O72-表一!U37/数据填报!$AT$2*(数据填报!$AT$2-数据填报!$AY$2)</f>
        <v>0</v>
      </c>
      <c r="P37" s="80">
        <f>历史产量!N70+表一!M37</f>
        <v>0</v>
      </c>
      <c r="Q37" s="80">
        <f t="shared" si="6"/>
        <v>0</v>
      </c>
      <c r="S37" s="476" t="s">
        <v>314</v>
      </c>
      <c r="T37" s="129">
        <v>0</v>
      </c>
      <c r="U37" s="129">
        <v>0</v>
      </c>
      <c r="V37" s="104"/>
      <c r="W37" s="249"/>
      <c r="X37" s="488"/>
    </row>
    <row r="38" ht="16.35" customHeight="1" spans="1:24">
      <c r="A38" s="196" t="s">
        <v>315</v>
      </c>
      <c r="B38" s="80">
        <f>数据填报!M20</f>
        <v>1308</v>
      </c>
      <c r="C38" s="80">
        <f>T38/数据填报!$AT$2</f>
        <v>1232.87671232877</v>
      </c>
      <c r="D38" s="80">
        <f>T38/数据填报!$AT$2*数据填报!$AY$2</f>
        <v>17260.2739726028</v>
      </c>
      <c r="E38" s="80">
        <f>数据填报!M43+表一!B38</f>
        <v>17051</v>
      </c>
      <c r="F38" s="80">
        <f>E38-D38</f>
        <v>-209.273972602779</v>
      </c>
      <c r="G38" s="80">
        <f>分月生产计划!O54-表一!T38/数据填报!$AT$2*(数据填报!$AT$2-数据填报!$AY$2)</f>
        <v>128219.178082192</v>
      </c>
      <c r="H38" s="80">
        <f>历史产量!N53+表一!E38</f>
        <v>96451</v>
      </c>
      <c r="I38" s="80">
        <f>H38-G38</f>
        <v>-31768.1780821917</v>
      </c>
      <c r="J38" s="80">
        <f>数据填报!R20</f>
        <v>62</v>
      </c>
      <c r="K38" s="80">
        <f>U38/数据填报!$AT$2</f>
        <v>54.7945205479452</v>
      </c>
      <c r="L38" s="80">
        <f>U38/数据填报!$AT$2*数据填报!$AY$2</f>
        <v>767.123287671235</v>
      </c>
      <c r="M38" s="80">
        <f>数据填报!R43+表一!J38</f>
        <v>895</v>
      </c>
      <c r="N38" s="80">
        <f t="shared" si="5"/>
        <v>127.876712328765</v>
      </c>
      <c r="O38" s="80">
        <f>分月生产计划!O73-表一!U38/数据填报!$AT$2*(数据填报!$AT$2-数据填报!$AY$2)</f>
        <v>5698.6301369863</v>
      </c>
      <c r="P38" s="80">
        <f>历史产量!N71+表一!M38</f>
        <v>4695</v>
      </c>
      <c r="Q38" s="80">
        <f t="shared" si="6"/>
        <v>-1003.6301369863</v>
      </c>
      <c r="S38" s="476" t="s">
        <v>315</v>
      </c>
      <c r="T38" s="129">
        <v>36986.3013698631</v>
      </c>
      <c r="U38" s="129">
        <v>1643.83561643836</v>
      </c>
      <c r="V38" s="104"/>
      <c r="W38" s="249"/>
      <c r="X38" s="488"/>
    </row>
    <row r="39" ht="16.35" customHeight="1" spans="1:24">
      <c r="A39" s="196" t="s">
        <v>316</v>
      </c>
      <c r="B39" s="80">
        <f>数据填报!M21</f>
        <v>1320</v>
      </c>
      <c r="C39" s="80">
        <f>T39/数据填报!$AT$2</f>
        <v>1108.21917808219</v>
      </c>
      <c r="D39" s="80">
        <f>数据基表!D251</f>
        <v>23041.53</v>
      </c>
      <c r="E39" s="80">
        <f>数据填报!M44+表一!B39</f>
        <v>18594.28</v>
      </c>
      <c r="F39" s="80">
        <f>E39-D39</f>
        <v>-4447.25</v>
      </c>
      <c r="G39" s="80">
        <f>分月生产计划!O55-表一!T39/数据填报!$AT$2*(数据填报!$AT$2-数据填报!$AY$2)</f>
        <v>115254.794520548</v>
      </c>
      <c r="H39" s="80">
        <f>历史产量!N54+表一!E39</f>
        <v>80594.28</v>
      </c>
      <c r="I39" s="80">
        <f>H39-G39</f>
        <v>-34660.514520548</v>
      </c>
      <c r="J39" s="80">
        <f>数据填报!R21</f>
        <v>211</v>
      </c>
      <c r="K39" s="80">
        <f>U39/数据填报!$AT$2</f>
        <v>132.876712328767</v>
      </c>
      <c r="L39" s="80">
        <f>U39/数据填报!$AT$2*数据填报!$AY$2</f>
        <v>1860.27397260274</v>
      </c>
      <c r="M39" s="80">
        <f>数据填报!R44+表一!J39</f>
        <v>2927.6</v>
      </c>
      <c r="N39" s="80">
        <f t="shared" si="5"/>
        <v>1067.32602739726</v>
      </c>
      <c r="O39" s="80">
        <f>分月生产计划!O74-表一!U39/数据填报!$AT$2*(数据填报!$AT$2-数据填报!$AY$2)</f>
        <v>13819.1780821918</v>
      </c>
      <c r="P39" s="80">
        <f>历史产量!N72+表一!M39</f>
        <v>10727.6</v>
      </c>
      <c r="Q39" s="80">
        <f t="shared" si="6"/>
        <v>-3091.57808219183</v>
      </c>
      <c r="S39" s="476" t="s">
        <v>316</v>
      </c>
      <c r="T39" s="129">
        <v>33246.5753424657</v>
      </c>
      <c r="U39" s="129">
        <v>3986.30136986301</v>
      </c>
      <c r="V39" s="104"/>
      <c r="W39" s="249"/>
      <c r="X39" s="488"/>
    </row>
    <row r="40" ht="16.35" customHeight="1" spans="1:24">
      <c r="A40" s="196" t="s">
        <v>317</v>
      </c>
      <c r="B40" s="80">
        <f>数据填报!M22</f>
        <v>2562</v>
      </c>
      <c r="C40" s="80">
        <f>T40/数据填报!$AT$2</f>
        <v>1812.32876712329</v>
      </c>
      <c r="D40" s="80">
        <f>数据基表!D265</f>
        <v>37181.5</v>
      </c>
      <c r="E40" s="80">
        <f>数据填报!M45+表一!B40</f>
        <v>35170</v>
      </c>
      <c r="F40" s="80">
        <f>E40-D40</f>
        <v>-2011.5</v>
      </c>
      <c r="G40" s="80">
        <f>分月生产计划!O56-表一!T40/数据填报!$AT$2*(数据填报!$AT$2-数据填报!$AY$2)</f>
        <v>188482.191780822</v>
      </c>
      <c r="H40" s="80">
        <f>历史产量!N55+表一!E40</f>
        <v>151570</v>
      </c>
      <c r="I40" s="80">
        <f>H40-G40</f>
        <v>-36912.1917808224</v>
      </c>
      <c r="J40" s="80">
        <f>数据填报!R22</f>
        <v>361.7</v>
      </c>
      <c r="K40" s="80">
        <f>U40/数据填报!$AT$2</f>
        <v>251.643835616438</v>
      </c>
      <c r="L40" s="80">
        <f>U40/数据填报!$AT$2*数据填报!$AY$2</f>
        <v>3523.01369863013</v>
      </c>
      <c r="M40" s="80">
        <f>数据填报!R45+表一!J40</f>
        <v>4724.8</v>
      </c>
      <c r="N40" s="80">
        <f t="shared" si="5"/>
        <v>1201.78630136987</v>
      </c>
      <c r="O40" s="80">
        <f>分月生产计划!O75-表一!U40/数据填报!$AT$2*(数据填报!$AT$2-数据填报!$AY$2)</f>
        <v>26170.9589041096</v>
      </c>
      <c r="P40" s="80">
        <f>历史产量!N73+表一!M40</f>
        <v>20624.8</v>
      </c>
      <c r="Q40" s="80">
        <f t="shared" si="6"/>
        <v>-5546.15890410959</v>
      </c>
      <c r="S40" s="476" t="s">
        <v>317</v>
      </c>
      <c r="T40" s="129">
        <v>54369.8630136987</v>
      </c>
      <c r="U40" s="129">
        <v>7549.31506849314</v>
      </c>
      <c r="V40" s="104"/>
      <c r="W40" s="249"/>
      <c r="X40" s="488"/>
    </row>
    <row r="41" ht="16.35" customHeight="1" spans="1:24">
      <c r="A41" s="196" t="s">
        <v>318</v>
      </c>
      <c r="B41" s="80">
        <f>数据填报!M23</f>
        <v>1775.344</v>
      </c>
      <c r="C41" s="80">
        <f>T41/数据填报!$AT$2</f>
        <v>1424.65753424658</v>
      </c>
      <c r="D41" s="80">
        <f>T41/数据填报!$AT$2*数据填报!$AY$2</f>
        <v>19945.2054794521</v>
      </c>
      <c r="E41" s="80">
        <f>数据填报!M46+表一!B41</f>
        <v>24842.721</v>
      </c>
      <c r="F41" s="80">
        <f>E41-D41</f>
        <v>4897.51552054788</v>
      </c>
      <c r="G41" s="80">
        <f>分月生产计划!O57-表一!T41/数据填报!$AT$2*(数据填报!$AT$2-数据填报!$AY$2)</f>
        <v>148164.383561644</v>
      </c>
      <c r="H41" s="80">
        <f>历史产量!N56+表一!E41</f>
        <v>123776.942</v>
      </c>
      <c r="I41" s="80">
        <f>H41-G41</f>
        <v>-24387.4415616437</v>
      </c>
      <c r="J41" s="80">
        <f>数据填报!R23</f>
        <v>0</v>
      </c>
      <c r="K41" s="80">
        <f>U41/数据填报!$AT$2</f>
        <v>0</v>
      </c>
      <c r="L41" s="80">
        <f>U41/数据填报!$AT$2*数据填报!$AY$2</f>
        <v>0</v>
      </c>
      <c r="M41" s="80">
        <f>数据填报!R46+表一!J41</f>
        <v>0</v>
      </c>
      <c r="N41" s="80">
        <f t="shared" si="5"/>
        <v>0</v>
      </c>
      <c r="O41" s="80">
        <f>分月生产计划!O76-表一!U41/数据填报!$AT$2*(数据填报!$AT$2-数据填报!$AY$2)</f>
        <v>0</v>
      </c>
      <c r="P41" s="80">
        <f>历史产量!N74+表一!M41</f>
        <v>0</v>
      </c>
      <c r="Q41" s="80">
        <f t="shared" si="6"/>
        <v>0</v>
      </c>
      <c r="S41" s="476" t="s">
        <v>318</v>
      </c>
      <c r="T41" s="129">
        <v>42739.7260273974</v>
      </c>
      <c r="U41" s="129"/>
      <c r="V41" s="104"/>
      <c r="W41" s="249"/>
      <c r="X41" s="488"/>
    </row>
    <row r="42" ht="16.35" customHeight="1" spans="1:24">
      <c r="A42" s="196" t="s">
        <v>319</v>
      </c>
      <c r="B42" s="80"/>
      <c r="C42" s="80"/>
      <c r="D42" s="80"/>
      <c r="E42" s="80"/>
      <c r="F42" s="80"/>
      <c r="G42" s="80"/>
      <c r="H42" s="80"/>
      <c r="I42" s="80"/>
      <c r="J42" s="80">
        <f>数据填报!R24</f>
        <v>0</v>
      </c>
      <c r="K42" s="80">
        <f>U42/数据填报!$AT$2</f>
        <v>3013.69863013699</v>
      </c>
      <c r="L42" s="80">
        <f>U42/数据填报!$AT$2*数据填报!$AY$2</f>
        <v>42191.7808219179</v>
      </c>
      <c r="M42" s="80">
        <f>数据填报!R47+表一!J42</f>
        <v>19616.05</v>
      </c>
      <c r="N42" s="80">
        <f t="shared" si="5"/>
        <v>-22575.7308219179</v>
      </c>
      <c r="O42" s="80">
        <f>分月生产计划!O77-表一!U42/数据填报!$AT$2*(数据填报!$AT$2-数据填报!$AY$2)</f>
        <v>313424.657534247</v>
      </c>
      <c r="P42" s="80">
        <f>历史产量!N75+表一!M42</f>
        <v>222645.05</v>
      </c>
      <c r="Q42" s="80">
        <f t="shared" si="6"/>
        <v>-90779.6075342472</v>
      </c>
      <c r="S42" s="196" t="s">
        <v>319</v>
      </c>
      <c r="T42" s="129"/>
      <c r="U42" s="129">
        <v>90410.9589041097</v>
      </c>
      <c r="V42" s="221"/>
      <c r="W42" s="249"/>
      <c r="X42" s="489"/>
    </row>
    <row r="43" ht="13.5" customHeight="1" spans="1:23">
      <c r="A43" s="471" t="s">
        <v>98</v>
      </c>
      <c r="B43" s="476" t="s">
        <v>321</v>
      </c>
      <c r="C43" s="474"/>
      <c r="D43" s="474"/>
      <c r="E43" s="474" t="s">
        <v>298</v>
      </c>
      <c r="F43" s="474">
        <f>T45</f>
        <v>201150</v>
      </c>
      <c r="G43" s="477" t="s">
        <v>299</v>
      </c>
      <c r="H43" s="477"/>
      <c r="I43" s="485">
        <f>E45/F43</f>
        <v>1.04157503852846</v>
      </c>
      <c r="J43" s="476" t="s">
        <v>10</v>
      </c>
      <c r="K43" s="474"/>
      <c r="L43" s="474"/>
      <c r="M43" s="474" t="s">
        <v>298</v>
      </c>
      <c r="N43" s="474">
        <f>U45</f>
        <v>231750</v>
      </c>
      <c r="O43" s="474" t="s">
        <v>320</v>
      </c>
      <c r="P43" s="474"/>
      <c r="Q43" s="485">
        <f>M45/N43</f>
        <v>0.316631024811219</v>
      </c>
      <c r="T43" s="384" t="s">
        <v>156</v>
      </c>
      <c r="U43" s="384" t="s">
        <v>246</v>
      </c>
      <c r="W43" s="249"/>
    </row>
    <row r="44" ht="15" customHeight="1" spans="1:23">
      <c r="A44" s="471"/>
      <c r="B44" s="196" t="s">
        <v>11</v>
      </c>
      <c r="C44" s="196" t="s">
        <v>225</v>
      </c>
      <c r="D44" s="196" t="s">
        <v>300</v>
      </c>
      <c r="E44" s="196" t="s">
        <v>227</v>
      </c>
      <c r="F44" s="196" t="s">
        <v>228</v>
      </c>
      <c r="G44" s="196" t="s">
        <v>301</v>
      </c>
      <c r="H44" s="196" t="s">
        <v>230</v>
      </c>
      <c r="I44" s="196" t="s">
        <v>231</v>
      </c>
      <c r="J44" s="196" t="s">
        <v>11</v>
      </c>
      <c r="K44" s="196" t="s">
        <v>225</v>
      </c>
      <c r="L44" s="196" t="s">
        <v>300</v>
      </c>
      <c r="M44" s="196" t="s">
        <v>227</v>
      </c>
      <c r="N44" s="196" t="s">
        <v>228</v>
      </c>
      <c r="O44" s="196" t="s">
        <v>301</v>
      </c>
      <c r="P44" s="196" t="s">
        <v>230</v>
      </c>
      <c r="Q44" s="196" t="s">
        <v>231</v>
      </c>
      <c r="T44" s="104" t="s">
        <v>302</v>
      </c>
      <c r="U44" s="104" t="s">
        <v>302</v>
      </c>
      <c r="W44" s="249"/>
    </row>
    <row r="45" ht="12.75" customHeight="1" spans="1:23">
      <c r="A45" s="471" t="s">
        <v>21</v>
      </c>
      <c r="B45" s="80">
        <f t="shared" ref="B45:H45" si="8">SUM(B46:B55)</f>
        <v>8929.87</v>
      </c>
      <c r="C45" s="80">
        <v>6705</v>
      </c>
      <c r="D45" s="80">
        <f t="shared" si="8"/>
        <v>120770.593548387</v>
      </c>
      <c r="E45" s="80">
        <f t="shared" si="8"/>
        <v>209512.819</v>
      </c>
      <c r="F45" s="80">
        <f>E45-D45</f>
        <v>88742.2254516129</v>
      </c>
      <c r="G45" s="80">
        <f t="shared" si="8"/>
        <v>897152.980645161</v>
      </c>
      <c r="H45" s="80">
        <f t="shared" si="8"/>
        <v>485736.499</v>
      </c>
      <c r="I45" s="80">
        <f>H45-G45</f>
        <v>-411416.481645161</v>
      </c>
      <c r="J45" s="80">
        <f>SUM(J46:J54)</f>
        <v>4819.48</v>
      </c>
      <c r="K45" s="80">
        <v>7725</v>
      </c>
      <c r="L45" s="80">
        <f>SUM(L46:L54)</f>
        <v>100286.666666667</v>
      </c>
      <c r="M45" s="486">
        <f>SUM(M46:M54)</f>
        <v>73379.24</v>
      </c>
      <c r="N45" s="80">
        <f>M45-L45</f>
        <v>-26907.4266666667</v>
      </c>
      <c r="O45" s="80">
        <f>SUM(O46:O54)</f>
        <v>618021.505376343</v>
      </c>
      <c r="P45" s="80">
        <f>SUM(P46:P54)</f>
        <v>446110.24</v>
      </c>
      <c r="Q45" s="80">
        <f>P45-O45</f>
        <v>-171911.265376343</v>
      </c>
      <c r="S45" s="196" t="s">
        <v>21</v>
      </c>
      <c r="T45" s="140">
        <v>201150</v>
      </c>
      <c r="U45" s="140">
        <v>231750</v>
      </c>
      <c r="W45" s="249"/>
    </row>
    <row r="46" ht="16.35" customHeight="1" spans="1:23">
      <c r="A46" s="196" t="s">
        <v>303</v>
      </c>
      <c r="B46" s="80">
        <f>数据填报!W7</f>
        <v>2054</v>
      </c>
      <c r="C46" s="80">
        <f>T46/数据填报!$AT$2</f>
        <v>1931.77419354838</v>
      </c>
      <c r="D46" s="80">
        <f>T46/数据填报!$AT$2*数据填报!$AY$2</f>
        <v>27044.8387096774</v>
      </c>
      <c r="E46" s="80">
        <f>数据填报!W31+数据填报!W7</f>
        <v>51976</v>
      </c>
      <c r="F46" s="80">
        <f>E46-D46</f>
        <v>24931.1612903226</v>
      </c>
      <c r="G46" s="80">
        <f>分月生产计划!O80-表一!T46/数据填报!$AT$2*(数据填报!$AT$2-数据填报!$AY$2)</f>
        <v>200904.516129032</v>
      </c>
      <c r="H46" s="80">
        <f>历史产量!N78+表一!E46</f>
        <v>117799.68</v>
      </c>
      <c r="I46" s="80">
        <f>H46-G46</f>
        <v>-83104.8361290319</v>
      </c>
      <c r="J46" s="80">
        <f>数据填报!AB7</f>
        <v>1344</v>
      </c>
      <c r="K46" s="80">
        <f>U46/数据填报!$AT$2</f>
        <v>1366.66666666667</v>
      </c>
      <c r="L46" s="80">
        <f>U46/数据填报!$AT$2*数据填报!$AY$2</f>
        <v>19133.3333333333</v>
      </c>
      <c r="M46" s="486">
        <f>数据填报!AB31+数据填报!AB7</f>
        <v>18581</v>
      </c>
      <c r="N46" s="80">
        <f>M46-L46</f>
        <v>-552.333333333336</v>
      </c>
      <c r="O46" s="80">
        <f>分月生产计划!O97-表一!U46/数据填报!$AT$2*(数据填报!$AT$2-数据填报!$AY$2)</f>
        <v>110275.268817204</v>
      </c>
      <c r="P46" s="80">
        <f>历史产量!N96+表一!M46</f>
        <v>110675</v>
      </c>
      <c r="Q46" s="80">
        <f>P46-O46</f>
        <v>399.731182795673</v>
      </c>
      <c r="S46" s="196" t="s">
        <v>303</v>
      </c>
      <c r="T46" s="139">
        <v>57953.2258064515</v>
      </c>
      <c r="U46" s="140">
        <v>41000</v>
      </c>
      <c r="W46" s="249"/>
    </row>
    <row r="47" ht="16.35" customHeight="1" spans="1:23">
      <c r="A47" s="196" t="s">
        <v>305</v>
      </c>
      <c r="B47" s="80">
        <f>数据填报!W9</f>
        <v>360</v>
      </c>
      <c r="C47" s="80">
        <f>T47/数据填报!$AT$2</f>
        <v>249.462365591398</v>
      </c>
      <c r="D47" s="80">
        <f>T47/数据填报!$AT$2*数据填报!$AY$2</f>
        <v>3492.47311827957</v>
      </c>
      <c r="E47" s="80">
        <f>数据填报!W33+数据填报!W9</f>
        <v>20975</v>
      </c>
      <c r="F47" s="80">
        <f>E47-D47</f>
        <v>17482.5268817204</v>
      </c>
      <c r="G47" s="80">
        <f>分月生产计划!O81-表一!T47/数据填报!$AT$2*(数据填报!$AT$2-数据填报!$AY$2)</f>
        <v>25944.0860215053</v>
      </c>
      <c r="H47" s="80">
        <f>历史产量!N79+表一!E47</f>
        <v>20975</v>
      </c>
      <c r="I47" s="80">
        <f>H47-G47</f>
        <v>-4969.08602150534</v>
      </c>
      <c r="J47" s="80"/>
      <c r="K47" s="80"/>
      <c r="L47" s="80"/>
      <c r="M47" s="486"/>
      <c r="N47" s="80"/>
      <c r="O47" s="80"/>
      <c r="P47" s="80"/>
      <c r="Q47" s="80"/>
      <c r="S47" s="196" t="s">
        <v>305</v>
      </c>
      <c r="T47" s="139">
        <v>7483.87096774193</v>
      </c>
      <c r="U47" s="140">
        <v>0</v>
      </c>
      <c r="W47" s="249"/>
    </row>
    <row r="48" ht="9.95" customHeight="1" spans="1:23">
      <c r="A48" s="196" t="s">
        <v>306</v>
      </c>
      <c r="B48" s="80">
        <f>数据填报!W10</f>
        <v>0</v>
      </c>
      <c r="C48" s="80">
        <f>T48/数据填报!$AT$2</f>
        <v>0</v>
      </c>
      <c r="D48" s="80">
        <f>T48/数据填报!$AT$2*数据填报!$AY$2</f>
        <v>0</v>
      </c>
      <c r="E48" s="80">
        <f>数据填报!W34+数据填报!W10</f>
        <v>0</v>
      </c>
      <c r="F48" s="80">
        <f>E48-D48</f>
        <v>0</v>
      </c>
      <c r="G48" s="80">
        <f>分月生产计划!O82-表一!T48/数据填报!$AT$2*(数据填报!$AT$2-数据填报!$AY$2)</f>
        <v>0</v>
      </c>
      <c r="H48" s="80">
        <f>历史产量!N81+表一!E48</f>
        <v>0</v>
      </c>
      <c r="I48" s="80">
        <f>H48-G48</f>
        <v>0</v>
      </c>
      <c r="J48" s="80">
        <f>数据填报!AB10</f>
        <v>0</v>
      </c>
      <c r="K48" s="80"/>
      <c r="L48" s="80"/>
      <c r="M48" s="486"/>
      <c r="N48" s="80"/>
      <c r="O48" s="80"/>
      <c r="P48" s="80"/>
      <c r="Q48" s="80"/>
      <c r="S48" s="196" t="s">
        <v>306</v>
      </c>
      <c r="T48" s="139">
        <v>0</v>
      </c>
      <c r="U48" s="140">
        <v>0</v>
      </c>
      <c r="W48" s="249"/>
    </row>
    <row r="49" ht="16.35" customHeight="1" spans="1:23">
      <c r="A49" s="196" t="s">
        <v>307</v>
      </c>
      <c r="B49" s="80">
        <f>数据填报!W11</f>
        <v>0</v>
      </c>
      <c r="C49" s="80"/>
      <c r="D49" s="80"/>
      <c r="E49" s="80">
        <f>数据填报!W35+数据填报!W11</f>
        <v>0</v>
      </c>
      <c r="F49" s="80"/>
      <c r="G49" s="80"/>
      <c r="H49" s="80"/>
      <c r="I49" s="80"/>
      <c r="J49" s="80">
        <f>数据填报!AB11</f>
        <v>125</v>
      </c>
      <c r="K49" s="80">
        <f>U49/数据填报!$AT$2</f>
        <v>0</v>
      </c>
      <c r="L49" s="80">
        <f>U49/数据填报!$AT$2*数据填报!$AY$2</f>
        <v>0</v>
      </c>
      <c r="M49" s="486">
        <f>数据填报!AB35+数据填报!AB11</f>
        <v>2489</v>
      </c>
      <c r="N49" s="80">
        <f t="shared" ref="N49:N54" si="9">M49-L49</f>
        <v>2489</v>
      </c>
      <c r="O49" s="80">
        <f>分月生产计划!O100-表一!U49/数据填报!$AT$2*(数据填报!$AT$2-数据填报!$AY$2)</f>
        <v>5425.8064516129</v>
      </c>
      <c r="P49" s="80">
        <f>历史产量!N99+表一!M49</f>
        <v>2489</v>
      </c>
      <c r="Q49" s="80">
        <f t="shared" ref="Q49:Q54" si="10">P49-O49</f>
        <v>-2936.8064516129</v>
      </c>
      <c r="S49" s="196" t="s">
        <v>307</v>
      </c>
      <c r="T49" s="139"/>
      <c r="U49" s="140">
        <v>0</v>
      </c>
      <c r="W49" s="249"/>
    </row>
    <row r="50" ht="11.1" customHeight="1" spans="1:23">
      <c r="A50" s="196" t="s">
        <v>308</v>
      </c>
      <c r="B50" s="80">
        <f>数据填报!W12</f>
        <v>0</v>
      </c>
      <c r="C50" s="80">
        <f>T50/数据填报!$AT$2</f>
        <v>0</v>
      </c>
      <c r="D50" s="80">
        <f>T50/数据填报!$AT$2*数据填报!$AY$2</f>
        <v>0</v>
      </c>
      <c r="E50" s="80">
        <f>数据填报!W36+数据填报!W12</f>
        <v>0</v>
      </c>
      <c r="F50" s="80">
        <f t="shared" ref="F50:F55" si="11">E50-D50</f>
        <v>0</v>
      </c>
      <c r="G50" s="80">
        <f>分月生产计划!O84-表一!T50/数据填报!$AT$2*(数据填报!$AT$2-数据填报!$AY$2)</f>
        <v>0</v>
      </c>
      <c r="H50" s="80">
        <f>历史产量!N83+表一!E50</f>
        <v>0</v>
      </c>
      <c r="I50" s="80">
        <f t="shared" ref="I50:I55" si="12">H50-G50</f>
        <v>0</v>
      </c>
      <c r="J50" s="80">
        <f>数据填报!AB12</f>
        <v>0</v>
      </c>
      <c r="K50" s="80">
        <f>U50/数据填报!$AT$2</f>
        <v>0</v>
      </c>
      <c r="L50" s="80">
        <f>U50/数据填报!$AT$2*数据填报!$AY$2</f>
        <v>0</v>
      </c>
      <c r="M50" s="486">
        <f>数据填报!AB36+数据填报!AB12</f>
        <v>0</v>
      </c>
      <c r="N50" s="80">
        <f t="shared" si="9"/>
        <v>0</v>
      </c>
      <c r="O50" s="80">
        <f>分月生产计划!O101-表一!U50/数据填报!$AT$2*(数据填报!$AT$2-数据填报!$AY$2)</f>
        <v>0</v>
      </c>
      <c r="P50" s="80">
        <f>历史产量!N100+表一!M50</f>
        <v>6900</v>
      </c>
      <c r="Q50" s="80">
        <f t="shared" si="10"/>
        <v>6900</v>
      </c>
      <c r="S50" s="196" t="s">
        <v>308</v>
      </c>
      <c r="T50" s="139">
        <v>0</v>
      </c>
      <c r="U50" s="140">
        <v>0</v>
      </c>
      <c r="W50" s="249"/>
    </row>
    <row r="51" ht="16.35" customHeight="1" spans="1:23">
      <c r="A51" s="196" t="s">
        <v>309</v>
      </c>
      <c r="B51" s="80">
        <f>数据填报!W13</f>
        <v>0</v>
      </c>
      <c r="C51" s="80">
        <f>T51/数据填报!$AT$2</f>
        <v>0</v>
      </c>
      <c r="D51" s="80">
        <f>T51/数据填报!$AT$2*数据填报!$AY$2</f>
        <v>0</v>
      </c>
      <c r="E51" s="80">
        <f>数据填报!W37+数据填报!W13</f>
        <v>0</v>
      </c>
      <c r="F51" s="80">
        <f t="shared" si="11"/>
        <v>0</v>
      </c>
      <c r="G51" s="80">
        <f>分月生产计划!O85-表一!T51/数据填报!$AT$2*(数据填报!$AT$2-数据填报!$AY$2)</f>
        <v>0</v>
      </c>
      <c r="H51" s="80">
        <f>历史产量!N84+表一!E51</f>
        <v>0</v>
      </c>
      <c r="I51" s="80">
        <f t="shared" si="12"/>
        <v>0</v>
      </c>
      <c r="J51" s="80">
        <f>数据填报!AB13</f>
        <v>1146</v>
      </c>
      <c r="K51" s="80">
        <f>U51/数据填报!$AT$2</f>
        <v>1560</v>
      </c>
      <c r="L51" s="80">
        <f>U51/数据填报!$AT$2*数据填报!$AY$2</f>
        <v>21840</v>
      </c>
      <c r="M51" s="486">
        <f>数据填报!AB37+数据填报!AB13</f>
        <v>14898</v>
      </c>
      <c r="N51" s="80">
        <f t="shared" si="9"/>
        <v>-6942</v>
      </c>
      <c r="O51" s="80">
        <f>分月生产计划!O102-表一!U51/数据填报!$AT$2*(数据填报!$AT$2-数据填报!$AY$2)</f>
        <v>159569.032258064</v>
      </c>
      <c r="P51" s="80">
        <f>历史产量!N101+表一!M51</f>
        <v>14898</v>
      </c>
      <c r="Q51" s="80">
        <f t="shared" si="10"/>
        <v>-144671.032258064</v>
      </c>
      <c r="S51" s="196" t="s">
        <v>309</v>
      </c>
      <c r="T51" s="139">
        <v>0</v>
      </c>
      <c r="U51" s="140">
        <v>46800</v>
      </c>
      <c r="W51" s="249"/>
    </row>
    <row r="52" ht="16.35" customHeight="1" spans="1:23">
      <c r="A52" s="196" t="s">
        <v>310</v>
      </c>
      <c r="B52" s="80">
        <f>数据填报!W14</f>
        <v>0</v>
      </c>
      <c r="C52" s="80">
        <f>T52/数据填报!$AT$2</f>
        <v>0</v>
      </c>
      <c r="D52" s="80">
        <f>T52/数据填报!$AT$2*数据填报!$AY$2</f>
        <v>0</v>
      </c>
      <c r="E52" s="80">
        <f>数据填报!W38+数据填报!W14</f>
        <v>0</v>
      </c>
      <c r="F52" s="80">
        <f t="shared" si="11"/>
        <v>0</v>
      </c>
      <c r="G52" s="80">
        <f>分月生产计划!O86-表一!T52/数据填报!$AT$2*(数据填报!$AT$2-数据填报!$AY$2)</f>
        <v>0</v>
      </c>
      <c r="H52" s="80">
        <f>历史产量!N85+表一!E52</f>
        <v>5700</v>
      </c>
      <c r="I52" s="80">
        <f t="shared" si="12"/>
        <v>5700</v>
      </c>
      <c r="J52" s="80">
        <f>数据填报!AB14</f>
        <v>1223.35</v>
      </c>
      <c r="K52" s="80">
        <f>U52/数据填报!$AT$2</f>
        <v>1536.66666666667</v>
      </c>
      <c r="L52" s="80">
        <f>U52/数据填报!$AT$2*数据填报!$AY$2</f>
        <v>21513.3333333333</v>
      </c>
      <c r="M52" s="486">
        <f>数据填报!AB38+数据填报!AB14</f>
        <v>22538.45</v>
      </c>
      <c r="N52" s="80">
        <f t="shared" si="9"/>
        <v>1025.11666666666</v>
      </c>
      <c r="O52" s="80">
        <f>分月生产计划!O103-表一!U52/数据填报!$AT$2*(数据填报!$AT$2-数据填报!$AY$2)</f>
        <v>146942.365591397</v>
      </c>
      <c r="P52" s="80">
        <f>历史产量!N102+表一!M52</f>
        <v>138438.45</v>
      </c>
      <c r="Q52" s="80">
        <f t="shared" si="10"/>
        <v>-8503.91559139732</v>
      </c>
      <c r="S52" s="196" t="s">
        <v>310</v>
      </c>
      <c r="T52" s="139">
        <v>0</v>
      </c>
      <c r="U52" s="140">
        <v>46100</v>
      </c>
      <c r="W52" s="249"/>
    </row>
    <row r="53" ht="16.35" customHeight="1" spans="1:23">
      <c r="A53" s="196" t="s">
        <v>311</v>
      </c>
      <c r="B53" s="80">
        <f>数据填报!W15</f>
        <v>6515.87</v>
      </c>
      <c r="C53" s="80">
        <f>T53/数据填报!$AT$2</f>
        <v>6314.26666666667</v>
      </c>
      <c r="D53" s="80">
        <f>T53/数据填报!$AT$2*数据填报!$AY$2</f>
        <v>88399.7333333333</v>
      </c>
      <c r="E53" s="80">
        <f>数据填报!W39+数据填报!W15</f>
        <v>136561.819</v>
      </c>
      <c r="F53" s="80">
        <f t="shared" si="11"/>
        <v>48162.0856666667</v>
      </c>
      <c r="G53" s="80">
        <f>分月生产计划!O87-表一!T53/数据填报!$AT$2*(数据填报!$AT$2-数据填报!$AY$2)</f>
        <v>656683.733333333</v>
      </c>
      <c r="H53" s="80">
        <f>历史产量!N86+表一!E53</f>
        <v>341261.819</v>
      </c>
      <c r="I53" s="80">
        <f t="shared" si="12"/>
        <v>-315421.914333333</v>
      </c>
      <c r="J53" s="80">
        <f>数据填报!AB15</f>
        <v>448.13</v>
      </c>
      <c r="K53" s="80">
        <f>U53/数据填报!$AT$2</f>
        <v>2303.33333333333</v>
      </c>
      <c r="L53" s="80">
        <f>U53/数据填报!$AT$2*数据填报!$AY$2</f>
        <v>32246.6666666667</v>
      </c>
      <c r="M53" s="486">
        <f>数据填报!AB39+数据填报!AB15</f>
        <v>8064.79</v>
      </c>
      <c r="N53" s="80">
        <f t="shared" si="9"/>
        <v>-24181.8766666667</v>
      </c>
      <c r="O53" s="80">
        <f>分月生产计划!O104-表一!U53/数据填报!$AT$2*(数据填报!$AT$2-数据填报!$AY$2)</f>
        <v>133826.666666667</v>
      </c>
      <c r="P53" s="80">
        <f>历史产量!N103+表一!M53</f>
        <v>93201.79</v>
      </c>
      <c r="Q53" s="80">
        <f t="shared" si="10"/>
        <v>-40624.8766666667</v>
      </c>
      <c r="S53" s="196" t="s">
        <v>311</v>
      </c>
      <c r="T53" s="139">
        <v>189428</v>
      </c>
      <c r="U53" s="140">
        <v>69100</v>
      </c>
      <c r="W53" s="249"/>
    </row>
    <row r="54" ht="16.35" customHeight="1" spans="1:23">
      <c r="A54" s="196" t="s">
        <v>312</v>
      </c>
      <c r="B54" s="80">
        <f>数据填报!W16</f>
        <v>0</v>
      </c>
      <c r="C54" s="80">
        <f>T54/数据填报!$AT$2</f>
        <v>130.967741935484</v>
      </c>
      <c r="D54" s="80">
        <f>T54/数据填报!$AT$2*数据填报!$AY$2</f>
        <v>1833.54838709678</v>
      </c>
      <c r="E54" s="80">
        <f>数据填报!W40+数据填报!W16</f>
        <v>0</v>
      </c>
      <c r="F54" s="80">
        <f t="shared" si="11"/>
        <v>-1833.54838709678</v>
      </c>
      <c r="G54" s="80">
        <f>分月生产计划!O88-表一!T54/数据填报!$AT$2*(数据填报!$AT$2-数据填报!$AY$2)</f>
        <v>13620.6451612904</v>
      </c>
      <c r="H54" s="80">
        <f>历史产量!N87+表一!E54</f>
        <v>0</v>
      </c>
      <c r="I54" s="80">
        <f t="shared" si="12"/>
        <v>-13620.6451612904</v>
      </c>
      <c r="J54" s="80">
        <f>数据填报!AB16</f>
        <v>533</v>
      </c>
      <c r="K54" s="80">
        <f>U54/数据填报!$AT$2</f>
        <v>396.666666666667</v>
      </c>
      <c r="L54" s="80">
        <f>U54/数据填报!$AT$2*数据填报!$AY$2</f>
        <v>5553.33333333333</v>
      </c>
      <c r="M54" s="486">
        <f>数据填报!AB40+数据填报!AB16</f>
        <v>6808</v>
      </c>
      <c r="N54" s="80">
        <f t="shared" si="9"/>
        <v>1254.66666666667</v>
      </c>
      <c r="O54" s="80">
        <f>分月生产计划!O105-表一!U54/数据填报!$AT$2*(数据填报!$AT$2-数据填报!$AY$2)</f>
        <v>61982.3655913979</v>
      </c>
      <c r="P54" s="80">
        <f>历史产量!N104+表一!M54</f>
        <v>79508</v>
      </c>
      <c r="Q54" s="80">
        <f t="shared" si="10"/>
        <v>17525.6344086021</v>
      </c>
      <c r="S54" s="196" t="s">
        <v>312</v>
      </c>
      <c r="T54" s="139">
        <v>3929.03225806452</v>
      </c>
      <c r="U54" s="140">
        <v>11900</v>
      </c>
      <c r="W54" s="249"/>
    </row>
    <row r="55" ht="16.35" customHeight="1" spans="1:23">
      <c r="A55" s="196" t="s">
        <v>317</v>
      </c>
      <c r="B55" s="80">
        <f>数据填报!W8</f>
        <v>0</v>
      </c>
      <c r="C55" s="80">
        <f>T55/数据填报!$AT$2</f>
        <v>0</v>
      </c>
      <c r="D55" s="80">
        <f>T55/数据填报!$AT$2*数据填报!$AY$2</f>
        <v>0</v>
      </c>
      <c r="E55" s="80">
        <f>数据填报!W32+数据填报!W8</f>
        <v>0</v>
      </c>
      <c r="F55" s="80">
        <f t="shared" si="11"/>
        <v>0</v>
      </c>
      <c r="G55" s="80">
        <f>分月生产计划!O93-表一!T55/数据填报!$AT$2*(数据填报!$AT$2-数据填报!$AY$2)</f>
        <v>0</v>
      </c>
      <c r="H55" s="80">
        <f>历史产量!N92+表一!E55</f>
        <v>0</v>
      </c>
      <c r="I55" s="80">
        <f t="shared" si="12"/>
        <v>0</v>
      </c>
      <c r="J55" s="80"/>
      <c r="K55" s="80">
        <v>52</v>
      </c>
      <c r="L55" s="80">
        <v>1446</v>
      </c>
      <c r="M55" s="80"/>
      <c r="N55" s="80"/>
      <c r="O55" s="80"/>
      <c r="P55" s="80"/>
      <c r="Q55" s="80"/>
      <c r="S55" s="196" t="s">
        <v>317</v>
      </c>
      <c r="T55" s="490"/>
      <c r="W55" s="249"/>
    </row>
    <row r="56" ht="16.35" customHeight="1" spans="1:23">
      <c r="A56" s="471" t="s">
        <v>98</v>
      </c>
      <c r="B56" s="476" t="s">
        <v>224</v>
      </c>
      <c r="C56" s="474"/>
      <c r="D56" s="474"/>
      <c r="E56" s="474" t="s">
        <v>298</v>
      </c>
      <c r="F56" s="474">
        <f>T58</f>
        <v>33015</v>
      </c>
      <c r="G56" s="474" t="s">
        <v>320</v>
      </c>
      <c r="H56" s="474"/>
      <c r="I56" s="485">
        <f>E59/F56</f>
        <v>0.343843707405725</v>
      </c>
      <c r="J56" s="476" t="s">
        <v>322</v>
      </c>
      <c r="K56" s="474"/>
      <c r="L56" s="474"/>
      <c r="M56" s="474" t="s">
        <v>298</v>
      </c>
      <c r="N56" s="197">
        <f>U60</f>
        <v>1e-6</v>
      </c>
      <c r="O56" s="196" t="s">
        <v>299</v>
      </c>
      <c r="P56" s="196"/>
      <c r="Q56" s="491">
        <f>M58/N56</f>
        <v>0</v>
      </c>
      <c r="R56" s="492"/>
      <c r="T56" s="249" t="s">
        <v>247</v>
      </c>
      <c r="W56" s="249"/>
    </row>
    <row r="57" ht="16.35" customHeight="1" spans="1:23">
      <c r="A57" s="471"/>
      <c r="B57" s="196" t="s">
        <v>11</v>
      </c>
      <c r="C57" s="196" t="s">
        <v>225</v>
      </c>
      <c r="D57" s="196" t="s">
        <v>300</v>
      </c>
      <c r="E57" s="196" t="s">
        <v>227</v>
      </c>
      <c r="F57" s="196" t="s">
        <v>228</v>
      </c>
      <c r="G57" s="196" t="s">
        <v>301</v>
      </c>
      <c r="H57" s="196" t="s">
        <v>230</v>
      </c>
      <c r="I57" s="196" t="s">
        <v>231</v>
      </c>
      <c r="J57" s="196" t="s">
        <v>11</v>
      </c>
      <c r="K57" s="196" t="s">
        <v>225</v>
      </c>
      <c r="L57" s="196" t="s">
        <v>300</v>
      </c>
      <c r="M57" s="476" t="s">
        <v>227</v>
      </c>
      <c r="N57" s="196" t="s">
        <v>228</v>
      </c>
      <c r="O57" s="196" t="s">
        <v>301</v>
      </c>
      <c r="P57" s="196" t="s">
        <v>230</v>
      </c>
      <c r="Q57" s="196" t="s">
        <v>231</v>
      </c>
      <c r="R57" s="492"/>
      <c r="T57" s="104" t="s">
        <v>302</v>
      </c>
      <c r="U57" s="104" t="s">
        <v>302</v>
      </c>
      <c r="W57" s="249"/>
    </row>
    <row r="58" ht="16.35" customHeight="1" spans="1:23">
      <c r="A58" s="471" t="s">
        <v>21</v>
      </c>
      <c r="B58" s="80">
        <f>SUM(B59:B61)</f>
        <v>760</v>
      </c>
      <c r="C58" s="80">
        <f>SUM(C59:C61)</f>
        <v>1100.5</v>
      </c>
      <c r="D58" s="80">
        <f>SUM(D59:D61)</f>
        <v>15407</v>
      </c>
      <c r="E58" s="80">
        <f>SUM(E59:E61)</f>
        <v>11352</v>
      </c>
      <c r="F58" s="80">
        <f>E58-D58</f>
        <v>-4055</v>
      </c>
      <c r="G58" s="80">
        <f>SUM(G59:G61)</f>
        <v>96941</v>
      </c>
      <c r="H58" s="80">
        <f>SUM(H59:H61)</f>
        <v>156352</v>
      </c>
      <c r="I58" s="80">
        <f>H58-G58</f>
        <v>59411</v>
      </c>
      <c r="J58" s="80">
        <f>SUM(J59:J61)</f>
        <v>0</v>
      </c>
      <c r="K58" s="80">
        <f>SUM(K59:K61)</f>
        <v>3.33333333333333e-8</v>
      </c>
      <c r="L58" s="80">
        <f>SUM(L59:L61)</f>
        <v>4.66666666666667e-7</v>
      </c>
      <c r="M58" s="486">
        <f>SUM(M59:M61)</f>
        <v>0</v>
      </c>
      <c r="N58" s="80">
        <f>M58-L58</f>
        <v>-4.66666666666667e-7</v>
      </c>
      <c r="O58" s="80">
        <f>SUM(O59:O61)</f>
        <v>-5.33333333333333e-7</v>
      </c>
      <c r="P58" s="80">
        <f>SUM(P59:P61)</f>
        <v>0</v>
      </c>
      <c r="Q58" s="80">
        <f>P58-O58</f>
        <v>5.33333333333333e-7</v>
      </c>
      <c r="R58" s="492"/>
      <c r="S58" s="196" t="s">
        <v>21</v>
      </c>
      <c r="T58" s="490">
        <v>33015</v>
      </c>
      <c r="U58" s="490">
        <v>1e-6</v>
      </c>
      <c r="W58" s="249"/>
    </row>
    <row r="59" ht="16.35" customHeight="1" spans="1:23">
      <c r="A59" s="196" t="s">
        <v>323</v>
      </c>
      <c r="B59" s="80">
        <f>数据填报!AG25</f>
        <v>760</v>
      </c>
      <c r="C59" s="80">
        <f>T59/数据填报!$AT$2</f>
        <v>1100.5</v>
      </c>
      <c r="D59" s="80">
        <f>T59/数据填报!$AT$2*数据填报!$AY$2</f>
        <v>15407</v>
      </c>
      <c r="E59" s="80">
        <f>数据填报!AG48+数据填报!AG25</f>
        <v>11352</v>
      </c>
      <c r="F59" s="80">
        <f>E59-D59</f>
        <v>-4055</v>
      </c>
      <c r="G59" s="80">
        <f>分月生产计划!O114-表一!T59/数据填报!$AT$2*(数据填报!$AT$2-数据填报!$AY$2)</f>
        <v>96941</v>
      </c>
      <c r="H59" s="80">
        <f>历史产量!N113+表一!E59</f>
        <v>156352</v>
      </c>
      <c r="I59" s="80">
        <f>H59-G59</f>
        <v>59411</v>
      </c>
      <c r="J59" s="80"/>
      <c r="K59" s="80"/>
      <c r="L59" s="80"/>
      <c r="M59" s="486"/>
      <c r="N59" s="80"/>
      <c r="O59" s="80"/>
      <c r="P59" s="80"/>
      <c r="Q59" s="80"/>
      <c r="R59" s="492"/>
      <c r="S59" s="196" t="s">
        <v>323</v>
      </c>
      <c r="T59" s="490">
        <v>33015</v>
      </c>
      <c r="U59" s="490"/>
      <c r="W59" s="249"/>
    </row>
    <row r="60" ht="12" customHeight="1" spans="1:23">
      <c r="A60" s="196" t="s">
        <v>313</v>
      </c>
      <c r="B60" s="80"/>
      <c r="C60" s="80"/>
      <c r="D60" s="80"/>
      <c r="E60" s="80"/>
      <c r="F60" s="80"/>
      <c r="G60" s="80"/>
      <c r="H60" s="80"/>
      <c r="I60" s="80"/>
      <c r="J60" s="80">
        <f>数据填报!AL17</f>
        <v>0</v>
      </c>
      <c r="K60" s="80">
        <f>U60/数据填报!$AT$2</f>
        <v>3.33333333333333e-8</v>
      </c>
      <c r="L60" s="80">
        <f>U60/数据填报!$AT$2*数据填报!$AY$2</f>
        <v>4.66666666666667e-7</v>
      </c>
      <c r="M60" s="486">
        <f>数据填报!AL41+数据填报!AL17</f>
        <v>0</v>
      </c>
      <c r="N60" s="80">
        <f>M60-L60</f>
        <v>-4.66666666666667e-7</v>
      </c>
      <c r="O60" s="80">
        <f>分月生产计划!O118-表一!U60/数据填报!$AT$2*(数据填报!$AT$2-数据填报!$AY$2)</f>
        <v>-5.33333333333333e-7</v>
      </c>
      <c r="P60" s="80">
        <f>历史产量!N117+表一!M60</f>
        <v>0</v>
      </c>
      <c r="Q60" s="80">
        <f>P60-O60</f>
        <v>5.33333333333333e-7</v>
      </c>
      <c r="R60" s="492"/>
      <c r="S60" s="196" t="s">
        <v>313</v>
      </c>
      <c r="T60" s="490"/>
      <c r="U60" s="140">
        <v>1e-6</v>
      </c>
      <c r="W60" s="249"/>
    </row>
    <row r="61" ht="12.95" customHeight="1" spans="1:23">
      <c r="A61" s="196" t="s">
        <v>319</v>
      </c>
      <c r="B61" s="80"/>
      <c r="C61" s="80"/>
      <c r="D61" s="80"/>
      <c r="E61" s="80"/>
      <c r="F61" s="80"/>
      <c r="G61" s="80"/>
      <c r="H61" s="80"/>
      <c r="I61" s="80"/>
      <c r="J61" s="80"/>
      <c r="K61" s="80">
        <f>U61/数据填报!$AT$2</f>
        <v>0</v>
      </c>
      <c r="L61" s="80">
        <f>U61/数据填报!$AT$2*数据填报!$AY$2</f>
        <v>0</v>
      </c>
      <c r="M61" s="80">
        <f>V61/数据填报!$AT$2*数据填报!$AY$2</f>
        <v>0</v>
      </c>
      <c r="N61" s="80">
        <f>W61/数据填报!$AT$2*数据填报!$AY$2</f>
        <v>0</v>
      </c>
      <c r="O61" s="80">
        <f>X61/数据填报!$AT$2*数据填报!$AY$2</f>
        <v>0</v>
      </c>
      <c r="P61" s="80">
        <f>Y61/数据填报!$AT$2*数据填报!$AY$2</f>
        <v>0</v>
      </c>
      <c r="Q61" s="80">
        <f>Z61/数据填报!$AT$2*数据填报!$AY$2</f>
        <v>0</v>
      </c>
      <c r="R61" s="461"/>
      <c r="S61" s="196" t="s">
        <v>319</v>
      </c>
      <c r="T61" s="493"/>
      <c r="U61" s="493">
        <v>0</v>
      </c>
      <c r="W61" s="249"/>
    </row>
    <row r="62" ht="6.95" customHeight="1" spans="1:17">
      <c r="A62" s="478"/>
      <c r="B62" s="479"/>
      <c r="C62" s="479"/>
      <c r="D62" s="479"/>
      <c r="E62" s="479"/>
      <c r="F62" s="479"/>
      <c r="G62" s="479"/>
      <c r="H62" s="479"/>
      <c r="I62" s="479"/>
      <c r="J62" s="479"/>
      <c r="K62" s="479"/>
      <c r="L62" s="479"/>
      <c r="M62" s="479"/>
      <c r="N62" s="479"/>
      <c r="O62" s="479"/>
      <c r="P62" s="479"/>
      <c r="Q62" s="494"/>
    </row>
    <row r="63" s="262" customFormat="1" ht="9" customHeight="1" spans="1:17">
      <c r="A63" s="480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495"/>
    </row>
    <row r="64" s="262" customFormat="1" ht="6.95" customHeight="1" spans="1:17">
      <c r="A64" s="480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495"/>
    </row>
    <row r="65" s="262" customFormat="1" ht="15" customHeight="1" spans="1:17">
      <c r="A65" s="480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495"/>
    </row>
    <row r="66" ht="15" customHeight="1" spans="1:24">
      <c r="A66" s="480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495"/>
      <c r="X66" s="249" t="s">
        <v>48</v>
      </c>
    </row>
    <row r="67" ht="9" customHeight="1" spans="1:17">
      <c r="A67" s="496"/>
      <c r="B67" s="497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495"/>
    </row>
    <row r="68" ht="15.75" customHeight="1" spans="1:17">
      <c r="A68" s="412" t="s">
        <v>324</v>
      </c>
      <c r="B68" s="498"/>
      <c r="C68" s="499" t="s">
        <v>325</v>
      </c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</row>
    <row r="69" ht="18" customHeight="1" spans="1:20">
      <c r="A69" s="431"/>
      <c r="B69" s="498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T69" s="262"/>
    </row>
    <row r="70" ht="15" customHeight="1" spans="23:23">
      <c r="W70" s="249"/>
    </row>
    <row r="71" ht="15" customHeight="1" spans="3:23">
      <c r="C71" s="501" t="s">
        <v>326</v>
      </c>
      <c r="D71" s="501"/>
      <c r="E71" s="501"/>
      <c r="F71" s="501"/>
      <c r="G71" s="501"/>
      <c r="H71" s="501"/>
      <c r="I71" s="501"/>
      <c r="J71" s="504" t="s">
        <v>327</v>
      </c>
      <c r="K71" s="504"/>
      <c r="L71" s="504"/>
      <c r="M71" s="504"/>
      <c r="N71" s="504"/>
      <c r="O71" s="504"/>
      <c r="P71" s="504"/>
      <c r="W71" s="249"/>
    </row>
    <row r="72" ht="15" customHeight="1" spans="23:23">
      <c r="W72" s="249"/>
    </row>
    <row r="73" ht="15" customHeight="1" spans="3:23">
      <c r="C73" s="111" t="s">
        <v>328</v>
      </c>
      <c r="D73" s="111" t="s">
        <v>329</v>
      </c>
      <c r="E73" s="111" t="s">
        <v>330</v>
      </c>
      <c r="F73" s="249" t="s">
        <v>331</v>
      </c>
      <c r="G73" s="249" t="s">
        <v>332</v>
      </c>
      <c r="H73" s="111" t="s">
        <v>333</v>
      </c>
      <c r="I73" s="249" t="s">
        <v>334</v>
      </c>
      <c r="J73" s="249" t="s">
        <v>335</v>
      </c>
      <c r="K73" s="249" t="s">
        <v>336</v>
      </c>
      <c r="L73" s="249" t="s">
        <v>337</v>
      </c>
      <c r="M73" s="249" t="s">
        <v>338</v>
      </c>
      <c r="N73" s="249" t="s">
        <v>339</v>
      </c>
      <c r="O73" s="249" t="s">
        <v>340</v>
      </c>
      <c r="P73" s="249" t="s">
        <v>341</v>
      </c>
      <c r="Q73" s="249" t="s">
        <v>342</v>
      </c>
      <c r="S73" s="384" t="s">
        <v>343</v>
      </c>
      <c r="W73" s="249"/>
    </row>
    <row r="74" ht="15" customHeight="1" spans="1:23">
      <c r="A74" s="384" t="s">
        <v>5</v>
      </c>
      <c r="B74" s="384"/>
      <c r="C74" s="108">
        <v>48055</v>
      </c>
      <c r="D74" s="108">
        <v>47640</v>
      </c>
      <c r="E74" s="108">
        <v>48305.3053419048</v>
      </c>
      <c r="F74" s="469">
        <v>48895</v>
      </c>
      <c r="G74" s="469">
        <v>48994</v>
      </c>
      <c r="H74" s="108">
        <v>49881.4992143508</v>
      </c>
      <c r="I74" s="469">
        <v>49950</v>
      </c>
      <c r="J74" s="469">
        <v>46153</v>
      </c>
      <c r="K74" s="469">
        <v>45298.5259809524</v>
      </c>
      <c r="L74" s="469">
        <v>46093</v>
      </c>
      <c r="M74" s="469">
        <v>45306</v>
      </c>
      <c r="N74" s="469">
        <v>45814</v>
      </c>
      <c r="O74" s="469">
        <v>45150</v>
      </c>
      <c r="P74" s="469">
        <v>47396</v>
      </c>
      <c r="Q74" s="469">
        <v>45947.0244428571</v>
      </c>
      <c r="S74" s="469">
        <f>B5</f>
        <v>45947.0244428571</v>
      </c>
      <c r="W74" s="249"/>
    </row>
    <row r="75" ht="15" customHeight="1" spans="1:23">
      <c r="A75" s="384"/>
      <c r="B75" s="384"/>
      <c r="C75" s="111"/>
      <c r="D75" s="111"/>
      <c r="E75" s="111"/>
      <c r="F75"/>
      <c r="G75"/>
      <c r="H75" s="111"/>
      <c r="I75"/>
      <c r="J75"/>
      <c r="K75"/>
      <c r="L75"/>
      <c r="M75"/>
      <c r="N75"/>
      <c r="S75" s="384"/>
      <c r="W75" s="249"/>
    </row>
    <row r="76" ht="15" customHeight="1" spans="1:23">
      <c r="A76" s="384"/>
      <c r="B76" s="384"/>
      <c r="C76" s="111" t="s">
        <v>328</v>
      </c>
      <c r="D76" s="111" t="s">
        <v>329</v>
      </c>
      <c r="E76" s="111" t="s">
        <v>330</v>
      </c>
      <c r="F76" s="249" t="s">
        <v>331</v>
      </c>
      <c r="G76" s="249" t="s">
        <v>332</v>
      </c>
      <c r="H76" s="111" t="s">
        <v>333</v>
      </c>
      <c r="I76" s="249" t="s">
        <v>334</v>
      </c>
      <c r="J76" s="249" t="s">
        <v>335</v>
      </c>
      <c r="K76" s="249" t="s">
        <v>336</v>
      </c>
      <c r="L76" s="249" t="s">
        <v>337</v>
      </c>
      <c r="M76" s="249" t="s">
        <v>338</v>
      </c>
      <c r="N76" s="249" t="s">
        <v>339</v>
      </c>
      <c r="O76" s="249" t="s">
        <v>340</v>
      </c>
      <c r="P76" s="249" t="s">
        <v>341</v>
      </c>
      <c r="Q76" s="249" t="str">
        <f>Q73</f>
        <v>14日</v>
      </c>
      <c r="S76" s="384"/>
      <c r="W76" s="249"/>
    </row>
    <row r="77" ht="15" customHeight="1" spans="1:23">
      <c r="A77" s="384" t="s">
        <v>8</v>
      </c>
      <c r="B77" s="384"/>
      <c r="C77" s="110">
        <v>12409</v>
      </c>
      <c r="D77" s="110">
        <v>12499</v>
      </c>
      <c r="E77" s="110">
        <v>12342.523</v>
      </c>
      <c r="F77" s="262">
        <v>12700</v>
      </c>
      <c r="G77" s="111">
        <v>12773</v>
      </c>
      <c r="H77" s="111">
        <v>12819.846</v>
      </c>
      <c r="I77" s="262">
        <v>12384</v>
      </c>
      <c r="J77" s="262">
        <v>8354</v>
      </c>
      <c r="K77" s="262">
        <v>8322.054</v>
      </c>
      <c r="L77" s="262">
        <v>9078</v>
      </c>
      <c r="M77" s="262">
        <v>9096</v>
      </c>
      <c r="N77" s="262">
        <v>10050</v>
      </c>
      <c r="O77" s="262">
        <v>9153</v>
      </c>
      <c r="P77" s="262">
        <v>10151</v>
      </c>
      <c r="Q77" s="262">
        <v>10199.606</v>
      </c>
      <c r="S77" s="469">
        <f>J25</f>
        <v>10199.606</v>
      </c>
      <c r="W77" s="249"/>
    </row>
    <row r="78" ht="15" customHeight="1" spans="3:23">
      <c r="C78" s="111"/>
      <c r="D78" s="111"/>
      <c r="E78" s="111"/>
      <c r="F78"/>
      <c r="G78"/>
      <c r="H78" s="111"/>
      <c r="I78"/>
      <c r="J78"/>
      <c r="K78"/>
      <c r="L78"/>
      <c r="M78"/>
      <c r="N78"/>
      <c r="S78" s="384"/>
      <c r="T78" s="384"/>
      <c r="W78" s="249"/>
    </row>
    <row r="79" ht="15" customHeight="1" spans="3:19">
      <c r="C79" s="111" t="s">
        <v>328</v>
      </c>
      <c r="D79" s="111" t="s">
        <v>329</v>
      </c>
      <c r="E79" s="111" t="s">
        <v>330</v>
      </c>
      <c r="F79" s="249" t="s">
        <v>331</v>
      </c>
      <c r="G79" s="249" t="s">
        <v>332</v>
      </c>
      <c r="H79" s="111" t="s">
        <v>333</v>
      </c>
      <c r="I79" s="249" t="s">
        <v>334</v>
      </c>
      <c r="J79" s="249" t="s">
        <v>335</v>
      </c>
      <c r="K79" s="249" t="s">
        <v>336</v>
      </c>
      <c r="L79" s="249" t="s">
        <v>337</v>
      </c>
      <c r="M79" s="249" t="s">
        <v>338</v>
      </c>
      <c r="N79" s="249" t="s">
        <v>339</v>
      </c>
      <c r="O79" s="249" t="s">
        <v>340</v>
      </c>
      <c r="P79" s="249" t="s">
        <v>341</v>
      </c>
      <c r="Q79" s="249" t="str">
        <f>Q73</f>
        <v>14日</v>
      </c>
      <c r="S79" s="384"/>
    </row>
    <row r="80" ht="15" customHeight="1" spans="1:19">
      <c r="A80" s="384" t="s">
        <v>7</v>
      </c>
      <c r="B80" s="384"/>
      <c r="C80" s="111">
        <v>29450</v>
      </c>
      <c r="D80" s="111">
        <v>29130</v>
      </c>
      <c r="E80" s="111">
        <v>30137.509</v>
      </c>
      <c r="F80" s="249">
        <v>30246</v>
      </c>
      <c r="G80" s="249">
        <v>30283</v>
      </c>
      <c r="H80" s="111">
        <v>29704.639</v>
      </c>
      <c r="I80" s="249">
        <v>29329</v>
      </c>
      <c r="J80" s="249">
        <v>29788</v>
      </c>
      <c r="K80" s="249">
        <v>29655.659</v>
      </c>
      <c r="L80" s="249">
        <v>29600</v>
      </c>
      <c r="M80" s="249">
        <v>29164</v>
      </c>
      <c r="N80" s="249">
        <v>30025</v>
      </c>
      <c r="O80" s="249">
        <v>30715</v>
      </c>
      <c r="P80" s="249">
        <v>30966</v>
      </c>
      <c r="Q80" s="249">
        <v>29786.814</v>
      </c>
      <c r="S80" s="469">
        <f>B25</f>
        <v>29786.814</v>
      </c>
    </row>
    <row r="81" ht="15" customHeight="1" spans="3:14">
      <c r="C81" s="111"/>
      <c r="D81" s="111"/>
      <c r="E81" s="111"/>
      <c r="F81"/>
      <c r="G81"/>
      <c r="H81" s="111"/>
      <c r="I81"/>
      <c r="J81"/>
      <c r="K81"/>
      <c r="L81"/>
      <c r="M81"/>
      <c r="N81"/>
    </row>
    <row r="82" ht="15" customHeight="1" spans="3:17">
      <c r="C82" s="111" t="s">
        <v>328</v>
      </c>
      <c r="D82" s="111" t="s">
        <v>329</v>
      </c>
      <c r="E82" s="111" t="s">
        <v>330</v>
      </c>
      <c r="F82" s="249" t="s">
        <v>331</v>
      </c>
      <c r="G82" s="249" t="s">
        <v>332</v>
      </c>
      <c r="H82" s="111" t="s">
        <v>333</v>
      </c>
      <c r="I82" s="249" t="s">
        <v>334</v>
      </c>
      <c r="J82" s="249" t="s">
        <v>335</v>
      </c>
      <c r="K82" s="249" t="s">
        <v>336</v>
      </c>
      <c r="L82" s="249" t="s">
        <v>337</v>
      </c>
      <c r="M82" s="249" t="s">
        <v>338</v>
      </c>
      <c r="N82" s="249" t="s">
        <v>339</v>
      </c>
      <c r="O82" s="249" t="s">
        <v>340</v>
      </c>
      <c r="P82" s="249" t="s">
        <v>341</v>
      </c>
      <c r="Q82" s="249" t="str">
        <f>Q73</f>
        <v>14日</v>
      </c>
    </row>
    <row r="83" ht="15" customHeight="1" spans="1:19">
      <c r="A83" s="384" t="s">
        <v>344</v>
      </c>
      <c r="B83" s="384"/>
      <c r="C83" s="111">
        <v>12011</v>
      </c>
      <c r="D83" s="111">
        <v>11641</v>
      </c>
      <c r="E83" s="111">
        <v>11896.545</v>
      </c>
      <c r="F83" s="249">
        <v>10955</v>
      </c>
      <c r="G83" s="249">
        <v>11877</v>
      </c>
      <c r="H83" s="111">
        <v>11563.39</v>
      </c>
      <c r="I83" s="249">
        <v>14024</v>
      </c>
      <c r="J83" s="249">
        <v>11196</v>
      </c>
      <c r="K83" s="249">
        <v>10893.08</v>
      </c>
      <c r="L83" s="249">
        <v>12773</v>
      </c>
      <c r="M83" s="249">
        <v>9649</v>
      </c>
      <c r="N83" s="249">
        <v>10307</v>
      </c>
      <c r="O83" s="249">
        <v>9795</v>
      </c>
      <c r="P83" s="249">
        <v>8951</v>
      </c>
      <c r="Q83" s="249">
        <v>8951</v>
      </c>
      <c r="S83" s="451">
        <f>B45</f>
        <v>8929.87</v>
      </c>
    </row>
    <row r="84" ht="15" customHeight="1" spans="3:14">
      <c r="C84" s="111"/>
      <c r="D84" s="111"/>
      <c r="E84" s="111"/>
      <c r="F84"/>
      <c r="G84"/>
      <c r="H84" s="111"/>
      <c r="I84"/>
      <c r="J84"/>
      <c r="K84"/>
      <c r="L84"/>
      <c r="M84"/>
      <c r="N84"/>
    </row>
    <row r="85" ht="15" customHeight="1" spans="2:17">
      <c r="B85" s="451"/>
      <c r="C85" s="502" t="s">
        <v>328</v>
      </c>
      <c r="D85" s="502" t="s">
        <v>329</v>
      </c>
      <c r="E85" s="111" t="s">
        <v>330</v>
      </c>
      <c r="F85" s="451" t="s">
        <v>331</v>
      </c>
      <c r="G85" s="451" t="s">
        <v>332</v>
      </c>
      <c r="H85" s="111" t="s">
        <v>333</v>
      </c>
      <c r="I85" s="249" t="s">
        <v>334</v>
      </c>
      <c r="J85" s="249" t="s">
        <v>335</v>
      </c>
      <c r="K85" s="451" t="s">
        <v>336</v>
      </c>
      <c r="L85" s="451" t="s">
        <v>337</v>
      </c>
      <c r="M85" s="451" t="s">
        <v>338</v>
      </c>
      <c r="N85" s="451" t="s">
        <v>339</v>
      </c>
      <c r="O85" s="451" t="s">
        <v>340</v>
      </c>
      <c r="P85" s="451" t="s">
        <v>341</v>
      </c>
      <c r="Q85" s="451" t="str">
        <f>Q73</f>
        <v>14日</v>
      </c>
    </row>
    <row r="86" ht="15" customHeight="1" spans="1:19">
      <c r="A86" s="384" t="s">
        <v>345</v>
      </c>
      <c r="B86" s="384"/>
      <c r="C86" s="111">
        <v>4658</v>
      </c>
      <c r="D86" s="111">
        <v>4536</v>
      </c>
      <c r="E86" s="111">
        <v>4730.59</v>
      </c>
      <c r="F86" s="249">
        <v>4741</v>
      </c>
      <c r="G86" s="249">
        <v>4756</v>
      </c>
      <c r="H86" s="111">
        <v>4779.45</v>
      </c>
      <c r="I86" s="249">
        <v>4761</v>
      </c>
      <c r="J86" s="249">
        <v>4767</v>
      </c>
      <c r="K86" s="249">
        <v>4706.64</v>
      </c>
      <c r="L86" s="249">
        <v>4748</v>
      </c>
      <c r="M86" s="249">
        <v>4770</v>
      </c>
      <c r="N86" s="249">
        <v>4780</v>
      </c>
      <c r="O86" s="249">
        <v>4687</v>
      </c>
      <c r="P86" s="249">
        <v>4778</v>
      </c>
      <c r="Q86" s="249">
        <v>4819.48</v>
      </c>
      <c r="S86" s="451">
        <f>J45</f>
        <v>4819.48</v>
      </c>
    </row>
    <row r="87" ht="15" customHeight="1" spans="3:14">
      <c r="C87" s="111"/>
      <c r="D87" s="111"/>
      <c r="E87" s="111"/>
      <c r="F87"/>
      <c r="G87"/>
      <c r="H87" s="111"/>
      <c r="I87"/>
      <c r="J87"/>
      <c r="K87"/>
      <c r="L87"/>
      <c r="M87"/>
      <c r="N87"/>
    </row>
    <row r="88" ht="15" customHeight="1" spans="3:19">
      <c r="C88" s="111" t="s">
        <v>328</v>
      </c>
      <c r="D88" s="111" t="s">
        <v>329</v>
      </c>
      <c r="E88" s="111" t="s">
        <v>330</v>
      </c>
      <c r="F88" s="249" t="s">
        <v>331</v>
      </c>
      <c r="G88" s="249" t="s">
        <v>332</v>
      </c>
      <c r="H88" s="111" t="s">
        <v>333</v>
      </c>
      <c r="I88" s="249" t="s">
        <v>334</v>
      </c>
      <c r="J88" s="249" t="s">
        <v>335</v>
      </c>
      <c r="K88" s="249" t="s">
        <v>336</v>
      </c>
      <c r="L88" s="249" t="s">
        <v>337</v>
      </c>
      <c r="M88" s="249" t="s">
        <v>338</v>
      </c>
      <c r="N88" s="249" t="s">
        <v>339</v>
      </c>
      <c r="O88" s="249" t="s">
        <v>340</v>
      </c>
      <c r="P88" s="249" t="s">
        <v>341</v>
      </c>
      <c r="Q88" s="249" t="str">
        <f>Q73</f>
        <v>14日</v>
      </c>
      <c r="S88" s="451">
        <f>J5</f>
        <v>32423.0473</v>
      </c>
    </row>
    <row r="89" ht="15" customHeight="1" spans="1:17">
      <c r="A89" s="249" t="s">
        <v>6</v>
      </c>
      <c r="C89" s="249">
        <v>32540</v>
      </c>
      <c r="D89" s="249">
        <v>32032</v>
      </c>
      <c r="E89" s="249">
        <v>32671.8634</v>
      </c>
      <c r="F89" s="249">
        <v>32789</v>
      </c>
      <c r="G89" s="249">
        <v>32794</v>
      </c>
      <c r="H89" s="249">
        <v>33611.4618</v>
      </c>
      <c r="I89" s="249">
        <v>34305</v>
      </c>
      <c r="J89" s="249">
        <v>33650</v>
      </c>
      <c r="K89" s="249">
        <v>33503.3279</v>
      </c>
      <c r="L89" s="249">
        <v>33562</v>
      </c>
      <c r="M89" s="505">
        <v>32715</v>
      </c>
      <c r="N89" s="505">
        <v>32109</v>
      </c>
      <c r="O89" s="505">
        <v>32725</v>
      </c>
      <c r="P89" s="505">
        <v>33950</v>
      </c>
      <c r="Q89" s="505">
        <v>32423.0473</v>
      </c>
    </row>
    <row r="90" ht="15" customHeight="1"/>
    <row r="91" ht="15" customHeight="1"/>
    <row r="92" ht="15" customHeight="1" spans="5:15">
      <c r="E92" s="249" t="s">
        <v>128</v>
      </c>
      <c r="G92" s="249" t="s">
        <v>153</v>
      </c>
      <c r="I92" s="249" t="s">
        <v>154</v>
      </c>
      <c r="K92" s="249" t="s">
        <v>152</v>
      </c>
      <c r="M92" s="249" t="s">
        <v>156</v>
      </c>
      <c r="O92" s="249" t="s">
        <v>246</v>
      </c>
    </row>
    <row r="93" ht="15" customHeight="1" spans="3:17">
      <c r="C93" s="464" t="s">
        <v>346</v>
      </c>
      <c r="E93" s="249">
        <v>1686.68</v>
      </c>
      <c r="G93" s="249">
        <v>1144.86</v>
      </c>
      <c r="I93" s="249">
        <v>476.38</v>
      </c>
      <c r="K93" s="249">
        <v>978.0397325</v>
      </c>
      <c r="L93" s="503"/>
      <c r="M93" s="249">
        <v>244.88</v>
      </c>
      <c r="O93" s="249">
        <v>281.98</v>
      </c>
      <c r="Q93" s="503"/>
    </row>
    <row r="94" ht="15" customHeight="1" spans="3:15">
      <c r="C94" s="249" t="s">
        <v>347</v>
      </c>
      <c r="E94" s="503">
        <f>C5*7/10000</f>
        <v>32.3472493150685</v>
      </c>
      <c r="G94" s="503">
        <f>C25*7/10000</f>
        <v>21.9562191780822</v>
      </c>
      <c r="I94" s="503">
        <f>K25*7/10000</f>
        <v>9.13604865753424</v>
      </c>
      <c r="K94" s="503">
        <f>K5*7/10000</f>
        <v>20.7254235616439</v>
      </c>
      <c r="M94" s="503">
        <f>C45*7/10000</f>
        <v>4.6935</v>
      </c>
      <c r="N94" s="503"/>
      <c r="O94" s="503">
        <f>K45*7/10000</f>
        <v>5.4075</v>
      </c>
    </row>
    <row r="95" ht="15" customHeight="1" spans="14:14">
      <c r="N95" s="503"/>
    </row>
    <row r="96" ht="15" customHeight="1" spans="3:15">
      <c r="C96" s="249" t="s">
        <v>348</v>
      </c>
      <c r="E96" s="503">
        <f>数据填报!BD2*E93/366</f>
        <v>479.275191256831</v>
      </c>
      <c r="F96" s="503"/>
      <c r="G96" s="503">
        <f>数据填报!BD2*G93/366</f>
        <v>325.315409836066</v>
      </c>
      <c r="I96" s="503">
        <f>数据填报!BD2*I93/366</f>
        <v>135.364808743169</v>
      </c>
      <c r="K96" s="503">
        <f>数据填报!BD2*K93/366</f>
        <v>277.912929453552</v>
      </c>
      <c r="M96" s="503">
        <f>数据填报!BD2*M93/366</f>
        <v>69.5833879781421</v>
      </c>
      <c r="N96" s="503"/>
      <c r="O96" s="503">
        <f>数据填报!BD2*O93/366</f>
        <v>80.1254644808743</v>
      </c>
    </row>
    <row r="97" ht="15" customHeight="1" spans="5:15">
      <c r="E97" s="503"/>
      <c r="F97" s="503"/>
      <c r="G97" s="503"/>
      <c r="I97" s="503"/>
      <c r="K97" s="503"/>
      <c r="M97" s="503"/>
      <c r="N97" s="503"/>
      <c r="O97" s="503"/>
    </row>
    <row r="98" ht="15" customHeight="1" spans="3:15">
      <c r="C98" s="249" t="s">
        <v>349</v>
      </c>
      <c r="E98" s="503">
        <f>H5/(E96*100)</f>
        <v>74.5447977904277</v>
      </c>
      <c r="F98" s="503"/>
      <c r="G98" s="503">
        <f>H25/(G96*100)</f>
        <v>67.1279544704156</v>
      </c>
      <c r="I98" s="503">
        <f>P25/(I96*100)</f>
        <v>76.9834848537199</v>
      </c>
      <c r="K98" s="503">
        <f>P5/(K96*100)</f>
        <v>82.6674393025667</v>
      </c>
      <c r="M98" s="503">
        <f>H45/(M96*100)</f>
        <v>69.8063881500829</v>
      </c>
      <c r="N98" s="503"/>
      <c r="O98" s="503">
        <f>P45/(O96*100)</f>
        <v>55.6764622695554</v>
      </c>
    </row>
    <row r="99" ht="15" customHeight="1" spans="5:15">
      <c r="E99" s="503"/>
      <c r="F99" s="503"/>
      <c r="G99" s="503"/>
      <c r="I99" s="503"/>
      <c r="K99" s="503"/>
      <c r="M99" s="503"/>
      <c r="N99" s="503"/>
      <c r="O99" s="503"/>
    </row>
    <row r="100" ht="15" customHeight="1" spans="3:15">
      <c r="C100" s="249" t="s">
        <v>350</v>
      </c>
      <c r="E100" s="503">
        <f>H5/10000-E96</f>
        <v>-122.000469074741</v>
      </c>
      <c r="F100" s="503"/>
      <c r="G100" s="503">
        <f>H25/10000-G96</f>
        <v>-106.937829636066</v>
      </c>
      <c r="I100" s="503">
        <f>P25/10000-I96</f>
        <v>-31.1562617071046</v>
      </c>
      <c r="K100" s="503">
        <f>P5/10000-K96</f>
        <v>-48.1694271835519</v>
      </c>
      <c r="M100" s="503">
        <f>H45/10000-M96</f>
        <v>-21.0097380781421</v>
      </c>
      <c r="N100" s="503"/>
      <c r="O100" s="503">
        <f>P45/10000-O96</f>
        <v>-35.5144404808743</v>
      </c>
    </row>
    <row r="101" ht="15" customHeight="1" spans="5:15">
      <c r="E101" s="503"/>
      <c r="F101" s="503"/>
      <c r="G101" s="503"/>
      <c r="I101" s="503"/>
      <c r="K101" s="503"/>
      <c r="M101" s="503"/>
      <c r="N101" s="503"/>
      <c r="O101" s="503"/>
    </row>
    <row r="102" ht="15" customHeight="1" spans="3:15">
      <c r="C102" s="249" t="s">
        <v>351</v>
      </c>
      <c r="E102" s="503">
        <f>H5/E93/100</f>
        <v>21.182128333892</v>
      </c>
      <c r="F102" s="503"/>
      <c r="G102" s="503">
        <f>H25/G93/100</f>
        <v>19.0746100134514</v>
      </c>
      <c r="I102" s="503">
        <f>P25/I93/100</f>
        <v>21.8750885923139</v>
      </c>
      <c r="K102" s="503">
        <f>P5/K93/100</f>
        <v>23.4902013318769</v>
      </c>
      <c r="M102" s="503">
        <f>H45/M93/100</f>
        <v>19.8356949934662</v>
      </c>
      <c r="O102" s="503">
        <f>P45/O93/100</f>
        <v>15.8206340875239</v>
      </c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</sheetData>
  <mergeCells count="33">
    <mergeCell ref="A1:Q1"/>
    <mergeCell ref="S1:U1"/>
    <mergeCell ref="A2:D2"/>
    <mergeCell ref="N2:Q2"/>
    <mergeCell ref="S2:U2"/>
    <mergeCell ref="B3:D3"/>
    <mergeCell ref="G3:H3"/>
    <mergeCell ref="J3:L3"/>
    <mergeCell ref="O3:P3"/>
    <mergeCell ref="B23:D23"/>
    <mergeCell ref="G23:H23"/>
    <mergeCell ref="J23:L23"/>
    <mergeCell ref="O23:P23"/>
    <mergeCell ref="B43:D43"/>
    <mergeCell ref="J43:L43"/>
    <mergeCell ref="O43:P43"/>
    <mergeCell ref="B56:D56"/>
    <mergeCell ref="G56:H56"/>
    <mergeCell ref="J56:L56"/>
    <mergeCell ref="O56:P56"/>
    <mergeCell ref="C71:I71"/>
    <mergeCell ref="J71:P71"/>
    <mergeCell ref="A74:B74"/>
    <mergeCell ref="A77:B77"/>
    <mergeCell ref="A80:B80"/>
    <mergeCell ref="A83:B83"/>
    <mergeCell ref="A86:B86"/>
    <mergeCell ref="A3:A4"/>
    <mergeCell ref="A43:A44"/>
    <mergeCell ref="A56:A57"/>
    <mergeCell ref="A68:B69"/>
    <mergeCell ref="A62:Q67"/>
    <mergeCell ref="C68:Q69"/>
  </mergeCells>
  <pageMargins left="0.507638888888889" right="0.389583333333333" top="0.35" bottom="0.35" header="0.507638888888889" footer="0.507638888888889"/>
  <pageSetup paperSize="8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9"/>
  <sheetViews>
    <sheetView tabSelected="1" topLeftCell="A37" workbookViewId="0">
      <selection activeCell="R57" sqref="R56:R57"/>
    </sheetView>
  </sheetViews>
  <sheetFormatPr defaultColWidth="9" defaultRowHeight="14.25"/>
  <cols>
    <col min="1" max="1" width="7.375" style="249" customWidth="1"/>
    <col min="2" max="2" width="5.875" style="249" customWidth="1"/>
    <col min="3" max="3" width="7.875" style="249" customWidth="1"/>
    <col min="4" max="4" width="9.26666666666667" style="249" customWidth="1"/>
    <col min="5" max="5" width="6" style="249" customWidth="1"/>
    <col min="6" max="6" width="6.875" style="249" customWidth="1"/>
    <col min="7" max="7" width="6.625" style="249" customWidth="1"/>
    <col min="8" max="8" width="7.49166666666667" style="249" customWidth="1"/>
    <col min="9" max="9" width="7.625" style="249" customWidth="1"/>
    <col min="10" max="10" width="6.46666666666667" style="249" customWidth="1"/>
    <col min="11" max="11" width="7.35" style="249" customWidth="1"/>
    <col min="12" max="12" width="6.80833333333333" style="249" customWidth="1"/>
    <col min="13" max="13" width="7.08333333333333" style="249" customWidth="1"/>
    <col min="14" max="14" width="6.375" style="249" customWidth="1"/>
    <col min="15" max="15" width="5.75" style="249" customWidth="1"/>
    <col min="16" max="16" width="6.625" style="249" customWidth="1"/>
    <col min="17" max="17" width="6" style="249" customWidth="1"/>
    <col min="18" max="18" width="7.08333333333333" style="249" customWidth="1"/>
    <col min="19" max="19" width="6.475" style="249" customWidth="1"/>
    <col min="20" max="20" width="6.625" style="249" customWidth="1"/>
    <col min="21" max="21" width="12.625" style="249" hidden="1" customWidth="1"/>
    <col min="22" max="22" width="12.625" style="249" customWidth="1"/>
    <col min="23" max="23" width="12.625" style="249" hidden="1" customWidth="1"/>
    <col min="24" max="24" width="12.625" style="249" customWidth="1"/>
    <col min="25" max="25" width="9" style="249" hidden="1" customWidth="1"/>
    <col min="26" max="16384" width="9" style="249"/>
  </cols>
  <sheetData>
    <row r="1" ht="26" customHeight="1" spans="1:24">
      <c r="A1" s="406" t="s">
        <v>22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45"/>
      <c r="U1" s="446"/>
      <c r="V1" s="446"/>
      <c r="W1" s="446"/>
      <c r="X1" s="446"/>
    </row>
    <row r="2" ht="19.5" customHeight="1" spans="1:19">
      <c r="A2" s="407" t="s">
        <v>144</v>
      </c>
      <c r="B2" s="408"/>
      <c r="C2" s="408"/>
      <c r="D2" s="408"/>
      <c r="E2" s="408"/>
      <c r="F2" s="408"/>
      <c r="G2" s="408"/>
      <c r="H2" s="408"/>
      <c r="I2" s="408"/>
      <c r="J2" s="408"/>
      <c r="K2" s="100"/>
      <c r="Q2" s="447">
        <f>数据填报!M2</f>
        <v>44300</v>
      </c>
      <c r="R2" s="448"/>
      <c r="S2" s="448"/>
    </row>
    <row r="3" ht="19.5" customHeight="1" spans="1:19">
      <c r="A3" s="409" t="s">
        <v>352</v>
      </c>
      <c r="B3" s="410"/>
      <c r="C3" s="410"/>
      <c r="D3" s="410"/>
      <c r="E3" s="410"/>
      <c r="F3" s="410"/>
      <c r="G3" s="410"/>
      <c r="H3" s="410"/>
      <c r="I3" s="410"/>
      <c r="J3" s="410"/>
      <c r="K3" s="429"/>
      <c r="L3" s="409" t="s">
        <v>353</v>
      </c>
      <c r="M3" s="410"/>
      <c r="N3" s="410"/>
      <c r="O3" s="410"/>
      <c r="P3" s="410"/>
      <c r="Q3" s="429"/>
      <c r="R3" s="409" t="s">
        <v>87</v>
      </c>
      <c r="S3" s="429"/>
    </row>
    <row r="4" ht="17.1" customHeight="1" spans="1:19">
      <c r="A4" s="411" t="s">
        <v>98</v>
      </c>
      <c r="B4" s="412" t="s">
        <v>25</v>
      </c>
      <c r="C4" s="412"/>
      <c r="D4" s="412"/>
      <c r="E4" s="412"/>
      <c r="F4" s="412"/>
      <c r="G4" s="412" t="s">
        <v>28</v>
      </c>
      <c r="H4" s="412"/>
      <c r="I4" s="412"/>
      <c r="J4" s="412"/>
      <c r="K4" s="430"/>
      <c r="L4" s="411" t="s">
        <v>32</v>
      </c>
      <c r="M4" s="431"/>
      <c r="N4" s="431"/>
      <c r="O4" s="431" t="s">
        <v>33</v>
      </c>
      <c r="P4" s="431"/>
      <c r="Q4" s="449"/>
      <c r="R4" s="411" t="s">
        <v>135</v>
      </c>
      <c r="S4" s="449"/>
    </row>
    <row r="5" ht="24.95" customHeight="1" spans="1:19">
      <c r="A5" s="411"/>
      <c r="B5" s="196" t="s">
        <v>11</v>
      </c>
      <c r="C5" s="196" t="s">
        <v>37</v>
      </c>
      <c r="D5" s="196" t="s">
        <v>38</v>
      </c>
      <c r="E5" s="413" t="s">
        <v>39</v>
      </c>
      <c r="F5" s="413" t="s">
        <v>40</v>
      </c>
      <c r="G5" s="196" t="s">
        <v>11</v>
      </c>
      <c r="H5" s="196" t="s">
        <v>37</v>
      </c>
      <c r="I5" s="196" t="s">
        <v>38</v>
      </c>
      <c r="J5" s="432" t="s">
        <v>235</v>
      </c>
      <c r="K5" s="433" t="s">
        <v>40</v>
      </c>
      <c r="L5" s="414" t="s">
        <v>11</v>
      </c>
      <c r="M5" s="196" t="s">
        <v>37</v>
      </c>
      <c r="N5" s="196" t="s">
        <v>38</v>
      </c>
      <c r="O5" s="196" t="s">
        <v>11</v>
      </c>
      <c r="P5" s="196" t="s">
        <v>37</v>
      </c>
      <c r="Q5" s="450" t="s">
        <v>38</v>
      </c>
      <c r="R5" s="411" t="s">
        <v>56</v>
      </c>
      <c r="S5" s="449" t="s">
        <v>57</v>
      </c>
    </row>
    <row r="6" ht="17.1" customHeight="1" spans="1:24">
      <c r="A6" s="414" t="s">
        <v>21</v>
      </c>
      <c r="B6" s="197">
        <f>SUM(B7:B22)</f>
        <v>30037.049</v>
      </c>
      <c r="C6" s="197">
        <f>SUM(C7:C22)</f>
        <v>435228.9936</v>
      </c>
      <c r="D6" s="197">
        <f>SUM(D7:D22)</f>
        <v>3062583.176</v>
      </c>
      <c r="E6" s="197">
        <f>(B7*E7+B8*E8+B9*E9+B10*E10+B11*E11+B12*E12+B13*E13+B14*E14+B15*E15+B16*E16+B18*E18+B19*E19+B20*E20+B21*E21+B22*E22)/B6</f>
        <v>2084.2917345176</v>
      </c>
      <c r="F6" s="197">
        <f>SUM(F7:F22)</f>
        <v>142654.183</v>
      </c>
      <c r="G6" s="197">
        <f>SUM(G7:G23)</f>
        <v>10257.99</v>
      </c>
      <c r="H6" s="197">
        <f>SUM(H7:H23)</f>
        <v>121206.77</v>
      </c>
      <c r="I6" s="197">
        <f>SUM(I7:I23)</f>
        <v>1170667.26</v>
      </c>
      <c r="J6" s="197">
        <f>(G8*J8+G11*J11+G12*J12+G13*J13+G14*J14+G15*J15+G16*J16+G17*J17+G19*J19+G21*J21+J10*G10+J18*G18+G23*J23+G20*J20)/(G8+G11+G12+G13+G14+G15+G16+G17+G19+G21+G10+G18+G23+G20)</f>
        <v>2258.93367115406</v>
      </c>
      <c r="K6" s="434">
        <f>SUM(K7:K23)</f>
        <v>99820.6174</v>
      </c>
      <c r="L6" s="435">
        <f>AVERAGE(L7:L23)</f>
        <v>1117.52488596272</v>
      </c>
      <c r="M6" s="197">
        <f t="shared" ref="L6:Q6" si="0">AVERAGE(M7:M22)</f>
        <v>1195.6686901653</v>
      </c>
      <c r="N6" s="197">
        <f t="shared" si="0"/>
        <v>1204.54503656124</v>
      </c>
      <c r="O6" s="197">
        <f t="shared" si="0"/>
        <v>949.761657421048</v>
      </c>
      <c r="P6" s="197">
        <f t="shared" si="0"/>
        <v>950.704581980811</v>
      </c>
      <c r="Q6" s="434">
        <f t="shared" si="0"/>
        <v>899.80465199592</v>
      </c>
      <c r="R6" s="435">
        <f>SUM(R7:R22)</f>
        <v>267529.197</v>
      </c>
      <c r="S6" s="434">
        <f>SUM(S7:S22)</f>
        <v>24399.4</v>
      </c>
      <c r="X6" s="451"/>
    </row>
    <row r="7" ht="17.1" customHeight="1" spans="1:24">
      <c r="A7" s="414" t="s">
        <v>303</v>
      </c>
      <c r="B7" s="197">
        <f>数据填报!AT7</f>
        <v>838.457</v>
      </c>
      <c r="C7" s="197">
        <f>数据填报!AT31+数据填报!AT7</f>
        <v>13532.5816</v>
      </c>
      <c r="D7" s="197">
        <f>历史销量!N4+表二!C7</f>
        <v>146194.607</v>
      </c>
      <c r="E7" s="197">
        <f>数据填报!AW7</f>
        <v>2120</v>
      </c>
      <c r="F7" s="197">
        <f>数据填报!AX7</f>
        <v>5621.135</v>
      </c>
      <c r="G7" s="197">
        <f>数据填报!AY7</f>
        <v>452</v>
      </c>
      <c r="H7" s="197">
        <f>数据填报!AW31+数据填报!AY7</f>
        <v>6486.65</v>
      </c>
      <c r="I7" s="197">
        <f>历史销量!N23+表二!H7</f>
        <v>41063.48</v>
      </c>
      <c r="J7" s="197">
        <f>数据填报!BB7</f>
        <v>2234.44690265487</v>
      </c>
      <c r="K7" s="197">
        <f>数据填报!BC7</f>
        <v>2833</v>
      </c>
      <c r="L7" s="435">
        <f>数据填报!BN7</f>
        <v>1207.97067254686</v>
      </c>
      <c r="M7" s="197">
        <f>数据填报!BO7</f>
        <v>1181.05597931936</v>
      </c>
      <c r="N7" s="197">
        <f>数据填报!BP7</f>
        <v>1178.02711227579</v>
      </c>
      <c r="O7" s="197">
        <f>数据填报!BQ7</f>
        <v>1115.26901874311</v>
      </c>
      <c r="P7" s="197">
        <f>数据填报!BR7</f>
        <v>1107.58636036798</v>
      </c>
      <c r="Q7" s="434">
        <f>数据填报!BS7</f>
        <v>1128.70303505895</v>
      </c>
      <c r="R7" s="435">
        <f>数据填报!BZ7</f>
        <v>65303</v>
      </c>
      <c r="S7" s="434">
        <f>煤炭库存统计表!F7</f>
        <v>5952.07</v>
      </c>
      <c r="V7" s="384"/>
      <c r="W7" s="384"/>
      <c r="X7" s="452"/>
    </row>
    <row r="8" ht="17.1" customHeight="1" spans="1:24">
      <c r="A8" s="414" t="s">
        <v>304</v>
      </c>
      <c r="B8" s="197">
        <f>数据填报!AT8</f>
        <v>3023</v>
      </c>
      <c r="C8" s="197">
        <f>数据填报!AT32+数据填报!AT8</f>
        <v>33351.248</v>
      </c>
      <c r="D8" s="197">
        <f>历史销量!N5+表二!C8</f>
        <v>159749.142</v>
      </c>
      <c r="E8" s="197">
        <f>数据填报!AW8</f>
        <v>2008.59411180946</v>
      </c>
      <c r="F8" s="197">
        <f>数据填报!AX8</f>
        <v>2944</v>
      </c>
      <c r="G8" s="197">
        <f>数据填报!AY8</f>
        <v>439</v>
      </c>
      <c r="H8" s="197">
        <f>数据填报!AW32+数据填报!AY8</f>
        <v>2698.18</v>
      </c>
      <c r="I8" s="197">
        <f>历史销量!N24+表二!H8</f>
        <v>13694.6</v>
      </c>
      <c r="J8" s="197">
        <f>数据填报!BB8</f>
        <v>2120</v>
      </c>
      <c r="K8" s="197">
        <f>数据填报!BC8</f>
        <v>1335</v>
      </c>
      <c r="L8" s="435">
        <f>数据填报!BN8</f>
        <v>1168</v>
      </c>
      <c r="M8" s="197">
        <f>数据填报!BO8</f>
        <v>1127.54497354497</v>
      </c>
      <c r="N8" s="197">
        <f>数据填报!BP8</f>
        <v>1150.16544728573</v>
      </c>
      <c r="O8" s="197">
        <f>数据填报!BQ8</f>
        <v>1191</v>
      </c>
      <c r="P8" s="197">
        <f>数据填报!BR8</f>
        <v>1236.52842508162</v>
      </c>
      <c r="Q8" s="434">
        <f>数据填报!BS8</f>
        <v>1375.76308307804</v>
      </c>
      <c r="R8" s="435">
        <f>数据填报!BZ8</f>
        <v>17420</v>
      </c>
      <c r="S8" s="434">
        <f>数据填报!CA8</f>
        <v>1551</v>
      </c>
      <c r="V8" s="384"/>
      <c r="W8" s="384"/>
      <c r="X8" s="384"/>
    </row>
    <row r="9" ht="17.1" customHeight="1" spans="1:24">
      <c r="A9" s="414" t="s">
        <v>305</v>
      </c>
      <c r="B9" s="197">
        <f>数据填报!AT9</f>
        <v>1680</v>
      </c>
      <c r="C9" s="197">
        <f>数据填报!AT33+数据填报!AT9</f>
        <v>25527</v>
      </c>
      <c r="D9" s="197">
        <f>历史销量!N6+表二!C9</f>
        <v>276035</v>
      </c>
      <c r="E9" s="197">
        <f>数据填报!AW9</f>
        <v>2045</v>
      </c>
      <c r="F9" s="197">
        <f>数据填报!AX9</f>
        <v>32549</v>
      </c>
      <c r="G9" s="197">
        <f>数据填报!AY9</f>
        <v>0</v>
      </c>
      <c r="H9" s="197">
        <f>数据填报!AW33+数据填报!AY9</f>
        <v>0</v>
      </c>
      <c r="I9" s="197">
        <f>历史销量!N25+表二!H9</f>
        <v>0</v>
      </c>
      <c r="J9" s="197">
        <f>数据填报!BB9</f>
        <v>0</v>
      </c>
      <c r="K9" s="197">
        <f>数据填报!BC9</f>
        <v>0</v>
      </c>
      <c r="L9" s="435">
        <f>数据填报!BN9</f>
        <v>1361</v>
      </c>
      <c r="M9" s="197">
        <f>数据填报!BO9</f>
        <v>1367</v>
      </c>
      <c r="N9" s="197">
        <f>数据填报!BP9</f>
        <v>1365</v>
      </c>
      <c r="O9" s="197">
        <f>数据填报!BQ9</f>
        <v>183</v>
      </c>
      <c r="P9" s="197">
        <f>数据填报!BR9</f>
        <v>191</v>
      </c>
      <c r="Q9" s="434">
        <f>数据填报!BS9</f>
        <v>185</v>
      </c>
      <c r="R9" s="435">
        <f>数据填报!BZ9</f>
        <v>4466</v>
      </c>
      <c r="S9" s="434">
        <f>数据填报!CA9</f>
        <v>0</v>
      </c>
      <c r="V9" s="384"/>
      <c r="W9" s="384"/>
      <c r="X9" s="384"/>
    </row>
    <row r="10" ht="17.1" customHeight="1" spans="1:24">
      <c r="A10" s="414" t="s">
        <v>306</v>
      </c>
      <c r="B10" s="197">
        <f>数据填报!AT10</f>
        <v>0</v>
      </c>
      <c r="C10" s="197">
        <f>数据填报!AT34+数据填报!AT10</f>
        <v>2090</v>
      </c>
      <c r="D10" s="197">
        <f>历史销量!N7+表二!C10</f>
        <v>107103</v>
      </c>
      <c r="E10" s="197">
        <f>数据基表!E73</f>
        <v>0</v>
      </c>
      <c r="F10" s="197">
        <f>数据填报!AX10</f>
        <v>0</v>
      </c>
      <c r="G10" s="197">
        <f>数据填报!AY10</f>
        <v>106</v>
      </c>
      <c r="H10" s="197">
        <f>数据填报!AW34+数据填报!AY10</f>
        <v>1499</v>
      </c>
      <c r="I10" s="197">
        <f>数据基表!I73</f>
        <v>18625</v>
      </c>
      <c r="J10" s="197">
        <f>数据基表!J73</f>
        <v>2350</v>
      </c>
      <c r="K10" s="197">
        <f>数据填报!BC10</f>
        <v>1538</v>
      </c>
      <c r="L10" s="435">
        <f>数据填报!BN10</f>
        <v>1112</v>
      </c>
      <c r="M10" s="197">
        <f>数据填报!BO10</f>
        <v>1112</v>
      </c>
      <c r="N10" s="197">
        <f>数据填报!BP10</f>
        <v>1109</v>
      </c>
      <c r="O10" s="197">
        <f>数据填报!BQ10</f>
        <v>1228</v>
      </c>
      <c r="P10" s="197">
        <f>数据填报!BR10</f>
        <v>1228</v>
      </c>
      <c r="Q10" s="434">
        <f>数据填报!BS10</f>
        <v>1240</v>
      </c>
      <c r="R10" s="435">
        <f>数据填报!BZ10</f>
        <v>7325</v>
      </c>
      <c r="S10" s="434">
        <f>数据填报!CA10</f>
        <v>1206</v>
      </c>
      <c r="V10" s="384"/>
      <c r="W10" s="384"/>
      <c r="X10" s="384"/>
    </row>
    <row r="11" ht="17.1" customHeight="1" spans="1:24">
      <c r="A11" s="414" t="s">
        <v>307</v>
      </c>
      <c r="B11" s="197">
        <f>数据填报!AT11</f>
        <v>4114</v>
      </c>
      <c r="C11" s="197">
        <f>数据填报!AT35+数据填报!AT11</f>
        <v>65509.58</v>
      </c>
      <c r="D11" s="197">
        <f>历史销量!N8+表二!C11</f>
        <v>464304.96</v>
      </c>
      <c r="E11" s="197">
        <f>数据填报!AW11</f>
        <v>2133</v>
      </c>
      <c r="F11" s="197">
        <f>数据基表!F87</f>
        <v>0</v>
      </c>
      <c r="G11" s="197">
        <f>数据填报!AY11</f>
        <v>816.14</v>
      </c>
      <c r="H11" s="197">
        <f>数据填报!AW35+数据填报!AY11</f>
        <v>9865.48</v>
      </c>
      <c r="I11" s="197">
        <f>历史销量!N27+表二!H11</f>
        <v>81765.61</v>
      </c>
      <c r="J11" s="197">
        <f>数据填报!BB11</f>
        <v>2441</v>
      </c>
      <c r="K11" s="197">
        <f>数据填报!BC11</f>
        <v>2240</v>
      </c>
      <c r="L11" s="435">
        <f>数据填报!BN11</f>
        <v>1295.71975</v>
      </c>
      <c r="M11" s="197">
        <f>数据填报!BO11</f>
        <v>1277.20605</v>
      </c>
      <c r="N11" s="197">
        <f>数据填报!BP11</f>
        <v>1212.9066</v>
      </c>
      <c r="O11" s="197">
        <f>数据填报!BQ11</f>
        <v>839.02611122053</v>
      </c>
      <c r="P11" s="197">
        <f>数据填报!BR11</f>
        <v>825.987079797747</v>
      </c>
      <c r="Q11" s="434">
        <f>数据填报!BS11</f>
        <v>799.338388899284</v>
      </c>
      <c r="R11" s="435">
        <f>数据填报!BZ11</f>
        <v>39044</v>
      </c>
      <c r="S11" s="434">
        <f>数据填报!CA11</f>
        <v>2716</v>
      </c>
      <c r="V11" s="384"/>
      <c r="W11" s="384"/>
      <c r="X11" s="384"/>
    </row>
    <row r="12" ht="15" customHeight="1" spans="1:24">
      <c r="A12" s="414" t="s">
        <v>308</v>
      </c>
      <c r="B12" s="197">
        <f>数据填报!AT12</f>
        <v>4116</v>
      </c>
      <c r="C12" s="197">
        <f>数据填报!AT36+数据填报!AT12</f>
        <v>62213.74</v>
      </c>
      <c r="D12" s="197">
        <f>历史销量!N9+表二!C12</f>
        <v>436426.85</v>
      </c>
      <c r="E12" s="197">
        <f>数据填报!AW12</f>
        <v>2077.05758017493</v>
      </c>
      <c r="F12" s="197">
        <f>数据填报!AX12</f>
        <v>3187</v>
      </c>
      <c r="G12" s="197">
        <f>数据填报!AY12</f>
        <v>1635.73</v>
      </c>
      <c r="H12" s="197">
        <f>数据填报!AW36+数据填报!AY12</f>
        <v>21261.83</v>
      </c>
      <c r="I12" s="197">
        <f>历史销量!N28+表二!H12</f>
        <v>173374.44</v>
      </c>
      <c r="J12" s="197">
        <f>数据填报!BB12</f>
        <v>2220.59242662298</v>
      </c>
      <c r="K12" s="197">
        <f>数据填报!BC12</f>
        <v>5525</v>
      </c>
      <c r="L12" s="435">
        <v>1183</v>
      </c>
      <c r="M12" s="197">
        <v>1216</v>
      </c>
      <c r="N12" s="197">
        <v>1201</v>
      </c>
      <c r="O12" s="197">
        <v>929</v>
      </c>
      <c r="P12" s="197">
        <v>896</v>
      </c>
      <c r="Q12" s="434">
        <v>987</v>
      </c>
      <c r="R12" s="435">
        <f>数据填报!BZ12</f>
        <v>12482</v>
      </c>
      <c r="S12" s="434">
        <f>数据填报!CA12</f>
        <v>1048.34</v>
      </c>
      <c r="V12" s="384"/>
      <c r="W12" s="384"/>
      <c r="X12" s="384"/>
    </row>
    <row r="13" ht="17.1" customHeight="1" spans="1:24">
      <c r="A13" s="414" t="s">
        <v>309</v>
      </c>
      <c r="B13" s="197">
        <f>数据填报!AT13</f>
        <v>2144</v>
      </c>
      <c r="C13" s="197">
        <f>数据填报!AT37+数据填报!AT13</f>
        <v>54590</v>
      </c>
      <c r="D13" s="197">
        <f>历史销量!N10+表二!C13</f>
        <v>359883</v>
      </c>
      <c r="E13" s="197">
        <f>数据填报!AW13</f>
        <v>2119</v>
      </c>
      <c r="F13" s="197">
        <f>数据填报!AX13</f>
        <v>36805</v>
      </c>
      <c r="G13" s="197">
        <f>数据填报!AY13</f>
        <v>1601</v>
      </c>
      <c r="H13" s="197">
        <f>数据填报!AW37+数据填报!AY13</f>
        <v>21258</v>
      </c>
      <c r="I13" s="197">
        <f>历史销量!N29+表二!H13</f>
        <v>152085</v>
      </c>
      <c r="J13" s="197">
        <f>数据填报!BB13</f>
        <v>2306</v>
      </c>
      <c r="K13" s="197">
        <f>数据填报!BC13</f>
        <v>22071</v>
      </c>
      <c r="L13" s="435">
        <f>数据填报!BN13</f>
        <v>1112</v>
      </c>
      <c r="M13" s="197">
        <f>数据填报!BO13</f>
        <v>1106</v>
      </c>
      <c r="N13" s="197">
        <f>数据填报!BP13</f>
        <v>1078</v>
      </c>
      <c r="O13" s="197">
        <f>数据填报!BQ13</f>
        <v>1277</v>
      </c>
      <c r="P13" s="197">
        <f>数据填报!BR13</f>
        <v>1273</v>
      </c>
      <c r="Q13" s="434">
        <f>数据填报!BS13</f>
        <v>1301</v>
      </c>
      <c r="R13" s="435">
        <f>数据填报!BZ13</f>
        <v>42283</v>
      </c>
      <c r="S13" s="434">
        <f>数据填报!CA13</f>
        <v>663</v>
      </c>
      <c r="V13" s="384"/>
      <c r="W13" s="384"/>
      <c r="X13" s="384"/>
    </row>
    <row r="14" ht="17.1" customHeight="1" spans="1:24">
      <c r="A14" s="414" t="s">
        <v>310</v>
      </c>
      <c r="B14" s="197">
        <f>数据填报!AT14</f>
        <v>2991.72</v>
      </c>
      <c r="C14" s="197">
        <f>数据填报!AT38+数据填报!AT14</f>
        <v>45094.35</v>
      </c>
      <c r="D14" s="197">
        <f>历史销量!N11+表二!C14</f>
        <v>335511.54</v>
      </c>
      <c r="E14" s="197">
        <f>数据填报!AW14</f>
        <v>2210</v>
      </c>
      <c r="F14" s="197">
        <f>数据填报!AX14</f>
        <v>3227.37</v>
      </c>
      <c r="G14" s="197">
        <f>数据填报!AY14</f>
        <v>2417.3</v>
      </c>
      <c r="H14" s="197">
        <f>数据填报!AW38+数据填报!AY14</f>
        <v>31870.35</v>
      </c>
      <c r="I14" s="197">
        <f>历史销量!N30+表二!H14</f>
        <v>232597.36</v>
      </c>
      <c r="J14" s="197">
        <f>数据填报!BB14</f>
        <v>2300</v>
      </c>
      <c r="K14" s="197">
        <f>数据填报!BC14</f>
        <v>17264.36</v>
      </c>
      <c r="L14" s="435">
        <f>数据填报!BN14</f>
        <v>1193.25317698878</v>
      </c>
      <c r="M14" s="197">
        <f>数据填报!BO14</f>
        <v>1187.04111156528</v>
      </c>
      <c r="N14" s="197">
        <f>数据填报!BP14</f>
        <v>1200.98631573463</v>
      </c>
      <c r="O14" s="197">
        <f>数据基表!Y167</f>
        <v>921.593360316657</v>
      </c>
      <c r="P14" s="197">
        <f>数据填报!BR14</f>
        <v>929.125629511123</v>
      </c>
      <c r="Q14" s="434">
        <f>数据填报!BS14</f>
        <v>931.019351668818</v>
      </c>
      <c r="R14" s="435">
        <f>数据填报!BZ14</f>
        <v>23240</v>
      </c>
      <c r="S14" s="434">
        <f>数据填报!CA14</f>
        <v>2448</v>
      </c>
      <c r="V14" s="384"/>
      <c r="W14" s="384"/>
      <c r="X14" s="384"/>
    </row>
    <row r="15" ht="17.1" customHeight="1" spans="1:19">
      <c r="A15" s="414" t="s">
        <v>311</v>
      </c>
      <c r="B15" s="197">
        <f>数据填报!AT15</f>
        <v>2670</v>
      </c>
      <c r="C15" s="197">
        <f>数据填报!AT39+数据填报!AT15</f>
        <v>10499.14</v>
      </c>
      <c r="D15" s="197">
        <f>历史销量!N12+表二!C15</f>
        <v>102872.96</v>
      </c>
      <c r="E15" s="197">
        <f>数据填报!AW15</f>
        <v>2091.064</v>
      </c>
      <c r="F15" s="197">
        <f>数据填报!AX15</f>
        <v>15518.92</v>
      </c>
      <c r="G15" s="197">
        <f>数据填报!AY15</f>
        <v>412.08</v>
      </c>
      <c r="H15" s="197">
        <f>数据填报!AW39+数据填报!AY15</f>
        <v>3820.44</v>
      </c>
      <c r="I15" s="197">
        <f>历史销量!N31+表二!H15</f>
        <v>46078.96</v>
      </c>
      <c r="J15" s="197">
        <f>数据填报!BB15</f>
        <v>2360</v>
      </c>
      <c r="K15" s="197">
        <f>数据填报!BC15</f>
        <v>18835.707</v>
      </c>
      <c r="L15" s="435">
        <f>数据基表!AF185*1000</f>
        <v>1024</v>
      </c>
      <c r="M15" s="197">
        <f>数据基表!AG185*1000</f>
        <v>915</v>
      </c>
      <c r="N15" s="197">
        <f>数据基表!AH185*1000</f>
        <v>1117</v>
      </c>
      <c r="O15" s="197">
        <f>数据基表!AJ185</f>
        <v>781.245</v>
      </c>
      <c r="P15" s="197">
        <f>数据基表!AK185</f>
        <v>984.346</v>
      </c>
      <c r="Q15" s="434">
        <f>数据基表!AL185</f>
        <v>93.303</v>
      </c>
      <c r="R15" s="435"/>
      <c r="S15" s="434"/>
    </row>
    <row r="16" ht="17.1" customHeight="1" spans="1:19">
      <c r="A16" s="414" t="s">
        <v>312</v>
      </c>
      <c r="B16" s="197">
        <f>数据填报!AT16</f>
        <v>0</v>
      </c>
      <c r="C16" s="197">
        <f>数据填报!AT40+数据填报!AT16</f>
        <v>0</v>
      </c>
      <c r="D16" s="197">
        <f>历史销量!N13+表二!C16</f>
        <v>0</v>
      </c>
      <c r="E16" s="197">
        <f>数据填报!AW16</f>
        <v>0</v>
      </c>
      <c r="F16" s="197">
        <f>数据填报!AX16</f>
        <v>0</v>
      </c>
      <c r="G16" s="197">
        <f>数据填报!AY16</f>
        <v>0</v>
      </c>
      <c r="H16" s="197">
        <f>数据填报!AW40+数据填报!AY16</f>
        <v>0</v>
      </c>
      <c r="I16" s="197">
        <f>历史销量!N32+表二!H16</f>
        <v>0</v>
      </c>
      <c r="J16" s="197">
        <f>数据填报!BB16</f>
        <v>0</v>
      </c>
      <c r="K16" s="197">
        <f>数据填报!BC16</f>
        <v>569</v>
      </c>
      <c r="L16" s="435"/>
      <c r="M16" s="197"/>
      <c r="N16" s="197"/>
      <c r="O16" s="197">
        <f>数据基表!Y204</f>
        <v>1129</v>
      </c>
      <c r="P16" s="197"/>
      <c r="Q16" s="434"/>
      <c r="R16" s="435">
        <f>数据基表!A209</f>
        <v>1000</v>
      </c>
      <c r="S16" s="435">
        <f>数据基表!B209</f>
        <v>700</v>
      </c>
    </row>
    <row r="17" ht="17.1" customHeight="1" spans="1:19">
      <c r="A17" s="414" t="s">
        <v>313</v>
      </c>
      <c r="B17" s="197">
        <f>数据填报!AT17</f>
        <v>0</v>
      </c>
      <c r="C17" s="197"/>
      <c r="D17" s="197"/>
      <c r="E17" s="197"/>
      <c r="F17" s="197"/>
      <c r="G17" s="197">
        <f>数据填报!AY17</f>
        <v>919</v>
      </c>
      <c r="H17" s="197">
        <f>数据填报!AW41+数据填报!AY17</f>
        <v>1019</v>
      </c>
      <c r="I17" s="197">
        <f>历史销量!N33+表二!H17</f>
        <v>65993.4</v>
      </c>
      <c r="J17" s="197">
        <f>数据填报!BB17</f>
        <v>2120</v>
      </c>
      <c r="K17" s="197">
        <f>数据填报!BC17</f>
        <v>6305</v>
      </c>
      <c r="L17" s="435">
        <f>数据填报!BV28</f>
        <v>1607</v>
      </c>
      <c r="M17" s="435">
        <f>数据填报!BW28</f>
        <v>1790</v>
      </c>
      <c r="N17" s="435">
        <f>数据填报!BX28</f>
        <v>1550</v>
      </c>
      <c r="O17" s="197"/>
      <c r="P17" s="197"/>
      <c r="Q17" s="434"/>
      <c r="R17" s="435"/>
      <c r="S17" s="434"/>
    </row>
    <row r="18" ht="17.1" customHeight="1" spans="1:19">
      <c r="A18" s="414" t="s">
        <v>314</v>
      </c>
      <c r="B18" s="197">
        <f>数据填报!AT18</f>
        <v>0</v>
      </c>
      <c r="C18" s="197">
        <f>数据填报!AT42+数据填报!AT18</f>
        <v>0</v>
      </c>
      <c r="D18" s="197">
        <f>历史销量!N15+表二!C18</f>
        <v>0</v>
      </c>
      <c r="E18" s="197">
        <f>数据填报!AW18</f>
        <v>0</v>
      </c>
      <c r="F18" s="197">
        <f>数据填报!AX18</f>
        <v>0</v>
      </c>
      <c r="G18" s="197">
        <f>数据填报!AY18</f>
        <v>0</v>
      </c>
      <c r="H18" s="197">
        <f>数据填报!AW42+数据填报!AY18</f>
        <v>0</v>
      </c>
      <c r="I18" s="197">
        <f>历史销量!N34+表二!H18</f>
        <v>0</v>
      </c>
      <c r="J18" s="197">
        <f>数据填报!BB18</f>
        <v>0</v>
      </c>
      <c r="K18" s="434">
        <f>数据填报!BC18</f>
        <v>0</v>
      </c>
      <c r="L18" s="435"/>
      <c r="M18" s="197"/>
      <c r="N18" s="197"/>
      <c r="O18" s="197"/>
      <c r="P18" s="197"/>
      <c r="Q18" s="434"/>
      <c r="R18" s="435"/>
      <c r="S18" s="434"/>
    </row>
    <row r="19" ht="17.1" customHeight="1" spans="1:19">
      <c r="A19" s="414" t="s">
        <v>315</v>
      </c>
      <c r="B19" s="197">
        <f>数据填报!AT20</f>
        <v>2102</v>
      </c>
      <c r="C19" s="197">
        <f>数据填报!AT43+数据填报!AT20</f>
        <v>27714</v>
      </c>
      <c r="D19" s="197">
        <f>历史销量!N16+表二!C19</f>
        <v>132558</v>
      </c>
      <c r="E19" s="197">
        <f>数据填报!AW20</f>
        <v>2080</v>
      </c>
      <c r="F19" s="197">
        <f>数据填报!AX20</f>
        <v>35624</v>
      </c>
      <c r="G19" s="197">
        <f>数据填报!AY20</f>
        <v>0</v>
      </c>
      <c r="H19" s="197">
        <f>数据填报!AW43+数据填报!AY20</f>
        <v>239</v>
      </c>
      <c r="I19" s="197">
        <f>历史销量!N35+表二!H19</f>
        <v>6639</v>
      </c>
      <c r="J19" s="197">
        <f>数据基表!J239</f>
        <v>2280</v>
      </c>
      <c r="K19" s="434">
        <f>数据填报!BC20</f>
        <v>2022</v>
      </c>
      <c r="L19" s="435">
        <f>数据填报!BN20</f>
        <v>1180</v>
      </c>
      <c r="M19" s="197">
        <f>数据填报!BO20</f>
        <v>1167</v>
      </c>
      <c r="N19" s="197">
        <f>数据填报!BP20</f>
        <v>1178</v>
      </c>
      <c r="O19" s="197">
        <f>数据填报!BQ20</f>
        <v>1332</v>
      </c>
      <c r="P19" s="197">
        <f>数据填报!BR20</f>
        <v>1318</v>
      </c>
      <c r="Q19" s="434">
        <f>数据填报!BS20</f>
        <v>1296</v>
      </c>
      <c r="R19" s="435">
        <f>数据填报!BZ20</f>
        <v>17040</v>
      </c>
      <c r="S19" s="434">
        <f>数据填报!CA20</f>
        <v>1088</v>
      </c>
    </row>
    <row r="20" ht="17.1" customHeight="1" spans="1:19">
      <c r="A20" s="414" t="s">
        <v>316</v>
      </c>
      <c r="B20" s="197">
        <f>数据填报!AT21</f>
        <v>1484</v>
      </c>
      <c r="C20" s="197">
        <f>数据基表!C256</f>
        <v>14841</v>
      </c>
      <c r="D20" s="197">
        <f>数据基表!D256</f>
        <v>118858</v>
      </c>
      <c r="E20" s="197">
        <f>数据基表!E256</f>
        <v>2020</v>
      </c>
      <c r="F20" s="197">
        <f>数据填报!AX21</f>
        <v>3189</v>
      </c>
      <c r="G20" s="197">
        <f>数据填报!AY21</f>
        <v>33</v>
      </c>
      <c r="H20" s="197">
        <f>数据填报!AW44+数据填报!AY21</f>
        <v>1879.68</v>
      </c>
      <c r="I20" s="197">
        <f>历史销量!N36+表二!H20</f>
        <v>17587.4</v>
      </c>
      <c r="J20" s="197">
        <f>数据填报!BB21</f>
        <v>2120</v>
      </c>
      <c r="K20" s="434">
        <f>数据填报!BC21</f>
        <v>1687</v>
      </c>
      <c r="L20" s="435">
        <f>数据基表!V256</f>
        <v>1146</v>
      </c>
      <c r="M20" s="197">
        <f>数据基表!W256</f>
        <v>1144</v>
      </c>
      <c r="N20" s="197">
        <f>数据填报!BP21</f>
        <v>1213</v>
      </c>
      <c r="O20" s="197">
        <f>数据填报!BQ21</f>
        <v>1176.3</v>
      </c>
      <c r="P20" s="197">
        <f>数据基表!Z256</f>
        <v>1169.19</v>
      </c>
      <c r="Q20" s="434">
        <f>数据填报!BS21</f>
        <v>1201.33</v>
      </c>
      <c r="R20" s="435">
        <f>数据填报!BZ21</f>
        <v>8474.81</v>
      </c>
      <c r="S20" s="434">
        <f>数据填报!CA21</f>
        <v>1470.65</v>
      </c>
    </row>
    <row r="21" ht="17.1" customHeight="1" spans="1:19">
      <c r="A21" s="414" t="s">
        <v>317</v>
      </c>
      <c r="B21" s="197">
        <f>数据填报!AT22</f>
        <v>2860</v>
      </c>
      <c r="C21" s="197">
        <f>数据基表!C270</f>
        <v>45836.68</v>
      </c>
      <c r="D21" s="197">
        <f>数据基表!D270</f>
        <v>234636.24</v>
      </c>
      <c r="E21" s="197">
        <f>数据基表!E270</f>
        <v>2000</v>
      </c>
      <c r="F21" s="197">
        <f>数据填报!AX22</f>
        <v>1835.7</v>
      </c>
      <c r="G21" s="197">
        <f>数据填报!AY22</f>
        <v>629.94</v>
      </c>
      <c r="H21" s="197">
        <f>数据填报!AW45+数据填报!AY22</f>
        <v>3322.48</v>
      </c>
      <c r="I21" s="197">
        <f>历史销量!N37+表二!H21</f>
        <v>25272.56</v>
      </c>
      <c r="J21" s="197">
        <f>数据填报!BB22</f>
        <v>2120</v>
      </c>
      <c r="K21" s="197">
        <f>数据填报!BC22</f>
        <v>2371.9504</v>
      </c>
      <c r="L21" s="435">
        <f>数据填报!BN22</f>
        <v>1114</v>
      </c>
      <c r="M21" s="197">
        <f>数据填报!BO22</f>
        <v>1111</v>
      </c>
      <c r="N21" s="197">
        <f>数据填报!BP22</f>
        <v>1106</v>
      </c>
      <c r="O21" s="197">
        <f>数据填报!BQ22</f>
        <v>959</v>
      </c>
      <c r="P21" s="197">
        <f>数据基表!Z270</f>
        <v>968</v>
      </c>
      <c r="Q21" s="434">
        <f>数据填报!BS22</f>
        <v>926</v>
      </c>
      <c r="R21" s="435">
        <f>数据填报!BZ22</f>
        <v>5331.08</v>
      </c>
      <c r="S21" s="434">
        <f>数据填报!CA22</f>
        <v>2563.9</v>
      </c>
    </row>
    <row r="22" ht="17.1" customHeight="1" spans="1:19">
      <c r="A22" s="414" t="s">
        <v>318</v>
      </c>
      <c r="B22" s="197">
        <f>数据填报!AT23</f>
        <v>2013.872</v>
      </c>
      <c r="C22" s="197">
        <f>数据基表!C280</f>
        <v>34429.674</v>
      </c>
      <c r="D22" s="197">
        <f>数据基表!D280</f>
        <v>188449.877</v>
      </c>
      <c r="E22" s="197">
        <f>数据基表!E280</f>
        <v>2070</v>
      </c>
      <c r="F22" s="197">
        <f>数据填报!AX23</f>
        <v>2153.05800000001</v>
      </c>
      <c r="G22" s="197">
        <f>数据填报!AY23</f>
        <v>0</v>
      </c>
      <c r="H22" s="197">
        <f>数据填报!AW46+数据填报!AY23</f>
        <v>0</v>
      </c>
      <c r="I22" s="197">
        <f>历史销量!N38+表二!H22</f>
        <v>0</v>
      </c>
      <c r="J22" s="197">
        <f>数据填报!BB23</f>
        <v>0</v>
      </c>
      <c r="K22" s="197">
        <f>数据填报!BC23</f>
        <v>0</v>
      </c>
      <c r="L22" s="435">
        <f>数据填报!BN23</f>
        <v>1058.9296899052</v>
      </c>
      <c r="M22" s="197">
        <f>数据填报!BO23</f>
        <v>1038.51354788461</v>
      </c>
      <c r="N22" s="197"/>
      <c r="O22" s="197">
        <f>数据填报!BQ23</f>
        <v>235.229713614376</v>
      </c>
      <c r="P22" s="197">
        <f>数据填报!BR23</f>
        <v>232.396070992071</v>
      </c>
      <c r="Q22" s="434">
        <f>数据填报!BS23</f>
        <v>233.00361724188</v>
      </c>
      <c r="R22" s="435">
        <f>数据填报!BZ23</f>
        <v>24120.307</v>
      </c>
      <c r="S22" s="434">
        <f>数据填报!CA23</f>
        <v>2992.44</v>
      </c>
    </row>
    <row r="23" ht="17.1" customHeight="1" spans="1:19">
      <c r="A23" s="414" t="s">
        <v>319</v>
      </c>
      <c r="B23" s="197"/>
      <c r="C23" s="197"/>
      <c r="D23" s="197"/>
      <c r="E23" s="197"/>
      <c r="F23" s="197"/>
      <c r="G23" s="197">
        <f>数据填报!AY24</f>
        <v>796.8</v>
      </c>
      <c r="H23" s="197">
        <f>数据填报!AW47+数据填报!AY24</f>
        <v>15986.68</v>
      </c>
      <c r="I23" s="197">
        <f>历史销量!N39+表二!H23</f>
        <v>295890.45</v>
      </c>
      <c r="J23" s="197">
        <f>数据填报!BB24</f>
        <v>2220</v>
      </c>
      <c r="K23" s="197">
        <f>数据填报!BC24</f>
        <v>15223.6</v>
      </c>
      <c r="L23" s="435">
        <f>数据基表!M295*1000</f>
        <v>0</v>
      </c>
      <c r="M23" s="197">
        <f>数据基表!N295*1000</f>
        <v>1357.52710557434</v>
      </c>
      <c r="N23" s="197">
        <f>数据基表!O295*1000</f>
        <v>1393.74558857239</v>
      </c>
      <c r="O23" s="197">
        <f>数据填报!BQ24</f>
        <v>0</v>
      </c>
      <c r="P23" s="197">
        <f>数据填报!BR24</f>
        <v>312.61595856303</v>
      </c>
      <c r="Q23" s="197">
        <f>数据填报!BS24</f>
        <v>249.170594870375</v>
      </c>
      <c r="R23" s="435"/>
      <c r="S23" s="434"/>
    </row>
    <row r="24" ht="17.1" customHeight="1" spans="1:24">
      <c r="A24" s="411" t="s">
        <v>98</v>
      </c>
      <c r="B24" s="415" t="s">
        <v>29</v>
      </c>
      <c r="C24" s="415"/>
      <c r="D24" s="415"/>
      <c r="E24" s="415"/>
      <c r="F24" s="415" t="s">
        <v>354</v>
      </c>
      <c r="G24" s="415"/>
      <c r="H24" s="415"/>
      <c r="I24" s="415" t="s">
        <v>31</v>
      </c>
      <c r="J24" s="415"/>
      <c r="K24" s="436"/>
      <c r="L24" s="435" t="s">
        <v>34</v>
      </c>
      <c r="M24" s="197"/>
      <c r="N24" s="197"/>
      <c r="O24" s="197" t="s">
        <v>35</v>
      </c>
      <c r="P24" s="197"/>
      <c r="Q24" s="434"/>
      <c r="R24" s="435" t="s">
        <v>112</v>
      </c>
      <c r="S24" s="434"/>
      <c r="X24" s="453"/>
    </row>
    <row r="25" ht="24.95" customHeight="1" spans="1:24">
      <c r="A25" s="411"/>
      <c r="B25" s="200" t="s">
        <v>11</v>
      </c>
      <c r="C25" s="200" t="s">
        <v>37</v>
      </c>
      <c r="D25" s="200" t="s">
        <v>38</v>
      </c>
      <c r="E25" s="415" t="s">
        <v>41</v>
      </c>
      <c r="F25" s="200" t="s">
        <v>11</v>
      </c>
      <c r="G25" s="200" t="s">
        <v>37</v>
      </c>
      <c r="H25" s="200" t="s">
        <v>38</v>
      </c>
      <c r="I25" s="200" t="s">
        <v>11</v>
      </c>
      <c r="J25" s="200" t="s">
        <v>37</v>
      </c>
      <c r="K25" s="437" t="s">
        <v>38</v>
      </c>
      <c r="L25" s="435" t="s">
        <v>11</v>
      </c>
      <c r="M25" s="197" t="s">
        <v>37</v>
      </c>
      <c r="N25" s="197" t="s">
        <v>38</v>
      </c>
      <c r="O25" s="197" t="s">
        <v>11</v>
      </c>
      <c r="P25" s="197" t="s">
        <v>37</v>
      </c>
      <c r="Q25" s="434" t="s">
        <v>38</v>
      </c>
      <c r="R25" s="435" t="s">
        <v>56</v>
      </c>
      <c r="S25" s="434" t="s">
        <v>57</v>
      </c>
      <c r="T25" s="454"/>
      <c r="X25" s="101"/>
    </row>
    <row r="26" ht="15" customHeight="1" spans="1:24">
      <c r="A26" s="414" t="s">
        <v>21</v>
      </c>
      <c r="B26" s="200">
        <f>SUM(B27:B41)</f>
        <v>11868.26</v>
      </c>
      <c r="C26" s="200">
        <f>SUM(C27:C41)</f>
        <v>155179.72</v>
      </c>
      <c r="D26" s="200">
        <f>SUM(D27:D41)</f>
        <v>946307.534</v>
      </c>
      <c r="E26" s="200">
        <f>(E27*B27+E28*B28+E29*B29+E30*B30+E31*B31+E32*B32+E33*B33+E34*B34+E35*B35+E36*B36+E37*B37+E38*B38+E39*B39+E40*B40+E41*B41)/B26</f>
        <v>3482.79857873016</v>
      </c>
      <c r="F26" s="200">
        <f t="shared" ref="F26:K26" si="1">SUM(F27:F41)</f>
        <v>7521.87</v>
      </c>
      <c r="G26" s="200">
        <f t="shared" si="1"/>
        <v>34758.36</v>
      </c>
      <c r="H26" s="200">
        <f t="shared" si="1"/>
        <v>270071.71</v>
      </c>
      <c r="I26" s="200">
        <f t="shared" si="1"/>
        <v>4184.63</v>
      </c>
      <c r="J26" s="200">
        <f t="shared" si="1"/>
        <v>55057.072</v>
      </c>
      <c r="K26" s="437">
        <f t="shared" si="1"/>
        <v>411297.382</v>
      </c>
      <c r="L26" s="438">
        <f t="shared" ref="L26:Q26" si="2">AVERAGE(L27:L42)</f>
        <v>891.525324812374</v>
      </c>
      <c r="M26" s="80">
        <f t="shared" si="2"/>
        <v>934.479285503556</v>
      </c>
      <c r="N26" s="80">
        <f t="shared" si="2"/>
        <v>997.260400131436</v>
      </c>
      <c r="O26" s="80">
        <f t="shared" si="2"/>
        <v>128.376237753521</v>
      </c>
      <c r="P26" s="80">
        <f t="shared" si="2"/>
        <v>129.143746061876</v>
      </c>
      <c r="Q26" s="455">
        <f t="shared" si="2"/>
        <v>140.716451332801</v>
      </c>
      <c r="R26" s="438">
        <f>SUM(R27:R43)</f>
        <v>376277.587</v>
      </c>
      <c r="S26" s="455">
        <f>SUM(S27:S43)</f>
        <v>27772.61</v>
      </c>
      <c r="T26" s="454"/>
      <c r="X26" s="111"/>
    </row>
    <row r="27" ht="15" customHeight="1" spans="1:24">
      <c r="A27" s="414" t="s">
        <v>303</v>
      </c>
      <c r="B27" s="200">
        <f>数据填报!BD7</f>
        <v>2246.86</v>
      </c>
      <c r="C27" s="200">
        <f>数据填报!AX31+数据填报!BD7</f>
        <v>29766.06</v>
      </c>
      <c r="D27" s="200">
        <f>历史销量!N42+表二!C27</f>
        <v>209731.377</v>
      </c>
      <c r="E27" s="200">
        <f>数据填报!BG7</f>
        <v>3503.88951692584</v>
      </c>
      <c r="F27" s="200">
        <f>数据填报!BH7</f>
        <v>1700</v>
      </c>
      <c r="G27" s="200">
        <f>数据填报!AY31+数据填报!BH7</f>
        <v>24290</v>
      </c>
      <c r="H27" s="200">
        <f>历史销量!N61+表二!G27</f>
        <v>192627</v>
      </c>
      <c r="I27" s="200">
        <f>数据填报!BK7</f>
        <v>1026.14</v>
      </c>
      <c r="J27" s="200">
        <f>数据填报!BB31+数据填报!BK7</f>
        <v>15030.922</v>
      </c>
      <c r="K27" s="437">
        <f>历史销量!N80+表二!J27</f>
        <v>96356.312</v>
      </c>
      <c r="L27" s="438">
        <f>数据填报!BT7</f>
        <v>896.271577380952</v>
      </c>
      <c r="M27" s="80">
        <f>数据填报!BU7</f>
        <v>875.128497632372</v>
      </c>
      <c r="N27" s="80">
        <f>数据填报!BV7</f>
        <v>977.428595369548</v>
      </c>
      <c r="O27" s="80">
        <f>数据填报!BW7</f>
        <v>157.85900297619</v>
      </c>
      <c r="P27" s="80">
        <f>数据填报!BX7</f>
        <v>161.99504950495</v>
      </c>
      <c r="Q27" s="455">
        <f>数据填报!BY7</f>
        <v>168.429014336629</v>
      </c>
      <c r="R27" s="438">
        <f>煤炭库存统计表!I7</f>
        <v>5550</v>
      </c>
      <c r="S27" s="455">
        <f>煤炭库存统计表!J7</f>
        <v>0</v>
      </c>
      <c r="T27" s="454"/>
      <c r="X27" s="111"/>
    </row>
    <row r="28" ht="15" customHeight="1" spans="1:24">
      <c r="A28" s="414" t="s">
        <v>304</v>
      </c>
      <c r="B28" s="200">
        <f>数据填报!BD8</f>
        <v>557</v>
      </c>
      <c r="C28" s="200">
        <f>数据填报!AX32+数据填报!BD8</f>
        <v>5925.6</v>
      </c>
      <c r="D28" s="200">
        <f>历史销量!N43+表二!C28</f>
        <v>17387.36</v>
      </c>
      <c r="E28" s="200">
        <f>数据基表!O32</f>
        <v>3250</v>
      </c>
      <c r="F28" s="200">
        <f>数据填报!BH8</f>
        <v>0</v>
      </c>
      <c r="G28" s="200">
        <f>数据填报!AY32+数据填报!BH8</f>
        <v>0</v>
      </c>
      <c r="H28" s="200">
        <f>历史销量!N62+表二!G28</f>
        <v>0</v>
      </c>
      <c r="I28" s="200"/>
      <c r="J28" s="200"/>
      <c r="K28" s="437">
        <f>历史销量!N81+表二!J28</f>
        <v>0</v>
      </c>
      <c r="L28" s="438">
        <f>数据基表!AB32</f>
        <v>990</v>
      </c>
      <c r="M28" s="80">
        <f>数据填报!BU8</f>
        <v>997.557492562242</v>
      </c>
      <c r="N28" s="80">
        <f>数据填报!BV8</f>
        <v>983.456380658372</v>
      </c>
      <c r="O28" s="80">
        <f>数据基表!AE32</f>
        <v>169</v>
      </c>
      <c r="P28" s="80">
        <f>数据填报!BX8</f>
        <v>167.733080536562</v>
      </c>
      <c r="Q28" s="455">
        <f>数据填报!BY8</f>
        <v>165.141674896357</v>
      </c>
      <c r="R28" s="438">
        <f>数据填报!CB8</f>
        <v>0</v>
      </c>
      <c r="S28" s="455">
        <f>数据填报!CC8</f>
        <v>0</v>
      </c>
      <c r="T28" s="454"/>
      <c r="X28" s="111"/>
    </row>
    <row r="29" ht="15" customHeight="1" spans="1:24">
      <c r="A29" s="414" t="s">
        <v>305</v>
      </c>
      <c r="B29" s="200">
        <f>数据填报!BD9</f>
        <v>1453.2</v>
      </c>
      <c r="C29" s="200">
        <f>数据填报!AX33+数据填报!BD9</f>
        <v>19508.22</v>
      </c>
      <c r="D29" s="200">
        <f>历史销量!N44+表二!C29</f>
        <v>132189.76</v>
      </c>
      <c r="E29" s="200">
        <f>数据填报!BG9</f>
        <v>3438.55</v>
      </c>
      <c r="F29" s="200">
        <f>数据填报!BH9</f>
        <v>1027.2</v>
      </c>
      <c r="G29" s="200">
        <f>数据填报!AY33+数据填报!BH9</f>
        <v>10468.36</v>
      </c>
      <c r="H29" s="200">
        <f>历史销量!N63+表二!G29</f>
        <v>77444.71</v>
      </c>
      <c r="I29" s="200"/>
      <c r="J29" s="200"/>
      <c r="K29" s="437">
        <f>历史销量!N82+表二!J29</f>
        <v>0</v>
      </c>
      <c r="L29" s="438">
        <f>数据填报!BT9</f>
        <v>1033</v>
      </c>
      <c r="M29" s="80">
        <f>数据填报!BU9</f>
        <v>1018</v>
      </c>
      <c r="N29" s="80">
        <f>数据填报!BV9</f>
        <v>1031</v>
      </c>
      <c r="O29" s="80">
        <f>数据填报!BW9</f>
        <v>156</v>
      </c>
      <c r="P29" s="80">
        <f>数据填报!BX9</f>
        <v>144</v>
      </c>
      <c r="Q29" s="455">
        <f>数据填报!BY9</f>
        <v>140</v>
      </c>
      <c r="R29" s="438">
        <f>数据填报!CB9</f>
        <v>42761</v>
      </c>
      <c r="S29" s="455">
        <f>数据填报!CC9</f>
        <v>5722</v>
      </c>
      <c r="T29" s="454"/>
      <c r="X29" s="111"/>
    </row>
    <row r="30" ht="15" customHeight="1" spans="1:20">
      <c r="A30" s="414" t="s">
        <v>306</v>
      </c>
      <c r="B30" s="200">
        <f>数据填报!BD10</f>
        <v>932</v>
      </c>
      <c r="C30" s="200">
        <f>数据填报!AX34+数据填报!BD10</f>
        <v>12020</v>
      </c>
      <c r="D30" s="200">
        <f>历史销量!N45+表二!C30</f>
        <v>34910</v>
      </c>
      <c r="E30" s="200">
        <f>数据填报!BG10</f>
        <v>3530</v>
      </c>
      <c r="F30" s="200">
        <f>数据填报!BH10</f>
        <v>0</v>
      </c>
      <c r="G30" s="200">
        <f>数据填报!AY34+数据填报!BH10</f>
        <v>0</v>
      </c>
      <c r="H30" s="200">
        <f>历史销量!N64+表二!G30</f>
        <v>0</v>
      </c>
      <c r="I30" s="200"/>
      <c r="J30" s="200"/>
      <c r="K30" s="437"/>
      <c r="L30" s="438">
        <f>数据填报!BT10</f>
        <v>0</v>
      </c>
      <c r="M30" s="80">
        <f>数据填报!BU10</f>
        <v>0</v>
      </c>
      <c r="N30" s="80">
        <f>数据填报!BV10</f>
        <v>1097</v>
      </c>
      <c r="O30" s="80">
        <f>数据填报!BW10</f>
        <v>0</v>
      </c>
      <c r="P30" s="80">
        <f>数据填报!BX10</f>
        <v>0</v>
      </c>
      <c r="Q30" s="455">
        <f>数据填报!BY10</f>
        <v>140</v>
      </c>
      <c r="R30" s="438">
        <f>数据填报!CB10</f>
        <v>123</v>
      </c>
      <c r="S30" s="455">
        <f>数据填报!CC10</f>
        <v>0</v>
      </c>
      <c r="T30" s="456"/>
    </row>
    <row r="31" ht="15" customHeight="1" spans="1:20">
      <c r="A31" s="414" t="s">
        <v>307</v>
      </c>
      <c r="B31" s="200">
        <f>数据填报!BD11</f>
        <v>1106.5</v>
      </c>
      <c r="C31" s="200">
        <f>数据填报!AX35+数据填报!BD11</f>
        <v>14536.61</v>
      </c>
      <c r="D31" s="200">
        <f>历史销量!N46+表二!C31</f>
        <v>96955.787</v>
      </c>
      <c r="E31" s="200">
        <f>数据填报!BG11</f>
        <v>3554</v>
      </c>
      <c r="F31" s="200"/>
      <c r="G31" s="200"/>
      <c r="H31" s="200"/>
      <c r="I31" s="200">
        <f>数据填报!BK11</f>
        <v>0</v>
      </c>
      <c r="J31" s="200">
        <f>数据填报!BB35+数据填报!BK11</f>
        <v>0</v>
      </c>
      <c r="K31" s="437">
        <f>历史销量!N84+表二!J31</f>
        <v>0</v>
      </c>
      <c r="L31" s="438">
        <f>数据填报!BT11</f>
        <v>913.1362</v>
      </c>
      <c r="M31" s="80">
        <f>数据填报!BU11</f>
        <v>908.5688</v>
      </c>
      <c r="N31" s="80">
        <f>数据填报!BV11</f>
        <v>931.67905</v>
      </c>
      <c r="O31" s="80">
        <f>数据填报!BW11</f>
        <v>103.05145</v>
      </c>
      <c r="P31" s="80">
        <f>数据填报!BX11</f>
        <v>101.54505</v>
      </c>
      <c r="Q31" s="455">
        <f>数据填报!BY11</f>
        <v>100.7696</v>
      </c>
      <c r="R31" s="438">
        <f>煤炭库存统计表!I26</f>
        <v>15203</v>
      </c>
      <c r="S31" s="455">
        <f>煤炭库存统计表!J26</f>
        <v>2896</v>
      </c>
      <c r="T31" s="426"/>
    </row>
    <row r="32" ht="15" customHeight="1" spans="1:20">
      <c r="A32" s="414" t="s">
        <v>308</v>
      </c>
      <c r="B32" s="200">
        <f>数据填报!BD12</f>
        <v>629.04</v>
      </c>
      <c r="C32" s="200">
        <f>数据填报!AX36+数据填报!BD12</f>
        <v>9189.1</v>
      </c>
      <c r="D32" s="200">
        <f>历史销量!N47+表二!C32</f>
        <v>53751.2</v>
      </c>
      <c r="E32" s="200">
        <f>数据填报!BG12</f>
        <v>3454.00133536818</v>
      </c>
      <c r="F32" s="200">
        <f>数据填报!BH12</f>
        <v>0</v>
      </c>
      <c r="G32" s="200">
        <f>数据填报!AY36+数据填报!BH12</f>
        <v>0</v>
      </c>
      <c r="H32" s="200">
        <f>历史销量!N66+表二!G32</f>
        <v>0</v>
      </c>
      <c r="I32" s="200">
        <f>数据填报!BK12</f>
        <v>0</v>
      </c>
      <c r="J32" s="200">
        <f>数据填报!BB36+数据填报!BK12</f>
        <v>0</v>
      </c>
      <c r="K32" s="437">
        <f>历史销量!N85+表二!J32</f>
        <v>0</v>
      </c>
      <c r="L32" s="438">
        <f>数据基表!AB95</f>
        <v>1054.64188094624</v>
      </c>
      <c r="M32" s="80">
        <f>数据填报!BU12</f>
        <v>1044.38890135709</v>
      </c>
      <c r="N32" s="80">
        <f>数据填报!BV12</f>
        <v>1060.17756947069</v>
      </c>
      <c r="O32" s="80">
        <f>数据基表!AE95</f>
        <v>67.895783621181</v>
      </c>
      <c r="P32" s="80">
        <f>数据填报!BX12</f>
        <v>69.9210507459568</v>
      </c>
      <c r="Q32" s="455">
        <f>数据填报!BY12</f>
        <v>71.8134004575818</v>
      </c>
      <c r="R32" s="438">
        <f>数据填报!CB12</f>
        <v>23304.15</v>
      </c>
      <c r="S32" s="455">
        <f>数据填报!CC12</f>
        <v>2706.1</v>
      </c>
      <c r="T32" s="427"/>
    </row>
    <row r="33" ht="15" customHeight="1" spans="1:20">
      <c r="A33" s="414" t="s">
        <v>309</v>
      </c>
      <c r="B33" s="200">
        <f>数据填报!BD13</f>
        <v>718</v>
      </c>
      <c r="C33" s="200">
        <f>数据填报!AX37+数据填报!BD13</f>
        <v>10484</v>
      </c>
      <c r="D33" s="200">
        <f>历史销量!N48+表二!C33</f>
        <v>92581</v>
      </c>
      <c r="E33" s="200">
        <f>数据填报!BG13</f>
        <v>3627</v>
      </c>
      <c r="F33" s="200">
        <f>数据填报!BH13</f>
        <v>0</v>
      </c>
      <c r="G33" s="200">
        <f>数据填报!AY37+数据填报!BH13</f>
        <v>0</v>
      </c>
      <c r="H33" s="200">
        <f>历史销量!N67+表二!G33</f>
        <v>0</v>
      </c>
      <c r="I33" s="200">
        <f>数据填报!BK13</f>
        <v>1284</v>
      </c>
      <c r="J33" s="200">
        <f>数据填报!BB37+数据填报!BK13</f>
        <v>15002</v>
      </c>
      <c r="K33" s="437">
        <f>历史销量!N86+表二!J33</f>
        <v>144674</v>
      </c>
      <c r="L33" s="438">
        <f>数据填报!BT13</f>
        <v>936</v>
      </c>
      <c r="M33" s="80">
        <f>数据基表!AC141</f>
        <v>990</v>
      </c>
      <c r="N33" s="80">
        <f>数据基表!AD141</f>
        <v>994</v>
      </c>
      <c r="O33" s="80">
        <f>数据填报!BW13</f>
        <v>147</v>
      </c>
      <c r="P33" s="80">
        <f>数据填报!BX13</f>
        <v>148</v>
      </c>
      <c r="Q33" s="455">
        <f>数据填报!BY13</f>
        <v>147</v>
      </c>
      <c r="R33" s="438">
        <f>数据填报!CB13</f>
        <v>90527</v>
      </c>
      <c r="S33" s="455">
        <f>数据填报!CC13</f>
        <v>4635</v>
      </c>
      <c r="T33" s="427"/>
    </row>
    <row r="34" ht="15" customHeight="1" spans="1:20">
      <c r="A34" s="414" t="s">
        <v>310</v>
      </c>
      <c r="B34" s="200">
        <f>数据填报!BD14</f>
        <v>1961.92</v>
      </c>
      <c r="C34" s="200">
        <f>数据填报!AX38+数据填报!BD14</f>
        <v>26910.77</v>
      </c>
      <c r="D34" s="200">
        <f>历史销量!N49+表二!C34</f>
        <v>176807.97</v>
      </c>
      <c r="E34" s="200">
        <f>数据填报!BG14</f>
        <v>3450</v>
      </c>
      <c r="F34" s="200">
        <f>数据填报!BH14</f>
        <v>0</v>
      </c>
      <c r="G34" s="200">
        <f>数据填报!AY38+数据填报!BH14</f>
        <v>0</v>
      </c>
      <c r="H34" s="200">
        <f>历史销量!N68+表二!G34</f>
        <v>0</v>
      </c>
      <c r="I34" s="200">
        <f>数据填报!BK14</f>
        <v>902.77</v>
      </c>
      <c r="J34" s="200">
        <f>数据填报!BB38+数据填报!BK14</f>
        <v>12641.29</v>
      </c>
      <c r="K34" s="437">
        <f>历史销量!N87+表二!J34</f>
        <v>66535.57</v>
      </c>
      <c r="L34" s="438">
        <f>数据填报!BT14</f>
        <v>979.909900664244</v>
      </c>
      <c r="M34" s="80">
        <f>数据填报!BU14</f>
        <v>1461.3950109241</v>
      </c>
      <c r="N34" s="80">
        <f>数据填报!BV14</f>
        <v>991.9329377398</v>
      </c>
      <c r="O34" s="80">
        <f>数据填报!BW14</f>
        <v>155</v>
      </c>
      <c r="P34" s="80">
        <f>数据填报!BX14</f>
        <v>155</v>
      </c>
      <c r="Q34" s="455">
        <f>数据填报!BY14</f>
        <v>155</v>
      </c>
      <c r="R34" s="438">
        <f>数据填报!CB14</f>
        <v>70024</v>
      </c>
      <c r="S34" s="455">
        <f>数据填报!CC14</f>
        <v>4919</v>
      </c>
      <c r="T34" s="427"/>
    </row>
    <row r="35" ht="15" customHeight="1" spans="1:20">
      <c r="A35" s="414" t="s">
        <v>311</v>
      </c>
      <c r="B35" s="200">
        <f>数据填报!BD15</f>
        <v>1178.88</v>
      </c>
      <c r="C35" s="200">
        <f>数据填报!AX39+数据填报!BD15</f>
        <v>16810.72</v>
      </c>
      <c r="D35" s="200">
        <f>历史销量!N50+表二!C35</f>
        <v>80824.48</v>
      </c>
      <c r="E35" s="200">
        <f>数据填报!BG15</f>
        <v>3600</v>
      </c>
      <c r="F35" s="200">
        <f>数据填报!BH15</f>
        <v>4794.67</v>
      </c>
      <c r="G35" s="200">
        <f>数据基表!W185</f>
        <v>0</v>
      </c>
      <c r="H35" s="200">
        <f>数据基表!X185</f>
        <v>0</v>
      </c>
      <c r="I35" s="200">
        <f>数据填报!BK15</f>
        <v>552.72</v>
      </c>
      <c r="J35" s="200">
        <f>数据填报!BB39+数据填报!BK15</f>
        <v>6780.86</v>
      </c>
      <c r="K35" s="437">
        <f>历史销量!N88+表二!J35</f>
        <v>56263.5</v>
      </c>
      <c r="L35" s="438">
        <f>数据基表!AO185*1000</f>
        <v>941</v>
      </c>
      <c r="M35" s="80">
        <f>数据基表!AP185*1000</f>
        <v>1019</v>
      </c>
      <c r="N35" s="80">
        <f>数据基表!AQ185*1000</f>
        <v>1046</v>
      </c>
      <c r="O35" s="80">
        <f>数据基表!AL185</f>
        <v>93.303</v>
      </c>
      <c r="P35" s="80">
        <f>数据基表!AM185</f>
        <v>97.845</v>
      </c>
      <c r="Q35" s="455">
        <f>数据基表!AN185</f>
        <v>121.659</v>
      </c>
      <c r="R35" s="438">
        <f>数据基表!AT185</f>
        <v>59860.207</v>
      </c>
      <c r="S35" s="455">
        <f>数据基表!AU185</f>
        <v>4585.69</v>
      </c>
      <c r="T35" s="427"/>
    </row>
    <row r="36" ht="15" customHeight="1" spans="1:20">
      <c r="A36" s="414" t="s">
        <v>312</v>
      </c>
      <c r="B36" s="200">
        <f>数据填报!BD16</f>
        <v>294</v>
      </c>
      <c r="C36" s="200">
        <f>数据填报!AX40+数据填报!BD16</f>
        <v>3645</v>
      </c>
      <c r="D36" s="200">
        <f>历史销量!N51+表二!C36</f>
        <v>18338</v>
      </c>
      <c r="E36" s="200">
        <f>数据填报!BG16</f>
        <v>3480</v>
      </c>
      <c r="F36" s="200">
        <f>数据填报!BH16</f>
        <v>0</v>
      </c>
      <c r="G36" s="200">
        <f>数据填报!AY40+数据填报!BH16</f>
        <v>0</v>
      </c>
      <c r="H36" s="200">
        <f>历史销量!N70+表二!G36</f>
        <v>0</v>
      </c>
      <c r="I36" s="200">
        <f>数据填报!BK16</f>
        <v>419</v>
      </c>
      <c r="J36" s="200">
        <f>数据填报!BB40+数据填报!BK16</f>
        <v>5602</v>
      </c>
      <c r="K36" s="437">
        <f>历史销量!N89+表二!J36</f>
        <v>47468</v>
      </c>
      <c r="L36" s="438"/>
      <c r="M36" s="80"/>
      <c r="N36" s="80"/>
      <c r="O36" s="80"/>
      <c r="P36" s="80"/>
      <c r="Q36" s="455"/>
      <c r="R36" s="438">
        <f>数据填报!CB16</f>
        <v>0</v>
      </c>
      <c r="S36" s="455">
        <f>数据填报!CC16</f>
        <v>0</v>
      </c>
      <c r="T36" s="427"/>
    </row>
    <row r="37" ht="15" customHeight="1" spans="1:20">
      <c r="A37" s="414" t="s">
        <v>313</v>
      </c>
      <c r="B37" s="200"/>
      <c r="C37" s="200"/>
      <c r="D37" s="200"/>
      <c r="E37" s="200"/>
      <c r="F37" s="200"/>
      <c r="G37" s="200"/>
      <c r="H37" s="200"/>
      <c r="I37" s="200"/>
      <c r="J37" s="200"/>
      <c r="K37" s="437"/>
      <c r="L37" s="438"/>
      <c r="M37" s="80"/>
      <c r="N37" s="80"/>
      <c r="O37" s="80"/>
      <c r="P37" s="80"/>
      <c r="Q37" s="455"/>
      <c r="R37" s="438">
        <f>数据填报!BY28</f>
        <v>9700</v>
      </c>
      <c r="S37" s="438">
        <f>数据填报!BZ28</f>
        <v>1768</v>
      </c>
      <c r="T37" s="428"/>
    </row>
    <row r="38" ht="15" customHeight="1" spans="1:20">
      <c r="A38" s="414" t="s">
        <v>314</v>
      </c>
      <c r="B38" s="200">
        <f>数据填报!BD18</f>
        <v>0</v>
      </c>
      <c r="C38" s="200">
        <f>数据填报!AX42+数据填报!BD18</f>
        <v>0</v>
      </c>
      <c r="D38" s="200">
        <f>历史销量!N53+表二!C38</f>
        <v>0</v>
      </c>
      <c r="E38" s="200">
        <f>数据填报!BG18</f>
        <v>0</v>
      </c>
      <c r="F38" s="200"/>
      <c r="G38" s="200"/>
      <c r="H38" s="200"/>
      <c r="I38" s="200"/>
      <c r="J38" s="200"/>
      <c r="K38" s="437"/>
      <c r="L38" s="438"/>
      <c r="M38" s="80"/>
      <c r="N38" s="80"/>
      <c r="O38" s="80"/>
      <c r="P38" s="80"/>
      <c r="Q38" s="455"/>
      <c r="R38" s="438"/>
      <c r="S38" s="455"/>
      <c r="T38" s="428"/>
    </row>
    <row r="39" ht="15" customHeight="1" spans="1:20">
      <c r="A39" s="414" t="s">
        <v>315</v>
      </c>
      <c r="B39" s="200">
        <f>数据基表!L239</f>
        <v>150</v>
      </c>
      <c r="C39" s="200">
        <f>数据基表!M239</f>
        <v>1885</v>
      </c>
      <c r="D39" s="200">
        <f>数据基表!N239</f>
        <v>9275</v>
      </c>
      <c r="E39" s="200">
        <f>数据填报!BG20</f>
        <v>3580</v>
      </c>
      <c r="F39" s="200"/>
      <c r="G39" s="200"/>
      <c r="H39" s="200"/>
      <c r="I39" s="200"/>
      <c r="J39" s="200"/>
      <c r="K39" s="437"/>
      <c r="L39" s="438">
        <f>数据填报!BT20</f>
        <v>1114</v>
      </c>
      <c r="M39" s="80">
        <f>数据填报!BU20</f>
        <v>1112</v>
      </c>
      <c r="N39" s="80">
        <f>数据填报!BV20</f>
        <v>1111</v>
      </c>
      <c r="O39" s="80">
        <f>数据填报!BW20</f>
        <v>146</v>
      </c>
      <c r="P39" s="80">
        <f>数据填报!BX20</f>
        <v>154</v>
      </c>
      <c r="Q39" s="455">
        <f>数据填报!BY20</f>
        <v>148</v>
      </c>
      <c r="R39" s="438"/>
      <c r="S39" s="455"/>
      <c r="T39" s="428"/>
    </row>
    <row r="40" ht="15" customHeight="1" spans="1:20">
      <c r="A40" s="414" t="s">
        <v>316</v>
      </c>
      <c r="B40" s="200">
        <f>数据基表!L256</f>
        <v>315</v>
      </c>
      <c r="C40" s="200">
        <f>数据基表!M256</f>
        <v>2326</v>
      </c>
      <c r="D40" s="200">
        <f>数据基表!N256</f>
        <v>17102</v>
      </c>
      <c r="E40" s="200">
        <f>数据基表!O256</f>
        <v>3250</v>
      </c>
      <c r="F40" s="200"/>
      <c r="G40" s="200"/>
      <c r="H40" s="200"/>
      <c r="I40" s="200"/>
      <c r="J40" s="200"/>
      <c r="K40" s="437"/>
      <c r="L40" s="438">
        <f>数据基表!AB256</f>
        <v>983</v>
      </c>
      <c r="M40" s="80">
        <f>数据基表!AC256</f>
        <v>978</v>
      </c>
      <c r="N40" s="80">
        <f>数据基表!AD256</f>
        <v>999</v>
      </c>
      <c r="O40" s="80">
        <f>数据基表!AE256</f>
        <v>153.64</v>
      </c>
      <c r="P40" s="80">
        <f>数据基表!AF256</f>
        <v>154.86</v>
      </c>
      <c r="Q40" s="455">
        <f>数据填报!BY21</f>
        <v>153.94</v>
      </c>
      <c r="R40" s="438"/>
      <c r="S40" s="455"/>
      <c r="T40" s="428"/>
    </row>
    <row r="41" ht="15" customHeight="1" spans="1:20">
      <c r="A41" s="414" t="s">
        <v>317</v>
      </c>
      <c r="B41" s="200">
        <f>数据填报!BD22</f>
        <v>325.86</v>
      </c>
      <c r="C41" s="200">
        <f>数据基表!M270</f>
        <v>2172.64</v>
      </c>
      <c r="D41" s="200">
        <f>数据基表!N270</f>
        <v>6453.6</v>
      </c>
      <c r="E41" s="200">
        <f>数据填报!BG22</f>
        <v>3250</v>
      </c>
      <c r="F41" s="200"/>
      <c r="G41" s="200"/>
      <c r="H41" s="200"/>
      <c r="I41" s="200"/>
      <c r="J41" s="200"/>
      <c r="K41" s="437"/>
      <c r="L41" s="438">
        <f>数据填报!BT22</f>
        <v>931</v>
      </c>
      <c r="M41" s="80">
        <f>数据填报!BU22</f>
        <v>926</v>
      </c>
      <c r="N41" s="80">
        <f>数据填报!BV22</f>
        <v>923</v>
      </c>
      <c r="O41" s="80">
        <f>数据填报!BW22</f>
        <v>180</v>
      </c>
      <c r="P41" s="80">
        <f>数据填报!BX22</f>
        <v>183</v>
      </c>
      <c r="Q41" s="455">
        <f>数据填报!BY22</f>
        <v>176</v>
      </c>
      <c r="R41" s="438">
        <f>数据填报!CB22</f>
        <v>0</v>
      </c>
      <c r="S41" s="455">
        <f>数据填报!CC22</f>
        <v>0</v>
      </c>
      <c r="T41" s="428"/>
    </row>
    <row r="42" ht="15" customHeight="1" spans="1:20">
      <c r="A42" s="414" t="s">
        <v>318</v>
      </c>
      <c r="B42" s="200">
        <f>数据基表!L280</f>
        <v>63.28</v>
      </c>
      <c r="C42" s="200">
        <f>数据基表!M280</f>
        <v>827.28</v>
      </c>
      <c r="D42" s="200">
        <f>数据基表!N280</f>
        <v>5753.94</v>
      </c>
      <c r="E42" s="200">
        <f>数据基表!O280</f>
        <v>3350</v>
      </c>
      <c r="F42" s="200"/>
      <c r="G42" s="200"/>
      <c r="H42" s="200"/>
      <c r="I42" s="200"/>
      <c r="J42" s="200"/>
      <c r="K42" s="437"/>
      <c r="L42" s="438">
        <f>数据填报!BT23</f>
        <v>817.869663569427</v>
      </c>
      <c r="M42" s="80">
        <f>数据填报!BU23</f>
        <v>818.192009070419</v>
      </c>
      <c r="N42" s="80">
        <f>数据填报!BV23</f>
        <v>818.710668470253</v>
      </c>
      <c r="O42" s="80">
        <f>数据填报!BW23</f>
        <v>140.141854198398</v>
      </c>
      <c r="P42" s="80">
        <f>数据填报!BX23</f>
        <v>140.969468016915</v>
      </c>
      <c r="Q42" s="455">
        <f>数据填报!BY23</f>
        <v>141.561177635844</v>
      </c>
      <c r="R42" s="438">
        <f>数据填报!CB23</f>
        <v>0</v>
      </c>
      <c r="S42" s="455">
        <f>数据填报!CC23</f>
        <v>540.82</v>
      </c>
      <c r="T42" s="428"/>
    </row>
    <row r="43" ht="15" customHeight="1" spans="1:20">
      <c r="A43" s="414" t="s">
        <v>319</v>
      </c>
      <c r="B43" s="200"/>
      <c r="C43" s="200"/>
      <c r="D43" s="200"/>
      <c r="E43" s="200"/>
      <c r="F43" s="200"/>
      <c r="G43" s="200"/>
      <c r="H43" s="200"/>
      <c r="I43" s="200"/>
      <c r="J43" s="200"/>
      <c r="K43" s="437"/>
      <c r="L43" s="438"/>
      <c r="M43" s="80"/>
      <c r="N43" s="80"/>
      <c r="O43" s="80"/>
      <c r="P43" s="80"/>
      <c r="Q43" s="455"/>
      <c r="R43" s="438">
        <f>数据填报!CB24</f>
        <v>59225.23</v>
      </c>
      <c r="S43" s="438">
        <f>数据填报!CC24</f>
        <v>0</v>
      </c>
      <c r="T43" s="457"/>
    </row>
    <row r="44" ht="17.1" customHeight="1" spans="1:19">
      <c r="A44" s="411" t="s">
        <v>98</v>
      </c>
      <c r="B44" s="415" t="s">
        <v>234</v>
      </c>
      <c r="C44" s="415"/>
      <c r="D44" s="415"/>
      <c r="E44" s="415"/>
      <c r="F44" s="415"/>
      <c r="G44" s="415" t="s">
        <v>355</v>
      </c>
      <c r="H44" s="415"/>
      <c r="I44" s="415"/>
      <c r="J44" s="415"/>
      <c r="K44" s="436"/>
      <c r="L44" s="435" t="s">
        <v>192</v>
      </c>
      <c r="M44" s="197"/>
      <c r="N44" s="197"/>
      <c r="O44" s="197" t="s">
        <v>193</v>
      </c>
      <c r="P44" s="197"/>
      <c r="Q44" s="434"/>
      <c r="R44" s="435" t="s">
        <v>356</v>
      </c>
      <c r="S44" s="434"/>
    </row>
    <row r="45" ht="24.95" customHeight="1" spans="1:19">
      <c r="A45" s="411"/>
      <c r="B45" s="200" t="s">
        <v>11</v>
      </c>
      <c r="C45" s="200" t="s">
        <v>37</v>
      </c>
      <c r="D45" s="200" t="s">
        <v>38</v>
      </c>
      <c r="E45" s="415" t="s">
        <v>41</v>
      </c>
      <c r="F45" s="415" t="s">
        <v>40</v>
      </c>
      <c r="G45" s="200" t="s">
        <v>11</v>
      </c>
      <c r="H45" s="200" t="s">
        <v>37</v>
      </c>
      <c r="I45" s="200" t="s">
        <v>38</v>
      </c>
      <c r="J45" s="415" t="s">
        <v>168</v>
      </c>
      <c r="K45" s="436" t="s">
        <v>40</v>
      </c>
      <c r="L45" s="435" t="s">
        <v>11</v>
      </c>
      <c r="M45" s="197" t="s">
        <v>37</v>
      </c>
      <c r="N45" s="197" t="s">
        <v>38</v>
      </c>
      <c r="O45" s="197" t="s">
        <v>11</v>
      </c>
      <c r="P45" s="197" t="s">
        <v>37</v>
      </c>
      <c r="Q45" s="434" t="s">
        <v>38</v>
      </c>
      <c r="R45" s="435" t="s">
        <v>251</v>
      </c>
      <c r="S45" s="434" t="s">
        <v>252</v>
      </c>
    </row>
    <row r="46" ht="17.1" customHeight="1" spans="1:19">
      <c r="A46" s="414" t="s">
        <v>21</v>
      </c>
      <c r="B46" s="200">
        <f t="shared" ref="B46:I46" si="3">SUM(B47:B48)</f>
        <v>1003</v>
      </c>
      <c r="C46" s="200">
        <f t="shared" si="3"/>
        <v>13756</v>
      </c>
      <c r="D46" s="200">
        <f t="shared" si="3"/>
        <v>85502</v>
      </c>
      <c r="E46" s="200">
        <f>E47</f>
        <v>7009</v>
      </c>
      <c r="F46" s="200">
        <f>F47</f>
        <v>30727</v>
      </c>
      <c r="G46" s="200">
        <f t="shared" si="3"/>
        <v>0</v>
      </c>
      <c r="H46" s="200">
        <f t="shared" si="3"/>
        <v>0</v>
      </c>
      <c r="I46" s="200">
        <f t="shared" si="3"/>
        <v>0</v>
      </c>
      <c r="J46" s="200">
        <f t="shared" ref="J46:Q46" si="4">J48</f>
        <v>0</v>
      </c>
      <c r="K46" s="439">
        <f t="shared" si="4"/>
        <v>0</v>
      </c>
      <c r="L46" s="440">
        <f t="shared" si="4"/>
        <v>0</v>
      </c>
      <c r="M46" s="441">
        <f t="shared" si="4"/>
        <v>0</v>
      </c>
      <c r="N46" s="197">
        <f t="shared" si="4"/>
        <v>0</v>
      </c>
      <c r="O46" s="197">
        <f t="shared" si="4"/>
        <v>0</v>
      </c>
      <c r="P46" s="197">
        <f t="shared" si="4"/>
        <v>0</v>
      </c>
      <c r="Q46" s="434">
        <f t="shared" si="4"/>
        <v>0</v>
      </c>
      <c r="R46" s="435"/>
      <c r="S46" s="434"/>
    </row>
    <row r="47" ht="15" customHeight="1" spans="1:19">
      <c r="A47" s="414" t="s">
        <v>323</v>
      </c>
      <c r="B47" s="200">
        <f>数据填报!AT27</f>
        <v>1003</v>
      </c>
      <c r="C47" s="200">
        <f>数据填报!BC48+数据填报!AT27</f>
        <v>13756</v>
      </c>
      <c r="D47" s="200">
        <f>历史销量!N99+表二!C47</f>
        <v>85502</v>
      </c>
      <c r="E47" s="200">
        <f>数据填报!AW27</f>
        <v>7009</v>
      </c>
      <c r="F47" s="200">
        <f>数据填报!AX27</f>
        <v>30727</v>
      </c>
      <c r="G47" s="200"/>
      <c r="H47" s="200"/>
      <c r="I47" s="200"/>
      <c r="J47" s="200"/>
      <c r="K47" s="437"/>
      <c r="L47" s="435"/>
      <c r="M47" s="197"/>
      <c r="N47" s="197"/>
      <c r="O47" s="197"/>
      <c r="P47" s="197"/>
      <c r="Q47" s="434"/>
      <c r="R47" s="435"/>
      <c r="S47" s="434"/>
    </row>
    <row r="48" ht="15" customHeight="1" spans="1:19">
      <c r="A48" s="414" t="s">
        <v>313</v>
      </c>
      <c r="B48" s="200"/>
      <c r="C48" s="200"/>
      <c r="D48" s="200"/>
      <c r="E48" s="200"/>
      <c r="F48" s="200"/>
      <c r="G48" s="200">
        <f>数据基表!N221</f>
        <v>0</v>
      </c>
      <c r="H48" s="200">
        <f>数据基表!O221</f>
        <v>0</v>
      </c>
      <c r="I48" s="200">
        <f>数据基表!P221</f>
        <v>0</v>
      </c>
      <c r="J48" s="200">
        <f>数据基表!Q221</f>
        <v>0</v>
      </c>
      <c r="K48" s="200">
        <f>数据基表!R221</f>
        <v>0</v>
      </c>
      <c r="L48" s="200">
        <f>数据填报!BP28</f>
        <v>0</v>
      </c>
      <c r="M48" s="200">
        <f>数据填报!BQ28</f>
        <v>0</v>
      </c>
      <c r="N48" s="200">
        <f>数据填报!BR28</f>
        <v>0</v>
      </c>
      <c r="O48" s="200">
        <f>数据填报!BS28</f>
        <v>0</v>
      </c>
      <c r="P48" s="200">
        <f>数据填报!BT28</f>
        <v>0</v>
      </c>
      <c r="Q48" s="200">
        <f>数据填报!BU28</f>
        <v>0</v>
      </c>
      <c r="R48" s="435"/>
      <c r="S48" s="434"/>
    </row>
    <row r="49" ht="15" customHeight="1" spans="1:19">
      <c r="A49" s="416" t="s">
        <v>319</v>
      </c>
      <c r="B49" s="417"/>
      <c r="C49" s="417"/>
      <c r="D49" s="417"/>
      <c r="E49" s="417"/>
      <c r="F49" s="417"/>
      <c r="G49" s="417"/>
      <c r="H49" s="417"/>
      <c r="I49" s="417"/>
      <c r="J49" s="417"/>
      <c r="K49" s="442"/>
      <c r="L49" s="443"/>
      <c r="M49" s="417"/>
      <c r="N49" s="417"/>
      <c r="O49" s="417"/>
      <c r="P49" s="417"/>
      <c r="Q49" s="442"/>
      <c r="R49" s="458"/>
      <c r="S49" s="459"/>
    </row>
    <row r="50" ht="105" customHeight="1" spans="1:24">
      <c r="A50" s="418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60"/>
      <c r="V50" s="461"/>
      <c r="X50" s="249" t="s">
        <v>48</v>
      </c>
    </row>
    <row r="51" ht="105" customHeight="1" spans="1:22">
      <c r="A51" s="420"/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62"/>
      <c r="V51" s="249" t="s">
        <v>48</v>
      </c>
    </row>
    <row r="52" ht="59" customHeight="1" spans="1:19">
      <c r="A52" s="422" t="s">
        <v>357</v>
      </c>
      <c r="B52" s="423"/>
      <c r="C52" s="423"/>
      <c r="D52" s="424" t="s">
        <v>358</v>
      </c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63"/>
    </row>
    <row r="53" ht="15" spans="1:11">
      <c r="A53" s="101"/>
      <c r="B53" s="101"/>
      <c r="C53" s="101"/>
      <c r="D53" s="101"/>
      <c r="E53" s="101"/>
      <c r="F53" s="101"/>
      <c r="G53" s="426"/>
      <c r="H53" s="427"/>
      <c r="I53" s="427"/>
      <c r="J53" s="427"/>
      <c r="K53" s="427"/>
    </row>
    <row r="54" spans="1:11">
      <c r="A54" s="101"/>
      <c r="B54" s="101"/>
      <c r="C54" s="101"/>
      <c r="D54" s="101"/>
      <c r="E54" s="101"/>
      <c r="F54" s="101"/>
      <c r="G54" s="101"/>
      <c r="H54" s="427"/>
      <c r="I54" s="427"/>
      <c r="J54" s="427"/>
      <c r="K54" s="427"/>
    </row>
    <row r="55" spans="1:11">
      <c r="A55" s="101"/>
      <c r="B55" s="101"/>
      <c r="C55" s="101"/>
      <c r="D55" s="101"/>
      <c r="E55" s="101"/>
      <c r="F55" s="101"/>
      <c r="G55" s="426"/>
      <c r="H55" s="427"/>
      <c r="I55" s="427"/>
      <c r="J55" s="427"/>
      <c r="K55" s="427"/>
    </row>
    <row r="56" spans="1:11">
      <c r="A56" s="101"/>
      <c r="B56" s="101"/>
      <c r="C56" s="101"/>
      <c r="D56" s="101"/>
      <c r="E56" s="101"/>
      <c r="F56" s="101"/>
      <c r="G56" s="426"/>
      <c r="H56" s="427"/>
      <c r="I56" s="427"/>
      <c r="J56" s="427"/>
      <c r="K56" s="427"/>
    </row>
    <row r="57" spans="1:11">
      <c r="A57" s="101"/>
      <c r="B57" s="101"/>
      <c r="C57" s="101"/>
      <c r="D57" s="101"/>
      <c r="E57" s="101"/>
      <c r="F57" s="101"/>
      <c r="G57" s="426"/>
      <c r="H57" s="427"/>
      <c r="I57" s="427"/>
      <c r="J57" s="427"/>
      <c r="K57" s="427"/>
    </row>
    <row r="58" spans="3:19">
      <c r="C58" s="249" t="s">
        <v>328</v>
      </c>
      <c r="D58" s="249" t="s">
        <v>329</v>
      </c>
      <c r="E58" s="249" t="s">
        <v>330</v>
      </c>
      <c r="F58" s="249" t="s">
        <v>331</v>
      </c>
      <c r="G58" s="249" t="s">
        <v>332</v>
      </c>
      <c r="H58" s="249" t="s">
        <v>333</v>
      </c>
      <c r="I58" s="249" t="s">
        <v>334</v>
      </c>
      <c r="J58" s="249" t="s">
        <v>335</v>
      </c>
      <c r="K58" s="249" t="s">
        <v>336</v>
      </c>
      <c r="L58" s="249" t="s">
        <v>337</v>
      </c>
      <c r="M58" s="249" t="s">
        <v>338</v>
      </c>
      <c r="N58" s="249" t="s">
        <v>339</v>
      </c>
      <c r="O58" s="249" t="s">
        <v>340</v>
      </c>
      <c r="P58" s="249" t="s">
        <v>341</v>
      </c>
      <c r="Q58" s="249" t="s">
        <v>341</v>
      </c>
      <c r="S58" s="48" t="s">
        <v>343</v>
      </c>
    </row>
    <row r="59" spans="1:19">
      <c r="A59" s="384" t="s">
        <v>359</v>
      </c>
      <c r="B59" s="384"/>
      <c r="C59" s="384">
        <v>2119</v>
      </c>
      <c r="D59" s="384">
        <v>2109</v>
      </c>
      <c r="E59" s="384">
        <v>2118.46320101967</v>
      </c>
      <c r="F59" s="384">
        <v>2104</v>
      </c>
      <c r="G59" s="384">
        <v>2102</v>
      </c>
      <c r="H59" s="384">
        <v>2092</v>
      </c>
      <c r="I59" s="384">
        <v>2088</v>
      </c>
      <c r="J59" s="384">
        <v>2089</v>
      </c>
      <c r="K59" s="384">
        <v>2090.77178956992</v>
      </c>
      <c r="L59" s="384">
        <v>2086</v>
      </c>
      <c r="M59" s="384">
        <v>2083</v>
      </c>
      <c r="N59" s="384">
        <v>2082</v>
      </c>
      <c r="O59" s="384">
        <v>2093</v>
      </c>
      <c r="P59" s="384">
        <v>2083</v>
      </c>
      <c r="Q59" s="384">
        <v>2093.95920412247</v>
      </c>
      <c r="S59" s="444">
        <f>数据填报!BW52</f>
        <v>2084.2917345176</v>
      </c>
    </row>
    <row r="60" spans="1:17">
      <c r="A60" s="101"/>
      <c r="B60" s="428"/>
      <c r="C60" s="100" t="s">
        <v>284</v>
      </c>
      <c r="D60" s="101" t="s">
        <v>284</v>
      </c>
      <c r="E60" s="384" t="s">
        <v>284</v>
      </c>
      <c r="F60" s="384" t="s">
        <v>284</v>
      </c>
      <c r="G60" s="384" t="s">
        <v>284</v>
      </c>
      <c r="H60" s="384" t="s">
        <v>284</v>
      </c>
      <c r="I60" s="384" t="s">
        <v>284</v>
      </c>
      <c r="J60" s="384" t="s">
        <v>284</v>
      </c>
      <c r="K60" s="384" t="s">
        <v>284</v>
      </c>
      <c r="L60" s="384" t="s">
        <v>284</v>
      </c>
      <c r="M60" s="384" t="s">
        <v>284</v>
      </c>
      <c r="N60" s="384" t="s">
        <v>284</v>
      </c>
      <c r="O60" s="384" t="s">
        <v>284</v>
      </c>
      <c r="P60" s="384" t="s">
        <v>284</v>
      </c>
      <c r="Q60" s="384" t="s">
        <v>284</v>
      </c>
    </row>
    <row r="61" spans="1:17">
      <c r="A61" s="384"/>
      <c r="B61" s="384"/>
      <c r="C61" s="249" t="s">
        <v>328</v>
      </c>
      <c r="D61" s="249" t="s">
        <v>329</v>
      </c>
      <c r="E61" s="249" t="s">
        <v>330</v>
      </c>
      <c r="F61" s="249" t="s">
        <v>331</v>
      </c>
      <c r="G61" s="249" t="s">
        <v>332</v>
      </c>
      <c r="H61" s="249" t="s">
        <v>333</v>
      </c>
      <c r="I61" s="249" t="s">
        <v>334</v>
      </c>
      <c r="J61" s="249" t="s">
        <v>335</v>
      </c>
      <c r="K61" s="249" t="s">
        <v>336</v>
      </c>
      <c r="L61" s="249" t="s">
        <v>337</v>
      </c>
      <c r="M61" s="249" t="s">
        <v>338</v>
      </c>
      <c r="N61" s="249" t="s">
        <v>339</v>
      </c>
      <c r="O61" s="249" t="s">
        <v>340</v>
      </c>
      <c r="P61" s="249" t="s">
        <v>341</v>
      </c>
      <c r="Q61" s="249" t="str">
        <f>Q58</f>
        <v>13日</v>
      </c>
    </row>
    <row r="62" spans="1:19">
      <c r="A62" s="384" t="s">
        <v>360</v>
      </c>
      <c r="B62" s="384"/>
      <c r="C62" s="101">
        <v>2247</v>
      </c>
      <c r="D62" s="101">
        <v>2261</v>
      </c>
      <c r="E62" s="101">
        <v>2273.55986705178</v>
      </c>
      <c r="F62" s="101">
        <v>2258</v>
      </c>
      <c r="G62" s="101">
        <v>2289</v>
      </c>
      <c r="H62" s="101">
        <v>2288.75034552909</v>
      </c>
      <c r="I62" s="101">
        <v>2281</v>
      </c>
      <c r="J62" s="101">
        <v>2261</v>
      </c>
      <c r="K62" s="101">
        <v>2284.28564627401</v>
      </c>
      <c r="L62" s="444">
        <v>2268</v>
      </c>
      <c r="M62" s="444">
        <v>2299</v>
      </c>
      <c r="N62" s="444">
        <v>2292.25211104709</v>
      </c>
      <c r="O62" s="444">
        <v>2293</v>
      </c>
      <c r="P62" s="444">
        <v>2271</v>
      </c>
      <c r="Q62" s="444">
        <v>2302.13222288992</v>
      </c>
      <c r="S62" s="444">
        <f>J6</f>
        <v>2258.93367115406</v>
      </c>
    </row>
    <row r="63" spans="2:17">
      <c r="B63" s="111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</row>
    <row r="64" spans="3:17">
      <c r="C64" s="249" t="s">
        <v>328</v>
      </c>
      <c r="D64" s="249" t="s">
        <v>329</v>
      </c>
      <c r="E64" s="249" t="s">
        <v>330</v>
      </c>
      <c r="F64" s="249" t="s">
        <v>331</v>
      </c>
      <c r="G64" s="249" t="s">
        <v>332</v>
      </c>
      <c r="H64" s="249" t="s">
        <v>333</v>
      </c>
      <c r="I64" s="249" t="s">
        <v>334</v>
      </c>
      <c r="J64" s="249" t="s">
        <v>335</v>
      </c>
      <c r="K64" s="249" t="s">
        <v>336</v>
      </c>
      <c r="L64" s="249" t="s">
        <v>337</v>
      </c>
      <c r="M64" s="249" t="s">
        <v>338</v>
      </c>
      <c r="N64" s="249" t="s">
        <v>339</v>
      </c>
      <c r="O64" s="249" t="s">
        <v>340</v>
      </c>
      <c r="P64" s="249" t="s">
        <v>341</v>
      </c>
      <c r="Q64" s="249" t="str">
        <f>Q58</f>
        <v>13日</v>
      </c>
    </row>
    <row r="65" spans="1:19">
      <c r="A65" s="384" t="s">
        <v>361</v>
      </c>
      <c r="B65" s="384"/>
      <c r="C65" s="384">
        <v>1088</v>
      </c>
      <c r="D65" s="384">
        <v>1100</v>
      </c>
      <c r="E65" s="384">
        <v>1093.54546123604</v>
      </c>
      <c r="F65" s="384">
        <v>1081</v>
      </c>
      <c r="G65" s="384">
        <v>1073</v>
      </c>
      <c r="H65" s="384">
        <v>1080.27991516115</v>
      </c>
      <c r="I65" s="384">
        <v>1080.27991516115</v>
      </c>
      <c r="J65" s="384">
        <v>988</v>
      </c>
      <c r="K65" s="384">
        <v>991.941966101041</v>
      </c>
      <c r="L65" s="384">
        <v>990</v>
      </c>
      <c r="M65" s="384">
        <v>984</v>
      </c>
      <c r="N65" s="384">
        <v>982</v>
      </c>
      <c r="O65" s="384">
        <v>1006</v>
      </c>
      <c r="P65" s="384">
        <v>1115</v>
      </c>
      <c r="Q65" s="384">
        <v>1104.99155262939</v>
      </c>
      <c r="S65" s="451">
        <f>L6</f>
        <v>1117.52488596272</v>
      </c>
    </row>
    <row r="66" spans="1:17">
      <c r="A66" s="101"/>
      <c r="B66" s="428"/>
      <c r="C66" s="100"/>
      <c r="D66" s="101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</row>
    <row r="67" spans="1:17">
      <c r="A67" s="384"/>
      <c r="B67" s="384"/>
      <c r="C67" s="249" t="s">
        <v>328</v>
      </c>
      <c r="D67" s="249" t="s">
        <v>329</v>
      </c>
      <c r="E67" s="249" t="s">
        <v>330</v>
      </c>
      <c r="F67" s="249" t="s">
        <v>331</v>
      </c>
      <c r="G67" s="249" t="s">
        <v>332</v>
      </c>
      <c r="H67" s="249" t="s">
        <v>333</v>
      </c>
      <c r="I67" s="249" t="s">
        <v>334</v>
      </c>
      <c r="J67" s="249" t="s">
        <v>335</v>
      </c>
      <c r="K67" s="249" t="s">
        <v>336</v>
      </c>
      <c r="L67" s="249" t="s">
        <v>337</v>
      </c>
      <c r="M67" s="249" t="s">
        <v>338</v>
      </c>
      <c r="N67" s="249" t="s">
        <v>339</v>
      </c>
      <c r="O67" s="249" t="s">
        <v>340</v>
      </c>
      <c r="P67" s="249" t="s">
        <v>341</v>
      </c>
      <c r="Q67" s="249" t="str">
        <f>Q58</f>
        <v>13日</v>
      </c>
    </row>
    <row r="68" spans="1:19">
      <c r="A68" s="384" t="s">
        <v>33</v>
      </c>
      <c r="B68" s="384"/>
      <c r="C68" s="101">
        <v>896</v>
      </c>
      <c r="D68" s="101">
        <v>983</v>
      </c>
      <c r="E68" s="101">
        <v>979.349101814998</v>
      </c>
      <c r="F68" s="101">
        <v>957</v>
      </c>
      <c r="G68" s="101">
        <v>953</v>
      </c>
      <c r="H68" s="101">
        <v>946.474650488494</v>
      </c>
      <c r="I68" s="101">
        <v>953</v>
      </c>
      <c r="J68" s="101">
        <v>950</v>
      </c>
      <c r="K68" s="101">
        <v>951.894311820084</v>
      </c>
      <c r="L68" s="101">
        <v>946</v>
      </c>
      <c r="M68" s="101">
        <v>949</v>
      </c>
      <c r="N68" s="101">
        <v>946</v>
      </c>
      <c r="O68" s="101">
        <v>948</v>
      </c>
      <c r="P68" s="101">
        <v>954</v>
      </c>
      <c r="Q68" s="101">
        <v>947.190228849619</v>
      </c>
      <c r="S68" s="451">
        <f>O6</f>
        <v>949.761657421048</v>
      </c>
    </row>
    <row r="69" spans="2:17">
      <c r="B69" s="111"/>
      <c r="C69" s="384"/>
      <c r="D69" s="384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</row>
    <row r="70" spans="2:17">
      <c r="B70" s="111"/>
      <c r="C70" s="249" t="s">
        <v>328</v>
      </c>
      <c r="D70" s="249" t="s">
        <v>329</v>
      </c>
      <c r="E70" s="249" t="s">
        <v>330</v>
      </c>
      <c r="F70" s="249" t="s">
        <v>331</v>
      </c>
      <c r="G70" s="249" t="s">
        <v>332</v>
      </c>
      <c r="H70" s="249" t="s">
        <v>333</v>
      </c>
      <c r="I70" s="249" t="s">
        <v>334</v>
      </c>
      <c r="J70" s="249" t="s">
        <v>335</v>
      </c>
      <c r="K70" s="249" t="s">
        <v>336</v>
      </c>
      <c r="L70" s="249" t="s">
        <v>337</v>
      </c>
      <c r="M70" s="249" t="s">
        <v>338</v>
      </c>
      <c r="N70" s="249" t="s">
        <v>339</v>
      </c>
      <c r="O70" s="249" t="s">
        <v>340</v>
      </c>
      <c r="P70" s="249" t="s">
        <v>341</v>
      </c>
      <c r="Q70" s="249" t="str">
        <f>Q58</f>
        <v>13日</v>
      </c>
    </row>
    <row r="71" spans="1:19">
      <c r="A71" s="384" t="s">
        <v>362</v>
      </c>
      <c r="B71" s="384"/>
      <c r="C71" s="384">
        <v>254906</v>
      </c>
      <c r="D71" s="384">
        <v>252930</v>
      </c>
      <c r="E71" s="384">
        <v>257495.177</v>
      </c>
      <c r="F71" s="384">
        <v>263980</v>
      </c>
      <c r="G71" s="384">
        <v>264133</v>
      </c>
      <c r="H71" s="384">
        <v>259951.547</v>
      </c>
      <c r="I71" s="384">
        <v>266764</v>
      </c>
      <c r="J71" s="384">
        <v>265905</v>
      </c>
      <c r="K71" s="384">
        <v>271599.807</v>
      </c>
      <c r="L71" s="384">
        <v>269744</v>
      </c>
      <c r="M71" s="384">
        <v>267367</v>
      </c>
      <c r="N71" s="384">
        <v>268773</v>
      </c>
      <c r="O71" s="384">
        <v>265555</v>
      </c>
      <c r="P71" s="384">
        <v>264331</v>
      </c>
      <c r="Q71" s="384">
        <v>263114.687</v>
      </c>
      <c r="S71" s="468">
        <f>煤炭库存统计表!E6</f>
        <v>267529.197</v>
      </c>
    </row>
    <row r="72" spans="2:17">
      <c r="B72" s="111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</row>
    <row r="73" spans="2:17">
      <c r="B73" s="111"/>
      <c r="C73" s="249" t="s">
        <v>328</v>
      </c>
      <c r="D73" s="249" t="s">
        <v>329</v>
      </c>
      <c r="E73" s="249" t="s">
        <v>330</v>
      </c>
      <c r="F73" s="249" t="s">
        <v>331</v>
      </c>
      <c r="G73" s="249" t="s">
        <v>332</v>
      </c>
      <c r="H73" s="249" t="s">
        <v>333</v>
      </c>
      <c r="I73" s="249" t="s">
        <v>334</v>
      </c>
      <c r="J73" s="249" t="s">
        <v>335</v>
      </c>
      <c r="K73" s="249" t="s">
        <v>336</v>
      </c>
      <c r="L73" s="249" t="s">
        <v>337</v>
      </c>
      <c r="M73" s="249" t="s">
        <v>338</v>
      </c>
      <c r="N73" s="249" t="s">
        <v>339</v>
      </c>
      <c r="O73" s="249" t="s">
        <v>340</v>
      </c>
      <c r="P73" s="249" t="s">
        <v>341</v>
      </c>
      <c r="Q73" s="249" t="str">
        <f>Q58</f>
        <v>13日</v>
      </c>
    </row>
    <row r="74" spans="1:20">
      <c r="A74" s="384" t="s">
        <v>271</v>
      </c>
      <c r="B74" s="384"/>
      <c r="C74" s="384">
        <v>356339</v>
      </c>
      <c r="D74" s="384">
        <v>350625</v>
      </c>
      <c r="E74" s="384">
        <v>337987.757</v>
      </c>
      <c r="F74" s="384">
        <v>333833</v>
      </c>
      <c r="G74" s="384">
        <v>332177</v>
      </c>
      <c r="H74" s="384">
        <v>318410.607</v>
      </c>
      <c r="I74" s="384">
        <v>334712</v>
      </c>
      <c r="J74" s="384">
        <v>346747</v>
      </c>
      <c r="K74" s="384">
        <v>346833.047</v>
      </c>
      <c r="L74" s="384">
        <v>356308</v>
      </c>
      <c r="M74" s="384">
        <v>352453</v>
      </c>
      <c r="N74" s="384">
        <v>348874</v>
      </c>
      <c r="O74" s="384">
        <v>357121</v>
      </c>
      <c r="P74" s="384">
        <v>366790</v>
      </c>
      <c r="Q74" s="384">
        <v>376277.587</v>
      </c>
      <c r="S74" s="469">
        <f>煤炭库存统计表!I6</f>
        <v>376277.587</v>
      </c>
      <c r="T74" s="469"/>
    </row>
    <row r="75" spans="6:15">
      <c r="F75"/>
      <c r="G75"/>
      <c r="H75"/>
      <c r="I75"/>
      <c r="J75"/>
      <c r="K75"/>
      <c r="L75"/>
      <c r="M75"/>
      <c r="N75"/>
      <c r="O75"/>
    </row>
    <row r="77" spans="1:19">
      <c r="A77" s="464" t="s">
        <v>363</v>
      </c>
      <c r="C77" s="249">
        <v>7900</v>
      </c>
      <c r="D77" s="249">
        <v>7900</v>
      </c>
      <c r="E77" s="249">
        <v>7900</v>
      </c>
      <c r="F77" s="249">
        <v>7900</v>
      </c>
      <c r="G77" s="249">
        <v>7900</v>
      </c>
      <c r="H77" s="249">
        <v>7900</v>
      </c>
      <c r="I77" s="249">
        <v>7900</v>
      </c>
      <c r="J77" s="249">
        <v>9100</v>
      </c>
      <c r="K77" s="249">
        <v>9310</v>
      </c>
      <c r="L77" s="249">
        <v>9310</v>
      </c>
      <c r="M77" s="249">
        <v>9310</v>
      </c>
      <c r="N77" s="249">
        <v>9310</v>
      </c>
      <c r="O77" s="249">
        <v>9310</v>
      </c>
      <c r="P77" s="249">
        <v>9500</v>
      </c>
      <c r="Q77" s="249">
        <v>9500</v>
      </c>
      <c r="S77" s="451">
        <f>数据基表!E13</f>
        <v>9500</v>
      </c>
    </row>
    <row r="78" spans="6:15">
      <c r="F78"/>
      <c r="G78"/>
      <c r="H78"/>
      <c r="I78"/>
      <c r="J78"/>
      <c r="K78"/>
      <c r="L78"/>
      <c r="M78"/>
      <c r="N78"/>
      <c r="O78"/>
    </row>
    <row r="79" spans="3:19">
      <c r="C79" s="249" t="s">
        <v>328</v>
      </c>
      <c r="D79" s="249" t="s">
        <v>329</v>
      </c>
      <c r="E79" s="249" t="s">
        <v>330</v>
      </c>
      <c r="F79" s="249" t="s">
        <v>331</v>
      </c>
      <c r="G79" s="249" t="s">
        <v>332</v>
      </c>
      <c r="H79" s="249" t="s">
        <v>333</v>
      </c>
      <c r="I79" s="249" t="s">
        <v>334</v>
      </c>
      <c r="J79" s="249" t="s">
        <v>335</v>
      </c>
      <c r="K79" s="249" t="s">
        <v>336</v>
      </c>
      <c r="L79" s="249" t="s">
        <v>337</v>
      </c>
      <c r="M79" s="249" t="s">
        <v>338</v>
      </c>
      <c r="N79" s="249" t="s">
        <v>339</v>
      </c>
      <c r="O79" s="249" t="s">
        <v>340</v>
      </c>
      <c r="P79" s="249" t="s">
        <v>341</v>
      </c>
      <c r="Q79" s="249" t="str">
        <f>Q58</f>
        <v>13日</v>
      </c>
      <c r="S79" s="451">
        <f>AVERAGE(数据填报!BB7:BB16,数据填报!BB19,数据填报!BB22)</f>
        <v>1859.27630266162</v>
      </c>
    </row>
    <row r="80" spans="1:17">
      <c r="A80" s="464" t="s">
        <v>364</v>
      </c>
      <c r="C80" s="249">
        <v>1828</v>
      </c>
      <c r="D80" s="249">
        <v>1841</v>
      </c>
      <c r="E80" s="249">
        <v>1854.92962606912</v>
      </c>
      <c r="F80" s="249">
        <v>1843</v>
      </c>
      <c r="G80" s="249">
        <v>1870</v>
      </c>
      <c r="H80" s="249">
        <v>1858.2402229715</v>
      </c>
      <c r="I80" s="249">
        <v>1876</v>
      </c>
      <c r="J80" s="249">
        <v>1863</v>
      </c>
      <c r="K80" s="249">
        <v>1890.08686903572</v>
      </c>
      <c r="L80" s="249">
        <v>1872</v>
      </c>
      <c r="M80" s="249">
        <v>1861</v>
      </c>
      <c r="N80" s="249">
        <v>1866</v>
      </c>
      <c r="O80" s="249">
        <v>1863</v>
      </c>
      <c r="P80" s="249">
        <v>1867</v>
      </c>
      <c r="Q80" s="249">
        <v>1962.00357538889</v>
      </c>
    </row>
    <row r="81" spans="1:15">
      <c r="A81" s="465"/>
      <c r="B81" s="465"/>
      <c r="F81" s="262"/>
      <c r="G81" s="262"/>
      <c r="H81" s="262"/>
      <c r="I81"/>
      <c r="J81"/>
      <c r="K81"/>
      <c r="L81"/>
      <c r="M81"/>
      <c r="N81"/>
      <c r="O81"/>
    </row>
    <row r="82" spans="1:19">
      <c r="A82" s="466" t="s">
        <v>183</v>
      </c>
      <c r="B82" s="466"/>
      <c r="C82" s="249">
        <v>12893</v>
      </c>
      <c r="D82" s="249">
        <v>12837</v>
      </c>
      <c r="E82" s="249">
        <v>12969.804</v>
      </c>
      <c r="F82" s="249">
        <v>13014</v>
      </c>
      <c r="G82" s="249">
        <v>12988</v>
      </c>
      <c r="H82" s="249">
        <v>12988</v>
      </c>
      <c r="I82" s="249">
        <v>12926</v>
      </c>
      <c r="J82" s="249">
        <v>12944</v>
      </c>
      <c r="K82" s="249">
        <v>12990.884</v>
      </c>
      <c r="L82" s="249">
        <v>12992</v>
      </c>
      <c r="M82" s="249">
        <v>13067</v>
      </c>
      <c r="N82" s="249">
        <v>12936</v>
      </c>
      <c r="O82" s="249">
        <v>12924</v>
      </c>
      <c r="P82" s="249">
        <v>12986</v>
      </c>
      <c r="Q82" s="249">
        <v>12966.774</v>
      </c>
      <c r="S82" s="451">
        <f>数据基表!AD185</f>
        <v>12966.774</v>
      </c>
    </row>
    <row r="83" spans="1:19">
      <c r="A83" s="465" t="s">
        <v>365</v>
      </c>
      <c r="B83" s="465"/>
      <c r="C83" s="249">
        <v>1878</v>
      </c>
      <c r="D83" s="249">
        <v>1896</v>
      </c>
      <c r="E83" s="249">
        <v>1915.20162511359</v>
      </c>
      <c r="F83" s="249">
        <v>1892</v>
      </c>
      <c r="G83" s="249">
        <v>1936</v>
      </c>
      <c r="H83" s="249">
        <v>1915.27608031024</v>
      </c>
      <c r="I83" s="249">
        <v>1945</v>
      </c>
      <c r="J83" s="249">
        <v>1923</v>
      </c>
      <c r="K83" s="249">
        <v>1965.002421057</v>
      </c>
      <c r="L83" s="249">
        <v>1935</v>
      </c>
      <c r="M83" s="249">
        <v>1916</v>
      </c>
      <c r="N83" s="249">
        <v>1926</v>
      </c>
      <c r="O83" s="249">
        <v>1925</v>
      </c>
      <c r="P83" s="249">
        <v>1929</v>
      </c>
      <c r="Q83" s="249">
        <v>1955.11867765171</v>
      </c>
      <c r="S83" s="451">
        <f>(1205*表二!J7+274*表二!J8+630*表二!J9+521*表二!J10+1178*表二!J11+521*表二!J12+932*表二!J13+877*表二!J14+877*表二!J15+274*表二!J16+55*表二!J21)/7644</f>
        <v>1946.98811773544</v>
      </c>
    </row>
    <row r="84" spans="3:18">
      <c r="C84" s="249" t="s">
        <v>328</v>
      </c>
      <c r="D84" s="249" t="s">
        <v>329</v>
      </c>
      <c r="E84" s="249" t="s">
        <v>330</v>
      </c>
      <c r="F84" s="249" t="s">
        <v>331</v>
      </c>
      <c r="G84" s="249" t="s">
        <v>332</v>
      </c>
      <c r="H84" s="249" t="s">
        <v>333</v>
      </c>
      <c r="I84" s="249" t="s">
        <v>334</v>
      </c>
      <c r="J84" s="249" t="s">
        <v>335</v>
      </c>
      <c r="K84" s="249" t="s">
        <v>336</v>
      </c>
      <c r="L84" s="249" t="s">
        <v>337</v>
      </c>
      <c r="M84" s="249" t="s">
        <v>338</v>
      </c>
      <c r="N84" s="249" t="s">
        <v>339</v>
      </c>
      <c r="O84" s="249" t="s">
        <v>340</v>
      </c>
      <c r="P84" s="249" t="s">
        <v>341</v>
      </c>
      <c r="Q84" s="249" t="str">
        <f>Q58</f>
        <v>13日</v>
      </c>
      <c r="R84" s="249" t="s">
        <v>48</v>
      </c>
    </row>
    <row r="85" spans="1:19">
      <c r="A85" s="461" t="s">
        <v>366</v>
      </c>
      <c r="C85" s="249">
        <v>3416</v>
      </c>
      <c r="D85" s="249">
        <v>3429</v>
      </c>
      <c r="E85" s="249">
        <v>3490.17830097163</v>
      </c>
      <c r="F85" s="249">
        <v>3483</v>
      </c>
      <c r="G85" s="249">
        <v>3508</v>
      </c>
      <c r="H85" s="249">
        <v>3476.90795146944</v>
      </c>
      <c r="I85" s="249">
        <v>3509</v>
      </c>
      <c r="J85" s="249">
        <v>3515</v>
      </c>
      <c r="K85" s="249">
        <v>3519.83689006856</v>
      </c>
      <c r="L85" s="249">
        <v>3530</v>
      </c>
      <c r="M85" s="249">
        <v>3523</v>
      </c>
      <c r="N85" s="249">
        <v>3512</v>
      </c>
      <c r="O85" s="249">
        <v>3518</v>
      </c>
      <c r="P85" s="249">
        <v>3495</v>
      </c>
      <c r="Q85" s="249">
        <v>3489.37084661769</v>
      </c>
      <c r="S85" s="444">
        <f>E26</f>
        <v>3482.79857873016</v>
      </c>
    </row>
    <row r="86" spans="4:17">
      <c r="D86" s="249" t="s">
        <v>329</v>
      </c>
      <c r="E86" s="249" t="s">
        <v>330</v>
      </c>
      <c r="F86" s="249" t="s">
        <v>331</v>
      </c>
      <c r="G86" s="249" t="s">
        <v>332</v>
      </c>
      <c r="H86" s="249" t="s">
        <v>333</v>
      </c>
      <c r="I86" s="249" t="s">
        <v>334</v>
      </c>
      <c r="J86" s="249" t="s">
        <v>335</v>
      </c>
      <c r="K86" s="249" t="s">
        <v>336</v>
      </c>
      <c r="L86" s="249" t="s">
        <v>337</v>
      </c>
      <c r="M86" s="249" t="s">
        <v>338</v>
      </c>
      <c r="N86" s="249" t="s">
        <v>339</v>
      </c>
      <c r="O86" s="249" t="s">
        <v>340</v>
      </c>
      <c r="P86" s="249" t="s">
        <v>341</v>
      </c>
      <c r="Q86" s="249" t="s">
        <v>341</v>
      </c>
    </row>
    <row r="87" spans="1:19">
      <c r="A87" s="249" t="s">
        <v>213</v>
      </c>
      <c r="D87" s="249">
        <v>3550</v>
      </c>
      <c r="E87" s="249">
        <v>3550</v>
      </c>
      <c r="F87" s="249">
        <v>3550</v>
      </c>
      <c r="G87" s="249">
        <v>3550</v>
      </c>
      <c r="H87" s="249">
        <v>3550</v>
      </c>
      <c r="I87" s="249">
        <v>3550</v>
      </c>
      <c r="J87" s="249">
        <v>3550</v>
      </c>
      <c r="K87" s="249">
        <v>3550</v>
      </c>
      <c r="L87" s="249">
        <v>3550</v>
      </c>
      <c r="M87" s="249">
        <v>3550</v>
      </c>
      <c r="N87" s="249">
        <v>3750</v>
      </c>
      <c r="O87" s="249">
        <v>3750</v>
      </c>
      <c r="P87" s="249">
        <v>3650</v>
      </c>
      <c r="Q87" s="249">
        <v>3500</v>
      </c>
      <c r="S87" s="249">
        <f>数据基表!O281</f>
        <v>3500</v>
      </c>
    </row>
    <row r="88" spans="2:11">
      <c r="B88" s="111"/>
      <c r="K88" s="467"/>
    </row>
    <row r="89" spans="2:11">
      <c r="B89" s="111"/>
      <c r="K89" s="467"/>
    </row>
  </sheetData>
  <mergeCells count="41">
    <mergeCell ref="A1:S1"/>
    <mergeCell ref="A2:J2"/>
    <mergeCell ref="Q2:S2"/>
    <mergeCell ref="A3:K3"/>
    <mergeCell ref="L3:Q3"/>
    <mergeCell ref="R3:S3"/>
    <mergeCell ref="B4:F4"/>
    <mergeCell ref="G4:K4"/>
    <mergeCell ref="L4:N4"/>
    <mergeCell ref="O4:Q4"/>
    <mergeCell ref="R4:S4"/>
    <mergeCell ref="B24:E24"/>
    <mergeCell ref="F24:H24"/>
    <mergeCell ref="I24:K24"/>
    <mergeCell ref="L24:N24"/>
    <mergeCell ref="O24:Q24"/>
    <mergeCell ref="R24:S24"/>
    <mergeCell ref="B44:F44"/>
    <mergeCell ref="G44:K44"/>
    <mergeCell ref="L44:N44"/>
    <mergeCell ref="O44:Q44"/>
    <mergeCell ref="R44:S44"/>
    <mergeCell ref="A50:S50"/>
    <mergeCell ref="A51:S51"/>
    <mergeCell ref="A52:C52"/>
    <mergeCell ref="D52:S52"/>
    <mergeCell ref="A59:B59"/>
    <mergeCell ref="A62:B62"/>
    <mergeCell ref="A65:B65"/>
    <mergeCell ref="A68:B68"/>
    <mergeCell ref="A71:B71"/>
    <mergeCell ref="A74:B74"/>
    <mergeCell ref="S74:T74"/>
    <mergeCell ref="A81:B81"/>
    <mergeCell ref="A82:B82"/>
    <mergeCell ref="A83:B83"/>
    <mergeCell ref="A4:A5"/>
    <mergeCell ref="A24:A25"/>
    <mergeCell ref="A44:A45"/>
    <mergeCell ref="R46:R49"/>
    <mergeCell ref="S46:S49"/>
  </mergeCells>
  <pageMargins left="0.429166666666667" right="0.388888888888889" top="0.388888888888889" bottom="0.388888888888889" header="0.509027777777778" footer="0.509027777777778"/>
  <pageSetup paperSize="8" scale="9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2"/>
  <sheetViews>
    <sheetView zoomScale="85" zoomScaleNormal="85" topLeftCell="I1" workbookViewId="0">
      <selection activeCell="X6" sqref="X6"/>
    </sheetView>
  </sheetViews>
  <sheetFormatPr defaultColWidth="9" defaultRowHeight="14.25"/>
  <cols>
    <col min="1" max="1" width="4.25833333333333" customWidth="1"/>
    <col min="5" max="5" width="7.64166666666667" customWidth="1"/>
    <col min="6" max="6" width="9.68333333333333" customWidth="1"/>
    <col min="9" max="9" width="7.5" style="262" customWidth="1"/>
    <col min="11" max="11" width="7.05833333333333" customWidth="1"/>
    <col min="12" max="12" width="7.79166666666667" style="262" customWidth="1"/>
    <col min="13" max="13" width="7.78333333333333" customWidth="1"/>
    <col min="14" max="14" width="7.64166666666667" customWidth="1"/>
    <col min="15" max="15" width="9.875" customWidth="1"/>
    <col min="16" max="16" width="8.825" customWidth="1"/>
    <col min="17" max="17" width="8.875" customWidth="1"/>
    <col min="18" max="18" width="7.5" customWidth="1"/>
    <col min="19" max="19" width="9.55833333333333" customWidth="1"/>
    <col min="22" max="22" width="15" customWidth="1"/>
    <col min="23" max="23" width="14.875"/>
    <col min="24" max="24" width="12.625"/>
    <col min="26" max="26" width="12.625"/>
    <col min="29" max="29" width="12.625"/>
  </cols>
  <sheetData>
    <row r="1" s="373" customFormat="1" ht="22.5" spans="1:19">
      <c r="A1" s="49" t="s">
        <v>367</v>
      </c>
      <c r="B1" s="49"/>
      <c r="C1" s="49"/>
      <c r="D1" s="49"/>
      <c r="E1" s="49"/>
      <c r="F1" s="49"/>
      <c r="G1" s="49"/>
      <c r="H1" s="49"/>
      <c r="I1" s="50"/>
      <c r="J1" s="49"/>
      <c r="K1" s="49"/>
      <c r="L1" s="50"/>
      <c r="M1" s="49"/>
      <c r="N1" s="49"/>
      <c r="O1" s="49"/>
      <c r="P1" s="49"/>
      <c r="Q1" s="49"/>
      <c r="R1" s="49"/>
      <c r="S1" s="385"/>
    </row>
    <row r="2" s="373" customFormat="1" ht="22.5" spans="1:19">
      <c r="A2" s="51"/>
      <c r="B2" s="52"/>
      <c r="C2" s="52"/>
      <c r="D2" s="52"/>
      <c r="E2" s="52"/>
      <c r="F2" s="52"/>
      <c r="G2" s="52"/>
      <c r="H2" s="52"/>
      <c r="I2" s="51"/>
      <c r="J2" s="52"/>
      <c r="K2" s="378"/>
      <c r="L2" s="379"/>
      <c r="M2" s="380" t="s">
        <v>368</v>
      </c>
      <c r="N2" s="380"/>
      <c r="O2" s="380"/>
      <c r="P2" s="54">
        <f>表一!N2</f>
        <v>44300</v>
      </c>
      <c r="Q2" s="386"/>
      <c r="R2" s="386"/>
      <c r="S2" s="387"/>
    </row>
    <row r="3" s="373" customFormat="1" spans="1:19">
      <c r="A3" s="55" t="s">
        <v>369</v>
      </c>
      <c r="B3" s="56" t="s">
        <v>109</v>
      </c>
      <c r="C3" s="56"/>
      <c r="D3" s="56" t="s">
        <v>110</v>
      </c>
      <c r="E3" s="57" t="s">
        <v>87</v>
      </c>
      <c r="F3" s="63"/>
      <c r="G3" s="63"/>
      <c r="H3" s="63"/>
      <c r="I3" s="58"/>
      <c r="J3" s="63"/>
      <c r="K3" s="63"/>
      <c r="L3" s="59" t="s">
        <v>111</v>
      </c>
      <c r="M3" s="63"/>
      <c r="N3" s="63"/>
      <c r="O3" s="64"/>
      <c r="P3" s="60" t="s">
        <v>21</v>
      </c>
      <c r="Q3" s="60"/>
      <c r="R3" s="60"/>
      <c r="S3" s="60"/>
    </row>
    <row r="4" s="373" customFormat="1" spans="1:19">
      <c r="A4" s="61"/>
      <c r="B4" s="56"/>
      <c r="C4" s="56"/>
      <c r="D4" s="56"/>
      <c r="E4" s="57" t="s">
        <v>135</v>
      </c>
      <c r="F4" s="63"/>
      <c r="G4" s="63"/>
      <c r="H4" s="64"/>
      <c r="I4" s="59" t="s">
        <v>112</v>
      </c>
      <c r="J4" s="63"/>
      <c r="K4" s="63"/>
      <c r="L4" s="59" t="s">
        <v>93</v>
      </c>
      <c r="M4" s="63"/>
      <c r="N4" s="63"/>
      <c r="O4" s="64"/>
      <c r="P4" s="60" t="s">
        <v>56</v>
      </c>
      <c r="Q4" s="60" t="s">
        <v>57</v>
      </c>
      <c r="R4" s="374" t="s">
        <v>115</v>
      </c>
      <c r="S4" s="388" t="s">
        <v>370</v>
      </c>
    </row>
    <row r="5" s="373" customFormat="1" ht="28.5" spans="1:19">
      <c r="A5" s="62"/>
      <c r="B5" s="56" t="s">
        <v>113</v>
      </c>
      <c r="C5" s="56" t="s">
        <v>114</v>
      </c>
      <c r="D5" s="56"/>
      <c r="E5" s="56" t="s">
        <v>56</v>
      </c>
      <c r="F5" s="56" t="s">
        <v>57</v>
      </c>
      <c r="G5" s="374" t="s">
        <v>115</v>
      </c>
      <c r="H5" s="374" t="s">
        <v>370</v>
      </c>
      <c r="I5" s="381" t="s">
        <v>56</v>
      </c>
      <c r="J5" s="56" t="s">
        <v>57</v>
      </c>
      <c r="K5" s="374" t="s">
        <v>115</v>
      </c>
      <c r="L5" s="381" t="s">
        <v>56</v>
      </c>
      <c r="M5" s="56" t="s">
        <v>57</v>
      </c>
      <c r="N5" s="374" t="s">
        <v>115</v>
      </c>
      <c r="O5" s="374" t="s">
        <v>370</v>
      </c>
      <c r="P5" s="60"/>
      <c r="Q5" s="60"/>
      <c r="R5" s="374"/>
      <c r="S5" s="389"/>
    </row>
    <row r="6" spans="1:25">
      <c r="A6" s="65"/>
      <c r="B6" s="66" t="s">
        <v>371</v>
      </c>
      <c r="C6" s="66"/>
      <c r="D6" s="66"/>
      <c r="E6" s="67">
        <f>E7+E13+E16+E23+E26+E29+E35+E38+E42+E47+E50+E51+E52+E53+E54+E55</f>
        <v>267529.197</v>
      </c>
      <c r="F6" s="67">
        <f>F7+F13+F16+F23+F26+F29+F35+F38+F42+F47+F50+F51+F52+F53+F54+F55</f>
        <v>24399.06</v>
      </c>
      <c r="G6" s="67">
        <f>E6/F6</f>
        <v>10.9647337643335</v>
      </c>
      <c r="H6" s="67">
        <f>543000-E6</f>
        <v>275470.803</v>
      </c>
      <c r="I6" s="68">
        <f>I7+I13+I16+I23+I26+I29+I35+I38+I42+I47+I50+I51+I52+I53+I54+I55+I56</f>
        <v>376277.587</v>
      </c>
      <c r="J6" s="67">
        <f>J7+J13+J16+J23+J26+J29+J35+J38+J42+J47+J50+J51+J52+J53+J54+J56</f>
        <v>27231.79</v>
      </c>
      <c r="K6" s="67">
        <f>I6/J6</f>
        <v>13.817585513108</v>
      </c>
      <c r="L6" s="68">
        <f>L7+L13+L16+L23+L26+L29+L35+L38+L42+L47+L50+L51+L52+L53+L54+L55+L56</f>
        <v>250250.877</v>
      </c>
      <c r="M6" s="68">
        <f>M7+M13+M16+M23+M26+M29+M35+M38+M42+M47+M50+M51+M52+M53+M54+M55+M56</f>
        <v>23151.69</v>
      </c>
      <c r="N6" s="67">
        <f>L6/M6</f>
        <v>10.8091839947753</v>
      </c>
      <c r="O6" s="67">
        <f>873000-I6-L6</f>
        <v>246471.536</v>
      </c>
      <c r="P6" s="67">
        <f>E6+I6+L6</f>
        <v>894057.661</v>
      </c>
      <c r="Q6" s="67">
        <f>F6+J6+M6</f>
        <v>74782.54</v>
      </c>
      <c r="R6" s="390">
        <f>P6/Q6</f>
        <v>11.9554331933631</v>
      </c>
      <c r="S6" s="390">
        <f>1458000-P6</f>
        <v>563942.339</v>
      </c>
      <c r="V6" t="s">
        <v>372</v>
      </c>
      <c r="X6" s="391">
        <f>P6/14980</f>
        <v>59.6834219626168</v>
      </c>
      <c r="Y6" t="s">
        <v>373</v>
      </c>
    </row>
    <row r="7" spans="1:19">
      <c r="A7" s="69">
        <v>1</v>
      </c>
      <c r="B7" s="66" t="s">
        <v>374</v>
      </c>
      <c r="C7" s="66"/>
      <c r="D7" s="66"/>
      <c r="E7" s="70">
        <f>SUM(E8:E12)</f>
        <v>65303</v>
      </c>
      <c r="F7" s="70">
        <f>SUM(F8:F12)</f>
        <v>5952.07</v>
      </c>
      <c r="G7" s="67">
        <f>E7/F7</f>
        <v>10.9714771499663</v>
      </c>
      <c r="H7" s="67">
        <f>H8+H10+H12-E7</f>
        <v>32495</v>
      </c>
      <c r="I7" s="71">
        <f>SUM(I8:I12)</f>
        <v>5550</v>
      </c>
      <c r="J7" s="70">
        <f>SUM(J8:J12)</f>
        <v>0</v>
      </c>
      <c r="K7" s="67" t="e">
        <f>I7/J7</f>
        <v>#DIV/0!</v>
      </c>
      <c r="L7" s="71">
        <f>SUM(L8:L12)</f>
        <v>41811</v>
      </c>
      <c r="M7" s="70">
        <f>SUM(M8:M12)</f>
        <v>1952</v>
      </c>
      <c r="N7" s="67">
        <f>L7/M7</f>
        <v>21.4195696721311</v>
      </c>
      <c r="O7" s="67">
        <f>220000-I7-L7</f>
        <v>172639</v>
      </c>
      <c r="P7" s="70">
        <f>SUM(P8:P12)</f>
        <v>112664</v>
      </c>
      <c r="Q7" s="70">
        <f>SUM(Q8:Q12)</f>
        <v>7904.07</v>
      </c>
      <c r="R7" s="390">
        <f>P7/Q7</f>
        <v>14.2539223463355</v>
      </c>
      <c r="S7" s="390">
        <f>275000-P7</f>
        <v>162336</v>
      </c>
    </row>
    <row r="8" spans="1:19">
      <c r="A8" s="72"/>
      <c r="B8" s="73" t="s">
        <v>375</v>
      </c>
      <c r="C8" s="74" t="s">
        <v>376</v>
      </c>
      <c r="D8" s="66" t="s">
        <v>377</v>
      </c>
      <c r="E8" s="70">
        <f>数据基表!AH15</f>
        <v>14516</v>
      </c>
      <c r="F8" s="70">
        <f>数据基表!AI15</f>
        <v>1706</v>
      </c>
      <c r="G8" s="67">
        <f>E8/F8</f>
        <v>8.50879249706917</v>
      </c>
      <c r="H8" s="67">
        <f>20000-E8</f>
        <v>5484</v>
      </c>
      <c r="I8" s="75"/>
      <c r="J8" s="382"/>
      <c r="K8" s="67"/>
      <c r="L8" s="75">
        <f>数据基表!AL15</f>
        <v>10811</v>
      </c>
      <c r="M8" s="382">
        <f>数据基表!AM15</f>
        <v>1132</v>
      </c>
      <c r="N8" s="67">
        <f>L8/M8</f>
        <v>9.55035335689046</v>
      </c>
      <c r="O8" s="67">
        <f>20000-L8</f>
        <v>9189</v>
      </c>
      <c r="P8" s="70">
        <f t="shared" ref="P8:Q10" si="0">E8+I8+L8</f>
        <v>25327</v>
      </c>
      <c r="Q8" s="70">
        <f t="shared" si="0"/>
        <v>2838</v>
      </c>
      <c r="R8" s="390">
        <f>P8/Q8</f>
        <v>8.92424242424242</v>
      </c>
      <c r="S8" s="390">
        <f>40000-P8</f>
        <v>14673</v>
      </c>
    </row>
    <row r="9" ht="18" hidden="1" customHeight="1" spans="1:19">
      <c r="A9" s="72"/>
      <c r="B9" s="73"/>
      <c r="C9" s="74" t="s">
        <v>17</v>
      </c>
      <c r="D9" s="66" t="s">
        <v>378</v>
      </c>
      <c r="E9" s="70">
        <f>数据基表!AH16</f>
        <v>0</v>
      </c>
      <c r="F9" s="70">
        <f>数据基表!AI16</f>
        <v>0</v>
      </c>
      <c r="G9" s="67"/>
      <c r="H9" s="67">
        <f>25000-E9</f>
        <v>25000</v>
      </c>
      <c r="I9" s="75"/>
      <c r="J9" s="382"/>
      <c r="K9" s="67" t="e">
        <f>I9/J9</f>
        <v>#DIV/0!</v>
      </c>
      <c r="L9" s="75">
        <f>数据基表!AL16</f>
        <v>0</v>
      </c>
      <c r="M9" s="382">
        <f>数据基表!AM16</f>
        <v>0</v>
      </c>
      <c r="N9" s="67"/>
      <c r="O9" s="67">
        <f>5000-L9</f>
        <v>5000</v>
      </c>
      <c r="P9" s="70">
        <f t="shared" si="0"/>
        <v>0</v>
      </c>
      <c r="Q9" s="70">
        <f t="shared" si="0"/>
        <v>0</v>
      </c>
      <c r="R9" s="390"/>
      <c r="S9" s="390">
        <f>30000-P9</f>
        <v>30000</v>
      </c>
    </row>
    <row r="10" ht="12" customHeight="1" spans="1:19">
      <c r="A10" s="72"/>
      <c r="B10" s="73"/>
      <c r="C10" s="74" t="s">
        <v>379</v>
      </c>
      <c r="D10" s="66" t="s">
        <v>380</v>
      </c>
      <c r="E10" s="70">
        <f>数据基表!AH17</f>
        <v>12300</v>
      </c>
      <c r="F10" s="70">
        <f>数据基表!AI17</f>
        <v>1598</v>
      </c>
      <c r="G10" s="67">
        <f>E10/F10</f>
        <v>7.69712140175219</v>
      </c>
      <c r="H10" s="67">
        <f>100000-E10</f>
        <v>87700</v>
      </c>
      <c r="I10" s="75"/>
      <c r="J10" s="382"/>
      <c r="K10" s="67"/>
      <c r="L10" s="75">
        <f>数据基表!AL17</f>
        <v>31000</v>
      </c>
      <c r="M10" s="382">
        <f>数据基表!AM17</f>
        <v>820</v>
      </c>
      <c r="N10" s="67">
        <f>L10/M10</f>
        <v>37.8048780487805</v>
      </c>
      <c r="O10" s="67">
        <v>0</v>
      </c>
      <c r="P10" s="70">
        <f t="shared" si="0"/>
        <v>43300</v>
      </c>
      <c r="Q10" s="70">
        <f t="shared" si="0"/>
        <v>2418</v>
      </c>
      <c r="R10" s="390">
        <f>P10/Q10</f>
        <v>17.9073614557486</v>
      </c>
      <c r="S10" s="390">
        <f>100000-P10</f>
        <v>56700</v>
      </c>
    </row>
    <row r="11" ht="18" customHeight="1" spans="1:19">
      <c r="A11" s="72"/>
      <c r="B11" s="73"/>
      <c r="C11" s="74" t="s">
        <v>19</v>
      </c>
      <c r="D11" s="66" t="s">
        <v>380</v>
      </c>
      <c r="E11" s="70">
        <f>数据基表!AH18</f>
        <v>33101</v>
      </c>
      <c r="F11" s="70">
        <f>数据基表!AI18</f>
        <v>1914.07</v>
      </c>
      <c r="G11" s="67">
        <f>E11/F11</f>
        <v>17.2935159111213</v>
      </c>
      <c r="H11" s="67"/>
      <c r="I11" s="75">
        <f>数据基表!AJ18</f>
        <v>0</v>
      </c>
      <c r="J11" s="75">
        <f>数据基表!AK18</f>
        <v>0</v>
      </c>
      <c r="K11" s="67"/>
      <c r="L11" s="75">
        <f>数据基表!AL18</f>
        <v>0</v>
      </c>
      <c r="M11" s="75">
        <v>0</v>
      </c>
      <c r="N11" s="67"/>
      <c r="O11" s="67">
        <v>0</v>
      </c>
      <c r="P11" s="70">
        <f>I11+L11+E11</f>
        <v>33101</v>
      </c>
      <c r="Q11" s="70">
        <f>F11+J11+M11</f>
        <v>1914.07</v>
      </c>
      <c r="R11" s="390">
        <f>P11/Q11</f>
        <v>17.2935159111213</v>
      </c>
      <c r="S11" s="390">
        <v>0</v>
      </c>
    </row>
    <row r="12" spans="1:33">
      <c r="A12" s="72"/>
      <c r="B12" s="73"/>
      <c r="C12" s="74" t="s">
        <v>381</v>
      </c>
      <c r="D12" s="66" t="s">
        <v>380</v>
      </c>
      <c r="E12" s="70">
        <f>数据基表!AH19</f>
        <v>5386</v>
      </c>
      <c r="F12" s="70">
        <f>数据基表!AI19</f>
        <v>734</v>
      </c>
      <c r="G12" s="67">
        <f t="shared" ref="G12:G17" si="1">E12/F12</f>
        <v>7.33787465940055</v>
      </c>
      <c r="H12" s="67">
        <f>10000-E12</f>
        <v>4614</v>
      </c>
      <c r="I12" s="75">
        <f>数据基表!AJ19</f>
        <v>5550</v>
      </c>
      <c r="J12" s="382">
        <f>数据基表!AK19</f>
        <v>0</v>
      </c>
      <c r="K12" s="67" t="e">
        <f>I12/J12</f>
        <v>#DIV/0!</v>
      </c>
      <c r="L12" s="75">
        <f>数据基表!AL19</f>
        <v>0</v>
      </c>
      <c r="M12" s="382">
        <f>数据基表!AM19</f>
        <v>0</v>
      </c>
      <c r="N12" s="67"/>
      <c r="O12" s="67">
        <f>15000-I12</f>
        <v>9450</v>
      </c>
      <c r="P12" s="70">
        <f>E12+I12+L12</f>
        <v>10936</v>
      </c>
      <c r="Q12" s="70">
        <f>F12+J12+M12</f>
        <v>734</v>
      </c>
      <c r="R12" s="390">
        <f>P12/Q12</f>
        <v>14.8991825613079</v>
      </c>
      <c r="S12" s="390">
        <f>25000-P12</f>
        <v>14064</v>
      </c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</row>
    <row r="13" spans="1:19">
      <c r="A13" s="76">
        <v>2</v>
      </c>
      <c r="B13" s="77" t="s">
        <v>374</v>
      </c>
      <c r="C13" s="77"/>
      <c r="D13" s="66"/>
      <c r="E13" s="70">
        <f>E14+E15</f>
        <v>17420</v>
      </c>
      <c r="F13" s="70">
        <f>F14+F15</f>
        <v>1551</v>
      </c>
      <c r="G13" s="67">
        <f t="shared" si="1"/>
        <v>11.2314635718891</v>
      </c>
      <c r="H13" s="67">
        <f>41000-E13</f>
        <v>23580</v>
      </c>
      <c r="I13" s="71">
        <f>I14+I15</f>
        <v>0</v>
      </c>
      <c r="J13" s="70">
        <f>J14+J15</f>
        <v>0</v>
      </c>
      <c r="K13" s="67"/>
      <c r="L13" s="71">
        <f>L14+L15</f>
        <v>2844</v>
      </c>
      <c r="M13" s="70">
        <f>M14+M15</f>
        <v>483</v>
      </c>
      <c r="N13" s="67">
        <f>L13/M13</f>
        <v>5.88819875776398</v>
      </c>
      <c r="O13" s="67">
        <f>8000-I13-L13</f>
        <v>5156</v>
      </c>
      <c r="P13" s="70">
        <f t="shared" ref="P13:P19" si="2">E13+I13+L13</f>
        <v>20264</v>
      </c>
      <c r="Q13" s="70">
        <f t="shared" ref="Q13:Q19" si="3">F13+J13+M13</f>
        <v>2034</v>
      </c>
      <c r="R13" s="390">
        <f t="shared" ref="R13:R19" si="4">P13/Q13</f>
        <v>9.96263520157325</v>
      </c>
      <c r="S13" s="390">
        <f>49000-P13</f>
        <v>28736</v>
      </c>
    </row>
    <row r="14" spans="1:19">
      <c r="A14" s="76"/>
      <c r="B14" s="73" t="s">
        <v>382</v>
      </c>
      <c r="C14" s="74" t="s">
        <v>383</v>
      </c>
      <c r="D14" s="66" t="s">
        <v>380</v>
      </c>
      <c r="E14" s="78">
        <f>数据基表!AH33</f>
        <v>11899</v>
      </c>
      <c r="F14" s="78">
        <f>数据基表!AI33</f>
        <v>1551</v>
      </c>
      <c r="G14" s="67">
        <f t="shared" si="1"/>
        <v>7.67182462927144</v>
      </c>
      <c r="H14" s="67">
        <f>15000-E14</f>
        <v>3101</v>
      </c>
      <c r="I14" s="79">
        <f>数据基表!AJ33</f>
        <v>0</v>
      </c>
      <c r="J14" s="78">
        <f>数据基表!AK33</f>
        <v>0</v>
      </c>
      <c r="K14" s="67"/>
      <c r="L14" s="80">
        <f>数据基表!AL33</f>
        <v>1717</v>
      </c>
      <c r="M14" s="81">
        <f>数据基表!AM33</f>
        <v>483</v>
      </c>
      <c r="N14" s="67">
        <f>L14/M14</f>
        <v>3.55486542443064</v>
      </c>
      <c r="O14" s="67">
        <f>8000-I14-L14</f>
        <v>6283</v>
      </c>
      <c r="P14" s="70">
        <f t="shared" si="2"/>
        <v>13616</v>
      </c>
      <c r="Q14" s="70">
        <f t="shared" si="3"/>
        <v>2034</v>
      </c>
      <c r="R14" s="390">
        <f t="shared" si="4"/>
        <v>6.69419862340216</v>
      </c>
      <c r="S14" s="390">
        <f>23000-P14</f>
        <v>9384</v>
      </c>
    </row>
    <row r="15" spans="1:19">
      <c r="A15" s="76"/>
      <c r="B15" s="73"/>
      <c r="C15" s="74" t="s">
        <v>384</v>
      </c>
      <c r="D15" s="66" t="s">
        <v>378</v>
      </c>
      <c r="E15" s="78">
        <f>数据基表!AH34</f>
        <v>5521</v>
      </c>
      <c r="F15" s="78">
        <f>数据基表!AI34</f>
        <v>0</v>
      </c>
      <c r="G15" s="67" t="e">
        <f t="shared" si="1"/>
        <v>#DIV/0!</v>
      </c>
      <c r="H15" s="67">
        <f>26000-E15</f>
        <v>20479</v>
      </c>
      <c r="I15" s="79"/>
      <c r="J15" s="78"/>
      <c r="K15" s="67"/>
      <c r="L15" s="80">
        <f>数据基表!AL34</f>
        <v>1127</v>
      </c>
      <c r="M15" s="81">
        <f>数据基表!AM34</f>
        <v>0</v>
      </c>
      <c r="N15" s="67" t="e">
        <f>L15/M15</f>
        <v>#DIV/0!</v>
      </c>
      <c r="O15" s="67"/>
      <c r="P15" s="70">
        <f t="shared" si="2"/>
        <v>6648</v>
      </c>
      <c r="Q15" s="70">
        <f t="shared" si="3"/>
        <v>0</v>
      </c>
      <c r="R15" s="390" t="e">
        <f t="shared" si="4"/>
        <v>#DIV/0!</v>
      </c>
      <c r="S15" s="390">
        <f>26000-P15</f>
        <v>19352</v>
      </c>
    </row>
    <row r="16" spans="1:19">
      <c r="A16" s="76">
        <v>3</v>
      </c>
      <c r="B16" s="77" t="s">
        <v>374</v>
      </c>
      <c r="C16" s="77"/>
      <c r="D16" s="66"/>
      <c r="E16" s="70">
        <f>E17+E18+E19+E20+E21+E22</f>
        <v>4466</v>
      </c>
      <c r="F16" s="70">
        <f>F18</f>
        <v>0</v>
      </c>
      <c r="G16" s="67"/>
      <c r="H16" s="67">
        <f>80000-E16</f>
        <v>75534</v>
      </c>
      <c r="I16" s="71">
        <f>I17+I18+I19+I20+I21+I22</f>
        <v>42761</v>
      </c>
      <c r="J16" s="70">
        <f>J17+J18+J19+J20+J21+J22</f>
        <v>5722</v>
      </c>
      <c r="K16" s="67">
        <f t="shared" ref="K13:K18" si="5">I16/J16</f>
        <v>7.47308633344984</v>
      </c>
      <c r="L16" s="71">
        <f>L17+L18+L19+L20+L21+L22</f>
        <v>8933</v>
      </c>
      <c r="M16" s="70">
        <f>M17+M18+M19+M20+M21+M22</f>
        <v>2656</v>
      </c>
      <c r="N16" s="67">
        <f>L16/M16</f>
        <v>3.36332831325301</v>
      </c>
      <c r="O16" s="67">
        <f>110000-I16-L16</f>
        <v>58306</v>
      </c>
      <c r="P16" s="70">
        <f t="shared" si="2"/>
        <v>56160</v>
      </c>
      <c r="Q16" s="70">
        <f t="shared" si="3"/>
        <v>8378</v>
      </c>
      <c r="R16" s="390">
        <f t="shared" si="4"/>
        <v>6.7032704702793</v>
      </c>
      <c r="S16" s="390">
        <f>190000-P16</f>
        <v>133840</v>
      </c>
    </row>
    <row r="17" hidden="1" spans="1:19">
      <c r="A17" s="76"/>
      <c r="B17" s="73" t="s">
        <v>385</v>
      </c>
      <c r="C17" s="74" t="s">
        <v>386</v>
      </c>
      <c r="D17" s="66" t="s">
        <v>387</v>
      </c>
      <c r="E17" s="81">
        <f>数据基表!AH56</f>
        <v>2638</v>
      </c>
      <c r="F17" s="81">
        <f>数据基表!AI56</f>
        <v>0</v>
      </c>
      <c r="G17" s="67" t="e">
        <f t="shared" si="1"/>
        <v>#DIV/0!</v>
      </c>
      <c r="H17" s="67">
        <f>50000-E17</f>
        <v>47362</v>
      </c>
      <c r="I17" s="80">
        <f>数据基表!AJ56</f>
        <v>5384</v>
      </c>
      <c r="J17" s="81">
        <f>数据基表!AK56</f>
        <v>0</v>
      </c>
      <c r="K17" s="67" t="e">
        <f t="shared" si="5"/>
        <v>#DIV/0!</v>
      </c>
      <c r="L17" s="80">
        <f>数据基表!AL56</f>
        <v>0</v>
      </c>
      <c r="M17" s="81">
        <f>数据基表!AM56</f>
        <v>0</v>
      </c>
      <c r="N17" s="67"/>
      <c r="O17" s="67">
        <f>10000-I17</f>
        <v>4616</v>
      </c>
      <c r="P17" s="70">
        <f t="shared" si="2"/>
        <v>8022</v>
      </c>
      <c r="Q17" s="70">
        <f t="shared" si="3"/>
        <v>0</v>
      </c>
      <c r="R17" s="390" t="e">
        <f t="shared" si="4"/>
        <v>#DIV/0!</v>
      </c>
      <c r="S17" s="390">
        <f>60000-P17</f>
        <v>51978</v>
      </c>
    </row>
    <row r="18" ht="41" customHeight="1" spans="1:19">
      <c r="A18" s="76"/>
      <c r="B18" s="73"/>
      <c r="C18" s="74" t="s">
        <v>388</v>
      </c>
      <c r="D18" s="66" t="s">
        <v>380</v>
      </c>
      <c r="E18" s="81">
        <f>数据基表!AH57</f>
        <v>0</v>
      </c>
      <c r="F18" s="81">
        <f>数据基表!AI57</f>
        <v>0</v>
      </c>
      <c r="G18" s="67"/>
      <c r="H18" s="67"/>
      <c r="I18" s="80">
        <f>数据基表!AJ57</f>
        <v>36955</v>
      </c>
      <c r="J18" s="81">
        <f>数据基表!AK57</f>
        <v>5722</v>
      </c>
      <c r="K18" s="67">
        <f t="shared" si="5"/>
        <v>6.45840615169521</v>
      </c>
      <c r="L18" s="80">
        <f>数据基表!AL57</f>
        <v>5897</v>
      </c>
      <c r="M18" s="81">
        <f>数据基表!AM57</f>
        <v>2656</v>
      </c>
      <c r="N18" s="67">
        <f>L18/M18</f>
        <v>2.22025602409639</v>
      </c>
      <c r="O18" s="67">
        <f>90000-I18-L18</f>
        <v>47148</v>
      </c>
      <c r="P18" s="70">
        <f t="shared" si="2"/>
        <v>42852</v>
      </c>
      <c r="Q18" s="70">
        <f t="shared" si="3"/>
        <v>8378</v>
      </c>
      <c r="R18" s="390">
        <f t="shared" si="4"/>
        <v>5.11482454046312</v>
      </c>
      <c r="S18" s="390">
        <f>90000-P18</f>
        <v>47148</v>
      </c>
    </row>
    <row r="19" hidden="1" spans="1:19">
      <c r="A19" s="76"/>
      <c r="B19" s="73"/>
      <c r="C19" s="74" t="s">
        <v>389</v>
      </c>
      <c r="D19" s="66" t="s">
        <v>119</v>
      </c>
      <c r="E19" s="81">
        <f>数据基表!AH58</f>
        <v>0</v>
      </c>
      <c r="F19" s="81">
        <f>数据基表!AI58</f>
        <v>0</v>
      </c>
      <c r="G19" s="67" t="e">
        <f>E19/F19</f>
        <v>#DIV/0!</v>
      </c>
      <c r="H19" s="67">
        <f>20000-E19</f>
        <v>20000</v>
      </c>
      <c r="I19" s="80"/>
      <c r="J19" s="81"/>
      <c r="K19" s="67"/>
      <c r="L19" s="80">
        <f>数据基表!AL58</f>
        <v>2505</v>
      </c>
      <c r="M19" s="81"/>
      <c r="N19" s="67"/>
      <c r="O19" s="67">
        <f>5000-L19</f>
        <v>2495</v>
      </c>
      <c r="P19" s="70">
        <f t="shared" si="2"/>
        <v>2505</v>
      </c>
      <c r="Q19" s="70">
        <f t="shared" si="3"/>
        <v>0</v>
      </c>
      <c r="R19" s="390" t="e">
        <f t="shared" si="4"/>
        <v>#DIV/0!</v>
      </c>
      <c r="S19" s="390">
        <f>25000-P19</f>
        <v>22495</v>
      </c>
    </row>
    <row r="20" hidden="1" spans="1:19">
      <c r="A20" s="76"/>
      <c r="B20" s="73"/>
      <c r="C20" s="74" t="s">
        <v>390</v>
      </c>
      <c r="D20" s="66" t="s">
        <v>387</v>
      </c>
      <c r="E20" s="81"/>
      <c r="F20" s="81"/>
      <c r="G20" s="67"/>
      <c r="H20" s="67"/>
      <c r="I20" s="80"/>
      <c r="J20" s="81"/>
      <c r="K20" s="67"/>
      <c r="L20" s="80"/>
      <c r="M20" s="81"/>
      <c r="N20" s="67"/>
      <c r="O20" s="67"/>
      <c r="P20" s="70"/>
      <c r="Q20" s="70"/>
      <c r="R20" s="390"/>
      <c r="S20" s="390"/>
    </row>
    <row r="21" hidden="1" spans="1:19">
      <c r="A21" s="76"/>
      <c r="B21" s="73"/>
      <c r="C21" s="74" t="s">
        <v>391</v>
      </c>
      <c r="D21" s="66" t="s">
        <v>378</v>
      </c>
      <c r="E21" s="81"/>
      <c r="F21" s="81"/>
      <c r="G21" s="67"/>
      <c r="H21" s="67"/>
      <c r="I21" s="80"/>
      <c r="J21" s="81"/>
      <c r="K21" s="67"/>
      <c r="L21" s="80"/>
      <c r="M21" s="81"/>
      <c r="N21" s="67"/>
      <c r="O21" s="67"/>
      <c r="P21" s="70">
        <f>E21+I21+L21</f>
        <v>0</v>
      </c>
      <c r="Q21" s="70">
        <f>F21+J21+M21</f>
        <v>0</v>
      </c>
      <c r="R21" s="390"/>
      <c r="S21" s="390"/>
    </row>
    <row r="22" s="262" customFormat="1" hidden="1" spans="1:19">
      <c r="A22" s="76"/>
      <c r="B22" s="73"/>
      <c r="C22" s="74" t="s">
        <v>392</v>
      </c>
      <c r="D22" s="66" t="s">
        <v>378</v>
      </c>
      <c r="E22" s="81">
        <f>数据基表!AH61</f>
        <v>1828</v>
      </c>
      <c r="F22" s="81">
        <f>数据基表!AI61</f>
        <v>0</v>
      </c>
      <c r="G22" s="68" t="e">
        <f>E22/F22</f>
        <v>#DIV/0!</v>
      </c>
      <c r="H22" s="68">
        <f>10000-E22</f>
        <v>8172</v>
      </c>
      <c r="I22" s="80">
        <f>数据基表!AJ61</f>
        <v>422</v>
      </c>
      <c r="J22" s="81">
        <f>数据基表!AK61</f>
        <v>0</v>
      </c>
      <c r="K22" s="68" t="e">
        <f>I22/J22</f>
        <v>#DIV/0!</v>
      </c>
      <c r="L22" s="80">
        <f>数据基表!AL61</f>
        <v>531</v>
      </c>
      <c r="M22" s="81">
        <f>数据基表!AM61</f>
        <v>0</v>
      </c>
      <c r="N22" s="68" t="e">
        <f>L22/M22</f>
        <v>#DIV/0!</v>
      </c>
      <c r="O22" s="68">
        <f>5000-I22-L22</f>
        <v>4047</v>
      </c>
      <c r="P22" s="71">
        <f>E22+I22+L22</f>
        <v>2781</v>
      </c>
      <c r="Q22" s="71">
        <f>F22+J22+M22</f>
        <v>0</v>
      </c>
      <c r="R22" s="128" t="e">
        <f>P22/Q22</f>
        <v>#DIV/0!</v>
      </c>
      <c r="S22" s="390">
        <f>5000-P22</f>
        <v>2219</v>
      </c>
    </row>
    <row r="23" spans="1:19">
      <c r="A23" s="76">
        <v>4</v>
      </c>
      <c r="B23" s="77" t="s">
        <v>374</v>
      </c>
      <c r="C23" s="77"/>
      <c r="D23" s="66"/>
      <c r="E23" s="70">
        <f>E24</f>
        <v>7325</v>
      </c>
      <c r="F23" s="70">
        <f>F24</f>
        <v>1206</v>
      </c>
      <c r="G23" s="67"/>
      <c r="H23" s="67">
        <f>30000-E23</f>
        <v>22675</v>
      </c>
      <c r="I23" s="71">
        <f>I24</f>
        <v>123</v>
      </c>
      <c r="J23" s="70">
        <f>J24</f>
        <v>0</v>
      </c>
      <c r="K23" s="68"/>
      <c r="L23" s="71">
        <f>L24</f>
        <v>5919</v>
      </c>
      <c r="M23" s="70">
        <f>M24</f>
        <v>127</v>
      </c>
      <c r="N23" s="67"/>
      <c r="O23" s="67">
        <f>15000-I23-L23</f>
        <v>8958</v>
      </c>
      <c r="P23" s="70">
        <f>E23+I23+L23</f>
        <v>13367</v>
      </c>
      <c r="Q23" s="70">
        <f>F23+J23+M23</f>
        <v>1333</v>
      </c>
      <c r="R23" s="390"/>
      <c r="S23" s="390">
        <f>45000-P23</f>
        <v>31633</v>
      </c>
    </row>
    <row r="24" ht="49" customHeight="1" spans="1:19">
      <c r="A24" s="76"/>
      <c r="B24" s="73" t="s">
        <v>393</v>
      </c>
      <c r="C24" s="74" t="s">
        <v>84</v>
      </c>
      <c r="D24" s="66" t="s">
        <v>380</v>
      </c>
      <c r="E24" s="81">
        <f>数据基表!AH73</f>
        <v>7325</v>
      </c>
      <c r="F24" s="81">
        <f>数据基表!AI73</f>
        <v>1206</v>
      </c>
      <c r="G24" s="67"/>
      <c r="H24" s="67">
        <f>30000-E24</f>
        <v>22675</v>
      </c>
      <c r="I24" s="80">
        <f>数据基表!AJ73</f>
        <v>123</v>
      </c>
      <c r="J24" s="81">
        <f>数据基表!AK73</f>
        <v>0</v>
      </c>
      <c r="K24" s="68"/>
      <c r="L24" s="71">
        <f>数据基表!AL73</f>
        <v>5919</v>
      </c>
      <c r="M24" s="70">
        <f>数据基表!AM73</f>
        <v>127</v>
      </c>
      <c r="N24" s="67"/>
      <c r="O24" s="67">
        <f>15000-I24-L24</f>
        <v>8958</v>
      </c>
      <c r="P24" s="70">
        <f>E24+I24+L24</f>
        <v>13367</v>
      </c>
      <c r="Q24" s="70">
        <f>F24+J24+M24</f>
        <v>1333</v>
      </c>
      <c r="R24" s="390"/>
      <c r="S24" s="390">
        <f>45000-P24</f>
        <v>31633</v>
      </c>
    </row>
    <row r="25" hidden="1" spans="1:19">
      <c r="A25" s="76"/>
      <c r="B25" s="82"/>
      <c r="C25" s="83" t="s">
        <v>85</v>
      </c>
      <c r="D25" s="66" t="s">
        <v>387</v>
      </c>
      <c r="E25" s="70"/>
      <c r="F25" s="70"/>
      <c r="G25" s="67"/>
      <c r="H25" s="67"/>
      <c r="I25" s="71"/>
      <c r="J25" s="70"/>
      <c r="K25" s="68"/>
      <c r="L25" s="71"/>
      <c r="M25" s="70"/>
      <c r="N25" s="67"/>
      <c r="O25" s="67"/>
      <c r="P25" s="70"/>
      <c r="Q25" s="70"/>
      <c r="R25" s="390"/>
      <c r="S25" s="390"/>
    </row>
    <row r="26" ht="15" customHeight="1" spans="1:19">
      <c r="A26" s="69">
        <v>5</v>
      </c>
      <c r="B26" s="84" t="s">
        <v>374</v>
      </c>
      <c r="C26" s="85"/>
      <c r="E26" s="70">
        <f>数据基表!AH87</f>
        <v>39044</v>
      </c>
      <c r="F26" s="70">
        <f>数据基表!AI87</f>
        <v>2716</v>
      </c>
      <c r="G26" s="67">
        <f>E26/F26</f>
        <v>14.3755522827688</v>
      </c>
      <c r="H26" s="67">
        <f>50000-E26</f>
        <v>10956</v>
      </c>
      <c r="I26" s="71">
        <f>数据基表!AJ87</f>
        <v>15203</v>
      </c>
      <c r="J26" s="71">
        <f>数据基表!AK87</f>
        <v>2896</v>
      </c>
      <c r="K26" s="68">
        <f>I26/J26</f>
        <v>5.2496546961326</v>
      </c>
      <c r="L26" s="71">
        <f>数据基表!AL87</f>
        <v>26057.9</v>
      </c>
      <c r="M26" s="71">
        <f>数据基表!AM87</f>
        <v>2352</v>
      </c>
      <c r="N26" s="67">
        <f>L26/M26</f>
        <v>11.0790391156463</v>
      </c>
      <c r="O26" s="67"/>
      <c r="P26" s="70">
        <f>E26+I26+L26</f>
        <v>80304.9</v>
      </c>
      <c r="Q26" s="70">
        <f>F26+J26+M26</f>
        <v>7964</v>
      </c>
      <c r="R26" s="390">
        <f>P26/Q26</f>
        <v>10.083488196886</v>
      </c>
      <c r="S26" s="390">
        <f>95000-P26</f>
        <v>14695.1</v>
      </c>
    </row>
    <row r="27" ht="15" customHeight="1" spans="1:19">
      <c r="A27" s="72"/>
      <c r="B27" s="86" t="s">
        <v>394</v>
      </c>
      <c r="C27" s="87" t="s">
        <v>90</v>
      </c>
      <c r="D27" s="66" t="s">
        <v>380</v>
      </c>
      <c r="E27" s="70">
        <f>数据基表!AH85</f>
        <v>39044</v>
      </c>
      <c r="F27" s="70">
        <f>数据基表!AI85</f>
        <v>2716</v>
      </c>
      <c r="G27" s="67">
        <f>E27/F27</f>
        <v>14.3755522827688</v>
      </c>
      <c r="H27" s="67"/>
      <c r="I27" s="71"/>
      <c r="J27" s="70"/>
      <c r="K27" s="68"/>
      <c r="L27" s="71">
        <f>数据基表!AL85</f>
        <v>10359.9</v>
      </c>
      <c r="M27" s="70">
        <f>数据基表!AM85</f>
        <v>496</v>
      </c>
      <c r="N27" s="67">
        <f>L27/M27</f>
        <v>20.8868951612903</v>
      </c>
      <c r="O27" s="67"/>
      <c r="P27" s="70">
        <f>E27+L27</f>
        <v>49403.9</v>
      </c>
      <c r="Q27" s="70">
        <f>F27+M27</f>
        <v>3212</v>
      </c>
      <c r="R27" s="390">
        <f>P27/Q27</f>
        <v>15.3810398505604</v>
      </c>
      <c r="S27" s="390"/>
    </row>
    <row r="28" ht="15" customHeight="1" spans="1:19">
      <c r="A28" s="72"/>
      <c r="B28" s="88"/>
      <c r="C28" s="77" t="s">
        <v>91</v>
      </c>
      <c r="D28" s="66" t="s">
        <v>380</v>
      </c>
      <c r="E28" s="70"/>
      <c r="F28" s="70"/>
      <c r="G28" s="67"/>
      <c r="H28" s="67"/>
      <c r="I28" s="71">
        <f>数据基表!AJ86</f>
        <v>15203</v>
      </c>
      <c r="J28" s="70">
        <f>数据基表!AK86</f>
        <v>2896</v>
      </c>
      <c r="K28" s="68">
        <f>I28/J28</f>
        <v>5.2496546961326</v>
      </c>
      <c r="L28" s="71"/>
      <c r="M28" s="70">
        <f>数据基表!AM86</f>
        <v>1856</v>
      </c>
      <c r="N28" s="67"/>
      <c r="O28" s="67"/>
      <c r="P28" s="70">
        <f>I28</f>
        <v>15203</v>
      </c>
      <c r="Q28" s="70">
        <f>J28+M28</f>
        <v>4752</v>
      </c>
      <c r="R28" s="390">
        <f>P28/Q28</f>
        <v>3.19928451178451</v>
      </c>
      <c r="S28" s="390"/>
    </row>
    <row r="29" spans="1:19">
      <c r="A29" s="69">
        <v>6</v>
      </c>
      <c r="B29" s="77" t="s">
        <v>374</v>
      </c>
      <c r="C29" s="77"/>
      <c r="D29" s="66"/>
      <c r="E29" s="70">
        <f>E30+E31+E32+E33+E34</f>
        <v>12482</v>
      </c>
      <c r="F29" s="70">
        <f>F30+F32</f>
        <v>1048</v>
      </c>
      <c r="G29" s="67">
        <f>E29/F29</f>
        <v>11.9103053435114</v>
      </c>
      <c r="H29" s="67">
        <f>60000-E29</f>
        <v>47518</v>
      </c>
      <c r="I29" s="71">
        <f>I30+I33</f>
        <v>23304.15</v>
      </c>
      <c r="J29" s="70">
        <f>J30+J33</f>
        <v>2706.1</v>
      </c>
      <c r="K29" s="68">
        <f>I29/J29</f>
        <v>8.61171057980119</v>
      </c>
      <c r="L29" s="71">
        <f>L30+L31+L32+L33+L34</f>
        <v>18088.82</v>
      </c>
      <c r="M29" s="70">
        <f>M30+M31+M32+M33+M34</f>
        <v>3029.8</v>
      </c>
      <c r="N29" s="67">
        <f>L29/M29</f>
        <v>5.97030167007723</v>
      </c>
      <c r="O29" s="67">
        <f>22000-I29-L29</f>
        <v>-19392.97</v>
      </c>
      <c r="P29" s="70">
        <f t="shared" ref="P29:P56" si="6">E29+I29+L29</f>
        <v>53874.97</v>
      </c>
      <c r="Q29" s="70">
        <f t="shared" ref="Q29:Q56" si="7">F29+J29+M29</f>
        <v>6783.9</v>
      </c>
      <c r="R29" s="390">
        <f t="shared" ref="R29:R56" si="8">P29/Q29</f>
        <v>7.94159259423046</v>
      </c>
      <c r="S29" s="390">
        <f>82000-P29</f>
        <v>28125.03</v>
      </c>
    </row>
    <row r="30" ht="26" customHeight="1" spans="1:19">
      <c r="A30" s="72"/>
      <c r="B30" s="73" t="s">
        <v>395</v>
      </c>
      <c r="C30" s="77" t="s">
        <v>84</v>
      </c>
      <c r="D30" s="66" t="s">
        <v>380</v>
      </c>
      <c r="E30" s="70">
        <f>数据基表!D124</f>
        <v>12482</v>
      </c>
      <c r="F30" s="70">
        <f>数据基表!E124</f>
        <v>1048</v>
      </c>
      <c r="G30" s="67">
        <f>E30/F30</f>
        <v>11.9103053435114</v>
      </c>
      <c r="H30" s="67">
        <f>40000-E30</f>
        <v>27518</v>
      </c>
      <c r="I30" s="71">
        <f>数据基表!G124</f>
        <v>0</v>
      </c>
      <c r="J30" s="70">
        <f>数据基表!H124</f>
        <v>0</v>
      </c>
      <c r="K30" s="68"/>
      <c r="L30" s="71">
        <f>数据基表!J124</f>
        <v>5409</v>
      </c>
      <c r="M30" s="70">
        <f>数据基表!K124</f>
        <v>569</v>
      </c>
      <c r="N30" s="67">
        <f>L30/M30</f>
        <v>9.50615114235501</v>
      </c>
      <c r="O30" s="67">
        <f>20000-I30-L30</f>
        <v>14591</v>
      </c>
      <c r="P30" s="70">
        <f t="shared" si="6"/>
        <v>17891</v>
      </c>
      <c r="Q30" s="70">
        <f t="shared" si="7"/>
        <v>1617</v>
      </c>
      <c r="R30" s="390">
        <f t="shared" si="8"/>
        <v>11.0643166357452</v>
      </c>
      <c r="S30" s="390">
        <f>60000-P30</f>
        <v>42109</v>
      </c>
    </row>
    <row r="31" hidden="1" spans="1:19">
      <c r="A31" s="72"/>
      <c r="B31" s="73"/>
      <c r="C31" s="77" t="s">
        <v>104</v>
      </c>
      <c r="D31" s="66" t="s">
        <v>387</v>
      </c>
      <c r="E31" s="70"/>
      <c r="F31" s="70"/>
      <c r="G31" s="67"/>
      <c r="H31" s="67"/>
      <c r="I31" s="71">
        <f>数据基表!G125</f>
        <v>0</v>
      </c>
      <c r="J31" s="70">
        <f>数据基表!H125</f>
        <v>0</v>
      </c>
      <c r="K31" s="68"/>
      <c r="L31" s="71">
        <f>数据基表!J125</f>
        <v>0</v>
      </c>
      <c r="M31" s="70">
        <f>数据基表!K125</f>
        <v>0</v>
      </c>
      <c r="N31" s="67"/>
      <c r="O31" s="67"/>
      <c r="P31" s="70"/>
      <c r="Q31" s="70"/>
      <c r="R31" s="390"/>
      <c r="S31" s="390"/>
    </row>
    <row r="32" hidden="1" spans="1:19">
      <c r="A32" s="72"/>
      <c r="B32" s="73"/>
      <c r="C32" s="77" t="s">
        <v>103</v>
      </c>
      <c r="D32" s="66" t="s">
        <v>387</v>
      </c>
      <c r="E32" s="70"/>
      <c r="F32" s="70"/>
      <c r="G32" s="67"/>
      <c r="H32" s="67">
        <f>20000-E32</f>
        <v>20000</v>
      </c>
      <c r="I32" s="71">
        <f>数据基表!G126</f>
        <v>0</v>
      </c>
      <c r="J32" s="70">
        <f>数据基表!H126</f>
        <v>0</v>
      </c>
      <c r="K32" s="68"/>
      <c r="L32" s="71">
        <f>数据基表!J126</f>
        <v>4303.23</v>
      </c>
      <c r="M32" s="70">
        <f>数据基表!K126</f>
        <v>1281</v>
      </c>
      <c r="N32" s="67"/>
      <c r="O32" s="67">
        <f>2000-I32-L32</f>
        <v>-2303.23</v>
      </c>
      <c r="P32" s="70">
        <f t="shared" si="6"/>
        <v>4303.23</v>
      </c>
      <c r="Q32" s="70">
        <f t="shared" si="7"/>
        <v>1281</v>
      </c>
      <c r="R32" s="390"/>
      <c r="S32" s="390">
        <f>22000-P32</f>
        <v>17696.77</v>
      </c>
    </row>
    <row r="33" ht="22" customHeight="1" spans="1:19">
      <c r="A33" s="72"/>
      <c r="B33" s="73"/>
      <c r="C33" s="375" t="s">
        <v>99</v>
      </c>
      <c r="D33" s="66" t="s">
        <v>380</v>
      </c>
      <c r="E33" s="70"/>
      <c r="F33" s="70"/>
      <c r="G33" s="70"/>
      <c r="H33" s="70"/>
      <c r="I33" s="71">
        <f>数据基表!G127</f>
        <v>23304.15</v>
      </c>
      <c r="J33" s="70">
        <f>数据基表!H127</f>
        <v>2706.1</v>
      </c>
      <c r="K33" s="68">
        <f>I33/J33</f>
        <v>8.61171057980119</v>
      </c>
      <c r="L33" s="71">
        <f>数据基表!J127</f>
        <v>8376.59</v>
      </c>
      <c r="M33" s="70">
        <f>数据基表!K127</f>
        <v>1179.8</v>
      </c>
      <c r="N33" s="67">
        <f>L33/M33</f>
        <v>7.10000847601288</v>
      </c>
      <c r="O33" s="67"/>
      <c r="P33" s="70">
        <f>L33+I33</f>
        <v>31680.74</v>
      </c>
      <c r="Q33" s="70">
        <f>M33+J33</f>
        <v>3885.9</v>
      </c>
      <c r="R33" s="390">
        <f t="shared" si="8"/>
        <v>8.15274196453846</v>
      </c>
      <c r="S33" s="390"/>
    </row>
    <row r="34" ht="1" hidden="1" customHeight="1" spans="1:19">
      <c r="A34" s="65"/>
      <c r="B34" s="73"/>
      <c r="C34" s="375" t="s">
        <v>396</v>
      </c>
      <c r="D34" s="66" t="s">
        <v>387</v>
      </c>
      <c r="E34" s="70"/>
      <c r="F34" s="70"/>
      <c r="G34" s="67"/>
      <c r="H34" s="67"/>
      <c r="I34" s="71"/>
      <c r="J34" s="70"/>
      <c r="K34" s="67"/>
      <c r="L34" s="71"/>
      <c r="M34" s="70"/>
      <c r="N34" s="67"/>
      <c r="O34" s="67"/>
      <c r="P34" s="70"/>
      <c r="Q34" s="70"/>
      <c r="R34" s="390"/>
      <c r="S34" s="390"/>
    </row>
    <row r="35" spans="1:19">
      <c r="A35" s="76">
        <v>7</v>
      </c>
      <c r="B35" s="77" t="s">
        <v>374</v>
      </c>
      <c r="C35" s="77"/>
      <c r="D35" s="66"/>
      <c r="E35" s="70">
        <f>E36</f>
        <v>1000</v>
      </c>
      <c r="F35" s="70">
        <f>F36</f>
        <v>700</v>
      </c>
      <c r="G35" s="67">
        <f>E35/F35</f>
        <v>1.42857142857143</v>
      </c>
      <c r="H35" s="67">
        <f>17000-E35</f>
        <v>16000</v>
      </c>
      <c r="I35" s="71"/>
      <c r="J35" s="70"/>
      <c r="K35" s="67"/>
      <c r="L35" s="71"/>
      <c r="M35" s="70"/>
      <c r="N35" s="67"/>
      <c r="O35" s="67"/>
      <c r="P35" s="70">
        <f t="shared" si="6"/>
        <v>1000</v>
      </c>
      <c r="Q35" s="70">
        <f t="shared" si="7"/>
        <v>700</v>
      </c>
      <c r="R35" s="390">
        <f t="shared" si="8"/>
        <v>1.42857142857143</v>
      </c>
      <c r="S35" s="390">
        <f>17000-P35</f>
        <v>16000</v>
      </c>
    </row>
    <row r="36" ht="37" customHeight="1" spans="1:19">
      <c r="A36" s="76"/>
      <c r="B36" s="73" t="s">
        <v>397</v>
      </c>
      <c r="C36" s="77" t="s">
        <v>84</v>
      </c>
      <c r="D36" s="66" t="s">
        <v>380</v>
      </c>
      <c r="E36" s="70">
        <f>数据基表!A209</f>
        <v>1000</v>
      </c>
      <c r="F36" s="70">
        <f>数据基表!B209</f>
        <v>700</v>
      </c>
      <c r="G36" s="67">
        <f>E36/F36</f>
        <v>1.42857142857143</v>
      </c>
      <c r="H36" s="67">
        <f>17000-E36</f>
        <v>16000</v>
      </c>
      <c r="I36" s="68">
        <f>数据基表!C209</f>
        <v>2550</v>
      </c>
      <c r="J36" s="67"/>
      <c r="K36" s="67"/>
      <c r="L36" s="71">
        <f>数据基表!D209</f>
        <v>2550</v>
      </c>
      <c r="M36" s="70"/>
      <c r="N36" s="67"/>
      <c r="O36" s="67"/>
      <c r="P36" s="70">
        <f t="shared" si="6"/>
        <v>6100</v>
      </c>
      <c r="Q36" s="70">
        <f t="shared" si="7"/>
        <v>700</v>
      </c>
      <c r="R36" s="390">
        <f t="shared" si="8"/>
        <v>8.71428571428571</v>
      </c>
      <c r="S36" s="390">
        <f>17000-P36</f>
        <v>10900</v>
      </c>
    </row>
    <row r="37" hidden="1" spans="1:19">
      <c r="A37" s="76"/>
      <c r="B37" s="73"/>
      <c r="C37" s="77" t="s">
        <v>398</v>
      </c>
      <c r="D37" s="66" t="s">
        <v>399</v>
      </c>
      <c r="E37" s="70"/>
      <c r="F37" s="70"/>
      <c r="G37" s="67"/>
      <c r="H37" s="67"/>
      <c r="I37" s="71"/>
      <c r="J37" s="70"/>
      <c r="K37" s="67"/>
      <c r="L37" s="71"/>
      <c r="M37" s="70"/>
      <c r="N37" s="67"/>
      <c r="O37" s="67"/>
      <c r="P37" s="70">
        <f t="shared" si="6"/>
        <v>0</v>
      </c>
      <c r="Q37" s="70">
        <f t="shared" si="7"/>
        <v>0</v>
      </c>
      <c r="R37" s="390"/>
      <c r="S37" s="390"/>
    </row>
    <row r="38" spans="1:19">
      <c r="A38" s="69">
        <v>8</v>
      </c>
      <c r="B38" s="77" t="s">
        <v>374</v>
      </c>
      <c r="C38" s="77"/>
      <c r="D38" s="66"/>
      <c r="E38" s="70">
        <f>E39+E40+E41</f>
        <v>42283</v>
      </c>
      <c r="F38" s="70">
        <f>F39+F40+F41</f>
        <v>663</v>
      </c>
      <c r="G38" s="67">
        <f t="shared" ref="G38:G40" si="9">E38/F38</f>
        <v>63.7752639517345</v>
      </c>
      <c r="H38" s="67">
        <f>55000-E38</f>
        <v>12717</v>
      </c>
      <c r="I38" s="71">
        <f>I39+I40+I41</f>
        <v>90527</v>
      </c>
      <c r="J38" s="70">
        <f>J39+J40+J41</f>
        <v>4635</v>
      </c>
      <c r="K38" s="67">
        <f t="shared" ref="K38:K48" si="10">I38/J38</f>
        <v>19.5311758360302</v>
      </c>
      <c r="L38" s="71">
        <f>SUM(L39:L41)</f>
        <v>43331</v>
      </c>
      <c r="M38" s="70">
        <f>M39+M40+M41</f>
        <v>1730</v>
      </c>
      <c r="N38" s="67">
        <f>L38/M38</f>
        <v>25.0468208092486</v>
      </c>
      <c r="O38" s="67">
        <f>85000-I39-I40-L39-L40</f>
        <v>-11911</v>
      </c>
      <c r="P38" s="70">
        <f t="shared" si="6"/>
        <v>176141</v>
      </c>
      <c r="Q38" s="70">
        <f t="shared" si="7"/>
        <v>7028</v>
      </c>
      <c r="R38" s="390">
        <f t="shared" si="8"/>
        <v>25.0627490039841</v>
      </c>
      <c r="S38" s="390">
        <f>S39+S40</f>
        <v>806</v>
      </c>
    </row>
    <row r="39" spans="1:19">
      <c r="A39" s="72"/>
      <c r="B39" s="73" t="s">
        <v>400</v>
      </c>
      <c r="C39" s="77" t="s">
        <v>84</v>
      </c>
      <c r="D39" s="66" t="s">
        <v>380</v>
      </c>
      <c r="E39" s="70">
        <f>数据基表!D149</f>
        <v>15367</v>
      </c>
      <c r="F39" s="70">
        <f>数据基表!E149</f>
        <v>663</v>
      </c>
      <c r="G39" s="67">
        <f t="shared" si="9"/>
        <v>23.1779788838612</v>
      </c>
      <c r="H39" s="67">
        <f>25000-E39</f>
        <v>9633</v>
      </c>
      <c r="I39" s="71">
        <f>数据基表!G149</f>
        <v>46290</v>
      </c>
      <c r="J39" s="70">
        <f>数据基表!H149</f>
        <v>3248</v>
      </c>
      <c r="K39" s="67">
        <f t="shared" si="10"/>
        <v>14.2518472906404</v>
      </c>
      <c r="L39" s="71">
        <f>数据基表!J149</f>
        <v>36618</v>
      </c>
      <c r="M39" s="70">
        <f>数据基表!K149</f>
        <v>1362</v>
      </c>
      <c r="N39" s="67">
        <f>L39/M39</f>
        <v>26.8854625550661</v>
      </c>
      <c r="O39" s="67">
        <f>70000-I39-L39</f>
        <v>-12908</v>
      </c>
      <c r="P39" s="70">
        <f t="shared" si="6"/>
        <v>98275</v>
      </c>
      <c r="Q39" s="70">
        <f t="shared" si="7"/>
        <v>5273</v>
      </c>
      <c r="R39" s="390">
        <f t="shared" si="8"/>
        <v>18.6373980656173</v>
      </c>
      <c r="S39" s="390">
        <f>95000-P39</f>
        <v>-3275</v>
      </c>
    </row>
    <row r="40" spans="1:19">
      <c r="A40" s="72"/>
      <c r="B40" s="73"/>
      <c r="C40" s="77" t="s">
        <v>401</v>
      </c>
      <c r="D40" s="66" t="s">
        <v>119</v>
      </c>
      <c r="E40" s="70">
        <f>数据基表!D150</f>
        <v>26916</v>
      </c>
      <c r="F40" s="70">
        <f>数据基表!E150</f>
        <v>0</v>
      </c>
      <c r="G40" s="67" t="e">
        <f t="shared" si="9"/>
        <v>#DIV/0!</v>
      </c>
      <c r="H40" s="67">
        <f>30000-E40</f>
        <v>3084</v>
      </c>
      <c r="I40" s="71">
        <f>数据基表!G150</f>
        <v>7290</v>
      </c>
      <c r="J40" s="70">
        <f>数据基表!H150</f>
        <v>0</v>
      </c>
      <c r="K40" s="67" t="e">
        <f t="shared" si="10"/>
        <v>#DIV/0!</v>
      </c>
      <c r="L40" s="71">
        <f>数据基表!J150</f>
        <v>6713</v>
      </c>
      <c r="M40" s="70">
        <f>数据基表!K150</f>
        <v>368</v>
      </c>
      <c r="N40" s="67">
        <f>L40/M40</f>
        <v>18.241847826087</v>
      </c>
      <c r="O40" s="67">
        <f>15000-I40-L40</f>
        <v>997</v>
      </c>
      <c r="P40" s="70">
        <f t="shared" si="6"/>
        <v>40919</v>
      </c>
      <c r="Q40" s="70">
        <f t="shared" si="7"/>
        <v>368</v>
      </c>
      <c r="R40" s="390">
        <f t="shared" si="8"/>
        <v>111.192934782609</v>
      </c>
      <c r="S40" s="390">
        <f>45000-P40</f>
        <v>4081</v>
      </c>
    </row>
    <row r="41" spans="1:19">
      <c r="A41" s="65"/>
      <c r="B41" s="73"/>
      <c r="C41" s="77" t="s">
        <v>402</v>
      </c>
      <c r="D41" s="66" t="s">
        <v>403</v>
      </c>
      <c r="E41" s="70">
        <f>数据基表!D151</f>
        <v>0</v>
      </c>
      <c r="F41" s="70">
        <f>数据基表!E151</f>
        <v>0</v>
      </c>
      <c r="G41" s="67"/>
      <c r="H41" s="67"/>
      <c r="I41" s="71">
        <f>数据基表!G151</f>
        <v>36947</v>
      </c>
      <c r="J41" s="70">
        <f>数据基表!H151</f>
        <v>1387</v>
      </c>
      <c r="K41" s="67">
        <f t="shared" si="10"/>
        <v>26.6380677721702</v>
      </c>
      <c r="L41" s="71"/>
      <c r="M41" s="70"/>
      <c r="N41" s="67"/>
      <c r="O41" s="67"/>
      <c r="P41" s="70">
        <f t="shared" si="6"/>
        <v>36947</v>
      </c>
      <c r="Q41" s="70">
        <f t="shared" si="7"/>
        <v>1387</v>
      </c>
      <c r="R41" s="390">
        <f t="shared" si="8"/>
        <v>26.6380677721702</v>
      </c>
      <c r="S41" s="390"/>
    </row>
    <row r="42" spans="1:19">
      <c r="A42" s="76">
        <v>9</v>
      </c>
      <c r="B42" s="77" t="s">
        <v>374</v>
      </c>
      <c r="C42" s="77"/>
      <c r="D42" s="66"/>
      <c r="E42" s="70">
        <f>SUM(E43+E44+E45+E46)</f>
        <v>23240</v>
      </c>
      <c r="F42" s="70">
        <f>SUM(F43+F44+F45+F46)</f>
        <v>2448</v>
      </c>
      <c r="G42" s="67">
        <f>E42/F42</f>
        <v>9.49346405228758</v>
      </c>
      <c r="H42" s="67">
        <f>40000-E42</f>
        <v>16760</v>
      </c>
      <c r="I42" s="71">
        <f>SUM(I43:I46)</f>
        <v>70024</v>
      </c>
      <c r="J42" s="70">
        <f>SUM(J43:J46)</f>
        <v>4919</v>
      </c>
      <c r="K42" s="67">
        <f t="shared" si="10"/>
        <v>14.2354137019719</v>
      </c>
      <c r="L42" s="71">
        <f>SUM(L43:L46)</f>
        <v>15558</v>
      </c>
      <c r="M42" s="70">
        <f>M43+M46</f>
        <v>1060</v>
      </c>
      <c r="N42" s="67">
        <f>L42/M42</f>
        <v>14.677358490566</v>
      </c>
      <c r="O42" s="67">
        <f>50000-I42-L42</f>
        <v>-35582</v>
      </c>
      <c r="P42" s="70">
        <f>L42+I42+E42</f>
        <v>108822</v>
      </c>
      <c r="Q42" s="70">
        <f>M42+J42+F42</f>
        <v>8427</v>
      </c>
      <c r="R42" s="390">
        <f t="shared" si="8"/>
        <v>12.9134923460306</v>
      </c>
      <c r="S42" s="390">
        <f>90000-P42</f>
        <v>-18822</v>
      </c>
    </row>
    <row r="43" spans="1:19">
      <c r="A43" s="76"/>
      <c r="B43" s="376" t="s">
        <v>404</v>
      </c>
      <c r="C43" s="77" t="s">
        <v>405</v>
      </c>
      <c r="D43" s="66" t="s">
        <v>380</v>
      </c>
      <c r="E43" s="70">
        <f>数据基表!C173</f>
        <v>23240</v>
      </c>
      <c r="F43" s="70">
        <f>数据基表!D173</f>
        <v>2448</v>
      </c>
      <c r="G43" s="67">
        <f>E43/F43</f>
        <v>9.49346405228758</v>
      </c>
      <c r="H43" s="67">
        <f>40000-E43</f>
        <v>16760</v>
      </c>
      <c r="I43" s="71">
        <f>数据基表!F173+数据基表!F174</f>
        <v>31325</v>
      </c>
      <c r="J43" s="70">
        <f>数据基表!G174+数据基表!G173</f>
        <v>1738</v>
      </c>
      <c r="K43" s="67">
        <f t="shared" si="10"/>
        <v>18.0235903337169</v>
      </c>
      <c r="L43" s="71">
        <f>数据基表!I173</f>
        <v>7813</v>
      </c>
      <c r="M43" s="70">
        <f>数据基表!J173</f>
        <v>306</v>
      </c>
      <c r="N43" s="67">
        <f>L43/M43</f>
        <v>25.5326797385621</v>
      </c>
      <c r="O43" s="67">
        <f>50000-I43-L43</f>
        <v>10862</v>
      </c>
      <c r="P43" s="70">
        <f>L43+I43+E43</f>
        <v>62378</v>
      </c>
      <c r="Q43" s="70">
        <f>M43+J43+F43</f>
        <v>4492</v>
      </c>
      <c r="R43" s="390">
        <f t="shared" si="8"/>
        <v>13.886464826358</v>
      </c>
      <c r="S43" s="390">
        <f>90000-P43</f>
        <v>27622</v>
      </c>
    </row>
    <row r="44" hidden="1" spans="1:19">
      <c r="A44" s="76"/>
      <c r="B44" s="376"/>
      <c r="C44" s="77" t="s">
        <v>406</v>
      </c>
      <c r="D44" s="66" t="s">
        <v>387</v>
      </c>
      <c r="E44" s="70"/>
      <c r="F44" s="70"/>
      <c r="G44" s="67"/>
      <c r="H44" s="67"/>
      <c r="I44" s="71"/>
      <c r="J44" s="70"/>
      <c r="K44" s="67" t="e">
        <f t="shared" si="10"/>
        <v>#DIV/0!</v>
      </c>
      <c r="L44" s="71"/>
      <c r="M44" s="70"/>
      <c r="N44" s="67" t="e">
        <f>L44/M44</f>
        <v>#DIV/0!</v>
      </c>
      <c r="O44" s="67"/>
      <c r="P44" s="70">
        <f>I44</f>
        <v>0</v>
      </c>
      <c r="Q44" s="70"/>
      <c r="R44" s="390"/>
      <c r="S44" s="390"/>
    </row>
    <row r="45" hidden="1" spans="1:19">
      <c r="A45" s="76"/>
      <c r="B45" s="376"/>
      <c r="C45" s="77" t="s">
        <v>407</v>
      </c>
      <c r="D45" s="66" t="s">
        <v>387</v>
      </c>
      <c r="E45" s="70"/>
      <c r="F45" s="70"/>
      <c r="G45" s="67"/>
      <c r="H45" s="67"/>
      <c r="I45" s="71"/>
      <c r="J45" s="70"/>
      <c r="K45" s="67" t="e">
        <f t="shared" si="10"/>
        <v>#DIV/0!</v>
      </c>
      <c r="L45" s="71"/>
      <c r="M45" s="70"/>
      <c r="N45" s="67" t="e">
        <f>L45/M45</f>
        <v>#DIV/0!</v>
      </c>
      <c r="O45" s="67"/>
      <c r="P45" s="70">
        <f>I45+L45</f>
        <v>0</v>
      </c>
      <c r="Q45" s="70"/>
      <c r="R45" s="390"/>
      <c r="S45" s="390"/>
    </row>
    <row r="46" ht="16" customHeight="1" spans="1:19">
      <c r="A46" s="76"/>
      <c r="B46" s="376"/>
      <c r="C46" s="77" t="s">
        <v>408</v>
      </c>
      <c r="D46" s="66" t="s">
        <v>380</v>
      </c>
      <c r="E46" s="70"/>
      <c r="F46" s="70"/>
      <c r="G46" s="67"/>
      <c r="H46" s="67"/>
      <c r="I46" s="71">
        <f>数据基表!F175</f>
        <v>38699</v>
      </c>
      <c r="J46" s="70">
        <f>数据基表!G175</f>
        <v>3181</v>
      </c>
      <c r="K46" s="67">
        <f t="shared" si="10"/>
        <v>12.1656711725872</v>
      </c>
      <c r="L46" s="71">
        <f>数据基表!I175</f>
        <v>7745</v>
      </c>
      <c r="M46" s="70">
        <f>数据基表!J175</f>
        <v>754</v>
      </c>
      <c r="N46" s="67">
        <f>L46/M46</f>
        <v>10.2718832891247</v>
      </c>
      <c r="O46" s="67"/>
      <c r="P46" s="70">
        <f>L46+I46</f>
        <v>46444</v>
      </c>
      <c r="Q46" s="70">
        <f>M46+J46</f>
        <v>3935</v>
      </c>
      <c r="R46" s="390">
        <f>P46/Q46</f>
        <v>11.8027954256671</v>
      </c>
      <c r="S46" s="390"/>
    </row>
    <row r="47" spans="1:19">
      <c r="A47" s="69">
        <v>10</v>
      </c>
      <c r="B47" s="77" t="s">
        <v>374</v>
      </c>
      <c r="C47" s="77"/>
      <c r="D47" s="92"/>
      <c r="E47" s="70"/>
      <c r="F47" s="70"/>
      <c r="G47" s="67"/>
      <c r="H47" s="67"/>
      <c r="I47" s="90">
        <f>I48+I49</f>
        <v>59860.207</v>
      </c>
      <c r="J47" s="91">
        <f>J48+J49</f>
        <v>4585.69</v>
      </c>
      <c r="K47" s="91">
        <f t="shared" si="10"/>
        <v>13.0536968264318</v>
      </c>
      <c r="L47" s="91">
        <f>L48+L49</f>
        <v>49813.827</v>
      </c>
      <c r="M47" s="91">
        <f>M48+M49</f>
        <v>5193.62</v>
      </c>
      <c r="N47" s="67">
        <f>数据基表!L190</f>
        <v>15</v>
      </c>
      <c r="O47" s="67">
        <f>150000-I47-L47</f>
        <v>40325.966</v>
      </c>
      <c r="P47" s="70">
        <f t="shared" si="6"/>
        <v>109674.034</v>
      </c>
      <c r="Q47" s="70">
        <f t="shared" si="7"/>
        <v>9779.31</v>
      </c>
      <c r="R47" s="390">
        <f t="shared" si="8"/>
        <v>11.2149051415693</v>
      </c>
      <c r="S47" s="390">
        <f>150000-P47</f>
        <v>40325.966</v>
      </c>
    </row>
    <row r="48" ht="29" customHeight="1" spans="1:19">
      <c r="A48" s="72"/>
      <c r="B48" s="73" t="s">
        <v>409</v>
      </c>
      <c r="C48" s="74" t="s">
        <v>410</v>
      </c>
      <c r="D48" s="66" t="s">
        <v>380</v>
      </c>
      <c r="E48" s="91"/>
      <c r="F48" s="91"/>
      <c r="G48" s="67"/>
      <c r="H48" s="67"/>
      <c r="I48" s="90">
        <f>表二!R35</f>
        <v>59860.207</v>
      </c>
      <c r="J48" s="91">
        <f>表二!S35</f>
        <v>4585.69</v>
      </c>
      <c r="K48" s="67">
        <f t="shared" si="10"/>
        <v>13.0536968264318</v>
      </c>
      <c r="L48" s="90">
        <f>数据基表!J190</f>
        <v>49813.827</v>
      </c>
      <c r="M48" s="90">
        <f>数据基表!K190</f>
        <v>5193.62</v>
      </c>
      <c r="N48" s="67">
        <f>L48/M48</f>
        <v>9.59134996399428</v>
      </c>
      <c r="O48" s="67">
        <f>150000-I48-L48</f>
        <v>40325.966</v>
      </c>
      <c r="P48" s="70">
        <f t="shared" si="6"/>
        <v>109674.034</v>
      </c>
      <c r="Q48" s="70">
        <f t="shared" si="7"/>
        <v>9779.31</v>
      </c>
      <c r="R48" s="390">
        <f t="shared" si="8"/>
        <v>11.2149051415693</v>
      </c>
      <c r="S48" s="390">
        <f>150000-P48</f>
        <v>40325.966</v>
      </c>
    </row>
    <row r="49" ht="17" hidden="1" customHeight="1" spans="1:19">
      <c r="A49" s="65"/>
      <c r="B49" s="73"/>
      <c r="C49" s="74" t="s">
        <v>411</v>
      </c>
      <c r="D49" s="66" t="s">
        <v>387</v>
      </c>
      <c r="E49" s="91"/>
      <c r="F49" s="91"/>
      <c r="G49" s="67"/>
      <c r="H49" s="67"/>
      <c r="I49" s="90"/>
      <c r="J49" s="91"/>
      <c r="K49" s="67"/>
      <c r="L49" s="90"/>
      <c r="M49" s="91"/>
      <c r="N49" s="67"/>
      <c r="O49" s="67"/>
      <c r="P49" s="70"/>
      <c r="Q49" s="70"/>
      <c r="R49" s="390"/>
      <c r="S49" s="390"/>
    </row>
    <row r="50" spans="1:19">
      <c r="A50" s="76">
        <v>11</v>
      </c>
      <c r="B50" s="77" t="s">
        <v>412</v>
      </c>
      <c r="C50" s="77"/>
      <c r="D50" s="66" t="s">
        <v>413</v>
      </c>
      <c r="E50" s="91"/>
      <c r="F50" s="91"/>
      <c r="G50" s="67"/>
      <c r="H50" s="67"/>
      <c r="I50" s="90"/>
      <c r="J50" s="91"/>
      <c r="K50" s="67"/>
      <c r="L50" s="90"/>
      <c r="M50" s="91"/>
      <c r="N50" s="67"/>
      <c r="O50" s="67">
        <f>20000-I50-L50</f>
        <v>20000</v>
      </c>
      <c r="P50" s="70"/>
      <c r="Q50" s="70"/>
      <c r="R50" s="390"/>
      <c r="S50" s="390">
        <f>35000-P50</f>
        <v>35000</v>
      </c>
    </row>
    <row r="51" spans="1:19">
      <c r="A51" s="76">
        <v>12</v>
      </c>
      <c r="B51" s="77" t="s">
        <v>414</v>
      </c>
      <c r="C51" s="77"/>
      <c r="D51" s="66" t="s">
        <v>380</v>
      </c>
      <c r="E51" s="91">
        <f>数据基表!D245</f>
        <v>17040</v>
      </c>
      <c r="F51" s="91">
        <f>数据基表!E245</f>
        <v>1088</v>
      </c>
      <c r="G51" s="67">
        <f>E51/F51</f>
        <v>15.6617647058824</v>
      </c>
      <c r="H51" s="67">
        <f>35000-E51</f>
        <v>17960</v>
      </c>
      <c r="I51" s="90"/>
      <c r="J51" s="91"/>
      <c r="K51" s="67"/>
      <c r="L51" s="90">
        <f>数据基表!J245</f>
        <v>8486</v>
      </c>
      <c r="M51" s="91">
        <f>数据基表!K245</f>
        <v>375</v>
      </c>
      <c r="N51" s="67">
        <f t="shared" ref="N51:N56" si="11">L51/M51</f>
        <v>22.6293333333333</v>
      </c>
      <c r="O51" s="67">
        <f>5000-I51-L51</f>
        <v>-3486</v>
      </c>
      <c r="P51" s="70">
        <f t="shared" si="6"/>
        <v>25526</v>
      </c>
      <c r="Q51" s="70">
        <f t="shared" si="7"/>
        <v>1463</v>
      </c>
      <c r="R51" s="390">
        <f t="shared" si="8"/>
        <v>17.4477101845523</v>
      </c>
      <c r="S51" s="390">
        <f>40000-P51</f>
        <v>14474</v>
      </c>
    </row>
    <row r="52" s="262" customFormat="1" spans="1:19">
      <c r="A52" s="76">
        <v>13</v>
      </c>
      <c r="B52" s="77" t="s">
        <v>415</v>
      </c>
      <c r="C52" s="77"/>
      <c r="D52" s="66" t="s">
        <v>380</v>
      </c>
      <c r="E52" s="90">
        <f>数据基表!D259</f>
        <v>8474.81</v>
      </c>
      <c r="F52" s="90">
        <f>数据基表!E260</f>
        <v>1470.65</v>
      </c>
      <c r="G52" s="68">
        <f>E52/F52</f>
        <v>5.76262876959168</v>
      </c>
      <c r="H52" s="68">
        <f>12000-E52</f>
        <v>3525.19</v>
      </c>
      <c r="I52" s="90">
        <v>0</v>
      </c>
      <c r="J52" s="90">
        <v>0</v>
      </c>
      <c r="K52" s="68"/>
      <c r="L52" s="90">
        <f>数据基表!J260</f>
        <v>1692.56</v>
      </c>
      <c r="M52" s="90">
        <f>数据基表!K260</f>
        <v>226</v>
      </c>
      <c r="N52" s="68">
        <f t="shared" si="11"/>
        <v>7.48920353982301</v>
      </c>
      <c r="O52" s="67">
        <f>2000-I52-L52</f>
        <v>307.44</v>
      </c>
      <c r="P52" s="71">
        <f t="shared" si="6"/>
        <v>10167.37</v>
      </c>
      <c r="Q52" s="71">
        <f t="shared" si="7"/>
        <v>1696.65</v>
      </c>
      <c r="R52" s="128">
        <f t="shared" si="8"/>
        <v>5.99261485869213</v>
      </c>
      <c r="S52" s="390">
        <f>14000-P52</f>
        <v>3832.63</v>
      </c>
    </row>
    <row r="53" spans="1:19">
      <c r="A53" s="76">
        <v>14</v>
      </c>
      <c r="B53" s="77" t="s">
        <v>416</v>
      </c>
      <c r="C53" s="77"/>
      <c r="D53" s="66" t="s">
        <v>380</v>
      </c>
      <c r="E53" s="91">
        <f>数据基表!AH270</f>
        <v>5331.08</v>
      </c>
      <c r="F53" s="91">
        <f>数据基表!AI270</f>
        <v>2563.9</v>
      </c>
      <c r="G53" s="67">
        <f>E53/F53</f>
        <v>2.07928546355162</v>
      </c>
      <c r="H53" s="67">
        <f>28000-E53</f>
        <v>22668.92</v>
      </c>
      <c r="I53" s="90">
        <v>0</v>
      </c>
      <c r="J53" s="91">
        <v>0</v>
      </c>
      <c r="K53" s="67"/>
      <c r="L53" s="90">
        <f>数据基表!AL270</f>
        <v>2105.42</v>
      </c>
      <c r="M53" s="91">
        <f>数据基表!AM270</f>
        <v>916.57</v>
      </c>
      <c r="N53" s="67">
        <f t="shared" si="11"/>
        <v>2.29706405402752</v>
      </c>
      <c r="O53" s="67">
        <f>6000-I53-L53</f>
        <v>3894.58</v>
      </c>
      <c r="P53" s="70">
        <f t="shared" si="6"/>
        <v>7436.5</v>
      </c>
      <c r="Q53" s="70">
        <f t="shared" si="7"/>
        <v>3480.47</v>
      </c>
      <c r="R53" s="390">
        <f t="shared" si="8"/>
        <v>2.1366367186041</v>
      </c>
      <c r="S53" s="390">
        <f>34000-P53</f>
        <v>26563.5</v>
      </c>
    </row>
    <row r="54" s="262" customFormat="1" spans="1:19">
      <c r="A54" s="76">
        <v>15</v>
      </c>
      <c r="B54" s="377" t="s">
        <v>417</v>
      </c>
      <c r="C54" s="377"/>
      <c r="D54" s="66" t="s">
        <v>119</v>
      </c>
      <c r="E54" s="91"/>
      <c r="F54" s="90"/>
      <c r="G54" s="68"/>
      <c r="H54" s="68"/>
      <c r="I54" s="90">
        <f>数据基表!G226</f>
        <v>9700</v>
      </c>
      <c r="J54" s="90">
        <f>数据基表!H226</f>
        <v>1768</v>
      </c>
      <c r="K54" s="68">
        <f>I54/J54</f>
        <v>5.48642533936652</v>
      </c>
      <c r="L54" s="90">
        <f>数据基表!J226</f>
        <v>3000</v>
      </c>
      <c r="M54" s="90">
        <f>数据基表!K226</f>
        <v>668</v>
      </c>
      <c r="N54" s="68">
        <f t="shared" si="11"/>
        <v>4.49101796407186</v>
      </c>
      <c r="O54" s="67">
        <f>15000-I54-L54</f>
        <v>2300</v>
      </c>
      <c r="P54" s="71">
        <f t="shared" si="6"/>
        <v>12700</v>
      </c>
      <c r="Q54" s="71">
        <f t="shared" si="7"/>
        <v>2436</v>
      </c>
      <c r="R54" s="128">
        <f t="shared" si="8"/>
        <v>5.21346469622332</v>
      </c>
      <c r="S54" s="390">
        <f>15000-P54</f>
        <v>2300</v>
      </c>
    </row>
    <row r="55" spans="1:19">
      <c r="A55" s="76">
        <v>16</v>
      </c>
      <c r="B55" s="92" t="s">
        <v>418</v>
      </c>
      <c r="C55" s="92"/>
      <c r="D55" s="66" t="s">
        <v>380</v>
      </c>
      <c r="E55" s="91">
        <f>数据基表!AH280</f>
        <v>24120.307</v>
      </c>
      <c r="F55" s="91">
        <f>数据基表!AI280</f>
        <v>2992.44</v>
      </c>
      <c r="G55" s="93">
        <f>E55/F55</f>
        <v>8.06041457807007</v>
      </c>
      <c r="H55" s="93">
        <f>25000-E55</f>
        <v>879.692999999999</v>
      </c>
      <c r="I55" s="140">
        <f>数据基表!AJ280</f>
        <v>0</v>
      </c>
      <c r="J55" s="383">
        <v>0</v>
      </c>
      <c r="K55" s="68">
        <v>0</v>
      </c>
      <c r="L55" s="90">
        <f>数据基表!AL280</f>
        <v>8997.7500000001</v>
      </c>
      <c r="M55" s="91">
        <f>数据基表!AM280</f>
        <v>1901.6</v>
      </c>
      <c r="N55" s="93">
        <f t="shared" si="11"/>
        <v>4.73167332772407</v>
      </c>
      <c r="O55" s="67">
        <f>15000-I55-L55</f>
        <v>6002.2499999999</v>
      </c>
      <c r="P55" s="383">
        <f t="shared" si="6"/>
        <v>33118.0570000001</v>
      </c>
      <c r="Q55" s="383">
        <f t="shared" si="7"/>
        <v>4894.04</v>
      </c>
      <c r="R55" s="392">
        <f t="shared" si="8"/>
        <v>6.76701804644018</v>
      </c>
      <c r="S55" s="390">
        <f>40000-P55</f>
        <v>6881.9429999999</v>
      </c>
    </row>
    <row r="56" spans="1:19">
      <c r="A56" s="76">
        <v>17</v>
      </c>
      <c r="B56" s="92" t="s">
        <v>419</v>
      </c>
      <c r="C56" s="92"/>
      <c r="D56" s="66" t="s">
        <v>378</v>
      </c>
      <c r="E56" s="91"/>
      <c r="F56" s="91"/>
      <c r="G56" s="93"/>
      <c r="H56" s="93"/>
      <c r="I56" s="140">
        <f>数据基表!U295</f>
        <v>59225.23</v>
      </c>
      <c r="J56" s="383">
        <f>数据基表!V295</f>
        <v>0</v>
      </c>
      <c r="K56" s="68" t="e">
        <f>I56/J56</f>
        <v>#DIV/0!</v>
      </c>
      <c r="L56" s="90">
        <f>数据基表!S295</f>
        <v>13612.6</v>
      </c>
      <c r="M56" s="91">
        <f>数据基表!T295</f>
        <v>481.1</v>
      </c>
      <c r="N56" s="93">
        <f t="shared" si="11"/>
        <v>28.294741218042</v>
      </c>
      <c r="O56" s="67">
        <f>106000-I56-L56</f>
        <v>33162.17</v>
      </c>
      <c r="P56" s="383">
        <f t="shared" si="6"/>
        <v>72837.83</v>
      </c>
      <c r="Q56" s="383">
        <f t="shared" si="7"/>
        <v>481.1</v>
      </c>
      <c r="R56" s="392">
        <f t="shared" si="8"/>
        <v>151.39852421534</v>
      </c>
      <c r="S56" s="390">
        <f>106000-P56</f>
        <v>33162.17</v>
      </c>
    </row>
    <row r="57" spans="14:15">
      <c r="N57" s="76"/>
      <c r="O57" s="384"/>
    </row>
    <row r="59" ht="22.5" spans="22:35">
      <c r="V59" s="393"/>
      <c r="W59" s="394" t="s">
        <v>420</v>
      </c>
      <c r="X59" s="394"/>
      <c r="Y59" s="394"/>
      <c r="Z59" s="394"/>
      <c r="AA59" s="394"/>
      <c r="AB59" s="394"/>
      <c r="AC59" s="394"/>
      <c r="AD59" s="394"/>
      <c r="AE59" s="394"/>
      <c r="AF59" s="394"/>
      <c r="AG59" s="394"/>
      <c r="AH59" s="394"/>
      <c r="AI59" s="110"/>
    </row>
    <row r="60" ht="22.5" spans="22:35">
      <c r="V60" s="395"/>
      <c r="W60" s="396">
        <f>表二!Q2</f>
        <v>44300</v>
      </c>
      <c r="X60" s="394"/>
      <c r="Y60" s="394"/>
      <c r="Z60" s="394"/>
      <c r="AA60" s="394"/>
      <c r="AB60" s="394"/>
      <c r="AC60" s="399"/>
      <c r="AD60" s="399"/>
      <c r="AE60" s="400" t="s">
        <v>368</v>
      </c>
      <c r="AF60" s="400"/>
      <c r="AG60" s="400"/>
      <c r="AH60" s="400"/>
      <c r="AI60" s="110"/>
    </row>
    <row r="61" spans="22:35">
      <c r="V61" s="397" t="s">
        <v>421</v>
      </c>
      <c r="W61" s="74" t="s">
        <v>109</v>
      </c>
      <c r="X61" s="74" t="s">
        <v>422</v>
      </c>
      <c r="Y61" s="74" t="s">
        <v>423</v>
      </c>
      <c r="Z61" s="74"/>
      <c r="AA61" s="74"/>
      <c r="AB61" s="74" t="s">
        <v>424</v>
      </c>
      <c r="AC61" s="74"/>
      <c r="AD61" s="74"/>
      <c r="AE61" s="74"/>
      <c r="AF61" s="74"/>
      <c r="AG61" s="402" t="s">
        <v>425</v>
      </c>
      <c r="AH61" s="402" t="s">
        <v>426</v>
      </c>
      <c r="AI61" s="110"/>
    </row>
    <row r="62" spans="22:35">
      <c r="V62" s="397"/>
      <c r="W62" s="74"/>
      <c r="X62" s="74"/>
      <c r="Y62" s="74" t="s">
        <v>135</v>
      </c>
      <c r="Z62" s="74"/>
      <c r="AA62" s="74"/>
      <c r="AB62" s="74" t="s">
        <v>112</v>
      </c>
      <c r="AC62" s="74"/>
      <c r="AD62" s="74" t="s">
        <v>93</v>
      </c>
      <c r="AE62" s="74"/>
      <c r="AF62" s="74"/>
      <c r="AG62" s="402"/>
      <c r="AH62" s="402"/>
      <c r="AI62" s="110"/>
    </row>
    <row r="63" ht="42.75" spans="22:35">
      <c r="V63" s="395"/>
      <c r="W63" s="74"/>
      <c r="X63" s="74"/>
      <c r="Y63" s="74" t="s">
        <v>56</v>
      </c>
      <c r="Z63" s="401" t="s">
        <v>427</v>
      </c>
      <c r="AA63" s="401" t="s">
        <v>428</v>
      </c>
      <c r="AB63" s="74" t="s">
        <v>56</v>
      </c>
      <c r="AC63" s="401" t="s">
        <v>427</v>
      </c>
      <c r="AD63" s="74" t="s">
        <v>56</v>
      </c>
      <c r="AE63" s="401" t="s">
        <v>427</v>
      </c>
      <c r="AF63" s="401" t="s">
        <v>429</v>
      </c>
      <c r="AG63" s="402"/>
      <c r="AH63" s="402"/>
      <c r="AI63" s="110" t="s">
        <v>430</v>
      </c>
    </row>
    <row r="64" spans="22:36">
      <c r="V64" s="398">
        <v>1.5</v>
      </c>
      <c r="W64" s="77" t="s">
        <v>431</v>
      </c>
      <c r="X64" s="74" t="s">
        <v>380</v>
      </c>
      <c r="Y64" s="78">
        <f>E14</f>
        <v>11899</v>
      </c>
      <c r="Z64" s="67">
        <v>8</v>
      </c>
      <c r="AA64" s="67"/>
      <c r="AB64" s="78">
        <f>I14</f>
        <v>0</v>
      </c>
      <c r="AC64" s="67"/>
      <c r="AD64" s="81">
        <f>L14</f>
        <v>1717</v>
      </c>
      <c r="AE64" s="67">
        <f>N14</f>
        <v>3.55486542443064</v>
      </c>
      <c r="AF64" s="67"/>
      <c r="AG64" s="67">
        <f>数据基表!F33</f>
        <v>2807</v>
      </c>
      <c r="AH64" s="67">
        <f>数据基表!K32+数据基表!K36</f>
        <v>1335</v>
      </c>
      <c r="AI64" s="403">
        <v>0.8</v>
      </c>
      <c r="AJ64" t="s">
        <v>431</v>
      </c>
    </row>
    <row r="65" spans="22:36">
      <c r="V65" s="398">
        <v>1.2</v>
      </c>
      <c r="W65" s="77" t="s">
        <v>205</v>
      </c>
      <c r="X65" s="74" t="s">
        <v>380</v>
      </c>
      <c r="Y65" s="91">
        <f>E52</f>
        <v>8474.81</v>
      </c>
      <c r="Z65" s="402">
        <f>G52</f>
        <v>5.76262876959168</v>
      </c>
      <c r="AA65" s="67">
        <f>V65*10000/F52</f>
        <v>8.15965729439364</v>
      </c>
      <c r="AB65" s="91">
        <v>0</v>
      </c>
      <c r="AC65" s="67"/>
      <c r="AD65" s="91">
        <f t="shared" ref="AD65:AD69" si="12">L52</f>
        <v>1692.56</v>
      </c>
      <c r="AE65" s="67">
        <f>N52</f>
        <v>7.48920353982301</v>
      </c>
      <c r="AF65" s="402">
        <f>AI65*10000/M52</f>
        <v>8.84955752212389</v>
      </c>
      <c r="AG65" s="67">
        <f>表二!F20</f>
        <v>3189</v>
      </c>
      <c r="AH65" s="67">
        <f>表二!K20</f>
        <v>1687</v>
      </c>
      <c r="AI65" s="403">
        <v>0.2</v>
      </c>
      <c r="AJ65" t="s">
        <v>205</v>
      </c>
    </row>
    <row r="66" spans="22:37">
      <c r="V66" s="398">
        <v>2.8</v>
      </c>
      <c r="W66" s="77" t="s">
        <v>206</v>
      </c>
      <c r="X66" s="74" t="s">
        <v>380</v>
      </c>
      <c r="Y66" s="91">
        <f t="shared" ref="Y66:Y68" si="13">E53</f>
        <v>5331.08</v>
      </c>
      <c r="Z66" s="402">
        <f>G53</f>
        <v>2.07928546355162</v>
      </c>
      <c r="AA66" s="402">
        <f>V66*10000/F53</f>
        <v>10.9208627481571</v>
      </c>
      <c r="AB66" s="91">
        <v>0</v>
      </c>
      <c r="AC66" s="67"/>
      <c r="AD66" s="91">
        <f t="shared" si="12"/>
        <v>2105.42</v>
      </c>
      <c r="AE66" s="67">
        <f>N53</f>
        <v>2.29706405402752</v>
      </c>
      <c r="AF66" s="67">
        <f>AI66*10000/M53</f>
        <v>6.54614486618589</v>
      </c>
      <c r="AG66" s="67">
        <f>表二!F21</f>
        <v>1835.7</v>
      </c>
      <c r="AH66" s="67">
        <f>表二!K21</f>
        <v>2371.9504</v>
      </c>
      <c r="AI66" s="403">
        <v>0.6</v>
      </c>
      <c r="AJ66" s="262" t="s">
        <v>206</v>
      </c>
      <c r="AK66" s="262"/>
    </row>
    <row r="67" spans="22:36">
      <c r="V67" s="398"/>
      <c r="W67" s="77" t="s">
        <v>197</v>
      </c>
      <c r="X67" s="74" t="s">
        <v>380</v>
      </c>
      <c r="Y67" s="91"/>
      <c r="Z67" s="67"/>
      <c r="AA67" s="67"/>
      <c r="AB67" s="91">
        <f>I54</f>
        <v>9700</v>
      </c>
      <c r="AC67" s="67">
        <v>6</v>
      </c>
      <c r="AD67" s="91">
        <f t="shared" si="12"/>
        <v>3000</v>
      </c>
      <c r="AE67" s="67">
        <f>N54</f>
        <v>4.49101796407186</v>
      </c>
      <c r="AF67" s="67"/>
      <c r="AG67" s="67"/>
      <c r="AH67" s="67">
        <f>表二!K17</f>
        <v>6305</v>
      </c>
      <c r="AI67" s="403">
        <v>1.5</v>
      </c>
      <c r="AJ67" t="s">
        <v>197</v>
      </c>
    </row>
    <row r="68" spans="22:36">
      <c r="V68" s="398">
        <v>2.5</v>
      </c>
      <c r="W68" s="77" t="s">
        <v>432</v>
      </c>
      <c r="X68" s="74" t="s">
        <v>380</v>
      </c>
      <c r="Y68" s="91">
        <f t="shared" si="13"/>
        <v>24120.307</v>
      </c>
      <c r="Z68" s="67">
        <f>G55</f>
        <v>8.06041457807007</v>
      </c>
      <c r="AA68" s="67">
        <f>V68*10000/F55</f>
        <v>8.35438638702865</v>
      </c>
      <c r="AB68" s="404">
        <v>0</v>
      </c>
      <c r="AC68" s="67">
        <v>0</v>
      </c>
      <c r="AD68" s="404">
        <f>数据基表!AL280</f>
        <v>8997.7500000001</v>
      </c>
      <c r="AE68" s="67">
        <f>N55</f>
        <v>4.73167332772407</v>
      </c>
      <c r="AF68" s="67">
        <f>AI68*10000/(J55+M55)</f>
        <v>7.88809423643248</v>
      </c>
      <c r="AG68" s="67">
        <f>表二!F22</f>
        <v>2153.05800000001</v>
      </c>
      <c r="AH68" s="67"/>
      <c r="AI68" s="403">
        <v>1.5</v>
      </c>
      <c r="AJ68" t="s">
        <v>432</v>
      </c>
    </row>
    <row r="69" spans="22:36">
      <c r="V69" s="398"/>
      <c r="W69" s="77" t="s">
        <v>419</v>
      </c>
      <c r="X69" s="74" t="s">
        <v>378</v>
      </c>
      <c r="Y69" s="91"/>
      <c r="Z69" s="67"/>
      <c r="AA69" s="67"/>
      <c r="AB69" s="404">
        <f>I56</f>
        <v>59225.23</v>
      </c>
      <c r="AC69" s="67"/>
      <c r="AD69" s="404">
        <f t="shared" si="12"/>
        <v>13612.6</v>
      </c>
      <c r="AE69" s="67"/>
      <c r="AF69" s="67"/>
      <c r="AG69" s="67"/>
      <c r="AH69" s="67">
        <f>表二!K23</f>
        <v>15223.6</v>
      </c>
      <c r="AI69" s="403">
        <v>10.6</v>
      </c>
      <c r="AJ69" t="s">
        <v>419</v>
      </c>
    </row>
    <row r="70" spans="23:29">
      <c r="W70" t="s">
        <v>376</v>
      </c>
      <c r="Y70">
        <f>E8</f>
        <v>14516</v>
      </c>
      <c r="Z70" s="405">
        <f>G8</f>
        <v>8.50879249706917</v>
      </c>
      <c r="AB70">
        <f>L8</f>
        <v>10811</v>
      </c>
      <c r="AC70" s="405">
        <f>N8</f>
        <v>9.55035335689046</v>
      </c>
    </row>
    <row r="72" spans="22:23">
      <c r="V72" s="77"/>
      <c r="W72" s="74"/>
    </row>
  </sheetData>
  <mergeCells count="67">
    <mergeCell ref="A1:R1"/>
    <mergeCell ref="M2:N2"/>
    <mergeCell ref="P2:R2"/>
    <mergeCell ref="E3:K3"/>
    <mergeCell ref="L3:O3"/>
    <mergeCell ref="P3:S3"/>
    <mergeCell ref="E4:H4"/>
    <mergeCell ref="I4:K4"/>
    <mergeCell ref="L4:O4"/>
    <mergeCell ref="B6:C6"/>
    <mergeCell ref="B7:C7"/>
    <mergeCell ref="B13:C13"/>
    <mergeCell ref="B16:C16"/>
    <mergeCell ref="B23:C23"/>
    <mergeCell ref="B26:C26"/>
    <mergeCell ref="B29:C29"/>
    <mergeCell ref="B35:C35"/>
    <mergeCell ref="B38:C38"/>
    <mergeCell ref="B42:C42"/>
    <mergeCell ref="B47:C47"/>
    <mergeCell ref="B50:C50"/>
    <mergeCell ref="B51:C51"/>
    <mergeCell ref="B52:C52"/>
    <mergeCell ref="B53:C53"/>
    <mergeCell ref="B54:C54"/>
    <mergeCell ref="B55:C55"/>
    <mergeCell ref="B56:C56"/>
    <mergeCell ref="W59:AH59"/>
    <mergeCell ref="AE60:AH60"/>
    <mergeCell ref="Y61:AA61"/>
    <mergeCell ref="AB61:AF61"/>
    <mergeCell ref="Y62:AA62"/>
    <mergeCell ref="AB62:AC62"/>
    <mergeCell ref="AD62:AE62"/>
    <mergeCell ref="A3:A4"/>
    <mergeCell ref="A5:A6"/>
    <mergeCell ref="A7:A12"/>
    <mergeCell ref="A13:A15"/>
    <mergeCell ref="A16:A22"/>
    <mergeCell ref="A23:A25"/>
    <mergeCell ref="A26:A28"/>
    <mergeCell ref="A29:A34"/>
    <mergeCell ref="A35:A37"/>
    <mergeCell ref="A38:A41"/>
    <mergeCell ref="A42:A46"/>
    <mergeCell ref="A47:A49"/>
    <mergeCell ref="B8:B12"/>
    <mergeCell ref="B14:B15"/>
    <mergeCell ref="B17:B22"/>
    <mergeCell ref="B24:B25"/>
    <mergeCell ref="B27:B28"/>
    <mergeCell ref="B30:B34"/>
    <mergeCell ref="B36:B37"/>
    <mergeCell ref="B39:B41"/>
    <mergeCell ref="B43:B46"/>
    <mergeCell ref="B48:B49"/>
    <mergeCell ref="D3:D5"/>
    <mergeCell ref="P4:P5"/>
    <mergeCell ref="Q4:Q5"/>
    <mergeCell ref="R4:R5"/>
    <mergeCell ref="S4:S5"/>
    <mergeCell ref="V61:V63"/>
    <mergeCell ref="W61:W63"/>
    <mergeCell ref="X61:X63"/>
    <mergeCell ref="AG61:AG63"/>
    <mergeCell ref="AH61:AH63"/>
    <mergeCell ref="B3:C4"/>
  </mergeCells>
  <dataValidations count="1">
    <dataValidation allowBlank="1" showErrorMessage="1" promptTitle="注意" prompt="请保留整数" sqref="I10:J10 L10:M10 I11:J11 L11:M11 I12:J12 L12:M12 I8:J9 L8:M9"/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4"/>
  <sheetViews>
    <sheetView zoomScale="85" zoomScaleNormal="85" workbookViewId="0">
      <selection activeCell="B15" sqref="B15:I15"/>
    </sheetView>
  </sheetViews>
  <sheetFormatPr defaultColWidth="9" defaultRowHeight="14.25"/>
  <cols>
    <col min="3" max="3" width="12.75" customWidth="1"/>
    <col min="9" max="9" width="9.375"/>
    <col min="13" max="13" width="11.125"/>
  </cols>
  <sheetData>
    <row r="3" ht="33.75" spans="1:9">
      <c r="A3" s="1391" t="s">
        <v>433</v>
      </c>
      <c r="B3" s="319"/>
      <c r="C3" s="319"/>
      <c r="D3" s="319"/>
      <c r="E3" s="319"/>
      <c r="F3" s="319"/>
      <c r="G3" s="319"/>
      <c r="H3" s="319"/>
      <c r="I3" s="319"/>
    </row>
    <row r="4" spans="1:9">
      <c r="A4" s="1392" t="s">
        <v>434</v>
      </c>
      <c r="B4" s="321"/>
      <c r="C4" s="321"/>
      <c r="D4" s="321"/>
      <c r="E4" s="322">
        <f>报调度指挥中心!A2</f>
        <v>44300</v>
      </c>
      <c r="F4" s="320"/>
      <c r="G4" s="320"/>
      <c r="H4" s="320"/>
      <c r="I4" s="320"/>
    </row>
    <row r="5" ht="16" customHeight="1" spans="1:9">
      <c r="A5" s="1393" t="s">
        <v>435</v>
      </c>
      <c r="B5" s="324"/>
      <c r="C5" s="1394" t="s">
        <v>436</v>
      </c>
      <c r="D5" s="1394" t="s">
        <v>437</v>
      </c>
      <c r="E5" s="1393" t="s">
        <v>435</v>
      </c>
      <c r="F5" s="326"/>
      <c r="G5" s="324"/>
      <c r="H5" s="1394" t="s">
        <v>436</v>
      </c>
      <c r="I5" s="1394" t="s">
        <v>437</v>
      </c>
    </row>
    <row r="6" ht="22.5" customHeight="1" spans="1:9">
      <c r="A6" s="1394" t="s">
        <v>438</v>
      </c>
      <c r="B6" s="1395" t="s">
        <v>293</v>
      </c>
      <c r="C6" s="328">
        <f>表一!C5</f>
        <v>46210.3561643836</v>
      </c>
      <c r="D6" s="328">
        <f>表一!B5</f>
        <v>45947.0244428571</v>
      </c>
      <c r="E6" s="1396" t="s">
        <v>245</v>
      </c>
      <c r="F6" s="324"/>
      <c r="G6" s="1395" t="s">
        <v>293</v>
      </c>
      <c r="H6" s="328">
        <f>表一!C45</f>
        <v>6705</v>
      </c>
      <c r="I6" s="328">
        <f>表一!B45</f>
        <v>8929.87</v>
      </c>
    </row>
    <row r="7" ht="19.5" customHeight="1" spans="1:9">
      <c r="A7" s="330" t="s">
        <v>269</v>
      </c>
      <c r="B7" s="331" t="s">
        <v>154</v>
      </c>
      <c r="C7" s="332">
        <f>表一!C22</f>
        <v>3194.52054794521</v>
      </c>
      <c r="D7" s="332">
        <f>表一!J42</f>
        <v>0</v>
      </c>
      <c r="E7" s="333"/>
      <c r="F7" s="324"/>
      <c r="G7" s="1395" t="s">
        <v>288</v>
      </c>
      <c r="H7" s="334"/>
      <c r="I7" s="328">
        <f>表二!F26</f>
        <v>7521.87</v>
      </c>
    </row>
    <row r="8" ht="18.75" customHeight="1" spans="1:9">
      <c r="A8" s="335"/>
      <c r="B8" s="336"/>
      <c r="C8" s="332"/>
      <c r="D8" s="332">
        <f>表二!G23</f>
        <v>796.8</v>
      </c>
      <c r="E8" s="1396" t="s">
        <v>246</v>
      </c>
      <c r="F8" s="324"/>
      <c r="G8" s="1395" t="s">
        <v>293</v>
      </c>
      <c r="H8" s="328">
        <v>7725</v>
      </c>
      <c r="I8" s="328">
        <f>表一!J45</f>
        <v>4819.48</v>
      </c>
    </row>
    <row r="9" ht="26.25" customHeight="1" spans="1:9">
      <c r="A9" s="337"/>
      <c r="B9" s="338"/>
      <c r="C9" s="332"/>
      <c r="D9" s="332"/>
      <c r="E9" s="333"/>
      <c r="F9" s="324"/>
      <c r="G9" s="1395" t="s">
        <v>288</v>
      </c>
      <c r="H9" s="334"/>
      <c r="I9" s="328">
        <f>表二!I26</f>
        <v>4184.63</v>
      </c>
    </row>
    <row r="10" ht="21" customHeight="1" spans="1:9">
      <c r="A10" s="337"/>
      <c r="B10" s="338"/>
      <c r="C10" s="332"/>
      <c r="D10" s="332"/>
      <c r="E10" s="1397" t="s">
        <v>439</v>
      </c>
      <c r="F10" s="1398" t="s">
        <v>248</v>
      </c>
      <c r="G10" s="1395" t="s">
        <v>293</v>
      </c>
      <c r="H10" s="334"/>
      <c r="I10" s="334"/>
    </row>
    <row r="11" ht="21" customHeight="1" spans="1:9">
      <c r="A11" s="1397" t="s">
        <v>153</v>
      </c>
      <c r="B11" s="1395" t="s">
        <v>293</v>
      </c>
      <c r="C11" s="328">
        <f>表一!C25</f>
        <v>31366.0273972603</v>
      </c>
      <c r="D11" s="328">
        <f>表一!B25</f>
        <v>29786.814</v>
      </c>
      <c r="E11" s="341"/>
      <c r="F11" s="341"/>
      <c r="G11" s="1395" t="s">
        <v>288</v>
      </c>
      <c r="H11" s="334"/>
      <c r="I11" s="334"/>
    </row>
    <row r="12" ht="24" customHeight="1" spans="1:9">
      <c r="A12" s="341"/>
      <c r="B12" s="1395" t="s">
        <v>288</v>
      </c>
      <c r="C12" s="334"/>
      <c r="D12" s="328">
        <f>表二!B6</f>
        <v>30037.049</v>
      </c>
      <c r="E12" s="325"/>
      <c r="F12" s="1398" t="s">
        <v>154</v>
      </c>
      <c r="G12" s="1395" t="s">
        <v>293</v>
      </c>
      <c r="H12" s="328">
        <v>954</v>
      </c>
      <c r="I12" s="328">
        <f>表一!J36</f>
        <v>1100</v>
      </c>
    </row>
    <row r="13" ht="21.75" customHeight="1" spans="1:9">
      <c r="A13" s="1397" t="s">
        <v>154</v>
      </c>
      <c r="B13" s="1395" t="s">
        <v>293</v>
      </c>
      <c r="C13" s="328">
        <f>表一!K25</f>
        <v>13051.4980821918</v>
      </c>
      <c r="D13" s="328">
        <f>表一!J25</f>
        <v>10199.606</v>
      </c>
      <c r="E13" s="325"/>
      <c r="F13" s="341"/>
      <c r="G13" s="1395" t="s">
        <v>288</v>
      </c>
      <c r="H13" s="334" t="s">
        <v>48</v>
      </c>
      <c r="I13" s="328">
        <f>表二!G17</f>
        <v>919</v>
      </c>
    </row>
    <row r="14" ht="24.75" customHeight="1" spans="1:9">
      <c r="A14" s="341"/>
      <c r="B14" s="1395" t="s">
        <v>288</v>
      </c>
      <c r="C14" s="334"/>
      <c r="D14" s="328">
        <f>表二!G6</f>
        <v>10257.99</v>
      </c>
      <c r="E14" s="1393" t="s">
        <v>440</v>
      </c>
      <c r="F14" s="326"/>
      <c r="G14" s="324"/>
      <c r="H14" s="334" t="s">
        <v>48</v>
      </c>
      <c r="I14" s="334">
        <f>煤炭库存统计表!P6</f>
        <v>894057.661</v>
      </c>
    </row>
    <row r="15" ht="121" customHeight="1" spans="1:9">
      <c r="A15" s="1394" t="s">
        <v>441</v>
      </c>
      <c r="B15" s="342" t="str">
        <f>表二!D52</f>
        <v>1、满负荷运行公司21家：天溪公司、天源公司、晋丰高平公司、金象公司、晋开二分公司、联盟公司、明水本部、明升达公司、金华润公司、明泉公司、中能公司、恒盛公司、金牛公司、昊源公司、天庆公司、三宁公司、晋银公司、新疆万源公司、华强公司、联盟石油公司、日月公司。2、减量运行公司1家：金石藁城公司。3、停车公司3家：泉盛公司、华昱公司、晋丰闻喜公司。4、停产公司5家：双多公司因搬迁改造停产、金万泰公司因环保原因停产，延化公司因搬迁改造停产、晋开一分公司因项目搬迁原因停产，武陟绿宇公司因产能落后停产。5、板块整体煤炭库容比为59.68%。</v>
      </c>
      <c r="C15" s="343"/>
      <c r="D15" s="343"/>
      <c r="E15" s="343"/>
      <c r="F15" s="343"/>
      <c r="G15" s="343"/>
      <c r="H15" s="343"/>
      <c r="I15" s="365"/>
    </row>
    <row r="20" ht="15"/>
    <row r="21" spans="1:17">
      <c r="A21" s="344" t="s">
        <v>436</v>
      </c>
      <c r="B21" s="345" t="s">
        <v>442</v>
      </c>
      <c r="C21" s="346"/>
      <c r="D21" s="347" t="s">
        <v>5</v>
      </c>
      <c r="E21" s="348" t="s">
        <v>443</v>
      </c>
      <c r="F21" s="345" t="s">
        <v>444</v>
      </c>
      <c r="G21" s="346"/>
      <c r="H21" s="349" t="s">
        <v>6</v>
      </c>
      <c r="I21" s="348" t="s">
        <v>445</v>
      </c>
      <c r="J21" s="366" t="s">
        <v>446</v>
      </c>
      <c r="K21" s="367"/>
      <c r="L21" s="347" t="s">
        <v>8</v>
      </c>
      <c r="M21" s="348" t="s">
        <v>447</v>
      </c>
      <c r="N21" s="366" t="s">
        <v>448</v>
      </c>
      <c r="O21" s="367"/>
      <c r="P21" s="349" t="s">
        <v>7</v>
      </c>
      <c r="Q21" s="371" t="s">
        <v>449</v>
      </c>
    </row>
    <row r="22" ht="24.75" spans="1:17">
      <c r="A22" s="350"/>
      <c r="B22" s="351" t="s">
        <v>450</v>
      </c>
      <c r="C22" s="352" t="s">
        <v>451</v>
      </c>
      <c r="D22" s="353"/>
      <c r="E22" s="354"/>
      <c r="F22" s="351" t="s">
        <v>450</v>
      </c>
      <c r="G22" s="352" t="s">
        <v>451</v>
      </c>
      <c r="H22" s="355"/>
      <c r="I22" s="354"/>
      <c r="J22" s="351" t="s">
        <v>450</v>
      </c>
      <c r="K22" s="352" t="s">
        <v>451</v>
      </c>
      <c r="L22" s="353"/>
      <c r="M22" s="354"/>
      <c r="N22" s="351" t="s">
        <v>450</v>
      </c>
      <c r="O22" s="352" t="s">
        <v>451</v>
      </c>
      <c r="P22" s="355"/>
      <c r="Q22" s="372"/>
    </row>
    <row r="23" spans="1:17">
      <c r="A23" s="356" t="s">
        <v>293</v>
      </c>
      <c r="B23" s="357">
        <f>表一!C5</f>
        <v>46210.3561643836</v>
      </c>
      <c r="C23" s="358">
        <v>47397</v>
      </c>
      <c r="D23" s="359">
        <f>表一!B5</f>
        <v>45947.0244428571</v>
      </c>
      <c r="E23" s="359">
        <v>39578</v>
      </c>
      <c r="F23" s="357">
        <f>表一!K5</f>
        <v>29607.7479452055</v>
      </c>
      <c r="G23" s="358">
        <v>26465</v>
      </c>
      <c r="H23" s="359">
        <f>表一!J5</f>
        <v>32423.0473</v>
      </c>
      <c r="I23" s="359">
        <v>23179</v>
      </c>
      <c r="J23" s="368">
        <f>表一!K25</f>
        <v>13051.4980821918</v>
      </c>
      <c r="K23" s="369">
        <v>14493</v>
      </c>
      <c r="L23" s="359">
        <f>表一!J25</f>
        <v>10199.606</v>
      </c>
      <c r="M23" s="359">
        <v>12929</v>
      </c>
      <c r="N23" s="368">
        <f>表一!C25</f>
        <v>31366.0273972603</v>
      </c>
      <c r="O23" s="369">
        <v>28000</v>
      </c>
      <c r="P23" s="370">
        <f>表一!B25</f>
        <v>29786.814</v>
      </c>
      <c r="Q23" s="370">
        <v>26086</v>
      </c>
    </row>
    <row r="24" ht="15" spans="1:17">
      <c r="A24" s="360" t="s">
        <v>452</v>
      </c>
      <c r="B24" s="361">
        <f>D23-B23</f>
        <v>-263.331721526454</v>
      </c>
      <c r="C24" s="362">
        <f>D23-C23</f>
        <v>-1449.97555714285</v>
      </c>
      <c r="D24" s="363"/>
      <c r="E24" s="364">
        <f>D23-E23</f>
        <v>6369.02444285715</v>
      </c>
      <c r="F24" s="361">
        <f>H23-F23</f>
        <v>2815.2993547945</v>
      </c>
      <c r="G24" s="362">
        <f>H23-G23</f>
        <v>5958.0473</v>
      </c>
      <c r="H24" s="363"/>
      <c r="I24" s="364">
        <f>H23-I23</f>
        <v>9244.0473</v>
      </c>
      <c r="J24" s="361">
        <f>L23-J23</f>
        <v>-2851.8920821918</v>
      </c>
      <c r="K24" s="362">
        <f>L23-K23</f>
        <v>-4293.394</v>
      </c>
      <c r="L24" s="363"/>
      <c r="M24" s="364">
        <f>L23-M23</f>
        <v>-2729.394</v>
      </c>
      <c r="N24" s="361">
        <f>P23-N23</f>
        <v>-1579.2133972603</v>
      </c>
      <c r="O24" s="362">
        <f>P23-O23</f>
        <v>1786.814</v>
      </c>
      <c r="P24" s="363"/>
      <c r="Q24" s="364">
        <f>P23-Q23</f>
        <v>3700.814</v>
      </c>
    </row>
  </sheetData>
  <mergeCells count="29">
    <mergeCell ref="A3:I3"/>
    <mergeCell ref="B4:D4"/>
    <mergeCell ref="E4:I4"/>
    <mergeCell ref="A5:B5"/>
    <mergeCell ref="E5:G5"/>
    <mergeCell ref="E14:G14"/>
    <mergeCell ref="B15:I15"/>
    <mergeCell ref="B21:C21"/>
    <mergeCell ref="F21:G21"/>
    <mergeCell ref="J21:K21"/>
    <mergeCell ref="N21:O21"/>
    <mergeCell ref="A7:A8"/>
    <mergeCell ref="A11:A12"/>
    <mergeCell ref="A13:A14"/>
    <mergeCell ref="A21:A22"/>
    <mergeCell ref="B7:B8"/>
    <mergeCell ref="D21:D22"/>
    <mergeCell ref="E10:E13"/>
    <mergeCell ref="E21:E22"/>
    <mergeCell ref="F10:F11"/>
    <mergeCell ref="F12:F13"/>
    <mergeCell ref="H21:H22"/>
    <mergeCell ref="I21:I22"/>
    <mergeCell ref="L21:L22"/>
    <mergeCell ref="M21:M22"/>
    <mergeCell ref="P21:P22"/>
    <mergeCell ref="Q21:Q22"/>
    <mergeCell ref="E6:F7"/>
    <mergeCell ref="E8:F9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56"/>
  <sheetViews>
    <sheetView zoomScale="85" zoomScaleNormal="85" workbookViewId="0">
      <pane xSplit="1" ySplit="5" topLeftCell="B24" activePane="bottomRight" state="frozen"/>
      <selection/>
      <selection pane="topRight"/>
      <selection pane="bottomLeft"/>
      <selection pane="bottomRight" activeCell="F6" sqref="F6:W56"/>
    </sheetView>
  </sheetViews>
  <sheetFormatPr defaultColWidth="9" defaultRowHeight="14.25"/>
  <cols>
    <col min="1" max="1" width="3.25" style="262" customWidth="1"/>
    <col min="2" max="2" width="5.75" customWidth="1"/>
    <col min="3" max="3" width="9.025" customWidth="1"/>
    <col min="4" max="4" width="7.875" customWidth="1"/>
    <col min="5" max="5" width="8.33333333333333" customWidth="1"/>
    <col min="6" max="6" width="6.625" customWidth="1"/>
    <col min="7" max="7" width="7.75" customWidth="1"/>
    <col min="8" max="8" width="6.625" customWidth="1"/>
    <col min="9" max="9" width="7" customWidth="1"/>
    <col min="10" max="10" width="6.25" customWidth="1"/>
    <col min="11" max="11" width="6.75" customWidth="1"/>
    <col min="12" max="12" width="6.875" customWidth="1"/>
    <col min="13" max="13" width="6.125" customWidth="1"/>
    <col min="14" max="14" width="5.875" customWidth="1"/>
    <col min="15" max="15" width="5.125" customWidth="1"/>
    <col min="16" max="16" width="6.375" customWidth="1"/>
    <col min="17" max="17" width="6.625" customWidth="1"/>
    <col min="18" max="18" width="5.875" customWidth="1"/>
    <col min="19" max="19" width="6.875" customWidth="1"/>
    <col min="20" max="20" width="6.625" customWidth="1"/>
    <col min="21" max="21" width="6.125" customWidth="1"/>
    <col min="22" max="22" width="6.5" customWidth="1"/>
    <col min="23" max="23" width="6.875" customWidth="1"/>
    <col min="24" max="24" width="6.75" customWidth="1"/>
    <col min="25" max="25" width="6.5" customWidth="1"/>
    <col min="33" max="33" width="12.8083333333333" customWidth="1"/>
    <col min="41" max="41" width="64.1166666666667" customWidth="1"/>
  </cols>
  <sheetData>
    <row r="1" ht="23.25" spans="1:25">
      <c r="A1" s="263" t="s">
        <v>453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</row>
    <row r="2" ht="24" spans="1:25">
      <c r="A2" s="264"/>
      <c r="B2" s="264"/>
      <c r="C2" s="264"/>
      <c r="D2" s="265"/>
      <c r="E2" s="264"/>
      <c r="F2" s="264"/>
      <c r="G2" s="264"/>
      <c r="H2" s="264"/>
      <c r="I2" s="287" t="s">
        <v>238</v>
      </c>
      <c r="J2" s="287"/>
      <c r="K2" s="287">
        <f>数据填报!AT2</f>
        <v>30</v>
      </c>
      <c r="L2" s="288"/>
      <c r="M2" s="288"/>
      <c r="N2" s="289"/>
      <c r="O2" s="287" t="s">
        <v>239</v>
      </c>
      <c r="P2" s="287"/>
      <c r="Q2" s="307">
        <f>数据填报!AY2</f>
        <v>14</v>
      </c>
      <c r="R2" s="264"/>
      <c r="S2" s="308" t="s">
        <v>454</v>
      </c>
      <c r="T2" s="308"/>
      <c r="U2" s="308"/>
      <c r="V2" s="308"/>
      <c r="W2" s="309">
        <f>表二!Q2</f>
        <v>44300</v>
      </c>
      <c r="X2" s="309"/>
      <c r="Y2" s="309"/>
    </row>
    <row r="3" ht="15" spans="1:41">
      <c r="A3" s="266" t="s">
        <v>369</v>
      </c>
      <c r="B3" s="266" t="s">
        <v>109</v>
      </c>
      <c r="C3" s="266"/>
      <c r="D3" s="267" t="s">
        <v>455</v>
      </c>
      <c r="E3" s="266" t="s">
        <v>456</v>
      </c>
      <c r="F3" s="268" t="s">
        <v>5</v>
      </c>
      <c r="G3" s="269"/>
      <c r="H3" s="269"/>
      <c r="I3" s="290"/>
      <c r="J3" s="290"/>
      <c r="K3" s="291"/>
      <c r="L3" s="266" t="s">
        <v>7</v>
      </c>
      <c r="M3" s="266"/>
      <c r="N3" s="266" t="s">
        <v>457</v>
      </c>
      <c r="O3" s="292"/>
      <c r="P3" s="292" t="s">
        <v>458</v>
      </c>
      <c r="Q3" s="292"/>
      <c r="R3" s="266"/>
      <c r="S3" s="266"/>
      <c r="T3" s="270" t="s">
        <v>440</v>
      </c>
      <c r="U3" s="270"/>
      <c r="V3" s="270"/>
      <c r="W3" s="270"/>
      <c r="X3" s="270" t="s">
        <v>459</v>
      </c>
      <c r="Y3" s="270"/>
      <c r="AA3" s="310" t="s">
        <v>369</v>
      </c>
      <c r="AB3" s="266" t="s">
        <v>109</v>
      </c>
      <c r="AC3" s="266"/>
      <c r="AD3" s="266" t="s">
        <v>5</v>
      </c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</row>
    <row r="4" spans="1:41">
      <c r="A4" s="270"/>
      <c r="B4" s="266"/>
      <c r="C4" s="266"/>
      <c r="D4" s="271"/>
      <c r="E4" s="266"/>
      <c r="F4" s="268" t="s">
        <v>128</v>
      </c>
      <c r="G4" s="272"/>
      <c r="H4" s="266" t="s">
        <v>152</v>
      </c>
      <c r="I4" s="266"/>
      <c r="J4" s="266" t="s">
        <v>154</v>
      </c>
      <c r="K4" s="266"/>
      <c r="L4" s="266"/>
      <c r="M4" s="266"/>
      <c r="N4" s="266"/>
      <c r="O4" s="266"/>
      <c r="P4" s="266"/>
      <c r="Q4" s="266"/>
      <c r="R4" s="266"/>
      <c r="S4" s="266"/>
      <c r="T4" s="270"/>
      <c r="U4" s="270"/>
      <c r="V4" s="270"/>
      <c r="W4" s="270"/>
      <c r="X4" s="270"/>
      <c r="Y4" s="270"/>
      <c r="AA4" s="311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</row>
    <row r="5" ht="24" spans="1:41">
      <c r="A5" s="273"/>
      <c r="B5" s="178" t="s">
        <v>113</v>
      </c>
      <c r="C5" s="178" t="s">
        <v>114</v>
      </c>
      <c r="D5" s="274"/>
      <c r="E5" s="266"/>
      <c r="F5" s="178" t="s">
        <v>436</v>
      </c>
      <c r="G5" s="178" t="s">
        <v>437</v>
      </c>
      <c r="H5" s="178" t="s">
        <v>436</v>
      </c>
      <c r="I5" s="178" t="s">
        <v>437</v>
      </c>
      <c r="J5" s="178" t="s">
        <v>436</v>
      </c>
      <c r="K5" s="178" t="s">
        <v>437</v>
      </c>
      <c r="L5" s="178" t="s">
        <v>436</v>
      </c>
      <c r="M5" s="178" t="s">
        <v>437</v>
      </c>
      <c r="N5" s="178" t="s">
        <v>153</v>
      </c>
      <c r="O5" s="178" t="s">
        <v>154</v>
      </c>
      <c r="P5" s="178" t="s">
        <v>460</v>
      </c>
      <c r="Q5" s="178" t="s">
        <v>461</v>
      </c>
      <c r="R5" s="178" t="s">
        <v>462</v>
      </c>
      <c r="S5" s="178" t="s">
        <v>21</v>
      </c>
      <c r="T5" s="178" t="s">
        <v>460</v>
      </c>
      <c r="U5" s="178" t="s">
        <v>461</v>
      </c>
      <c r="V5" s="178" t="s">
        <v>462</v>
      </c>
      <c r="W5" s="178" t="s">
        <v>21</v>
      </c>
      <c r="X5" s="178" t="s">
        <v>251</v>
      </c>
      <c r="Y5" s="184" t="s">
        <v>252</v>
      </c>
      <c r="AA5" s="311"/>
      <c r="AB5" s="178" t="s">
        <v>113</v>
      </c>
      <c r="AC5" s="178" t="s">
        <v>114</v>
      </c>
      <c r="AD5" s="178" t="s">
        <v>436</v>
      </c>
      <c r="AE5" s="178" t="s">
        <v>437</v>
      </c>
      <c r="AF5" s="312" t="s">
        <v>157</v>
      </c>
      <c r="AG5" s="312" t="s">
        <v>463</v>
      </c>
      <c r="AH5" s="315" t="s">
        <v>464</v>
      </c>
      <c r="AI5" s="315"/>
      <c r="AJ5" s="315"/>
      <c r="AK5" s="315"/>
      <c r="AL5" s="315"/>
      <c r="AM5" s="315"/>
      <c r="AN5" s="315"/>
      <c r="AO5" s="315"/>
    </row>
    <row r="6" spans="1:41">
      <c r="A6" s="273"/>
      <c r="B6" s="165" t="s">
        <v>371</v>
      </c>
      <c r="C6" s="165"/>
      <c r="D6" s="275">
        <f>G6/F6</f>
        <v>0.994300277565564</v>
      </c>
      <c r="E6" s="178"/>
      <c r="F6" s="276">
        <v>46210.4109589041</v>
      </c>
      <c r="G6" s="277">
        <f>G7+G13+G16+G23+G26+G29+G35+G38+G42+G47+G50+G51+G52+G53+G54+G55+G56</f>
        <v>45947.0244428571</v>
      </c>
      <c r="H6" s="276">
        <v>29607.6712328767</v>
      </c>
      <c r="I6" s="277">
        <f>I7+I13+I16+I23+I26+I29+I35+I38+I42+I47+I50+I51+I52+I53+I54+I55</f>
        <v>32423.0473</v>
      </c>
      <c r="J6" s="276">
        <v>13051.4980821918</v>
      </c>
      <c r="K6" s="277">
        <f>K7+K13+K16+K23+K26+K29+K35+K38+K42+K47+K50+K51+K52+K53+K54+K55+K56</f>
        <v>10199.606</v>
      </c>
      <c r="L6" s="276">
        <v>31366.0273972603</v>
      </c>
      <c r="M6" s="277">
        <f>数据填报!M6</f>
        <v>29786.814</v>
      </c>
      <c r="N6" s="277">
        <f>表二!E6</f>
        <v>2084.2917345176</v>
      </c>
      <c r="O6" s="293">
        <f>表二!J6</f>
        <v>2258.93367115406</v>
      </c>
      <c r="P6" s="294">
        <f>P7+P13+P16+P23+P26+P29+P35+P38+P42+P47+P51+P52+P53+P55+P54+P56</f>
        <v>24399.4</v>
      </c>
      <c r="Q6" s="294">
        <f>煤炭库存统计表!J6</f>
        <v>27231.79</v>
      </c>
      <c r="R6" s="294">
        <f>R7+R13+R16+R23+R26+R29+R35+R38+R42+R47+R51+R52+R53+R55+R54+R56</f>
        <v>21135.69</v>
      </c>
      <c r="S6" s="294">
        <f>R6+Q6+P6</f>
        <v>72766.88</v>
      </c>
      <c r="T6" s="294">
        <f>T7+T13+T16+T23+T26+T29+T35+T38+T42+T47+T51+T52+T53+T55+T54+T56</f>
        <v>267529.197</v>
      </c>
      <c r="U6" s="294">
        <f>煤炭库存统计表!I6</f>
        <v>376277.587</v>
      </c>
      <c r="V6" s="294">
        <f>煤炭库存统计表!L6</f>
        <v>250250.877</v>
      </c>
      <c r="W6" s="294">
        <f>V6+U6+T6</f>
        <v>894057.661</v>
      </c>
      <c r="X6" s="279"/>
      <c r="Y6" s="279"/>
      <c r="AA6" s="292"/>
      <c r="AB6" s="165" t="s">
        <v>371</v>
      </c>
      <c r="AC6" s="165"/>
      <c r="AD6" s="313">
        <v>43848.3269808743</v>
      </c>
      <c r="AE6" s="314">
        <f>SUM(AE7:AE32)</f>
        <v>51207.2590187048</v>
      </c>
      <c r="AF6" s="314">
        <f>G6</f>
        <v>45947.0244428571</v>
      </c>
      <c r="AG6" s="314">
        <f>SUM(AG7:AG32)</f>
        <v>-6332.78197584762</v>
      </c>
      <c r="AH6" s="316"/>
      <c r="AI6" s="316"/>
      <c r="AJ6" s="316"/>
      <c r="AK6" s="316"/>
      <c r="AL6" s="316"/>
      <c r="AM6" s="316"/>
      <c r="AN6" s="316"/>
      <c r="AO6" s="316"/>
    </row>
    <row r="7" spans="1:41">
      <c r="A7" s="273">
        <v>1</v>
      </c>
      <c r="B7" s="165" t="s">
        <v>374</v>
      </c>
      <c r="C7" s="165"/>
      <c r="D7" s="275">
        <f>G7/F7</f>
        <v>0.952100888671593</v>
      </c>
      <c r="E7" s="178"/>
      <c r="F7" s="276">
        <v>4763.15068493151</v>
      </c>
      <c r="G7" s="278">
        <f>G8+G9+G11+G10+G12</f>
        <v>4535</v>
      </c>
      <c r="H7" s="276">
        <v>3442.26849315069</v>
      </c>
      <c r="I7" s="278">
        <f>I8+I9+I11+I10+I12</f>
        <v>3527.92</v>
      </c>
      <c r="J7">
        <v>999.169315068493</v>
      </c>
      <c r="K7" s="278">
        <f>K8+K9+K11+K10+K12</f>
        <v>737.18</v>
      </c>
      <c r="L7" s="276">
        <v>1723.56164383562</v>
      </c>
      <c r="M7" s="278">
        <f>M8+M9+M11+M10+M12</f>
        <v>1612.8</v>
      </c>
      <c r="N7" s="277">
        <f>数据基表!E20</f>
        <v>2120</v>
      </c>
      <c r="O7" s="293">
        <f>数据基表!J20</f>
        <v>2234.44690265487</v>
      </c>
      <c r="P7" s="294">
        <f t="shared" ref="P7:W7" si="0">SUM(P8:P12)</f>
        <v>5952.07</v>
      </c>
      <c r="Q7" s="294">
        <f t="shared" si="0"/>
        <v>0</v>
      </c>
      <c r="R7" s="294">
        <f t="shared" si="0"/>
        <v>1132</v>
      </c>
      <c r="S7" s="294">
        <f>煤炭库存统计表!Q7</f>
        <v>7904.07</v>
      </c>
      <c r="T7" s="294">
        <f t="shared" si="0"/>
        <v>65303</v>
      </c>
      <c r="U7" s="294">
        <f>煤炭库存统计表!I7</f>
        <v>5550</v>
      </c>
      <c r="V7" s="294">
        <f>煤炭库存统计表!L7</f>
        <v>41811</v>
      </c>
      <c r="W7" s="294">
        <f>煤炭库存统计表!P7</f>
        <v>112664</v>
      </c>
      <c r="X7" s="279"/>
      <c r="Y7" s="279"/>
      <c r="AA7" s="273">
        <v>1</v>
      </c>
      <c r="AB7" s="165" t="s">
        <v>375</v>
      </c>
      <c r="AC7" s="178" t="s">
        <v>376</v>
      </c>
      <c r="AD7" s="276">
        <v>1286.88524590164</v>
      </c>
      <c r="AE7" s="178">
        <v>1363</v>
      </c>
      <c r="AF7" s="178">
        <f>G8</f>
        <v>744</v>
      </c>
      <c r="AG7" s="317">
        <f t="shared" ref="AG6:AG33" si="1">AF7-AE7</f>
        <v>-619</v>
      </c>
      <c r="AH7" s="318" t="s">
        <v>377</v>
      </c>
      <c r="AI7" s="318"/>
      <c r="AJ7" s="318"/>
      <c r="AK7" s="318"/>
      <c r="AL7" s="318"/>
      <c r="AM7" s="318"/>
      <c r="AN7" s="318"/>
      <c r="AO7" s="318"/>
    </row>
    <row r="8" spans="1:41">
      <c r="A8" s="273"/>
      <c r="B8" s="177" t="s">
        <v>375</v>
      </c>
      <c r="C8" s="178" t="s">
        <v>376</v>
      </c>
      <c r="D8" s="275">
        <f>G8/F8</f>
        <v>0.598018057696541</v>
      </c>
      <c r="E8" s="279" t="s">
        <v>377</v>
      </c>
      <c r="F8" s="276">
        <v>1244.1095890411</v>
      </c>
      <c r="G8" s="278">
        <f>数据基表!B5</f>
        <v>744</v>
      </c>
      <c r="H8" s="276">
        <v>575.068493150685</v>
      </c>
      <c r="I8" s="295">
        <f>数据基表!G5</f>
        <v>529</v>
      </c>
      <c r="J8" s="276">
        <v>383.835616438356</v>
      </c>
      <c r="K8" s="295">
        <f>数据基表!Q5</f>
        <v>129</v>
      </c>
      <c r="L8" s="276"/>
      <c r="M8" s="295">
        <f>数据基表!L5</f>
        <v>0</v>
      </c>
      <c r="N8" s="296">
        <f>数据基表!E15</f>
        <v>0</v>
      </c>
      <c r="O8" s="293">
        <f>数据基表!J15</f>
        <v>2035</v>
      </c>
      <c r="P8" s="294">
        <f>数据基表!AI15</f>
        <v>1706</v>
      </c>
      <c r="Q8" s="277">
        <f>数据基表!AK15</f>
        <v>0</v>
      </c>
      <c r="R8" s="277">
        <f>数据基表!AM15</f>
        <v>1132</v>
      </c>
      <c r="S8" s="277">
        <f>P8+Q8+R8</f>
        <v>2838</v>
      </c>
      <c r="T8" s="277">
        <f>数据基表!AH15</f>
        <v>14516</v>
      </c>
      <c r="U8" s="277">
        <f>数据基表!AJ15</f>
        <v>0</v>
      </c>
      <c r="V8" s="277">
        <f>数据基表!AL15</f>
        <v>10811</v>
      </c>
      <c r="W8" s="277">
        <f>T8+U8+V8</f>
        <v>25327</v>
      </c>
      <c r="X8" s="279"/>
      <c r="Y8" s="279"/>
      <c r="AA8" s="273">
        <v>2</v>
      </c>
      <c r="AB8" s="165"/>
      <c r="AC8" s="178" t="s">
        <v>379</v>
      </c>
      <c r="AD8" s="276">
        <v>1379.78142076503</v>
      </c>
      <c r="AE8" s="178">
        <v>1558</v>
      </c>
      <c r="AF8" s="178">
        <f>G10</f>
        <v>1454</v>
      </c>
      <c r="AG8" s="317">
        <f t="shared" si="1"/>
        <v>-104</v>
      </c>
      <c r="AH8" s="318"/>
      <c r="AI8" s="318"/>
      <c r="AJ8" s="318"/>
      <c r="AK8" s="318"/>
      <c r="AL8" s="318"/>
      <c r="AM8" s="318"/>
      <c r="AN8" s="318"/>
      <c r="AO8" s="318"/>
    </row>
    <row r="9" spans="1:41">
      <c r="A9" s="273"/>
      <c r="B9" s="179"/>
      <c r="C9" s="178" t="s">
        <v>17</v>
      </c>
      <c r="D9" s="275"/>
      <c r="E9" s="279" t="s">
        <v>119</v>
      </c>
      <c r="F9" s="276">
        <v>0</v>
      </c>
      <c r="G9" s="278">
        <f>数据基表!B6</f>
        <v>0</v>
      </c>
      <c r="H9" s="276">
        <v>0</v>
      </c>
      <c r="I9" s="295">
        <f>数据基表!G6</f>
        <v>0</v>
      </c>
      <c r="J9" s="276">
        <v>0</v>
      </c>
      <c r="K9" s="295">
        <f>数据基表!Q6</f>
        <v>0</v>
      </c>
      <c r="L9" s="276">
        <v>0</v>
      </c>
      <c r="M9" s="295">
        <f>数据基表!L6</f>
        <v>0</v>
      </c>
      <c r="N9" s="296">
        <f>数据基表!E16</f>
        <v>0</v>
      </c>
      <c r="O9" s="293">
        <f>数据基表!J16</f>
        <v>0</v>
      </c>
      <c r="P9" s="294">
        <f>数据基表!AI16</f>
        <v>0</v>
      </c>
      <c r="Q9" s="277">
        <f>数据基表!AK16</f>
        <v>0</v>
      </c>
      <c r="R9" s="277">
        <f>数据基表!AM16</f>
        <v>0</v>
      </c>
      <c r="S9" s="277">
        <f>P9+Q9+R9</f>
        <v>0</v>
      </c>
      <c r="T9" s="277">
        <f>数据基表!AH16</f>
        <v>0</v>
      </c>
      <c r="U9" s="277">
        <f>数据基表!AJ16</f>
        <v>0</v>
      </c>
      <c r="V9" s="277">
        <f>数据基表!AL16</f>
        <v>0</v>
      </c>
      <c r="W9" s="277">
        <f>T9+U9+V9</f>
        <v>0</v>
      </c>
      <c r="X9" s="279"/>
      <c r="Y9" s="279"/>
      <c r="AA9" s="273">
        <v>3</v>
      </c>
      <c r="AB9" s="165"/>
      <c r="AC9" s="178" t="s">
        <v>19</v>
      </c>
      <c r="AD9" s="276">
        <v>1448.08743169399</v>
      </c>
      <c r="AE9" s="178">
        <v>1561</v>
      </c>
      <c r="AF9" s="178">
        <f>G11</f>
        <v>1772</v>
      </c>
      <c r="AG9" s="317">
        <f t="shared" si="1"/>
        <v>211</v>
      </c>
      <c r="AH9" s="318"/>
      <c r="AI9" s="318"/>
      <c r="AJ9" s="318"/>
      <c r="AK9" s="318"/>
      <c r="AL9" s="318"/>
      <c r="AM9" s="318"/>
      <c r="AN9" s="318"/>
      <c r="AO9" s="318"/>
    </row>
    <row r="10" spans="1:41">
      <c r="A10" s="273"/>
      <c r="B10" s="179"/>
      <c r="C10" s="178" t="s">
        <v>379</v>
      </c>
      <c r="D10" s="275">
        <f t="shared" ref="D10:D18" si="2">G10/F10</f>
        <v>1.04511618747538</v>
      </c>
      <c r="E10" s="279" t="s">
        <v>380</v>
      </c>
      <c r="F10" s="276">
        <v>1391.23287671233</v>
      </c>
      <c r="G10" s="278">
        <f>数据基表!B7</f>
        <v>1454</v>
      </c>
      <c r="H10" s="276">
        <v>1129.86301369863</v>
      </c>
      <c r="I10" s="295">
        <f>数据基表!G7</f>
        <v>1194</v>
      </c>
      <c r="J10" s="276">
        <v>246.575342465753</v>
      </c>
      <c r="K10" s="295">
        <f>数据基表!Q7</f>
        <v>171</v>
      </c>
      <c r="L10" s="276">
        <v>381.095890410959</v>
      </c>
      <c r="M10" s="295">
        <f>数据基表!L7</f>
        <v>507</v>
      </c>
      <c r="N10" s="296">
        <f>数据基表!E17</f>
        <v>2129</v>
      </c>
      <c r="O10" s="293">
        <f>数据基表!J17</f>
        <v>2300</v>
      </c>
      <c r="P10" s="294">
        <f>数据基表!AI17</f>
        <v>1598</v>
      </c>
      <c r="Q10" s="277"/>
      <c r="R10" s="277">
        <f>数据基表!AM19</f>
        <v>0</v>
      </c>
      <c r="S10" s="277">
        <f>P10+Q10+R10</f>
        <v>1598</v>
      </c>
      <c r="T10" s="277">
        <f>数据基表!AH17</f>
        <v>12300</v>
      </c>
      <c r="U10" s="277"/>
      <c r="V10" s="277">
        <f>数据基表!AL17</f>
        <v>31000</v>
      </c>
      <c r="W10" s="277">
        <f>T10+U10+V10</f>
        <v>43300</v>
      </c>
      <c r="X10" s="279"/>
      <c r="Y10" s="279"/>
      <c r="AA10" s="273">
        <v>4</v>
      </c>
      <c r="AB10" s="165"/>
      <c r="AC10" s="178" t="s">
        <v>381</v>
      </c>
      <c r="AD10" s="276">
        <v>437.158469945355</v>
      </c>
      <c r="AE10" s="178">
        <v>561</v>
      </c>
      <c r="AF10" s="178">
        <f>G12</f>
        <v>565</v>
      </c>
      <c r="AG10" s="317">
        <f t="shared" si="1"/>
        <v>4</v>
      </c>
      <c r="AH10" s="318"/>
      <c r="AI10" s="318"/>
      <c r="AJ10" s="318"/>
      <c r="AK10" s="318"/>
      <c r="AL10" s="318"/>
      <c r="AM10" s="318"/>
      <c r="AN10" s="318"/>
      <c r="AO10" s="318"/>
    </row>
    <row r="11" spans="1:41">
      <c r="A11" s="273"/>
      <c r="B11" s="179"/>
      <c r="C11" s="178" t="s">
        <v>19</v>
      </c>
      <c r="D11" s="275">
        <f t="shared" si="2"/>
        <v>1.12307692307692</v>
      </c>
      <c r="E11" s="279" t="s">
        <v>380</v>
      </c>
      <c r="F11" s="276">
        <v>1577.80821917808</v>
      </c>
      <c r="G11" s="278">
        <f>数据基表!B8</f>
        <v>1772</v>
      </c>
      <c r="H11" s="276">
        <v>1227.39726027397</v>
      </c>
      <c r="I11" s="295">
        <f>数据基表!G8</f>
        <v>1383.92</v>
      </c>
      <c r="J11" s="276">
        <v>330.684931506849</v>
      </c>
      <c r="K11" s="295">
        <f>数据基表!Q8</f>
        <v>388.18</v>
      </c>
      <c r="L11" s="276">
        <v>1342.46575342466</v>
      </c>
      <c r="M11" s="295">
        <f>数据基表!L8</f>
        <v>1105.8</v>
      </c>
      <c r="N11" s="296"/>
      <c r="O11" s="293"/>
      <c r="P11" s="294">
        <f>数据基表!AI18</f>
        <v>1914.07</v>
      </c>
      <c r="Q11" s="277">
        <f>煤炭库存统计表!J11</f>
        <v>0</v>
      </c>
      <c r="R11" s="277">
        <f>煤炭库存统计表!M11</f>
        <v>0</v>
      </c>
      <c r="S11" s="277">
        <f>煤炭库存统计表!Q11</f>
        <v>1914.07</v>
      </c>
      <c r="T11" s="277">
        <f>数据基表!AH18</f>
        <v>33101</v>
      </c>
      <c r="U11" s="277">
        <f>煤炭库存统计表!I11</f>
        <v>0</v>
      </c>
      <c r="V11" s="277">
        <f>煤炭库存统计表!L11</f>
        <v>0</v>
      </c>
      <c r="W11" s="277">
        <f>煤炭库存统计表!P11</f>
        <v>33101</v>
      </c>
      <c r="X11" s="279"/>
      <c r="Y11" s="279"/>
      <c r="AA11" s="273">
        <v>5</v>
      </c>
      <c r="AB11" s="165" t="s">
        <v>465</v>
      </c>
      <c r="AC11" s="178" t="s">
        <v>52</v>
      </c>
      <c r="AD11" s="276">
        <v>915.300546448087</v>
      </c>
      <c r="AE11" s="178">
        <v>1655</v>
      </c>
      <c r="AF11" s="178">
        <f>G14</f>
        <v>1513</v>
      </c>
      <c r="AG11" s="317">
        <f t="shared" si="1"/>
        <v>-142</v>
      </c>
      <c r="AH11" s="318"/>
      <c r="AI11" s="318"/>
      <c r="AJ11" s="318"/>
      <c r="AK11" s="318"/>
      <c r="AL11" s="318"/>
      <c r="AM11" s="318"/>
      <c r="AN11" s="318"/>
      <c r="AO11" s="318"/>
    </row>
    <row r="12" spans="1:41">
      <c r="A12" s="273"/>
      <c r="B12" s="179"/>
      <c r="C12" s="178" t="s">
        <v>381</v>
      </c>
      <c r="D12" s="275">
        <f t="shared" si="2"/>
        <v>1.02701693227092</v>
      </c>
      <c r="E12" s="178" t="s">
        <v>380</v>
      </c>
      <c r="F12" s="276">
        <v>550.13698630137</v>
      </c>
      <c r="G12" s="278">
        <f>数据基表!B9</f>
        <v>565</v>
      </c>
      <c r="H12" s="276">
        <v>509.86301369863</v>
      </c>
      <c r="I12" s="295">
        <f>数据基表!G9</f>
        <v>421</v>
      </c>
      <c r="J12" s="276">
        <v>38.0821917808219</v>
      </c>
      <c r="K12" s="295">
        <f>数据基表!Q9</f>
        <v>49</v>
      </c>
      <c r="L12" s="276"/>
      <c r="M12" s="295">
        <f>数据基表!L9</f>
        <v>0</v>
      </c>
      <c r="N12" s="296">
        <f>数据基表!E19</f>
        <v>0</v>
      </c>
      <c r="O12" s="293">
        <f>数据基表!J19</f>
        <v>2100</v>
      </c>
      <c r="P12" s="294">
        <f>数据基表!AI19</f>
        <v>734</v>
      </c>
      <c r="Q12" s="277">
        <f>数据基表!AK19</f>
        <v>0</v>
      </c>
      <c r="R12" s="277">
        <f>数据基表!AM19</f>
        <v>0</v>
      </c>
      <c r="S12" s="277">
        <f t="shared" ref="S12:S26" si="3">P12+Q12+R12</f>
        <v>734</v>
      </c>
      <c r="T12" s="277">
        <f>数据基表!AH19</f>
        <v>5386</v>
      </c>
      <c r="U12" s="277">
        <f>数据基表!AJ19</f>
        <v>5550</v>
      </c>
      <c r="V12" s="277">
        <f>数据基表!AL19</f>
        <v>0</v>
      </c>
      <c r="W12" s="277">
        <f>T12+U12+V12</f>
        <v>10936</v>
      </c>
      <c r="X12" s="279"/>
      <c r="Y12" s="279"/>
      <c r="AA12" s="273">
        <v>6</v>
      </c>
      <c r="AB12" s="165"/>
      <c r="AC12" s="178" t="s">
        <v>53</v>
      </c>
      <c r="AD12" s="276">
        <v>655.737704918033</v>
      </c>
      <c r="AE12" s="178">
        <v>900</v>
      </c>
      <c r="AF12" s="178">
        <f>G15</f>
        <v>0</v>
      </c>
      <c r="AG12" s="317">
        <f t="shared" si="1"/>
        <v>-900</v>
      </c>
      <c r="AH12" s="318" t="s">
        <v>378</v>
      </c>
      <c r="AI12" s="318"/>
      <c r="AJ12" s="318"/>
      <c r="AK12" s="318"/>
      <c r="AL12" s="318"/>
      <c r="AM12" s="318"/>
      <c r="AN12" s="318"/>
      <c r="AO12" s="318"/>
    </row>
    <row r="13" spans="1:41">
      <c r="A13" s="280">
        <v>2</v>
      </c>
      <c r="B13" s="180" t="s">
        <v>374</v>
      </c>
      <c r="C13" s="180"/>
      <c r="D13" s="275">
        <f t="shared" si="2"/>
        <v>0.892733591981892</v>
      </c>
      <c r="E13" s="184"/>
      <c r="F13" s="276">
        <v>1694.79452054795</v>
      </c>
      <c r="G13" s="281">
        <f>SUM(G14:G15)</f>
        <v>1513</v>
      </c>
      <c r="H13" s="276">
        <v>1447.39726027397</v>
      </c>
      <c r="I13" s="281">
        <f>SUM(I14:I15)</f>
        <v>1303</v>
      </c>
      <c r="J13" s="276">
        <v>233.698630136986</v>
      </c>
      <c r="K13" s="281">
        <f>SUM(K14:K15)</f>
        <v>147</v>
      </c>
      <c r="L13" s="276">
        <v>2146.02739726027</v>
      </c>
      <c r="M13" s="281">
        <f>SUM(M14:M15)</f>
        <v>1937</v>
      </c>
      <c r="N13" s="277">
        <f>数据基表!E32</f>
        <v>2008.59411180946</v>
      </c>
      <c r="O13" s="293">
        <f>数据基表!J32</f>
        <v>2120</v>
      </c>
      <c r="P13" s="294">
        <f>数据基表!AI32</f>
        <v>1551</v>
      </c>
      <c r="Q13" s="277">
        <f>数据基表!AK32</f>
        <v>0</v>
      </c>
      <c r="R13" s="277">
        <f>数据基表!AM32</f>
        <v>483</v>
      </c>
      <c r="S13" s="277">
        <f t="shared" si="3"/>
        <v>2034</v>
      </c>
      <c r="T13" s="277">
        <f>数据基表!AH32</f>
        <v>17420</v>
      </c>
      <c r="U13" s="277">
        <f>数据基表!AJ32</f>
        <v>0</v>
      </c>
      <c r="V13" s="277">
        <f>数据基表!AL32</f>
        <v>2844</v>
      </c>
      <c r="W13" s="277">
        <f>+T13+U13+V13</f>
        <v>20264</v>
      </c>
      <c r="X13" s="279"/>
      <c r="Y13" s="279"/>
      <c r="AA13" s="273">
        <v>7</v>
      </c>
      <c r="AB13" s="165" t="s">
        <v>256</v>
      </c>
      <c r="AC13" s="178" t="s">
        <v>68</v>
      </c>
      <c r="AD13" s="276">
        <v>3415.30054644809</v>
      </c>
      <c r="AE13" s="184">
        <v>3906</v>
      </c>
      <c r="AF13" s="184">
        <f>G18</f>
        <v>4019</v>
      </c>
      <c r="AG13" s="317">
        <f t="shared" si="1"/>
        <v>113</v>
      </c>
      <c r="AH13" s="318"/>
      <c r="AI13" s="318"/>
      <c r="AJ13" s="318"/>
      <c r="AK13" s="318"/>
      <c r="AL13" s="318"/>
      <c r="AM13" s="318"/>
      <c r="AN13" s="318"/>
      <c r="AO13" s="318"/>
    </row>
    <row r="14" spans="1:41">
      <c r="A14" s="282"/>
      <c r="B14" s="165" t="s">
        <v>466</v>
      </c>
      <c r="C14" s="178" t="s">
        <v>52</v>
      </c>
      <c r="D14" s="275">
        <f t="shared" si="2"/>
        <v>1.47304614563884</v>
      </c>
      <c r="E14" s="279" t="s">
        <v>380</v>
      </c>
      <c r="F14" s="276">
        <v>1027.12328767123</v>
      </c>
      <c r="G14" s="278">
        <f>数据基表!B26</f>
        <v>1513</v>
      </c>
      <c r="H14" s="276">
        <v>873.150684931507</v>
      </c>
      <c r="I14" s="277">
        <f>数据基表!G26</f>
        <v>1303</v>
      </c>
      <c r="J14" s="276">
        <v>145.479452054795</v>
      </c>
      <c r="K14" s="295">
        <f>数据基表!Q26</f>
        <v>147</v>
      </c>
      <c r="L14" s="276">
        <v>1169.58904109589</v>
      </c>
      <c r="M14" s="277">
        <f>数据基表!L26</f>
        <v>1937</v>
      </c>
      <c r="N14" s="277">
        <f>数据基表!E33</f>
        <v>2008.5600530856</v>
      </c>
      <c r="O14" s="293">
        <f>数据基表!J33</f>
        <v>2120</v>
      </c>
      <c r="P14" s="294">
        <f>数据基表!AI33</f>
        <v>1551</v>
      </c>
      <c r="Q14" s="277">
        <f>数据基表!AK33</f>
        <v>0</v>
      </c>
      <c r="R14" s="277">
        <f>数据基表!AM33</f>
        <v>483</v>
      </c>
      <c r="S14" s="277">
        <f t="shared" si="3"/>
        <v>2034</v>
      </c>
      <c r="T14" s="277">
        <f>数据基表!AH33</f>
        <v>11899</v>
      </c>
      <c r="U14" s="277">
        <f>数据基表!AJ33</f>
        <v>0</v>
      </c>
      <c r="V14" s="277">
        <f>数据基表!AL33</f>
        <v>1717</v>
      </c>
      <c r="W14" s="277">
        <f t="shared" ref="W14:W25" si="4">T14+U14+V14</f>
        <v>13616</v>
      </c>
      <c r="X14" s="279"/>
      <c r="Y14" s="279"/>
      <c r="AA14" s="273">
        <v>8</v>
      </c>
      <c r="AB14" s="165" t="s">
        <v>257</v>
      </c>
      <c r="AC14" s="178" t="s">
        <v>84</v>
      </c>
      <c r="AD14" s="276">
        <v>1038.25136612022</v>
      </c>
      <c r="AE14" s="184">
        <v>1148</v>
      </c>
      <c r="AF14" s="184">
        <f>G24</f>
        <v>1143</v>
      </c>
      <c r="AG14" s="317">
        <f t="shared" si="1"/>
        <v>-5</v>
      </c>
      <c r="AH14" s="318"/>
      <c r="AI14" s="318"/>
      <c r="AJ14" s="318"/>
      <c r="AK14" s="318"/>
      <c r="AL14" s="318"/>
      <c r="AM14" s="318"/>
      <c r="AN14" s="318"/>
      <c r="AO14" s="318"/>
    </row>
    <row r="15" spans="1:41">
      <c r="A15" s="283"/>
      <c r="B15" s="165"/>
      <c r="C15" s="178" t="s">
        <v>53</v>
      </c>
      <c r="D15" s="275">
        <f t="shared" si="2"/>
        <v>0</v>
      </c>
      <c r="E15" s="279" t="s">
        <v>378</v>
      </c>
      <c r="F15" s="276">
        <v>667.671232876712</v>
      </c>
      <c r="G15" s="278">
        <f>数据基表!B27</f>
        <v>0</v>
      </c>
      <c r="H15" s="276">
        <v>574.246575342466</v>
      </c>
      <c r="I15" s="277">
        <f>数据基表!G27</f>
        <v>0</v>
      </c>
      <c r="J15" s="276">
        <v>88.2191780821918</v>
      </c>
      <c r="K15" s="295">
        <f>数据基表!Q27</f>
        <v>0</v>
      </c>
      <c r="L15" s="276">
        <v>976.438356164384</v>
      </c>
      <c r="M15" s="277">
        <f>数据基表!L27</f>
        <v>0</v>
      </c>
      <c r="N15" s="277">
        <f>数据基表!E34</f>
        <v>2020</v>
      </c>
      <c r="O15" s="293">
        <f>数据基表!J34</f>
        <v>2120</v>
      </c>
      <c r="P15" s="294">
        <f>数据基表!AI34</f>
        <v>0</v>
      </c>
      <c r="Q15" s="277">
        <f>数据基表!AK34</f>
        <v>0</v>
      </c>
      <c r="R15" s="277">
        <f>数据基表!AM34</f>
        <v>0</v>
      </c>
      <c r="S15" s="277">
        <f t="shared" si="3"/>
        <v>0</v>
      </c>
      <c r="T15" s="277">
        <f>数据基表!AH34</f>
        <v>5521</v>
      </c>
      <c r="U15" s="277">
        <f>数据基表!AJ34</f>
        <v>0</v>
      </c>
      <c r="V15" s="277">
        <f>数据基表!AL34</f>
        <v>1127</v>
      </c>
      <c r="W15" s="277">
        <f t="shared" si="4"/>
        <v>6648</v>
      </c>
      <c r="X15" s="279"/>
      <c r="Y15" s="279"/>
      <c r="AA15" s="273">
        <v>9</v>
      </c>
      <c r="AB15" s="165" t="s">
        <v>307</v>
      </c>
      <c r="AC15" s="178" t="s">
        <v>90</v>
      </c>
      <c r="AD15" s="276">
        <v>2247.26775956284</v>
      </c>
      <c r="AE15" s="178">
        <v>2247</v>
      </c>
      <c r="AF15" s="178">
        <f>G27</f>
        <v>2124.4651</v>
      </c>
      <c r="AG15" s="317">
        <f t="shared" si="1"/>
        <v>-122.5349</v>
      </c>
      <c r="AH15" s="318"/>
      <c r="AI15" s="318"/>
      <c r="AJ15" s="318"/>
      <c r="AK15" s="318"/>
      <c r="AL15" s="318"/>
      <c r="AM15" s="318"/>
      <c r="AN15" s="318"/>
      <c r="AO15" s="318"/>
    </row>
    <row r="16" ht="22" customHeight="1" spans="1:41">
      <c r="A16" s="280">
        <v>3</v>
      </c>
      <c r="B16" s="180" t="s">
        <v>374</v>
      </c>
      <c r="C16" s="180"/>
      <c r="D16" s="275">
        <f t="shared" si="2"/>
        <v>1.173548</v>
      </c>
      <c r="E16" s="184"/>
      <c r="F16" s="276">
        <v>3424.65753424658</v>
      </c>
      <c r="G16" s="281">
        <f>数据基表!B44</f>
        <v>4019</v>
      </c>
      <c r="H16" s="276">
        <v>3424.65753424658</v>
      </c>
      <c r="I16" s="281">
        <f>数据基表!G44</f>
        <v>4019</v>
      </c>
      <c r="J16" s="276">
        <v>0</v>
      </c>
      <c r="K16" s="281">
        <f>数据基表!Q44</f>
        <v>0</v>
      </c>
      <c r="L16" s="276">
        <v>3013.69863013699</v>
      </c>
      <c r="M16" s="281">
        <f>数据基表!L44</f>
        <v>2645</v>
      </c>
      <c r="N16" s="277">
        <f>数据基表!E55</f>
        <v>2045</v>
      </c>
      <c r="O16" s="293">
        <f>数据基表!J55</f>
        <v>0</v>
      </c>
      <c r="P16" s="294">
        <f>数据基表!AI55</f>
        <v>0</v>
      </c>
      <c r="Q16" s="277">
        <f>数据基表!AK55</f>
        <v>5722</v>
      </c>
      <c r="R16" s="277">
        <f>数据基表!AM55</f>
        <v>2656</v>
      </c>
      <c r="S16" s="277">
        <f t="shared" si="3"/>
        <v>8378</v>
      </c>
      <c r="T16" s="277">
        <f>数据基表!AH55</f>
        <v>4466</v>
      </c>
      <c r="U16" s="277">
        <f>数据基表!AJ55</f>
        <v>42761</v>
      </c>
      <c r="V16" s="277">
        <f>数据基表!AL55</f>
        <v>8933</v>
      </c>
      <c r="W16" s="277">
        <f t="shared" si="4"/>
        <v>56160</v>
      </c>
      <c r="X16" s="279"/>
      <c r="Y16" s="279"/>
      <c r="AA16" s="273">
        <v>10</v>
      </c>
      <c r="AB16" s="165"/>
      <c r="AC16" s="178" t="s">
        <v>91</v>
      </c>
      <c r="AD16" s="276">
        <v>2247.26775956284</v>
      </c>
      <c r="AE16" s="178">
        <v>2350</v>
      </c>
      <c r="AF16" s="178">
        <f>G28</f>
        <v>2072</v>
      </c>
      <c r="AG16" s="317">
        <f t="shared" si="1"/>
        <v>-278</v>
      </c>
      <c r="AH16" s="318" t="s">
        <v>467</v>
      </c>
      <c r="AI16" s="318"/>
      <c r="AJ16" s="318"/>
      <c r="AK16" s="318"/>
      <c r="AL16" s="318"/>
      <c r="AM16" s="318"/>
      <c r="AN16" s="318"/>
      <c r="AO16" s="318"/>
    </row>
    <row r="17" spans="1:41">
      <c r="A17" s="282"/>
      <c r="B17" s="165" t="s">
        <v>385</v>
      </c>
      <c r="C17" s="178" t="s">
        <v>67</v>
      </c>
      <c r="D17" s="275" t="e">
        <f t="shared" si="2"/>
        <v>#DIV/0!</v>
      </c>
      <c r="E17" s="178" t="s">
        <v>387</v>
      </c>
      <c r="F17" s="276">
        <v>0</v>
      </c>
      <c r="G17" s="281">
        <f>数据基表!B45</f>
        <v>0</v>
      </c>
      <c r="H17" s="276">
        <v>0</v>
      </c>
      <c r="I17" s="281">
        <f>数据基表!G45</f>
        <v>0</v>
      </c>
      <c r="J17" s="276">
        <v>0</v>
      </c>
      <c r="K17" s="281">
        <f>数据基表!Q45</f>
        <v>0</v>
      </c>
      <c r="L17" s="276">
        <v>0</v>
      </c>
      <c r="M17" s="281">
        <f>数据基表!L45</f>
        <v>0</v>
      </c>
      <c r="N17" s="277">
        <f>数据基表!E56</f>
        <v>0</v>
      </c>
      <c r="O17" s="293">
        <f>数据基表!J56</f>
        <v>0</v>
      </c>
      <c r="P17" s="294">
        <f>数据基表!AI56</f>
        <v>0</v>
      </c>
      <c r="Q17" s="277">
        <f>数据基表!AK56</f>
        <v>0</v>
      </c>
      <c r="R17" s="277">
        <f>数据基表!AM56</f>
        <v>0</v>
      </c>
      <c r="S17" s="277">
        <f t="shared" si="3"/>
        <v>0</v>
      </c>
      <c r="T17" s="277">
        <f>数据基表!AH56</f>
        <v>2638</v>
      </c>
      <c r="U17" s="277">
        <f>数据基表!AJ56</f>
        <v>5384</v>
      </c>
      <c r="V17" s="277">
        <f>数据基表!AL56</f>
        <v>0</v>
      </c>
      <c r="W17" s="277">
        <f t="shared" si="4"/>
        <v>8022</v>
      </c>
      <c r="X17" s="279"/>
      <c r="Y17" s="279"/>
      <c r="AA17" s="273">
        <v>11</v>
      </c>
      <c r="AB17" s="177" t="s">
        <v>308</v>
      </c>
      <c r="AC17" s="184" t="s">
        <v>84</v>
      </c>
      <c r="AD17" s="276">
        <v>3797.81420765027</v>
      </c>
      <c r="AE17" s="178">
        <v>1276</v>
      </c>
      <c r="AF17" s="178">
        <f>G30</f>
        <v>989</v>
      </c>
      <c r="AG17" s="317">
        <f t="shared" si="1"/>
        <v>-287</v>
      </c>
      <c r="AH17" s="318" t="s">
        <v>467</v>
      </c>
      <c r="AI17" s="318"/>
      <c r="AJ17" s="318"/>
      <c r="AK17" s="318"/>
      <c r="AL17" s="318"/>
      <c r="AM17" s="318"/>
      <c r="AN17" s="318"/>
      <c r="AO17" s="318"/>
    </row>
    <row r="18" spans="1:41">
      <c r="A18" s="282"/>
      <c r="B18" s="165"/>
      <c r="C18" s="178" t="s">
        <v>68</v>
      </c>
      <c r="D18" s="275">
        <f t="shared" si="2"/>
        <v>1.173548</v>
      </c>
      <c r="E18" s="178" t="s">
        <v>380</v>
      </c>
      <c r="F18" s="276">
        <v>3424.65753424658</v>
      </c>
      <c r="G18" s="281">
        <f>数据基表!B46</f>
        <v>4019</v>
      </c>
      <c r="H18" s="276">
        <v>3424.65753424658</v>
      </c>
      <c r="I18" s="281">
        <f>数据基表!G46</f>
        <v>4019</v>
      </c>
      <c r="J18" s="276"/>
      <c r="K18" s="281">
        <f>数据基表!Q46</f>
        <v>0</v>
      </c>
      <c r="L18" s="276">
        <v>3013.69863013699</v>
      </c>
      <c r="M18" s="281">
        <f>数据基表!L46</f>
        <v>2645</v>
      </c>
      <c r="N18" s="277">
        <f>数据基表!E57</f>
        <v>2045</v>
      </c>
      <c r="O18" s="293">
        <f>数据基表!J57</f>
        <v>0</v>
      </c>
      <c r="P18" s="294">
        <f>数据基表!AI57</f>
        <v>0</v>
      </c>
      <c r="Q18" s="277">
        <f>数据基表!AK57</f>
        <v>5722</v>
      </c>
      <c r="R18" s="277">
        <f>数据基表!AM57</f>
        <v>2656</v>
      </c>
      <c r="S18" s="277">
        <f t="shared" si="3"/>
        <v>8378</v>
      </c>
      <c r="T18" s="277">
        <f>数据基表!AH57</f>
        <v>0</v>
      </c>
      <c r="U18" s="277">
        <f>数据基表!AJ57</f>
        <v>36955</v>
      </c>
      <c r="V18" s="277">
        <f>数据基表!AL57</f>
        <v>5897</v>
      </c>
      <c r="W18" s="277">
        <f t="shared" si="4"/>
        <v>42852</v>
      </c>
      <c r="X18" s="279"/>
      <c r="Y18" s="279"/>
      <c r="AA18" s="273">
        <v>12</v>
      </c>
      <c r="AB18" s="179"/>
      <c r="AC18" s="184" t="s">
        <v>99</v>
      </c>
      <c r="AD18" s="276"/>
      <c r="AE18" s="178">
        <v>2147.97601870476</v>
      </c>
      <c r="AF18" s="178">
        <f>G32</f>
        <v>2192.76294285714</v>
      </c>
      <c r="AG18" s="317">
        <f t="shared" si="1"/>
        <v>44.7869241523827</v>
      </c>
      <c r="AH18" s="318"/>
      <c r="AI18" s="318"/>
      <c r="AJ18" s="318"/>
      <c r="AK18" s="318"/>
      <c r="AL18" s="318"/>
      <c r="AM18" s="318"/>
      <c r="AN18" s="318"/>
      <c r="AO18" s="318"/>
    </row>
    <row r="19" spans="1:41">
      <c r="A19" s="282"/>
      <c r="B19" s="165"/>
      <c r="C19" s="178" t="s">
        <v>69</v>
      </c>
      <c r="D19" s="275"/>
      <c r="E19" s="178" t="s">
        <v>119</v>
      </c>
      <c r="F19" s="276">
        <v>0</v>
      </c>
      <c r="G19" s="281">
        <f>数据基表!B47</f>
        <v>0</v>
      </c>
      <c r="H19" s="276">
        <v>0</v>
      </c>
      <c r="I19" s="281">
        <f>数据基表!G47</f>
        <v>0</v>
      </c>
      <c r="J19" s="276">
        <v>0</v>
      </c>
      <c r="K19" s="281">
        <f>数据基表!Q47</f>
        <v>0</v>
      </c>
      <c r="L19" s="276">
        <v>0</v>
      </c>
      <c r="M19" s="281">
        <f>数据基表!L47</f>
        <v>0</v>
      </c>
      <c r="N19" s="277">
        <f>数据基表!E58</f>
        <v>0</v>
      </c>
      <c r="O19" s="293">
        <f>数据基表!J58</f>
        <v>0</v>
      </c>
      <c r="P19" s="294">
        <f>数据基表!AI58</f>
        <v>0</v>
      </c>
      <c r="Q19" s="277">
        <f>数据基表!AK58</f>
        <v>0</v>
      </c>
      <c r="R19" s="277">
        <f>数据基表!AM58</f>
        <v>0</v>
      </c>
      <c r="S19" s="277">
        <f t="shared" si="3"/>
        <v>0</v>
      </c>
      <c r="T19" s="277">
        <f>数据基表!AH58</f>
        <v>0</v>
      </c>
      <c r="U19" s="277">
        <f>数据基表!AJ58</f>
        <v>0</v>
      </c>
      <c r="V19" s="277">
        <f>数据基表!AL58</f>
        <v>2505</v>
      </c>
      <c r="W19" s="277">
        <f t="shared" si="4"/>
        <v>2505</v>
      </c>
      <c r="X19" s="279"/>
      <c r="Y19" s="279"/>
      <c r="AA19" s="273">
        <v>13</v>
      </c>
      <c r="AB19" s="186"/>
      <c r="AC19" s="178" t="s">
        <v>103</v>
      </c>
      <c r="AD19" s="276"/>
      <c r="AE19" s="178">
        <v>2000</v>
      </c>
      <c r="AF19" s="178">
        <f>数据基表!B104</f>
        <v>2134.43</v>
      </c>
      <c r="AG19" s="317">
        <f t="shared" si="1"/>
        <v>134.43</v>
      </c>
      <c r="AH19" s="318"/>
      <c r="AI19" s="318"/>
      <c r="AJ19" s="318"/>
      <c r="AK19" s="318"/>
      <c r="AL19" s="318"/>
      <c r="AM19" s="318"/>
      <c r="AN19" s="318"/>
      <c r="AO19" s="318"/>
    </row>
    <row r="20" spans="1:41">
      <c r="A20" s="282"/>
      <c r="B20" s="165"/>
      <c r="C20" s="178" t="s">
        <v>468</v>
      </c>
      <c r="D20" s="275"/>
      <c r="E20" s="284" t="s">
        <v>387</v>
      </c>
      <c r="F20" s="276"/>
      <c r="G20" s="281">
        <f>数据基表!B48</f>
        <v>0</v>
      </c>
      <c r="H20" s="276"/>
      <c r="I20" s="281">
        <f>数据基表!G48</f>
        <v>0</v>
      </c>
      <c r="J20" s="276"/>
      <c r="K20" s="281">
        <f>数据基表!Q48</f>
        <v>0</v>
      </c>
      <c r="L20" s="276"/>
      <c r="M20" s="281">
        <f>数据基表!L48</f>
        <v>0</v>
      </c>
      <c r="N20" s="277">
        <f>数据基表!E59</f>
        <v>0</v>
      </c>
      <c r="O20" s="293">
        <f>数据基表!J59</f>
        <v>0</v>
      </c>
      <c r="P20" s="294">
        <f>数据基表!AI59</f>
        <v>0</v>
      </c>
      <c r="Q20" s="277">
        <f>数据基表!AK59</f>
        <v>0</v>
      </c>
      <c r="R20" s="277">
        <f>数据基表!AM59</f>
        <v>0</v>
      </c>
      <c r="S20" s="277">
        <f t="shared" si="3"/>
        <v>0</v>
      </c>
      <c r="T20" s="277">
        <f>数据基表!AH59</f>
        <v>0</v>
      </c>
      <c r="U20" s="277">
        <f>数据基表!AJ59</f>
        <v>0</v>
      </c>
      <c r="V20" s="277">
        <f>数据基表!AL59</f>
        <v>0</v>
      </c>
      <c r="W20" s="277">
        <f t="shared" si="4"/>
        <v>0</v>
      </c>
      <c r="X20" s="279"/>
      <c r="Y20" s="279"/>
      <c r="AA20" s="273">
        <v>14</v>
      </c>
      <c r="AB20" s="165" t="s">
        <v>400</v>
      </c>
      <c r="AC20" s="184" t="s">
        <v>84</v>
      </c>
      <c r="AD20" s="276">
        <v>2811.44173497268</v>
      </c>
      <c r="AE20" s="178">
        <v>2811</v>
      </c>
      <c r="AF20" s="178">
        <f>G39</f>
        <v>2960.354</v>
      </c>
      <c r="AG20" s="317">
        <f t="shared" si="1"/>
        <v>149.354</v>
      </c>
      <c r="AH20" s="318"/>
      <c r="AI20" s="318"/>
      <c r="AJ20" s="318"/>
      <c r="AK20" s="318"/>
      <c r="AL20" s="318"/>
      <c r="AM20" s="318"/>
      <c r="AN20" s="318"/>
      <c r="AO20" s="318"/>
    </row>
    <row r="21" spans="1:41">
      <c r="A21" s="282"/>
      <c r="B21" s="165"/>
      <c r="C21" s="178" t="s">
        <v>71</v>
      </c>
      <c r="D21" s="275" t="e">
        <f>G21/F21</f>
        <v>#DIV/0!</v>
      </c>
      <c r="E21" s="178" t="s">
        <v>387</v>
      </c>
      <c r="F21" s="276">
        <v>0</v>
      </c>
      <c r="G21" s="281">
        <f>数据基表!B49</f>
        <v>0</v>
      </c>
      <c r="H21" s="276">
        <v>0</v>
      </c>
      <c r="I21" s="281">
        <f>数据基表!G49</f>
        <v>0</v>
      </c>
      <c r="J21" s="276">
        <v>0</v>
      </c>
      <c r="K21" s="281">
        <f>数据基表!Q49</f>
        <v>0</v>
      </c>
      <c r="L21" s="276">
        <v>0</v>
      </c>
      <c r="M21" s="281">
        <f>数据基表!L49</f>
        <v>0</v>
      </c>
      <c r="N21" s="277">
        <f>数据基表!E60</f>
        <v>0</v>
      </c>
      <c r="O21" s="293">
        <f>数据基表!J60</f>
        <v>0</v>
      </c>
      <c r="P21" s="294">
        <f>数据基表!AI60</f>
        <v>0</v>
      </c>
      <c r="Q21" s="277">
        <f>数据基表!AK60</f>
        <v>0</v>
      </c>
      <c r="R21" s="277">
        <f>数据基表!AM60</f>
        <v>0</v>
      </c>
      <c r="S21" s="277">
        <f t="shared" si="3"/>
        <v>0</v>
      </c>
      <c r="T21" s="277">
        <f>数据基表!AH60</f>
        <v>0</v>
      </c>
      <c r="U21" s="277">
        <f>数据基表!AJ60</f>
        <v>0</v>
      </c>
      <c r="V21" s="277">
        <f>数据基表!AL60</f>
        <v>0</v>
      </c>
      <c r="W21" s="277">
        <f t="shared" si="4"/>
        <v>0</v>
      </c>
      <c r="X21" s="279"/>
      <c r="Y21" s="279"/>
      <c r="AA21" s="273">
        <v>15</v>
      </c>
      <c r="AB21" s="165"/>
      <c r="AC21" s="184" t="s">
        <v>125</v>
      </c>
      <c r="AD21" s="276">
        <v>995.901639344262</v>
      </c>
      <c r="AE21" s="178">
        <v>1052</v>
      </c>
      <c r="AF21" s="178">
        <f>G40</f>
        <v>0</v>
      </c>
      <c r="AG21" s="317">
        <f t="shared" si="1"/>
        <v>-1052</v>
      </c>
      <c r="AH21" s="318" t="s">
        <v>378</v>
      </c>
      <c r="AI21" s="318"/>
      <c r="AJ21" s="318"/>
      <c r="AK21" s="318"/>
      <c r="AL21" s="318"/>
      <c r="AM21" s="318"/>
      <c r="AN21" s="318"/>
      <c r="AO21" s="318"/>
    </row>
    <row r="22" spans="1:41">
      <c r="A22" s="283"/>
      <c r="B22" s="165"/>
      <c r="C22" s="178" t="s">
        <v>72</v>
      </c>
      <c r="D22" s="275" t="e">
        <f>G22/F22</f>
        <v>#DIV/0!</v>
      </c>
      <c r="E22" s="178" t="s">
        <v>387</v>
      </c>
      <c r="F22" s="276">
        <v>0</v>
      </c>
      <c r="G22" s="281">
        <f>数据基表!B50</f>
        <v>0</v>
      </c>
      <c r="H22" s="276">
        <v>0</v>
      </c>
      <c r="I22" s="281">
        <f>数据基表!G50</f>
        <v>0</v>
      </c>
      <c r="J22" s="276">
        <v>0</v>
      </c>
      <c r="K22" s="281">
        <f>数据基表!Q50</f>
        <v>0</v>
      </c>
      <c r="L22" s="276">
        <v>0</v>
      </c>
      <c r="M22" s="281">
        <f>数据基表!L50</f>
        <v>0</v>
      </c>
      <c r="N22" s="277">
        <f>数据基表!E61</f>
        <v>0</v>
      </c>
      <c r="O22" s="293">
        <f>数据基表!J61</f>
        <v>0</v>
      </c>
      <c r="P22" s="294">
        <f>数据基表!AI61</f>
        <v>0</v>
      </c>
      <c r="Q22" s="277">
        <f>数据基表!AK61</f>
        <v>0</v>
      </c>
      <c r="R22" s="277">
        <f>数据基表!AM61</f>
        <v>0</v>
      </c>
      <c r="S22" s="277">
        <f t="shared" si="3"/>
        <v>0</v>
      </c>
      <c r="T22" s="277">
        <f>数据基表!AH61</f>
        <v>1828</v>
      </c>
      <c r="U22" s="277">
        <f>数据基表!AJ61</f>
        <v>422</v>
      </c>
      <c r="V22" s="277">
        <f>数据基表!AL61</f>
        <v>531</v>
      </c>
      <c r="W22" s="277">
        <f t="shared" si="4"/>
        <v>2781</v>
      </c>
      <c r="X22" s="279"/>
      <c r="Y22" s="279"/>
      <c r="AA22" s="273">
        <v>16</v>
      </c>
      <c r="AB22" s="165"/>
      <c r="AC22" s="184" t="s">
        <v>469</v>
      </c>
      <c r="AD22" s="276">
        <v>1013.66120218579</v>
      </c>
      <c r="AE22" s="178">
        <v>1058</v>
      </c>
      <c r="AF22" s="178">
        <f>G41</f>
        <v>1064</v>
      </c>
      <c r="AG22" s="317">
        <f t="shared" si="1"/>
        <v>6</v>
      </c>
      <c r="AH22" s="318"/>
      <c r="AI22" s="318"/>
      <c r="AJ22" s="318"/>
      <c r="AK22" s="318"/>
      <c r="AL22" s="318"/>
      <c r="AM22" s="318"/>
      <c r="AN22" s="318"/>
      <c r="AO22" s="318"/>
    </row>
    <row r="23" spans="1:41">
      <c r="A23" s="280">
        <v>4</v>
      </c>
      <c r="B23" s="180" t="s">
        <v>374</v>
      </c>
      <c r="C23" s="180"/>
      <c r="D23" s="275">
        <f>G23/F23</f>
        <v>1.12542487186405</v>
      </c>
      <c r="E23" s="184"/>
      <c r="F23" s="276">
        <v>1015.61643835616</v>
      </c>
      <c r="G23" s="281">
        <f>数据基表!B66</f>
        <v>1143</v>
      </c>
      <c r="H23" s="276">
        <v>855.890410958904</v>
      </c>
      <c r="I23" s="281">
        <f>数据基表!G66</f>
        <v>888</v>
      </c>
      <c r="J23" s="276">
        <v>150.684931506849</v>
      </c>
      <c r="K23" s="281">
        <f>数据基表!Q66</f>
        <v>241</v>
      </c>
      <c r="L23" s="276">
        <v>986.301369863014</v>
      </c>
      <c r="M23" s="281">
        <f>数据基表!L66</f>
        <v>0</v>
      </c>
      <c r="N23" s="281">
        <f>N24</f>
        <v>0</v>
      </c>
      <c r="O23" s="281">
        <f>O24</f>
        <v>2350</v>
      </c>
      <c r="P23" s="294">
        <f>P24</f>
        <v>1206</v>
      </c>
      <c r="Q23" s="294">
        <f>Q24</f>
        <v>0</v>
      </c>
      <c r="R23" s="294">
        <f>R24</f>
        <v>127</v>
      </c>
      <c r="S23" s="277">
        <f t="shared" si="3"/>
        <v>1333</v>
      </c>
      <c r="T23" s="277">
        <f>T24</f>
        <v>7325</v>
      </c>
      <c r="U23" s="277">
        <f>U24</f>
        <v>123</v>
      </c>
      <c r="V23" s="277">
        <f>V24</f>
        <v>5919</v>
      </c>
      <c r="W23" s="277">
        <f t="shared" si="4"/>
        <v>13367</v>
      </c>
      <c r="X23" s="279"/>
      <c r="Y23" s="279"/>
      <c r="AA23" s="273">
        <v>17</v>
      </c>
      <c r="AB23" s="165" t="s">
        <v>310</v>
      </c>
      <c r="AC23" s="184" t="s">
        <v>84</v>
      </c>
      <c r="AD23" s="276">
        <v>6092.89617486339</v>
      </c>
      <c r="AE23" s="178">
        <v>5500</v>
      </c>
      <c r="AF23" s="178">
        <f>G43</f>
        <v>5261.11</v>
      </c>
      <c r="AG23" s="317">
        <f t="shared" si="1"/>
        <v>-238.89</v>
      </c>
      <c r="AH23" s="318" t="s">
        <v>467</v>
      </c>
      <c r="AI23" s="318"/>
      <c r="AJ23" s="318"/>
      <c r="AK23" s="318"/>
      <c r="AL23" s="318"/>
      <c r="AM23" s="318"/>
      <c r="AN23" s="318"/>
      <c r="AO23" s="318"/>
    </row>
    <row r="24" ht="38" customHeight="1" spans="1:41">
      <c r="A24" s="282"/>
      <c r="B24" s="165" t="s">
        <v>393</v>
      </c>
      <c r="C24" s="178" t="s">
        <v>84</v>
      </c>
      <c r="D24" s="275">
        <f>G24/F24</f>
        <v>1.12542487186405</v>
      </c>
      <c r="E24" s="178" t="s">
        <v>380</v>
      </c>
      <c r="F24" s="276">
        <v>1015.61643835616</v>
      </c>
      <c r="G24" s="281">
        <f>数据基表!B67</f>
        <v>1143</v>
      </c>
      <c r="H24" s="276">
        <v>855.890410958904</v>
      </c>
      <c r="I24" s="281">
        <f>数据基表!G67</f>
        <v>888</v>
      </c>
      <c r="J24" s="276">
        <v>150.684931506849</v>
      </c>
      <c r="K24" s="281">
        <f>数据基表!Q67</f>
        <v>241</v>
      </c>
      <c r="L24" s="276">
        <v>986.301369863014</v>
      </c>
      <c r="M24" s="281">
        <f>数据基表!L67</f>
        <v>0</v>
      </c>
      <c r="N24" s="281">
        <f>数据基表!E73</f>
        <v>0</v>
      </c>
      <c r="O24" s="297">
        <f>数据基表!J73</f>
        <v>2350</v>
      </c>
      <c r="P24" s="294">
        <f>数据基表!AI73</f>
        <v>1206</v>
      </c>
      <c r="Q24" s="277">
        <f>数据基表!AK73</f>
        <v>0</v>
      </c>
      <c r="R24" s="277">
        <f>数据基表!AM73</f>
        <v>127</v>
      </c>
      <c r="S24" s="277">
        <f t="shared" si="3"/>
        <v>1333</v>
      </c>
      <c r="T24" s="277">
        <f>数据基表!AH73</f>
        <v>7325</v>
      </c>
      <c r="U24" s="277">
        <f>数据基表!AJ73</f>
        <v>123</v>
      </c>
      <c r="V24" s="277">
        <f>数据基表!AL73</f>
        <v>5919</v>
      </c>
      <c r="W24" s="277">
        <f t="shared" si="4"/>
        <v>13367</v>
      </c>
      <c r="X24" s="279"/>
      <c r="Y24" s="279"/>
      <c r="AA24" s="273">
        <v>18</v>
      </c>
      <c r="AB24" s="165"/>
      <c r="AC24" s="184" t="s">
        <v>408</v>
      </c>
      <c r="AD24" s="276"/>
      <c r="AE24" s="178">
        <v>2443.1</v>
      </c>
      <c r="AF24" s="178">
        <f>G46</f>
        <v>2325.19</v>
      </c>
      <c r="AG24" s="317">
        <f t="shared" si="1"/>
        <v>-117.91</v>
      </c>
      <c r="AH24" s="318"/>
      <c r="AI24" s="318"/>
      <c r="AJ24" s="318"/>
      <c r="AK24" s="318"/>
      <c r="AL24" s="318"/>
      <c r="AM24" s="318"/>
      <c r="AN24" s="318"/>
      <c r="AO24" s="318"/>
    </row>
    <row r="25" spans="1:41">
      <c r="A25" s="282"/>
      <c r="B25" s="177"/>
      <c r="C25" s="285" t="s">
        <v>85</v>
      </c>
      <c r="D25" s="275"/>
      <c r="E25" s="178" t="s">
        <v>387</v>
      </c>
      <c r="F25" s="276">
        <v>0</v>
      </c>
      <c r="G25" s="281">
        <f>数据基表!B68</f>
        <v>0</v>
      </c>
      <c r="H25" s="276"/>
      <c r="I25" s="281">
        <f>数据基表!G68</f>
        <v>0</v>
      </c>
      <c r="J25" s="276"/>
      <c r="K25" s="281">
        <f>数据基表!Q68</f>
        <v>0</v>
      </c>
      <c r="L25" s="276"/>
      <c r="M25" s="281">
        <f>数据基表!L68</f>
        <v>0</v>
      </c>
      <c r="N25" s="277"/>
      <c r="O25" s="293"/>
      <c r="P25" s="294">
        <f>煤炭库存统计表!F25</f>
        <v>0</v>
      </c>
      <c r="Q25" s="277">
        <f>煤炭库存统计表!J25</f>
        <v>0</v>
      </c>
      <c r="R25" s="277">
        <f>煤炭库存统计表!M25</f>
        <v>0</v>
      </c>
      <c r="S25" s="277">
        <f t="shared" si="3"/>
        <v>0</v>
      </c>
      <c r="T25" s="277">
        <f>煤炭库存统计表!E25</f>
        <v>0</v>
      </c>
      <c r="U25" s="277">
        <f>煤炭库存统计表!I25</f>
        <v>0</v>
      </c>
      <c r="V25" s="277">
        <f>煤炭库存统计表!L25</f>
        <v>0</v>
      </c>
      <c r="W25" s="277">
        <f t="shared" si="4"/>
        <v>0</v>
      </c>
      <c r="X25" s="279"/>
      <c r="Y25" s="279"/>
      <c r="AA25" s="273">
        <v>19</v>
      </c>
      <c r="AB25" s="165" t="s">
        <v>311</v>
      </c>
      <c r="AC25" s="165"/>
      <c r="AD25" s="276">
        <v>3551.91256830601</v>
      </c>
      <c r="AE25" s="184">
        <v>3660.883</v>
      </c>
      <c r="AF25" s="184">
        <f>G48</f>
        <v>4477.125</v>
      </c>
      <c r="AG25" s="317">
        <f t="shared" si="1"/>
        <v>816.242</v>
      </c>
      <c r="AH25" s="318"/>
      <c r="AI25" s="318"/>
      <c r="AJ25" s="318"/>
      <c r="AK25" s="318"/>
      <c r="AL25" s="318"/>
      <c r="AM25" s="318"/>
      <c r="AN25" s="318"/>
      <c r="AO25" s="318"/>
    </row>
    <row r="26" ht="15" customHeight="1" spans="1:41">
      <c r="A26" s="273">
        <v>5</v>
      </c>
      <c r="B26" s="180" t="s">
        <v>374</v>
      </c>
      <c r="C26" s="180"/>
      <c r="D26" s="275">
        <f>G26/F26</f>
        <v>1.0348691044524</v>
      </c>
      <c r="E26" s="178"/>
      <c r="F26" s="276">
        <v>4055.06849315068</v>
      </c>
      <c r="G26" s="278">
        <f>数据基表!B80</f>
        <v>4196.4651</v>
      </c>
      <c r="H26" s="276">
        <v>3314.52054794521</v>
      </c>
      <c r="I26" s="277">
        <f>数据基表!G80</f>
        <v>3586.4445</v>
      </c>
      <c r="J26" s="276">
        <v>698.630136986301</v>
      </c>
      <c r="K26" s="277">
        <f>数据基表!Q80</f>
        <v>553.746</v>
      </c>
      <c r="L26" s="276">
        <v>4023.42465753425</v>
      </c>
      <c r="M26" s="277">
        <f>数据基表!L80</f>
        <v>4192.9</v>
      </c>
      <c r="N26" s="277">
        <f>数据基表!E87</f>
        <v>2133</v>
      </c>
      <c r="O26" s="298">
        <f>数据基表!J87</f>
        <v>2441</v>
      </c>
      <c r="P26" s="294">
        <f>数据基表!AI85</f>
        <v>2716</v>
      </c>
      <c r="Q26" s="277">
        <f>煤炭库存统计表!J26</f>
        <v>2896</v>
      </c>
      <c r="R26" s="277">
        <f>煤炭库存统计表!M26</f>
        <v>2352</v>
      </c>
      <c r="S26" s="277">
        <f t="shared" si="3"/>
        <v>7964</v>
      </c>
      <c r="T26" s="277">
        <f>煤炭库存统计表!E26</f>
        <v>39044</v>
      </c>
      <c r="U26" s="277">
        <f>煤炭库存统计表!I26</f>
        <v>15203</v>
      </c>
      <c r="V26" s="277">
        <f>煤炭库存统计表!L26</f>
        <v>26057.9</v>
      </c>
      <c r="W26" s="277">
        <f>煤炭库存统计表!P26</f>
        <v>80304.9</v>
      </c>
      <c r="X26" s="279"/>
      <c r="Y26" s="279"/>
      <c r="AA26" s="273">
        <v>20</v>
      </c>
      <c r="AB26" s="180" t="s">
        <v>412</v>
      </c>
      <c r="AC26" s="180"/>
      <c r="AD26" s="276"/>
      <c r="AE26" s="178"/>
      <c r="AF26" s="178"/>
      <c r="AG26" s="317">
        <f t="shared" si="1"/>
        <v>0</v>
      </c>
      <c r="AH26" s="318"/>
      <c r="AI26" s="318"/>
      <c r="AJ26" s="318"/>
      <c r="AK26" s="318"/>
      <c r="AL26" s="318"/>
      <c r="AM26" s="318"/>
      <c r="AN26" s="318"/>
      <c r="AO26" s="318"/>
    </row>
    <row r="27" ht="15" customHeight="1" spans="1:41">
      <c r="A27" s="273"/>
      <c r="B27" s="165" t="s">
        <v>307</v>
      </c>
      <c r="C27" s="180" t="s">
        <v>90</v>
      </c>
      <c r="D27" s="275"/>
      <c r="E27" s="178" t="s">
        <v>380</v>
      </c>
      <c r="F27" s="276">
        <v>2027.53424657534</v>
      </c>
      <c r="G27" s="278">
        <f>数据基表!B78</f>
        <v>2124.4651</v>
      </c>
      <c r="H27" s="276">
        <v>1657.2602739726</v>
      </c>
      <c r="I27" s="277">
        <f>数据基表!G78</f>
        <v>1769.4445</v>
      </c>
      <c r="J27" s="276">
        <v>349.315068493151</v>
      </c>
      <c r="K27" s="277">
        <f>数据基表!Q78</f>
        <v>322.746</v>
      </c>
      <c r="L27" s="276">
        <v>2011.78082191781</v>
      </c>
      <c r="M27" s="277">
        <f>数据基表!L78</f>
        <v>1751.9</v>
      </c>
      <c r="N27" s="277"/>
      <c r="O27" s="298"/>
      <c r="P27" s="294">
        <f>煤炭库存统计表!F27</f>
        <v>2716</v>
      </c>
      <c r="Q27" s="277"/>
      <c r="R27" s="277">
        <f>煤炭库存统计表!M27</f>
        <v>496</v>
      </c>
      <c r="S27" s="277"/>
      <c r="T27" s="277">
        <f>煤炭库存统计表!E27</f>
        <v>39044</v>
      </c>
      <c r="U27" s="277"/>
      <c r="V27" s="277">
        <f>煤炭库存统计表!L27</f>
        <v>10359.9</v>
      </c>
      <c r="W27" s="277"/>
      <c r="X27" s="279"/>
      <c r="Y27" s="279"/>
      <c r="AA27" s="273">
        <v>21</v>
      </c>
      <c r="AB27" s="180" t="s">
        <v>414</v>
      </c>
      <c r="AC27" s="180"/>
      <c r="AD27" s="276">
        <v>857.650273224044</v>
      </c>
      <c r="AE27" s="178">
        <v>858</v>
      </c>
      <c r="AF27" s="178">
        <f t="shared" ref="AF27:AF32" si="5">G51</f>
        <v>836</v>
      </c>
      <c r="AG27" s="317">
        <f t="shared" si="1"/>
        <v>-22</v>
      </c>
      <c r="AH27" s="318"/>
      <c r="AI27" s="318"/>
      <c r="AJ27" s="318"/>
      <c r="AK27" s="318"/>
      <c r="AL27" s="318"/>
      <c r="AM27" s="318"/>
      <c r="AN27" s="318"/>
      <c r="AO27" s="318"/>
    </row>
    <row r="28" ht="15" customHeight="1" spans="1:41">
      <c r="A28" s="273"/>
      <c r="B28" s="165"/>
      <c r="C28" s="180" t="s">
        <v>91</v>
      </c>
      <c r="D28" s="275"/>
      <c r="E28" s="178" t="s">
        <v>380</v>
      </c>
      <c r="F28" s="276">
        <v>2027.53424657534</v>
      </c>
      <c r="G28" s="278">
        <f>数据基表!B79</f>
        <v>2072</v>
      </c>
      <c r="H28" s="276">
        <v>1657.2602739726</v>
      </c>
      <c r="I28" s="277">
        <f>数据基表!G79</f>
        <v>1817</v>
      </c>
      <c r="J28" s="276">
        <v>349.315068493151</v>
      </c>
      <c r="K28" s="277">
        <f>数据基表!Q79</f>
        <v>231</v>
      </c>
      <c r="L28" s="276">
        <v>2011.78082191781</v>
      </c>
      <c r="M28" s="277">
        <f>数据基表!L79</f>
        <v>2441</v>
      </c>
      <c r="N28" s="277"/>
      <c r="O28" s="298"/>
      <c r="P28" s="294"/>
      <c r="Q28" s="277">
        <f>煤炭库存统计表!J28</f>
        <v>2896</v>
      </c>
      <c r="R28" s="277">
        <f>煤炭库存统计表!M28</f>
        <v>1856</v>
      </c>
      <c r="S28" s="277"/>
      <c r="T28" s="277"/>
      <c r="U28" s="277">
        <f>煤炭库存统计表!I28</f>
        <v>15203</v>
      </c>
      <c r="V28" s="277"/>
      <c r="W28" s="277"/>
      <c r="X28" s="279"/>
      <c r="Y28" s="279"/>
      <c r="AA28" s="273">
        <v>22</v>
      </c>
      <c r="AB28" s="180" t="s">
        <v>415</v>
      </c>
      <c r="AC28" s="180"/>
      <c r="AD28" s="276">
        <v>710.382513661202</v>
      </c>
      <c r="AE28" s="178">
        <v>1201.3</v>
      </c>
      <c r="AF28" s="178">
        <f t="shared" si="5"/>
        <v>1206.44</v>
      </c>
      <c r="AG28" s="317">
        <f t="shared" si="1"/>
        <v>5.1400000000001</v>
      </c>
      <c r="AH28" s="318"/>
      <c r="AI28" s="318"/>
      <c r="AJ28" s="318"/>
      <c r="AK28" s="318"/>
      <c r="AL28" s="318"/>
      <c r="AM28" s="318"/>
      <c r="AN28" s="318"/>
      <c r="AO28" s="318"/>
    </row>
    <row r="29" spans="1:41">
      <c r="A29" s="280">
        <v>6</v>
      </c>
      <c r="B29" s="180" t="s">
        <v>374</v>
      </c>
      <c r="C29" s="180"/>
      <c r="D29" s="275">
        <f t="shared" ref="D29:D48" si="6">G29/F29</f>
        <v>1.22810786338156</v>
      </c>
      <c r="E29" s="184"/>
      <c r="F29" s="276">
        <v>4328.76712328767</v>
      </c>
      <c r="G29" s="281">
        <f>数据基表!B92</f>
        <v>5316.19294285714</v>
      </c>
      <c r="H29" s="276">
        <v>2191.78082191781</v>
      </c>
      <c r="I29" s="281">
        <f>数据基表!G92</f>
        <v>3072.43</v>
      </c>
      <c r="J29" s="276">
        <v>1939.72602739726</v>
      </c>
      <c r="K29" s="281">
        <f>数据基表!Q92</f>
        <v>1997</v>
      </c>
      <c r="L29" s="276">
        <v>3013.69863013699</v>
      </c>
      <c r="M29" s="281">
        <f>数据基表!L92</f>
        <v>4228.51</v>
      </c>
      <c r="N29" s="281">
        <f>数据基表!E95</f>
        <v>2077.05758017493</v>
      </c>
      <c r="O29" s="297">
        <f>数据基表!J95</f>
        <v>2220.59242662298</v>
      </c>
      <c r="P29" s="294">
        <f>数据基表!AI118</f>
        <v>1048.34</v>
      </c>
      <c r="Q29" s="277">
        <f>数据基表!AK118</f>
        <v>2706.1</v>
      </c>
      <c r="R29" s="277">
        <f>R30+R32</f>
        <v>1748.8</v>
      </c>
      <c r="S29" s="277">
        <f t="shared" ref="S29:S56" si="7">P29+Q29+R29</f>
        <v>5503.24</v>
      </c>
      <c r="T29" s="277">
        <f>T30</f>
        <v>12482</v>
      </c>
      <c r="U29" s="277">
        <f>U32</f>
        <v>23304.15</v>
      </c>
      <c r="V29" s="277">
        <f>V30+V32</f>
        <v>13785.59</v>
      </c>
      <c r="W29" s="277">
        <f t="shared" ref="W29:W56" si="8">T29+U29+V29</f>
        <v>49571.74</v>
      </c>
      <c r="X29" s="279"/>
      <c r="Y29" s="279"/>
      <c r="AA29" s="273">
        <v>23</v>
      </c>
      <c r="AB29" s="180" t="s">
        <v>416</v>
      </c>
      <c r="AC29" s="180"/>
      <c r="AD29" s="276">
        <v>1595.90163934426</v>
      </c>
      <c r="AE29" s="178">
        <v>1950</v>
      </c>
      <c r="AF29" s="178">
        <f t="shared" si="5"/>
        <v>2029.69</v>
      </c>
      <c r="AG29" s="317">
        <f t="shared" si="1"/>
        <v>79.6900000000001</v>
      </c>
      <c r="AH29" s="318"/>
      <c r="AI29" s="318"/>
      <c r="AJ29" s="318"/>
      <c r="AK29" s="318"/>
      <c r="AL29" s="318"/>
      <c r="AM29" s="318"/>
      <c r="AN29" s="318"/>
      <c r="AO29" s="318"/>
    </row>
    <row r="30" spans="1:41">
      <c r="A30" s="282"/>
      <c r="B30" s="177" t="s">
        <v>395</v>
      </c>
      <c r="C30" s="184" t="s">
        <v>84</v>
      </c>
      <c r="D30" s="275">
        <f t="shared" si="6"/>
        <v>0.228471518987342</v>
      </c>
      <c r="E30" s="178" t="s">
        <v>380</v>
      </c>
      <c r="F30" s="276">
        <v>4328.76712328767</v>
      </c>
      <c r="G30" s="278">
        <f>数据基表!B101</f>
        <v>989</v>
      </c>
      <c r="H30" s="276">
        <v>2191.78082191781</v>
      </c>
      <c r="I30" s="294">
        <f>数据基表!G101</f>
        <v>938</v>
      </c>
      <c r="J30" s="276">
        <v>1939.72602739726</v>
      </c>
      <c r="K30" s="294">
        <f>数据基表!Q101</f>
        <v>47.4</v>
      </c>
      <c r="L30" s="276">
        <v>3013.69863013699</v>
      </c>
      <c r="M30" s="294">
        <f>数据基表!L101</f>
        <v>1279</v>
      </c>
      <c r="N30" s="281">
        <f>数据基表!E112</f>
        <v>2103.06270358306</v>
      </c>
      <c r="O30" s="297"/>
      <c r="P30" s="294">
        <f>数据基表!AI112</f>
        <v>1048.34</v>
      </c>
      <c r="Q30" s="277">
        <f>煤炭库存统计表!J30</f>
        <v>0</v>
      </c>
      <c r="R30" s="277">
        <f>数据基表!K124</f>
        <v>569</v>
      </c>
      <c r="S30" s="277">
        <f t="shared" si="7"/>
        <v>1617.34</v>
      </c>
      <c r="T30" s="277">
        <f>数据基表!AH112</f>
        <v>12482</v>
      </c>
      <c r="U30" s="277"/>
      <c r="V30" s="277">
        <f>数据基表!J124</f>
        <v>5409</v>
      </c>
      <c r="W30" s="277">
        <f t="shared" si="8"/>
        <v>17891</v>
      </c>
      <c r="X30" s="279"/>
      <c r="Y30" s="279"/>
      <c r="AA30" s="273">
        <v>24</v>
      </c>
      <c r="AB30" s="180" t="s">
        <v>470</v>
      </c>
      <c r="AC30" s="180"/>
      <c r="AD30" s="276">
        <v>1010.92896174863</v>
      </c>
      <c r="AE30" s="178">
        <v>1200</v>
      </c>
      <c r="AF30" s="178">
        <f t="shared" si="5"/>
        <v>1166</v>
      </c>
      <c r="AG30" s="317">
        <f t="shared" si="1"/>
        <v>-34</v>
      </c>
      <c r="AH30" s="318" t="s">
        <v>471</v>
      </c>
      <c r="AI30" s="318"/>
      <c r="AJ30" s="318"/>
      <c r="AK30" s="318"/>
      <c r="AL30" s="318"/>
      <c r="AM30" s="318"/>
      <c r="AN30" s="318"/>
      <c r="AO30" s="318"/>
    </row>
    <row r="31" spans="1:41">
      <c r="A31" s="282"/>
      <c r="B31" s="179"/>
      <c r="C31" s="184" t="s">
        <v>103</v>
      </c>
      <c r="D31" s="275">
        <v>0</v>
      </c>
      <c r="E31" s="178" t="s">
        <v>378</v>
      </c>
      <c r="F31" s="276">
        <v>0</v>
      </c>
      <c r="G31" s="278">
        <f>数据基表!B104</f>
        <v>2134.43</v>
      </c>
      <c r="H31" s="276">
        <v>0</v>
      </c>
      <c r="I31" s="294"/>
      <c r="J31" s="276">
        <v>0</v>
      </c>
      <c r="K31" s="294"/>
      <c r="L31" s="276">
        <v>0</v>
      </c>
      <c r="M31" s="294"/>
      <c r="N31" s="299"/>
      <c r="O31" s="300"/>
      <c r="P31" s="294">
        <f>煤炭库存统计表!F31</f>
        <v>0</v>
      </c>
      <c r="Q31" s="277">
        <f>煤炭库存统计表!J31</f>
        <v>0</v>
      </c>
      <c r="R31" s="277">
        <f>煤炭库存统计表!M31</f>
        <v>0</v>
      </c>
      <c r="S31" s="277">
        <f t="shared" si="7"/>
        <v>0</v>
      </c>
      <c r="T31" s="277">
        <f>煤炭库存统计表!E31</f>
        <v>0</v>
      </c>
      <c r="U31" s="277">
        <f>煤炭库存统计表!I31</f>
        <v>0</v>
      </c>
      <c r="V31" s="277"/>
      <c r="W31" s="277">
        <f t="shared" si="8"/>
        <v>0</v>
      </c>
      <c r="X31" s="279"/>
      <c r="Y31" s="279"/>
      <c r="AA31" s="273">
        <v>25</v>
      </c>
      <c r="AB31" s="180" t="s">
        <v>318</v>
      </c>
      <c r="AC31" s="180"/>
      <c r="AD31" s="276">
        <v>2185.79234972678</v>
      </c>
      <c r="AE31" s="178">
        <v>2500</v>
      </c>
      <c r="AF31" s="178">
        <f t="shared" si="5"/>
        <v>2825.91</v>
      </c>
      <c r="AG31" s="317">
        <f t="shared" si="1"/>
        <v>325.91</v>
      </c>
      <c r="AH31" s="318"/>
      <c r="AI31" s="318"/>
      <c r="AJ31" s="318"/>
      <c r="AK31" s="318"/>
      <c r="AL31" s="318"/>
      <c r="AM31" s="318"/>
      <c r="AN31" s="318"/>
      <c r="AO31" s="318"/>
    </row>
    <row r="32" spans="1:41">
      <c r="A32" s="282"/>
      <c r="B32" s="179"/>
      <c r="C32" t="s">
        <v>99</v>
      </c>
      <c r="D32" s="275"/>
      <c r="E32" s="178" t="s">
        <v>380</v>
      </c>
      <c r="F32" s="276"/>
      <c r="G32" s="278">
        <f>数据基表!B100</f>
        <v>2192.76294285714</v>
      </c>
      <c r="H32" s="276"/>
      <c r="I32" s="294"/>
      <c r="J32" s="276"/>
      <c r="K32" s="294">
        <f>数据基表!Q100</f>
        <v>1949.6</v>
      </c>
      <c r="L32" s="276"/>
      <c r="M32" s="294"/>
      <c r="N32" s="294"/>
      <c r="O32" s="300"/>
      <c r="P32" s="294"/>
      <c r="Q32" s="277">
        <f>数据基表!AK111</f>
        <v>2706.1</v>
      </c>
      <c r="R32" s="277">
        <f>数据基表!K127</f>
        <v>1179.8</v>
      </c>
      <c r="S32" s="277">
        <f t="shared" si="7"/>
        <v>3885.9</v>
      </c>
      <c r="T32" s="277"/>
      <c r="U32" s="277">
        <f>数据基表!AJ111</f>
        <v>23304.15</v>
      </c>
      <c r="V32" s="277">
        <f>数据基表!J127</f>
        <v>8376.59</v>
      </c>
      <c r="W32" s="277">
        <f t="shared" si="8"/>
        <v>31680.74</v>
      </c>
      <c r="X32" s="279"/>
      <c r="Y32" s="279"/>
      <c r="AA32" s="273">
        <v>26</v>
      </c>
      <c r="AB32" s="180" t="s">
        <v>419</v>
      </c>
      <c r="AC32" s="180"/>
      <c r="AD32" s="276">
        <v>3169.39890710382</v>
      </c>
      <c r="AE32" s="178">
        <v>4300</v>
      </c>
      <c r="AF32" s="178">
        <f t="shared" si="5"/>
        <v>0</v>
      </c>
      <c r="AG32" s="317">
        <f t="shared" si="1"/>
        <v>-4300</v>
      </c>
      <c r="AH32" s="318" t="s">
        <v>378</v>
      </c>
      <c r="AI32" s="318"/>
      <c r="AJ32" s="318"/>
      <c r="AK32" s="318"/>
      <c r="AL32" s="318"/>
      <c r="AM32" s="318"/>
      <c r="AN32" s="318"/>
      <c r="AO32" s="318"/>
    </row>
    <row r="33" spans="1:41">
      <c r="A33" s="282"/>
      <c r="B33" s="179"/>
      <c r="C33" s="184" t="s">
        <v>472</v>
      </c>
      <c r="D33" s="275"/>
      <c r="E33" s="178" t="s">
        <v>387</v>
      </c>
      <c r="F33" s="276"/>
      <c r="G33" s="278"/>
      <c r="H33" s="276"/>
      <c r="I33" s="294"/>
      <c r="J33" s="276"/>
      <c r="K33" s="294"/>
      <c r="L33" s="276"/>
      <c r="M33" s="294"/>
      <c r="N33" s="294"/>
      <c r="O33" s="300"/>
      <c r="P33" s="294">
        <f>煤炭库存统计表!F33</f>
        <v>0</v>
      </c>
      <c r="Q33" s="277"/>
      <c r="R33" s="277"/>
      <c r="S33" s="277"/>
      <c r="T33" s="277"/>
      <c r="U33" s="277"/>
      <c r="V33" s="277"/>
      <c r="W33" s="277">
        <f t="shared" si="8"/>
        <v>0</v>
      </c>
      <c r="X33" s="279"/>
      <c r="Y33" s="279"/>
      <c r="AA33" s="273">
        <v>27</v>
      </c>
      <c r="AB33" s="165" t="s">
        <v>312</v>
      </c>
      <c r="AC33" s="165"/>
      <c r="AD33" s="276">
        <v>983.606557377049</v>
      </c>
      <c r="AE33" s="178">
        <v>984</v>
      </c>
      <c r="AF33" s="178">
        <f>G36</f>
        <v>1140</v>
      </c>
      <c r="AG33" s="317">
        <f t="shared" si="1"/>
        <v>156</v>
      </c>
      <c r="AH33" s="318"/>
      <c r="AI33" s="318"/>
      <c r="AJ33" s="318"/>
      <c r="AK33" s="318"/>
      <c r="AL33" s="318"/>
      <c r="AM33" s="318"/>
      <c r="AN33" s="318"/>
      <c r="AO33" s="318"/>
    </row>
    <row r="34" ht="10" customHeight="1" spans="1:25">
      <c r="A34" s="283"/>
      <c r="B34" s="186"/>
      <c r="C34" s="184" t="s">
        <v>106</v>
      </c>
      <c r="D34" s="275"/>
      <c r="E34" s="178" t="s">
        <v>387</v>
      </c>
      <c r="F34" s="276"/>
      <c r="G34" s="286"/>
      <c r="H34" s="276"/>
      <c r="I34" s="294"/>
      <c r="J34" s="276"/>
      <c r="K34" s="294"/>
      <c r="L34" s="276"/>
      <c r="M34" s="294"/>
      <c r="N34" s="294"/>
      <c r="O34" s="293"/>
      <c r="P34" s="294">
        <f>煤炭库存统计表!F34</f>
        <v>0</v>
      </c>
      <c r="Q34" s="277">
        <f>煤炭库存统计表!J34</f>
        <v>0</v>
      </c>
      <c r="R34" s="277">
        <f>煤炭库存统计表!M34</f>
        <v>0</v>
      </c>
      <c r="S34" s="277">
        <f t="shared" si="7"/>
        <v>0</v>
      </c>
      <c r="T34" s="277">
        <f>煤炭库存统计表!E34</f>
        <v>0</v>
      </c>
      <c r="U34" s="277">
        <f>煤炭库存统计表!I34</f>
        <v>0</v>
      </c>
      <c r="V34" s="277"/>
      <c r="W34" s="277">
        <f t="shared" si="8"/>
        <v>0</v>
      </c>
      <c r="X34" s="279"/>
      <c r="Y34" s="279"/>
    </row>
    <row r="35" spans="1:25">
      <c r="A35" s="280">
        <v>7</v>
      </c>
      <c r="B35" s="180" t="s">
        <v>374</v>
      </c>
      <c r="C35" s="180"/>
      <c r="D35" s="275">
        <f t="shared" si="6"/>
        <v>1.15583333333333</v>
      </c>
      <c r="E35" s="184"/>
      <c r="F35" s="276">
        <v>986.301369863014</v>
      </c>
      <c r="G35" s="281">
        <f>数据基表!B197</f>
        <v>1140</v>
      </c>
      <c r="H35" s="276">
        <v>547.945205479452</v>
      </c>
      <c r="I35" s="281">
        <f>I36</f>
        <v>880</v>
      </c>
      <c r="J35" s="276">
        <v>328.767123287671</v>
      </c>
      <c r="K35" s="281">
        <f>K36</f>
        <v>260</v>
      </c>
      <c r="L35" s="276">
        <v>82.1917808219178</v>
      </c>
      <c r="M35" s="281">
        <f>M36</f>
        <v>0</v>
      </c>
      <c r="N35" s="281">
        <f>N36</f>
        <v>0</v>
      </c>
      <c r="O35" s="281">
        <f>O36</f>
        <v>0</v>
      </c>
      <c r="P35" s="294">
        <f>P36</f>
        <v>700</v>
      </c>
      <c r="Q35" s="277">
        <f>煤炭库存统计表!J35</f>
        <v>0</v>
      </c>
      <c r="R35" s="277"/>
      <c r="S35" s="277">
        <f t="shared" si="7"/>
        <v>700</v>
      </c>
      <c r="T35" s="277">
        <f>T36</f>
        <v>1000</v>
      </c>
      <c r="U35" s="277">
        <f>煤炭库存统计表!I35</f>
        <v>0</v>
      </c>
      <c r="V35" s="277"/>
      <c r="W35" s="277">
        <f t="shared" si="8"/>
        <v>1000</v>
      </c>
      <c r="X35" s="279"/>
      <c r="Y35" s="279"/>
    </row>
    <row r="36" ht="45" customHeight="1" spans="1:25">
      <c r="A36" s="282"/>
      <c r="B36" s="165" t="s">
        <v>397</v>
      </c>
      <c r="C36" s="184" t="s">
        <v>84</v>
      </c>
      <c r="D36" s="275">
        <f t="shared" si="6"/>
        <v>1.15583333333333</v>
      </c>
      <c r="E36" s="178" t="s">
        <v>380</v>
      </c>
      <c r="F36" s="276">
        <v>986.301369863014</v>
      </c>
      <c r="G36" s="278">
        <f>数据基表!B197</f>
        <v>1140</v>
      </c>
      <c r="H36" s="276">
        <v>547.945205479452</v>
      </c>
      <c r="I36" s="278">
        <f>数据基表!G197</f>
        <v>880</v>
      </c>
      <c r="J36" s="276">
        <v>328.767123287671</v>
      </c>
      <c r="K36" s="294">
        <f>数据基表!Q197</f>
        <v>260</v>
      </c>
      <c r="L36" s="276">
        <v>82.1917808219178</v>
      </c>
      <c r="M36" s="294">
        <f>数据基表!L197</f>
        <v>0</v>
      </c>
      <c r="N36" s="281">
        <f>数据基表!E204</f>
        <v>0</v>
      </c>
      <c r="O36" s="300">
        <f>数据基表!J204</f>
        <v>0</v>
      </c>
      <c r="P36" s="294">
        <f>数据基表!B209</f>
        <v>700</v>
      </c>
      <c r="Q36" s="277"/>
      <c r="R36" s="277"/>
      <c r="S36" s="277">
        <f t="shared" si="7"/>
        <v>700</v>
      </c>
      <c r="T36" s="277">
        <f>数据基表!A209</f>
        <v>1000</v>
      </c>
      <c r="U36" s="277">
        <f>煤炭库存统计表!I36</f>
        <v>2550</v>
      </c>
      <c r="V36" s="277"/>
      <c r="W36" s="277">
        <f t="shared" si="8"/>
        <v>3550</v>
      </c>
      <c r="X36" s="279"/>
      <c r="Y36" s="279"/>
    </row>
    <row r="37" hidden="1" spans="1:25">
      <c r="A37" s="283"/>
      <c r="B37" s="165"/>
      <c r="C37" s="184" t="s">
        <v>187</v>
      </c>
      <c r="D37" s="275"/>
      <c r="E37" s="178" t="s">
        <v>399</v>
      </c>
      <c r="F37" s="276"/>
      <c r="G37" s="278"/>
      <c r="H37" s="276"/>
      <c r="I37" s="294"/>
      <c r="J37" s="276"/>
      <c r="K37" s="294"/>
      <c r="L37" s="276"/>
      <c r="M37" s="294"/>
      <c r="N37" s="294"/>
      <c r="O37" s="300"/>
      <c r="P37" s="294">
        <f>煤炭库存统计表!F37</f>
        <v>0</v>
      </c>
      <c r="Q37" s="277">
        <f>煤炭库存统计表!J37</f>
        <v>0</v>
      </c>
      <c r="R37" s="277">
        <f>煤炭库存统计表!M37</f>
        <v>0</v>
      </c>
      <c r="S37" s="277">
        <f t="shared" si="7"/>
        <v>0</v>
      </c>
      <c r="T37" s="277">
        <f>煤炭库存统计表!E37</f>
        <v>0</v>
      </c>
      <c r="U37" s="277">
        <f>煤炭库存统计表!I37</f>
        <v>0</v>
      </c>
      <c r="V37" s="277">
        <f>煤炭库存统计表!L37</f>
        <v>0</v>
      </c>
      <c r="W37" s="277">
        <f t="shared" si="8"/>
        <v>0</v>
      </c>
      <c r="X37" s="279"/>
      <c r="Y37" s="279"/>
    </row>
    <row r="38" spans="1:25">
      <c r="A38" s="280">
        <v>8</v>
      </c>
      <c r="B38" s="180" t="s">
        <v>374</v>
      </c>
      <c r="C38" s="180"/>
      <c r="D38" s="275">
        <f t="shared" si="6"/>
        <v>0.84759788787258</v>
      </c>
      <c r="E38" s="184"/>
      <c r="F38" s="276">
        <v>4747.53424657534</v>
      </c>
      <c r="G38" s="281">
        <f>数据基表!B133</f>
        <v>4024</v>
      </c>
      <c r="H38" s="276">
        <v>3256.43835616438</v>
      </c>
      <c r="I38" s="281">
        <f>数据基表!G133</f>
        <v>2568</v>
      </c>
      <c r="J38" s="276">
        <v>1406.84931506849</v>
      </c>
      <c r="K38" s="281">
        <f>数据基表!Q133</f>
        <v>1280</v>
      </c>
      <c r="L38" s="276">
        <v>3451.09589041096</v>
      </c>
      <c r="M38" s="281">
        <f>数据基表!L133</f>
        <v>2871</v>
      </c>
      <c r="N38" s="294">
        <f>数据基表!E141</f>
        <v>2119</v>
      </c>
      <c r="O38" s="300">
        <f>数据基表!J141</f>
        <v>2306</v>
      </c>
      <c r="P38" s="294">
        <f>数据基表!AI141</f>
        <v>663</v>
      </c>
      <c r="Q38" s="277">
        <f>数据基表!AK141</f>
        <v>4635</v>
      </c>
      <c r="R38" s="277">
        <f>R39+R40+R41</f>
        <v>2569</v>
      </c>
      <c r="S38" s="277">
        <f t="shared" si="7"/>
        <v>7867</v>
      </c>
      <c r="T38" s="277">
        <f>数据基表!AH141</f>
        <v>42283</v>
      </c>
      <c r="U38" s="277">
        <f>数据基表!AJ141</f>
        <v>90527</v>
      </c>
      <c r="V38" s="277">
        <f>V39+V40+V41</f>
        <v>58408</v>
      </c>
      <c r="W38" s="277">
        <f t="shared" si="8"/>
        <v>191218</v>
      </c>
      <c r="X38" s="279"/>
      <c r="Y38" s="279"/>
    </row>
    <row r="39" spans="1:25">
      <c r="A39" s="282"/>
      <c r="B39" s="177" t="s">
        <v>400</v>
      </c>
      <c r="C39" s="184" t="s">
        <v>84</v>
      </c>
      <c r="D39" s="275">
        <f t="shared" si="6"/>
        <v>1.03667774153315</v>
      </c>
      <c r="E39" s="178" t="s">
        <v>380</v>
      </c>
      <c r="F39" s="276">
        <v>2855.61643835616</v>
      </c>
      <c r="G39" s="278">
        <f>数据基表!C134</f>
        <v>2960.354</v>
      </c>
      <c r="H39" s="276">
        <v>1489.31506849315</v>
      </c>
      <c r="I39" s="277">
        <f>数据基表!H134</f>
        <v>1504</v>
      </c>
      <c r="J39" s="276">
        <v>1289.04109589041</v>
      </c>
      <c r="K39" s="277">
        <f>数据基表!R134</f>
        <v>1280</v>
      </c>
      <c r="L39" s="276">
        <v>1219.17808219178</v>
      </c>
      <c r="M39" s="277">
        <f>数据基表!M134</f>
        <v>1287</v>
      </c>
      <c r="N39" s="294">
        <f>数据基表!D142</f>
        <v>2119</v>
      </c>
      <c r="O39" s="300">
        <f>数据基表!I142</f>
        <v>2306</v>
      </c>
      <c r="P39" s="294">
        <f>数据基表!E149</f>
        <v>663</v>
      </c>
      <c r="Q39" s="277">
        <f>数据基表!H149</f>
        <v>3248</v>
      </c>
      <c r="R39" s="277">
        <f>数据基表!K149</f>
        <v>1362</v>
      </c>
      <c r="S39" s="277">
        <f t="shared" si="7"/>
        <v>5273</v>
      </c>
      <c r="T39" s="277">
        <f>数据基表!D149</f>
        <v>15367</v>
      </c>
      <c r="U39" s="277">
        <f>数据基表!G149</f>
        <v>46290</v>
      </c>
      <c r="V39" s="277">
        <f>数据基表!J149</f>
        <v>36618</v>
      </c>
      <c r="W39" s="277">
        <f t="shared" si="8"/>
        <v>98275</v>
      </c>
      <c r="X39" s="279"/>
      <c r="Y39" s="279"/>
    </row>
    <row r="40" spans="1:25">
      <c r="A40" s="282"/>
      <c r="B40" s="179"/>
      <c r="C40" s="184" t="s">
        <v>125</v>
      </c>
      <c r="D40" s="275">
        <f t="shared" si="6"/>
        <v>0</v>
      </c>
      <c r="E40" s="178" t="s">
        <v>378</v>
      </c>
      <c r="F40" s="276">
        <v>886.575342465753</v>
      </c>
      <c r="G40" s="278">
        <f>数据基表!C135</f>
        <v>0</v>
      </c>
      <c r="H40" s="276">
        <v>761.643835616438</v>
      </c>
      <c r="I40" s="277">
        <f>数据基表!H135</f>
        <v>0</v>
      </c>
      <c r="J40" s="276">
        <v>117.808219178082</v>
      </c>
      <c r="K40" s="277">
        <f>数据基表!R135</f>
        <v>0</v>
      </c>
      <c r="L40" s="276">
        <v>652.054794520548</v>
      </c>
      <c r="M40" s="277">
        <f>数据基表!M135</f>
        <v>0</v>
      </c>
      <c r="N40" s="294">
        <f>数据基表!D143</f>
        <v>2162</v>
      </c>
      <c r="O40" s="300">
        <f>数据基表!I143</f>
        <v>2400</v>
      </c>
      <c r="P40" s="294">
        <f>数据基表!E150</f>
        <v>0</v>
      </c>
      <c r="Q40" s="277">
        <f>数据基表!H150</f>
        <v>0</v>
      </c>
      <c r="R40" s="277">
        <f>数据基表!K150</f>
        <v>368</v>
      </c>
      <c r="S40" s="277">
        <f t="shared" si="7"/>
        <v>368</v>
      </c>
      <c r="T40" s="277">
        <f>数据基表!D150</f>
        <v>26916</v>
      </c>
      <c r="U40" s="277">
        <f>数据基表!G150</f>
        <v>7290</v>
      </c>
      <c r="V40" s="277">
        <f>数据基表!J150</f>
        <v>6713</v>
      </c>
      <c r="W40" s="277">
        <f t="shared" si="8"/>
        <v>40919</v>
      </c>
      <c r="X40" s="279"/>
      <c r="Y40" s="279"/>
    </row>
    <row r="41" spans="1:25">
      <c r="A41" s="283"/>
      <c r="B41" s="186"/>
      <c r="C41" s="184" t="s">
        <v>469</v>
      </c>
      <c r="D41" s="275">
        <f t="shared" si="6"/>
        <v>1.05820163487739</v>
      </c>
      <c r="E41" s="178" t="s">
        <v>380</v>
      </c>
      <c r="F41" s="276">
        <v>1005.47945205479</v>
      </c>
      <c r="G41" s="278">
        <f>数据基表!C136</f>
        <v>1064</v>
      </c>
      <c r="H41" s="276">
        <v>1005.47945205479</v>
      </c>
      <c r="I41" s="277">
        <f>数据基表!H136</f>
        <v>1064</v>
      </c>
      <c r="J41" s="276"/>
      <c r="K41" s="277">
        <f>数据基表!R136</f>
        <v>0</v>
      </c>
      <c r="L41" s="276">
        <v>1580</v>
      </c>
      <c r="M41" s="277">
        <f>数据基表!M136</f>
        <v>1584</v>
      </c>
      <c r="N41" s="294">
        <f>数据基表!D144</f>
        <v>1600</v>
      </c>
      <c r="O41" s="293"/>
      <c r="P41" s="294">
        <f>数据基表!E151</f>
        <v>0</v>
      </c>
      <c r="Q41" s="277">
        <f>数据基表!H151</f>
        <v>1387</v>
      </c>
      <c r="R41" s="277">
        <f>数据基表!K151</f>
        <v>839</v>
      </c>
      <c r="S41" s="277">
        <f t="shared" si="7"/>
        <v>2226</v>
      </c>
      <c r="T41" s="277">
        <f>数据基表!D151</f>
        <v>0</v>
      </c>
      <c r="U41" s="277">
        <f>数据基表!G151</f>
        <v>36947</v>
      </c>
      <c r="V41" s="277">
        <f>数据基表!J151</f>
        <v>15077</v>
      </c>
      <c r="W41" s="277">
        <f t="shared" si="8"/>
        <v>52024</v>
      </c>
      <c r="X41" s="279"/>
      <c r="Y41" s="279"/>
    </row>
    <row r="42" ht="16" customHeight="1" spans="1:25">
      <c r="A42" s="280">
        <v>9</v>
      </c>
      <c r="B42" s="180" t="s">
        <v>374</v>
      </c>
      <c r="C42" s="180"/>
      <c r="D42" s="275">
        <f t="shared" si="6"/>
        <v>1.13804466370874</v>
      </c>
      <c r="E42" s="184"/>
      <c r="F42" s="276">
        <v>6607.12328767123</v>
      </c>
      <c r="G42" s="281">
        <f>数据基表!B159</f>
        <v>7519.2014</v>
      </c>
      <c r="H42" s="276">
        <v>4039.72602739726</v>
      </c>
      <c r="I42" s="281">
        <f>SUM(I43:I46)</f>
        <v>4282.4278</v>
      </c>
      <c r="J42" s="276">
        <v>2422.19178082192</v>
      </c>
      <c r="K42" s="281">
        <f>SUM(K43:K46)</f>
        <v>2531.8</v>
      </c>
      <c r="L42" s="276">
        <v>4150.68493150685</v>
      </c>
      <c r="M42" s="281">
        <f>SUM(M43:M46)</f>
        <v>2825.77</v>
      </c>
      <c r="N42" s="301">
        <f>N43</f>
        <v>2210</v>
      </c>
      <c r="O42" s="301">
        <f>O43</f>
        <v>2300</v>
      </c>
      <c r="P42" s="294">
        <f>P43+P44</f>
        <v>2448</v>
      </c>
      <c r="Q42" s="277">
        <f>煤炭库存统计表!J42</f>
        <v>4919</v>
      </c>
      <c r="R42" s="277">
        <f>R43</f>
        <v>306</v>
      </c>
      <c r="S42" s="277">
        <f t="shared" si="7"/>
        <v>7673</v>
      </c>
      <c r="T42" s="277">
        <f>T43+T44+T45</f>
        <v>23240</v>
      </c>
      <c r="U42" s="277">
        <f>U43</f>
        <v>31325</v>
      </c>
      <c r="V42" s="277">
        <f>V43</f>
        <v>7813</v>
      </c>
      <c r="W42" s="277">
        <f t="shared" si="8"/>
        <v>62378</v>
      </c>
      <c r="X42" s="279"/>
      <c r="Y42" s="279"/>
    </row>
    <row r="43" ht="16" customHeight="1" spans="1:25">
      <c r="A43" s="282"/>
      <c r="B43" s="165" t="s">
        <v>404</v>
      </c>
      <c r="C43" s="184" t="s">
        <v>84</v>
      </c>
      <c r="D43" s="275">
        <f t="shared" si="6"/>
        <v>0.796278466578206</v>
      </c>
      <c r="E43" s="178" t="s">
        <v>380</v>
      </c>
      <c r="F43" s="276">
        <v>6607.12328767123</v>
      </c>
      <c r="G43" s="278">
        <f>数据基表!B156+数据基表!G157+数据基表!Q156</f>
        <v>5261.11</v>
      </c>
      <c r="H43" s="276">
        <v>4039.72602739726</v>
      </c>
      <c r="I43" s="302">
        <f>数据基表!G159</f>
        <v>4282.4278</v>
      </c>
      <c r="J43" s="276">
        <v>2422.19178082192</v>
      </c>
      <c r="K43" s="294">
        <f>数据基表!Q156</f>
        <v>206.61</v>
      </c>
      <c r="L43" s="276">
        <v>4150.68493150685</v>
      </c>
      <c r="M43" s="294">
        <f>数据基表!L159</f>
        <v>2825.77</v>
      </c>
      <c r="N43" s="302">
        <f>数据基表!E167</f>
        <v>2210</v>
      </c>
      <c r="O43" s="303">
        <f>数据基表!J167</f>
        <v>2300</v>
      </c>
      <c r="P43" s="294">
        <f>煤炭库存统计表!F43</f>
        <v>2448</v>
      </c>
      <c r="Q43" s="277">
        <f>煤炭库存统计表!J43</f>
        <v>1738</v>
      </c>
      <c r="R43" s="277">
        <f>煤炭库存统计表!M43</f>
        <v>306</v>
      </c>
      <c r="S43" s="277">
        <f t="shared" si="7"/>
        <v>4492</v>
      </c>
      <c r="T43" s="277">
        <f>数据基表!C173</f>
        <v>23240</v>
      </c>
      <c r="U43" s="277">
        <f>煤炭库存统计表!I43</f>
        <v>31325</v>
      </c>
      <c r="V43" s="277">
        <f>煤炭库存统计表!L43</f>
        <v>7813</v>
      </c>
      <c r="W43" s="277">
        <f t="shared" si="8"/>
        <v>62378</v>
      </c>
      <c r="X43" s="279"/>
      <c r="Y43" s="279"/>
    </row>
    <row r="44" ht="16" customHeight="1" spans="1:25">
      <c r="A44" s="282"/>
      <c r="B44" s="165"/>
      <c r="C44" s="178" t="s">
        <v>473</v>
      </c>
      <c r="D44" s="275"/>
      <c r="E44" s="178" t="s">
        <v>387</v>
      </c>
      <c r="F44" s="276"/>
      <c r="G44" s="278"/>
      <c r="H44" s="276"/>
      <c r="I44" s="277"/>
      <c r="J44" s="276"/>
      <c r="K44" s="277"/>
      <c r="L44" s="276"/>
      <c r="M44" s="277"/>
      <c r="N44" s="304"/>
      <c r="O44" s="305"/>
      <c r="P44" s="294">
        <f>煤炭库存统计表!F44</f>
        <v>0</v>
      </c>
      <c r="Q44" s="277">
        <f>数据基表!F174</f>
        <v>29845</v>
      </c>
      <c r="R44" s="277"/>
      <c r="S44" s="277">
        <f t="shared" si="7"/>
        <v>29845</v>
      </c>
      <c r="T44" s="277">
        <f>煤炭库存统计表!E44</f>
        <v>0</v>
      </c>
      <c r="U44" s="277">
        <f>数据基表!G174</f>
        <v>1738</v>
      </c>
      <c r="V44" s="277"/>
      <c r="W44" s="277">
        <f t="shared" si="8"/>
        <v>1738</v>
      </c>
      <c r="X44" s="279"/>
      <c r="Y44" s="279"/>
    </row>
    <row r="45" ht="16" customHeight="1" spans="1:25">
      <c r="A45" s="282"/>
      <c r="B45" s="165"/>
      <c r="C45" s="178" t="s">
        <v>474</v>
      </c>
      <c r="D45" s="275"/>
      <c r="E45" s="178" t="s">
        <v>387</v>
      </c>
      <c r="F45" s="276"/>
      <c r="G45" s="278">
        <v>0</v>
      </c>
      <c r="H45" s="276"/>
      <c r="I45" s="277">
        <v>0</v>
      </c>
      <c r="J45" s="276"/>
      <c r="K45" s="277">
        <v>0</v>
      </c>
      <c r="L45" s="276"/>
      <c r="M45" s="277"/>
      <c r="N45" s="281"/>
      <c r="O45" s="293"/>
      <c r="P45" s="294">
        <f>煤炭库存统计表!F45</f>
        <v>0</v>
      </c>
      <c r="Q45" s="277">
        <f>数据基表!F175</f>
        <v>38699</v>
      </c>
      <c r="R45" s="277">
        <f>数据基表!I175</f>
        <v>7745</v>
      </c>
      <c r="S45" s="277">
        <f t="shared" si="7"/>
        <v>46444</v>
      </c>
      <c r="T45" s="277">
        <f>煤炭库存统计表!E45</f>
        <v>0</v>
      </c>
      <c r="U45" s="277">
        <f>数据基表!G175</f>
        <v>3181</v>
      </c>
      <c r="V45" s="277">
        <f>数据基表!J175</f>
        <v>754</v>
      </c>
      <c r="W45" s="277">
        <f t="shared" si="8"/>
        <v>3935</v>
      </c>
      <c r="X45" s="279"/>
      <c r="Y45" s="279"/>
    </row>
    <row r="46" ht="16" customHeight="1" spans="1:25">
      <c r="A46" s="283"/>
      <c r="B46" s="165"/>
      <c r="C46" s="184" t="s">
        <v>408</v>
      </c>
      <c r="D46" s="275"/>
      <c r="E46" s="178" t="s">
        <v>380</v>
      </c>
      <c r="F46" s="276"/>
      <c r="G46" s="278">
        <f>数据基表!Q157</f>
        <v>2325.19</v>
      </c>
      <c r="H46" s="276"/>
      <c r="I46" s="294">
        <v>0</v>
      </c>
      <c r="J46" s="276"/>
      <c r="K46" s="294">
        <f>数据基表!Q157</f>
        <v>2325.19</v>
      </c>
      <c r="L46" s="276"/>
      <c r="M46" s="294"/>
      <c r="N46" s="281"/>
      <c r="O46" s="286"/>
      <c r="P46" s="294">
        <f>煤炭库存统计表!F46</f>
        <v>0</v>
      </c>
      <c r="Q46" s="277">
        <f>数据基表!G175</f>
        <v>3181</v>
      </c>
      <c r="R46" s="277">
        <f>数据基表!J175</f>
        <v>754</v>
      </c>
      <c r="S46" s="277">
        <f t="shared" si="7"/>
        <v>3935</v>
      </c>
      <c r="T46" s="277">
        <f>煤炭库存统计表!E46</f>
        <v>0</v>
      </c>
      <c r="U46" s="277">
        <f>煤炭库存统计表!I46</f>
        <v>38699</v>
      </c>
      <c r="V46" s="277">
        <f>煤炭库存统计表!L46</f>
        <v>7745</v>
      </c>
      <c r="W46" s="277">
        <f t="shared" si="8"/>
        <v>46444</v>
      </c>
      <c r="X46" s="279"/>
      <c r="Y46" s="279"/>
    </row>
    <row r="47" spans="1:25">
      <c r="A47" s="280">
        <v>10</v>
      </c>
      <c r="B47" s="180" t="s">
        <v>374</v>
      </c>
      <c r="C47" s="180"/>
      <c r="D47" s="275">
        <f t="shared" si="6"/>
        <v>0.869886097477881</v>
      </c>
      <c r="E47" s="184"/>
      <c r="F47" s="276">
        <v>5146.79452054795</v>
      </c>
      <c r="G47" s="281">
        <f>数据基表!B180</f>
        <v>4477.125</v>
      </c>
      <c r="H47" s="276">
        <v>3605.75342465754</v>
      </c>
      <c r="I47" s="281">
        <f>数据基表!G180</f>
        <v>3759.945</v>
      </c>
      <c r="J47" s="276">
        <v>542.054794520548</v>
      </c>
      <c r="K47" s="281">
        <f>数据基表!Q180</f>
        <v>717.18</v>
      </c>
      <c r="L47" s="276">
        <v>3197.2602739726</v>
      </c>
      <c r="M47" s="281">
        <f>数据基表!L180</f>
        <v>2508.49</v>
      </c>
      <c r="N47" s="281">
        <f>数据基表!E185</f>
        <v>2091.064</v>
      </c>
      <c r="O47" s="297">
        <f>数据基表!J185</f>
        <v>2360</v>
      </c>
      <c r="P47" s="294">
        <f>煤炭库存统计表!F47</f>
        <v>0</v>
      </c>
      <c r="Q47" s="277">
        <f>Q48</f>
        <v>4621.5</v>
      </c>
      <c r="R47" s="277">
        <f>R48</f>
        <v>5193.62</v>
      </c>
      <c r="S47" s="277">
        <f t="shared" si="7"/>
        <v>9815.12</v>
      </c>
      <c r="T47" s="277">
        <f>煤炭库存统计表!E47</f>
        <v>0</v>
      </c>
      <c r="U47" s="277">
        <f>U48</f>
        <v>58236.047</v>
      </c>
      <c r="V47" s="277">
        <f>V48</f>
        <v>49813.827</v>
      </c>
      <c r="W47" s="277">
        <f t="shared" si="8"/>
        <v>108049.874</v>
      </c>
      <c r="X47" s="279"/>
      <c r="Y47" s="279"/>
    </row>
    <row r="48" ht="40" customHeight="1" spans="1:25">
      <c r="A48" s="282"/>
      <c r="B48" s="165" t="s">
        <v>409</v>
      </c>
      <c r="C48" s="178" t="s">
        <v>84</v>
      </c>
      <c r="D48" s="275">
        <f t="shared" si="6"/>
        <v>0.869886097477881</v>
      </c>
      <c r="E48" s="178" t="s">
        <v>380</v>
      </c>
      <c r="F48" s="276">
        <v>5146.79452054795</v>
      </c>
      <c r="G48" s="281">
        <f>数据基表!B180</f>
        <v>4477.125</v>
      </c>
      <c r="H48" s="276">
        <v>2706.45161290323</v>
      </c>
      <c r="I48" s="281">
        <f>数据基表!G180</f>
        <v>3759.945</v>
      </c>
      <c r="J48" s="276">
        <v>542.054794520548</v>
      </c>
      <c r="K48" s="281">
        <f>数据基表!Q180</f>
        <v>717.18</v>
      </c>
      <c r="L48" s="276">
        <v>3197.2602739726</v>
      </c>
      <c r="M48" s="281">
        <f>数据基表!L180</f>
        <v>2508.49</v>
      </c>
      <c r="N48" s="281">
        <f>数据基表!E185</f>
        <v>2091.064</v>
      </c>
      <c r="O48" s="297">
        <f>数据基表!J185</f>
        <v>2360</v>
      </c>
      <c r="P48" s="294">
        <f>煤炭库存统计表!F48</f>
        <v>0</v>
      </c>
      <c r="Q48" s="277">
        <f>数据基表!H190</f>
        <v>4621.5</v>
      </c>
      <c r="R48" s="277">
        <f>煤炭库存统计表!M48</f>
        <v>5193.62</v>
      </c>
      <c r="S48" s="277">
        <f t="shared" si="7"/>
        <v>9815.12</v>
      </c>
      <c r="T48" s="277">
        <f>煤炭库存统计表!E48</f>
        <v>0</v>
      </c>
      <c r="U48" s="277">
        <f>数据基表!G190</f>
        <v>58236.047</v>
      </c>
      <c r="V48" s="277">
        <f>煤炭库存统计表!L48</f>
        <v>49813.827</v>
      </c>
      <c r="W48" s="277">
        <f t="shared" si="8"/>
        <v>108049.874</v>
      </c>
      <c r="X48" s="279"/>
      <c r="Y48" s="279"/>
    </row>
    <row r="49" hidden="1" spans="1:25">
      <c r="A49" s="283"/>
      <c r="B49" s="165"/>
      <c r="C49" s="178" t="s">
        <v>475</v>
      </c>
      <c r="D49" s="275"/>
      <c r="E49" s="178" t="s">
        <v>387</v>
      </c>
      <c r="F49" s="276">
        <v>0</v>
      </c>
      <c r="G49" s="281"/>
      <c r="H49" s="276">
        <v>0</v>
      </c>
      <c r="I49" s="281">
        <f>I4</f>
        <v>0</v>
      </c>
      <c r="J49" s="276">
        <v>0</v>
      </c>
      <c r="K49" s="281"/>
      <c r="L49" s="276"/>
      <c r="M49" s="277"/>
      <c r="N49" s="277"/>
      <c r="O49" s="293"/>
      <c r="P49" s="294"/>
      <c r="Q49" s="277"/>
      <c r="R49" s="277"/>
      <c r="S49" s="277"/>
      <c r="T49" s="277"/>
      <c r="U49" s="277"/>
      <c r="V49" s="277"/>
      <c r="W49" s="277"/>
      <c r="X49" s="279"/>
      <c r="Y49" s="279"/>
    </row>
    <row r="50" spans="1:25">
      <c r="A50" s="273">
        <v>11</v>
      </c>
      <c r="B50" s="187" t="s">
        <v>412</v>
      </c>
      <c r="C50" s="188"/>
      <c r="D50" s="275"/>
      <c r="E50" s="178" t="s">
        <v>413</v>
      </c>
      <c r="F50" s="276">
        <v>0</v>
      </c>
      <c r="G50" s="278"/>
      <c r="H50" s="276">
        <v>0</v>
      </c>
      <c r="I50" s="277"/>
      <c r="J50" s="276">
        <v>0</v>
      </c>
      <c r="K50" s="277"/>
      <c r="L50" s="276">
        <v>0</v>
      </c>
      <c r="M50" s="302"/>
      <c r="N50" s="277"/>
      <c r="O50" s="293"/>
      <c r="P50" s="294"/>
      <c r="Q50" s="277"/>
      <c r="R50" s="277"/>
      <c r="S50" s="277"/>
      <c r="T50" s="277"/>
      <c r="U50" s="277"/>
      <c r="V50" s="277"/>
      <c r="W50" s="277"/>
      <c r="X50" s="279"/>
      <c r="Y50" s="279"/>
    </row>
    <row r="51" spans="1:25">
      <c r="A51" s="273">
        <v>12</v>
      </c>
      <c r="B51" s="187" t="s">
        <v>414</v>
      </c>
      <c r="C51" s="188"/>
      <c r="D51" s="275">
        <f t="shared" ref="D51:D56" si="9">G51/F51</f>
        <v>1.03018230925051</v>
      </c>
      <c r="E51" s="178" t="s">
        <v>380</v>
      </c>
      <c r="F51" s="276">
        <v>811.506849315069</v>
      </c>
      <c r="G51" s="286">
        <f>数据基表!B233</f>
        <v>836</v>
      </c>
      <c r="H51" s="276">
        <v>753.424657534247</v>
      </c>
      <c r="I51" s="293">
        <f>数据基表!G233</f>
        <v>775</v>
      </c>
      <c r="J51" s="276">
        <v>54.7945205479452</v>
      </c>
      <c r="K51" s="293">
        <f>数据基表!Q233</f>
        <v>62</v>
      </c>
      <c r="L51" s="276">
        <v>1232.87671232877</v>
      </c>
      <c r="M51" s="302">
        <f>数据基表!L233</f>
        <v>1308</v>
      </c>
      <c r="N51" s="293">
        <f>数据基表!E239</f>
        <v>2080</v>
      </c>
      <c r="O51" s="293">
        <f>数据基表!J239</f>
        <v>2280</v>
      </c>
      <c r="P51" s="294">
        <f>数据基表!AI239</f>
        <v>1088</v>
      </c>
      <c r="Q51" s="277">
        <f>煤炭库存统计表!J51</f>
        <v>0</v>
      </c>
      <c r="R51" s="277">
        <f>数据基表!K245</f>
        <v>375</v>
      </c>
      <c r="S51" s="277">
        <f t="shared" si="7"/>
        <v>1463</v>
      </c>
      <c r="T51" s="277">
        <f>数据基表!AH239</f>
        <v>17040</v>
      </c>
      <c r="U51" s="277">
        <f>煤炭库存统计表!I51</f>
        <v>0</v>
      </c>
      <c r="V51" s="277">
        <f>数据基表!J245</f>
        <v>8486</v>
      </c>
      <c r="W51" s="277">
        <f t="shared" si="8"/>
        <v>25526</v>
      </c>
      <c r="X51" s="279"/>
      <c r="Y51" s="279"/>
    </row>
    <row r="52" spans="1:25">
      <c r="A52" s="273">
        <v>13</v>
      </c>
      <c r="B52" s="187" t="s">
        <v>415</v>
      </c>
      <c r="C52" s="188"/>
      <c r="D52" s="275">
        <f t="shared" si="9"/>
        <v>1.2943874191652</v>
      </c>
      <c r="E52" s="178" t="s">
        <v>380</v>
      </c>
      <c r="F52" s="276">
        <v>932.054794520548</v>
      </c>
      <c r="G52" s="286">
        <f>数据基表!B251</f>
        <v>1206.44</v>
      </c>
      <c r="H52" s="276">
        <v>791.232876712329</v>
      </c>
      <c r="I52" s="293">
        <f>数据基表!G251</f>
        <v>982.78</v>
      </c>
      <c r="J52" s="276">
        <v>132.876712328767</v>
      </c>
      <c r="K52" s="293">
        <f>数据基表!Q251</f>
        <v>211</v>
      </c>
      <c r="L52" s="276">
        <v>1108.21917808219</v>
      </c>
      <c r="M52" s="302">
        <f>数据基表!L251</f>
        <v>1320</v>
      </c>
      <c r="N52" s="293">
        <f>数据基表!E256</f>
        <v>2020</v>
      </c>
      <c r="O52" s="293">
        <f>数据基表!J256</f>
        <v>2120</v>
      </c>
      <c r="P52" s="294">
        <f>数据基表!E260</f>
        <v>1470.65</v>
      </c>
      <c r="Q52" s="277">
        <f>数据基表!H260</f>
        <v>0</v>
      </c>
      <c r="R52" s="277">
        <f>数据基表!K260</f>
        <v>226</v>
      </c>
      <c r="S52" s="277">
        <f t="shared" si="7"/>
        <v>1696.65</v>
      </c>
      <c r="T52" s="277">
        <f>数据基表!D260</f>
        <v>8474.81</v>
      </c>
      <c r="U52" s="277">
        <f>数据基表!G260</f>
        <v>0</v>
      </c>
      <c r="V52" s="277">
        <f>数据基表!J260</f>
        <v>1692.56</v>
      </c>
      <c r="W52" s="277">
        <f t="shared" si="8"/>
        <v>10167.37</v>
      </c>
      <c r="X52" s="279"/>
      <c r="Y52" s="279"/>
    </row>
    <row r="53" spans="1:25">
      <c r="A53" s="273">
        <v>14</v>
      </c>
      <c r="B53" s="187" t="s">
        <v>416</v>
      </c>
      <c r="C53" s="188"/>
      <c r="D53" s="275">
        <f t="shared" si="9"/>
        <v>1.46933131693772</v>
      </c>
      <c r="E53" s="178" t="s">
        <v>380</v>
      </c>
      <c r="F53" s="276">
        <v>1381.3698630137</v>
      </c>
      <c r="G53" s="286">
        <f>数据基表!B265</f>
        <v>2029.69</v>
      </c>
      <c r="H53" s="276">
        <v>1114.79452054795</v>
      </c>
      <c r="I53" s="293">
        <f>数据基表!G265</f>
        <v>1641.71</v>
      </c>
      <c r="J53" s="276">
        <v>251.643835616438</v>
      </c>
      <c r="K53" s="293">
        <f>数据基表!Q265</f>
        <v>361.7</v>
      </c>
      <c r="L53" s="276">
        <v>1812.32876712329</v>
      </c>
      <c r="M53" s="302">
        <f>数据基表!L265</f>
        <v>2562</v>
      </c>
      <c r="N53" s="293">
        <f>数据基表!E270</f>
        <v>2000</v>
      </c>
      <c r="O53" s="293">
        <f>数据基表!J270</f>
        <v>2120</v>
      </c>
      <c r="P53" s="294">
        <f>数据基表!AI270</f>
        <v>2563.9</v>
      </c>
      <c r="Q53" s="277">
        <f>煤炭库存统计表!J53</f>
        <v>0</v>
      </c>
      <c r="R53" s="277">
        <f>数据基表!AM270</f>
        <v>916.57</v>
      </c>
      <c r="S53" s="277">
        <f t="shared" si="7"/>
        <v>3480.47</v>
      </c>
      <c r="T53" s="277">
        <f>数据基表!AH270</f>
        <v>5331.08</v>
      </c>
      <c r="U53" s="277">
        <f>煤炭库存统计表!I53</f>
        <v>0</v>
      </c>
      <c r="V53" s="277">
        <f>数据基表!AL270</f>
        <v>2105.42</v>
      </c>
      <c r="W53" s="277">
        <f t="shared" si="8"/>
        <v>7436.5</v>
      </c>
      <c r="X53" s="279"/>
      <c r="Y53" s="279"/>
    </row>
    <row r="54" spans="1:25">
      <c r="A54" s="273">
        <v>15</v>
      </c>
      <c r="B54" s="189" t="s">
        <v>470</v>
      </c>
      <c r="C54" s="190"/>
      <c r="D54" s="275">
        <f t="shared" si="9"/>
        <v>1.2546875</v>
      </c>
      <c r="E54" s="178" t="s">
        <v>403</v>
      </c>
      <c r="F54" s="276">
        <v>929.315068493151</v>
      </c>
      <c r="G54" s="286">
        <f>数据基表!B216</f>
        <v>1166</v>
      </c>
      <c r="H54" s="276"/>
      <c r="I54" s="293"/>
      <c r="J54" s="276">
        <v>876.712328767123</v>
      </c>
      <c r="K54" s="306">
        <f>数据基表!Q216</f>
        <v>1100</v>
      </c>
      <c r="L54" s="276">
        <v>0</v>
      </c>
      <c r="M54" s="293"/>
      <c r="N54" s="293"/>
      <c r="O54" s="297">
        <f>数据基表!E221</f>
        <v>2120</v>
      </c>
      <c r="P54" s="294">
        <f>煤炭库存统计表!F54</f>
        <v>0</v>
      </c>
      <c r="Q54" s="277">
        <f>数据基表!H226</f>
        <v>1768</v>
      </c>
      <c r="R54" s="277">
        <f>数据基表!K226</f>
        <v>668</v>
      </c>
      <c r="S54" s="277">
        <f t="shared" si="7"/>
        <v>2436</v>
      </c>
      <c r="T54" s="277"/>
      <c r="U54" s="277">
        <f>数据基表!G226</f>
        <v>9700</v>
      </c>
      <c r="V54" s="277">
        <f>数据基表!J226</f>
        <v>3000</v>
      </c>
      <c r="W54" s="277">
        <f t="shared" si="8"/>
        <v>12700</v>
      </c>
      <c r="X54" s="279"/>
      <c r="Y54" s="279"/>
    </row>
    <row r="55" spans="1:25">
      <c r="A55" s="273">
        <v>16</v>
      </c>
      <c r="B55" s="187" t="s">
        <v>318</v>
      </c>
      <c r="C55" s="188"/>
      <c r="D55" s="275">
        <f t="shared" si="9"/>
        <v>1.2893214375</v>
      </c>
      <c r="E55" s="178" t="s">
        <v>380</v>
      </c>
      <c r="F55" s="276">
        <v>2191.78082191781</v>
      </c>
      <c r="G55" s="278">
        <f>数据基表!A275</f>
        <v>2825.91</v>
      </c>
      <c r="H55" s="276">
        <v>821.917808219178</v>
      </c>
      <c r="I55" s="277">
        <f>数据基表!F275</f>
        <v>1136.39</v>
      </c>
      <c r="J55" s="276"/>
      <c r="K55" s="306"/>
      <c r="L55" s="276">
        <v>1424.65753424658</v>
      </c>
      <c r="M55" s="277">
        <f>数据基表!K275</f>
        <v>1775.344</v>
      </c>
      <c r="N55" s="277">
        <f>N16</f>
        <v>2045</v>
      </c>
      <c r="O55" s="277"/>
      <c r="P55" s="294">
        <f>数据基表!AI280</f>
        <v>2992.44</v>
      </c>
      <c r="Q55" s="277">
        <f>煤炭库存统计表!J55</f>
        <v>0</v>
      </c>
      <c r="R55" s="277">
        <f>数据基表!AM280</f>
        <v>1901.6</v>
      </c>
      <c r="S55" s="277">
        <f t="shared" si="7"/>
        <v>4894.04</v>
      </c>
      <c r="T55" s="277">
        <f>数据基表!AH280</f>
        <v>24120.307</v>
      </c>
      <c r="U55" s="277">
        <f>煤炭库存统计表!I55</f>
        <v>0</v>
      </c>
      <c r="V55" s="277">
        <f>数据基表!AL280</f>
        <v>8997.7500000001</v>
      </c>
      <c r="W55" s="277">
        <f t="shared" si="8"/>
        <v>33118.0570000001</v>
      </c>
      <c r="X55" s="279"/>
      <c r="Y55" s="279"/>
    </row>
    <row r="56" spans="1:25">
      <c r="A56" s="273">
        <v>17</v>
      </c>
      <c r="B56" s="187" t="s">
        <v>419</v>
      </c>
      <c r="C56" s="188"/>
      <c r="D56" s="275">
        <f t="shared" si="9"/>
        <v>0</v>
      </c>
      <c r="E56" s="178" t="s">
        <v>378</v>
      </c>
      <c r="F56" s="276">
        <v>3194.52054794521</v>
      </c>
      <c r="G56" s="278">
        <f>数据基表!B285</f>
        <v>0</v>
      </c>
      <c r="H56" s="276"/>
      <c r="I56" s="277"/>
      <c r="J56" s="276">
        <v>3013.69863013699</v>
      </c>
      <c r="K56" s="306">
        <f>数据基表!Q285</f>
        <v>0</v>
      </c>
      <c r="L56" s="276">
        <v>3013.69863013699</v>
      </c>
      <c r="M56" s="277"/>
      <c r="N56" s="277"/>
      <c r="O56" s="277">
        <f>数据基表!E295</f>
        <v>2220</v>
      </c>
      <c r="P56" s="294"/>
      <c r="Q56" s="277">
        <f>数据基表!V295</f>
        <v>0</v>
      </c>
      <c r="R56" s="277">
        <f>数据基表!T295</f>
        <v>481.1</v>
      </c>
      <c r="S56" s="277">
        <f t="shared" si="7"/>
        <v>481.1</v>
      </c>
      <c r="T56" s="277"/>
      <c r="U56" s="277">
        <f>数据基表!U295</f>
        <v>59225.23</v>
      </c>
      <c r="V56" s="277">
        <f>数据基表!S295</f>
        <v>13612.6</v>
      </c>
      <c r="W56" s="277">
        <f t="shared" si="8"/>
        <v>72837.83</v>
      </c>
      <c r="X56" s="279"/>
      <c r="Y56" s="279"/>
    </row>
  </sheetData>
  <autoFilter ref="I6:I56">
    <extLst/>
  </autoFilter>
  <mergeCells count="105">
    <mergeCell ref="A1:Y1"/>
    <mergeCell ref="I2:J2"/>
    <mergeCell ref="O2:P2"/>
    <mergeCell ref="S2:V2"/>
    <mergeCell ref="W2:Y2"/>
    <mergeCell ref="F3:K3"/>
    <mergeCell ref="F4:G4"/>
    <mergeCell ref="H4:I4"/>
    <mergeCell ref="J4:K4"/>
    <mergeCell ref="AH5:AO5"/>
    <mergeCell ref="B6:C6"/>
    <mergeCell ref="AB6:AC6"/>
    <mergeCell ref="AH6:AO6"/>
    <mergeCell ref="B7:C7"/>
    <mergeCell ref="AH7:AO7"/>
    <mergeCell ref="AH8:AO8"/>
    <mergeCell ref="AH9:AO9"/>
    <mergeCell ref="AH10:AO10"/>
    <mergeCell ref="AH11:AO11"/>
    <mergeCell ref="AH12:AO12"/>
    <mergeCell ref="B13:C13"/>
    <mergeCell ref="AH13:AO13"/>
    <mergeCell ref="AH14:AO14"/>
    <mergeCell ref="AH15:AO15"/>
    <mergeCell ref="B16:C16"/>
    <mergeCell ref="AH16:AO16"/>
    <mergeCell ref="AH17:AO17"/>
    <mergeCell ref="AH18:AO18"/>
    <mergeCell ref="AH19:AO19"/>
    <mergeCell ref="AH20:AO20"/>
    <mergeCell ref="AH21:AO21"/>
    <mergeCell ref="AH22:AO22"/>
    <mergeCell ref="B23:C23"/>
    <mergeCell ref="AH23:AO23"/>
    <mergeCell ref="AH24:AO24"/>
    <mergeCell ref="AB25:AC25"/>
    <mergeCell ref="AH25:AO25"/>
    <mergeCell ref="B26:C26"/>
    <mergeCell ref="AB26:AC26"/>
    <mergeCell ref="AH26:AO26"/>
    <mergeCell ref="AB27:AC27"/>
    <mergeCell ref="AH27:AO27"/>
    <mergeCell ref="AB28:AC28"/>
    <mergeCell ref="AH28:AO28"/>
    <mergeCell ref="B29:C29"/>
    <mergeCell ref="AB29:AC29"/>
    <mergeCell ref="AH29:AO29"/>
    <mergeCell ref="AB30:AC30"/>
    <mergeCell ref="AH30:AO30"/>
    <mergeCell ref="AB31:AC31"/>
    <mergeCell ref="AH31:AO31"/>
    <mergeCell ref="AB32:AC32"/>
    <mergeCell ref="AH32:AO32"/>
    <mergeCell ref="AB33:AC33"/>
    <mergeCell ref="AH33:AO33"/>
    <mergeCell ref="B35:C35"/>
    <mergeCell ref="B38:C38"/>
    <mergeCell ref="B42:C42"/>
    <mergeCell ref="B47:C47"/>
    <mergeCell ref="B50:C50"/>
    <mergeCell ref="B51:C51"/>
    <mergeCell ref="B52:C52"/>
    <mergeCell ref="B53:C53"/>
    <mergeCell ref="B54:C54"/>
    <mergeCell ref="B55:C55"/>
    <mergeCell ref="B56:C56"/>
    <mergeCell ref="A3:A4"/>
    <mergeCell ref="A5:A6"/>
    <mergeCell ref="A7:A12"/>
    <mergeCell ref="A13:A15"/>
    <mergeCell ref="A16:A22"/>
    <mergeCell ref="A23:A25"/>
    <mergeCell ref="A26:A28"/>
    <mergeCell ref="A29:A34"/>
    <mergeCell ref="A35:A37"/>
    <mergeCell ref="A38:A41"/>
    <mergeCell ref="A42:A46"/>
    <mergeCell ref="A47:A49"/>
    <mergeCell ref="B8:B12"/>
    <mergeCell ref="B14:B15"/>
    <mergeCell ref="B17:B22"/>
    <mergeCell ref="B24:B25"/>
    <mergeCell ref="B27:B28"/>
    <mergeCell ref="B30:B34"/>
    <mergeCell ref="B36:B37"/>
    <mergeCell ref="B39:B41"/>
    <mergeCell ref="B43:B46"/>
    <mergeCell ref="B48:B49"/>
    <mergeCell ref="D3:D5"/>
    <mergeCell ref="E3:E5"/>
    <mergeCell ref="AA3:AA6"/>
    <mergeCell ref="AB7:AB10"/>
    <mergeCell ref="AB11:AB12"/>
    <mergeCell ref="AB15:AB16"/>
    <mergeCell ref="AB17:AB19"/>
    <mergeCell ref="AB20:AB22"/>
    <mergeCell ref="AB23:AB24"/>
    <mergeCell ref="B3:C4"/>
    <mergeCell ref="L3:M4"/>
    <mergeCell ref="N3:O4"/>
    <mergeCell ref="X3:Y4"/>
    <mergeCell ref="AB3:AC4"/>
    <mergeCell ref="P3:S4"/>
    <mergeCell ref="T3:W4"/>
    <mergeCell ref="AD3:AO4"/>
  </mergeCells>
  <dataValidations count="1">
    <dataValidation allowBlank="1" showInputMessage="1" showErrorMessage="1" promptTitle="注意" prompt="请保留整数" sqref="O26 O27 O28 N31 M36 M53 O54 G14:G15 AE11:AE12 AF11:AF1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FNTYSY</vt:lpstr>
      <vt:lpstr>QNRSMQ</vt:lpstr>
      <vt:lpstr>数据基表</vt:lpstr>
      <vt:lpstr>数据填报</vt:lpstr>
      <vt:lpstr>表一</vt:lpstr>
      <vt:lpstr>表二</vt:lpstr>
      <vt:lpstr>煤炭库存统计表</vt:lpstr>
      <vt:lpstr>煤化工板块调度日志</vt:lpstr>
      <vt:lpstr>大表</vt:lpstr>
      <vt:lpstr>OWONVY</vt:lpstr>
      <vt:lpstr>报调度室简表</vt:lpstr>
      <vt:lpstr>报调度指挥中心</vt:lpstr>
      <vt:lpstr>历史产量</vt:lpstr>
      <vt:lpstr>历史销量</vt:lpstr>
      <vt:lpstr>每月计划粘贴</vt:lpstr>
      <vt:lpstr>分月生产计划</vt:lpstr>
      <vt:lpstr>甲醇库容比</vt:lpstr>
      <vt:lpstr>煤炭库存报调度室</vt:lpstr>
      <vt:lpstr>Sheet1</vt:lpstr>
      <vt:lpstr>报事业部领导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Administrator</cp:lastModifiedBy>
  <cp:revision>1</cp:revision>
  <dcterms:created xsi:type="dcterms:W3CDTF">2010-06-01T01:41:00Z</dcterms:created>
  <cp:lastPrinted>2019-11-08T08:36:00Z</cp:lastPrinted>
  <dcterms:modified xsi:type="dcterms:W3CDTF">2021-04-14T07:49:49Z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KSORubyTemplateID" linkTarget="0">
    <vt:lpwstr>14</vt:lpwstr>
  </property>
  <property fmtid="{D5CDD505-2E9C-101B-9397-08002B2CF9AE}" pid="4" name="ICV">
    <vt:lpwstr>4F0B1FF87C3840BCBC52D3C5C6EECB44</vt:lpwstr>
  </property>
</Properties>
</file>