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E5B90048-C9B6-4308-8B18-81525A460FE9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Tata Motors Data" sheetId="3" r:id="rId1"/>
    <sheet name="Free Cash Flow" sheetId="4" r:id="rId2"/>
    <sheet name="WACC" sheetId="5" r:id="rId3"/>
    <sheet name="Intrinsic Growth" sheetId="6" r:id="rId4"/>
    <sheet name="Projections and Terminal Value" sheetId="7" r:id="rId5"/>
    <sheet name="Market Growth" sheetId="8" r:id="rId6"/>
    <sheet name="Beta" sheetId="9" r:id="rId7"/>
    <sheet name="Inflation And GDP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7" l="1"/>
  <c r="K6" i="10"/>
  <c r="K4" i="10"/>
  <c r="E4" i="10"/>
  <c r="C12" i="5"/>
  <c r="M7" i="9"/>
  <c r="M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5" i="9"/>
  <c r="D5" i="8"/>
  <c r="D6" i="8"/>
  <c r="D7" i="8"/>
  <c r="D8" i="8"/>
  <c r="D9" i="8"/>
  <c r="D10" i="8"/>
  <c r="D11" i="8"/>
  <c r="D12" i="8"/>
  <c r="F4" i="8" s="1"/>
  <c r="F6" i="8" s="1"/>
  <c r="C11" i="5" s="1"/>
  <c r="F10" i="5" s="1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4" i="8"/>
  <c r="C4" i="8"/>
  <c r="E10" i="7" l="1"/>
  <c r="F10" i="7"/>
  <c r="D10" i="7"/>
  <c r="C6" i="7"/>
  <c r="D14" i="6"/>
  <c r="H14" i="6"/>
  <c r="B14" i="6"/>
  <c r="B13" i="6"/>
  <c r="C9" i="6"/>
  <c r="D9" i="6"/>
  <c r="E9" i="6"/>
  <c r="F9" i="6"/>
  <c r="G9" i="6"/>
  <c r="H9" i="6"/>
  <c r="B9" i="6"/>
  <c r="C7" i="6"/>
  <c r="D7" i="6"/>
  <c r="G7" i="6"/>
  <c r="H7" i="6"/>
  <c r="B7" i="6"/>
  <c r="H6" i="6"/>
  <c r="C6" i="6"/>
  <c r="B6" i="6"/>
  <c r="F12" i="5"/>
  <c r="F8" i="5"/>
  <c r="G8" i="5" s="1"/>
  <c r="C8" i="5"/>
  <c r="C6" i="5"/>
  <c r="D15" i="4"/>
  <c r="B15" i="4"/>
  <c r="C14" i="4"/>
  <c r="D14" i="4"/>
  <c r="E14" i="4"/>
  <c r="F14" i="4"/>
  <c r="G14" i="4"/>
  <c r="H14" i="4"/>
  <c r="B14" i="4"/>
  <c r="C12" i="4"/>
  <c r="D12" i="4"/>
  <c r="E12" i="4"/>
  <c r="F12" i="4"/>
  <c r="G12" i="4"/>
  <c r="H12" i="4"/>
  <c r="B12" i="4"/>
  <c r="C8" i="4"/>
  <c r="D8" i="4"/>
  <c r="E8" i="4"/>
  <c r="F8" i="4"/>
  <c r="G8" i="4"/>
  <c r="H8" i="4"/>
  <c r="B8" i="4"/>
  <c r="C7" i="4"/>
  <c r="D7" i="4"/>
  <c r="D9" i="4" s="1"/>
  <c r="E7" i="4"/>
  <c r="F7" i="4"/>
  <c r="G7" i="4"/>
  <c r="H7" i="4"/>
  <c r="B7" i="4"/>
  <c r="C5" i="4"/>
  <c r="C16" i="6" s="1"/>
  <c r="D5" i="4"/>
  <c r="D16" i="6" s="1"/>
  <c r="E5" i="4"/>
  <c r="E16" i="6" s="1"/>
  <c r="F5" i="4"/>
  <c r="F16" i="6" s="1"/>
  <c r="G5" i="4"/>
  <c r="G16" i="6" s="1"/>
  <c r="H5" i="4"/>
  <c r="H16" i="6" s="1"/>
  <c r="B5" i="4"/>
  <c r="E15" i="3"/>
  <c r="E15" i="4" s="1"/>
  <c r="F15" i="3"/>
  <c r="F14" i="6" s="1"/>
  <c r="G15" i="3"/>
  <c r="G14" i="6" s="1"/>
  <c r="H15" i="3"/>
  <c r="H15" i="4" s="1"/>
  <c r="D15" i="3"/>
  <c r="F11" i="3"/>
  <c r="F13" i="6" s="1"/>
  <c r="G11" i="3"/>
  <c r="G13" i="6" s="1"/>
  <c r="H11" i="3"/>
  <c r="H13" i="6" s="1"/>
  <c r="D10" i="3"/>
  <c r="E11" i="3" s="1"/>
  <c r="E13" i="6" s="1"/>
  <c r="E10" i="3"/>
  <c r="E6" i="6" s="1"/>
  <c r="F10" i="3"/>
  <c r="F6" i="6" s="1"/>
  <c r="G10" i="3"/>
  <c r="G6" i="6" s="1"/>
  <c r="H10" i="3"/>
  <c r="C10" i="3"/>
  <c r="D9" i="3"/>
  <c r="E9" i="3"/>
  <c r="E7" i="6" s="1"/>
  <c r="F9" i="3"/>
  <c r="F7" i="6" s="1"/>
  <c r="G9" i="3"/>
  <c r="H9" i="3"/>
  <c r="C9" i="3"/>
  <c r="F15" i="6" l="1"/>
  <c r="F17" i="6" s="1"/>
  <c r="G8" i="6"/>
  <c r="G10" i="6" s="1"/>
  <c r="H15" i="6"/>
  <c r="H17" i="6" s="1"/>
  <c r="G6" i="5"/>
  <c r="F13" i="5" s="1"/>
  <c r="G7" i="5"/>
  <c r="F11" i="5" s="1"/>
  <c r="F15" i="5" s="1"/>
  <c r="F17" i="7" s="1"/>
  <c r="F8" i="6"/>
  <c r="F10" i="6" s="1"/>
  <c r="E8" i="6"/>
  <c r="E10" i="6" s="1"/>
  <c r="C8" i="6"/>
  <c r="C10" i="6" s="1"/>
  <c r="H9" i="4"/>
  <c r="H8" i="6"/>
  <c r="G15" i="6"/>
  <c r="G15" i="4"/>
  <c r="F15" i="4"/>
  <c r="G9" i="4"/>
  <c r="E14" i="6"/>
  <c r="E15" i="6" s="1"/>
  <c r="E17" i="6" s="1"/>
  <c r="D6" i="6"/>
  <c r="D8" i="6" s="1"/>
  <c r="D10" i="6" s="1"/>
  <c r="D11" i="3"/>
  <c r="D13" i="6" s="1"/>
  <c r="D15" i="6" s="1"/>
  <c r="D17" i="6" s="1"/>
  <c r="H10" i="6"/>
  <c r="F9" i="4"/>
  <c r="C7" i="7"/>
  <c r="E9" i="4"/>
  <c r="E10" i="4" s="1"/>
  <c r="E17" i="4" s="1"/>
  <c r="C9" i="4"/>
  <c r="D10" i="4" s="1"/>
  <c r="D17" i="4" s="1"/>
  <c r="D11" i="7" l="1"/>
  <c r="E11" i="7"/>
  <c r="F11" i="7"/>
  <c r="C11" i="7"/>
  <c r="G17" i="6"/>
  <c r="G19" i="6" s="1"/>
  <c r="E19" i="6"/>
  <c r="D19" i="6"/>
  <c r="F19" i="6"/>
  <c r="H10" i="4"/>
  <c r="H17" i="4" s="1"/>
  <c r="G10" i="4"/>
  <c r="G17" i="4" s="1"/>
  <c r="H19" i="6"/>
  <c r="C22" i="6"/>
  <c r="C8" i="7" s="1"/>
  <c r="C9" i="7" s="1"/>
  <c r="F10" i="4"/>
  <c r="F17" i="4" s="1"/>
  <c r="C12" i="7" l="1"/>
  <c r="B25" i="6"/>
  <c r="F15" i="7" s="1"/>
  <c r="D6" i="7" s="1"/>
  <c r="D7" i="7" s="1"/>
  <c r="F8" i="7"/>
  <c r="E8" i="7"/>
  <c r="D8" i="7"/>
  <c r="E6" i="7" l="1"/>
  <c r="E7" i="7" s="1"/>
  <c r="E9" i="7" s="1"/>
  <c r="E12" i="7" s="1"/>
  <c r="D9" i="7"/>
  <c r="D12" i="7" s="1"/>
  <c r="F6" i="7" l="1"/>
  <c r="F7" i="7" s="1"/>
  <c r="F9" i="7" s="1"/>
  <c r="C16" i="7" s="1"/>
  <c r="C18" i="7" s="1"/>
  <c r="C22" i="7" s="1"/>
  <c r="F12" i="7" l="1"/>
  <c r="C21" i="7" s="1"/>
  <c r="C23" i="7" s="1"/>
  <c r="C27" i="7" l="1"/>
  <c r="C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8" authorId="0" shapeId="0" xr:uid="{6345DEEA-7025-4C98-9588-1D1743CAFA7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Calculated in Intrinsic Growth Sheet
</t>
        </r>
      </text>
    </comment>
  </commentList>
</comments>
</file>

<file path=xl/sharedStrings.xml><?xml version="1.0" encoding="utf-8"?>
<sst xmlns="http://schemas.openxmlformats.org/spreadsheetml/2006/main" count="112" uniqueCount="91">
  <si>
    <t>EBIT</t>
  </si>
  <si>
    <t>Working Capital</t>
  </si>
  <si>
    <t>UFCF</t>
  </si>
  <si>
    <t>Tax Exp</t>
  </si>
  <si>
    <t>WACC</t>
  </si>
  <si>
    <t>Total Cap</t>
  </si>
  <si>
    <t>MRP</t>
  </si>
  <si>
    <t>Risk Free Rate</t>
  </si>
  <si>
    <t>Levered Beta</t>
  </si>
  <si>
    <t>Cost of Equity</t>
  </si>
  <si>
    <t>cost of debt</t>
  </si>
  <si>
    <t>Weight of equity</t>
  </si>
  <si>
    <t>weight of debt</t>
  </si>
  <si>
    <t>WCC</t>
  </si>
  <si>
    <t>ROIC</t>
  </si>
  <si>
    <t>EBIT(1-T)</t>
  </si>
  <si>
    <t>Reinvestment</t>
  </si>
  <si>
    <t>Reinvestment Rate</t>
  </si>
  <si>
    <t>Intrinsic Growth</t>
  </si>
  <si>
    <t>PV of UFCF</t>
  </si>
  <si>
    <t>Terminal Value</t>
  </si>
  <si>
    <t>Terminal Growth Rate</t>
  </si>
  <si>
    <t>PV of Terminal Value</t>
  </si>
  <si>
    <t>Tax</t>
  </si>
  <si>
    <t>Total Assets</t>
  </si>
  <si>
    <t>Total Liability</t>
  </si>
  <si>
    <t>Current Assets</t>
  </si>
  <si>
    <t>Current Liabilities</t>
  </si>
  <si>
    <t>Net Non Current Assets</t>
  </si>
  <si>
    <t>WC</t>
  </si>
  <si>
    <t>Deferred Tax</t>
  </si>
  <si>
    <t>D&amp;A</t>
  </si>
  <si>
    <t>PP&amp;E</t>
  </si>
  <si>
    <t>CapEx</t>
  </si>
  <si>
    <t>Particulars</t>
  </si>
  <si>
    <t>Pre Tax Cost of Debt</t>
  </si>
  <si>
    <t>Post Tax Cost of Debt</t>
  </si>
  <si>
    <t>Debt</t>
  </si>
  <si>
    <t>Market Cap</t>
  </si>
  <si>
    <t>% of Total Cap</t>
  </si>
  <si>
    <t>In INR Cr.</t>
  </si>
  <si>
    <t>Invested Cap</t>
  </si>
  <si>
    <t>Average Growth</t>
  </si>
  <si>
    <t>2024E</t>
  </si>
  <si>
    <t>2025E</t>
  </si>
  <si>
    <t>2026E</t>
  </si>
  <si>
    <t>Estimated Average Tax</t>
  </si>
  <si>
    <t>Mid Year</t>
  </si>
  <si>
    <t>Disc Factor</t>
  </si>
  <si>
    <t>UFCF(n+1)</t>
  </si>
  <si>
    <t>PV of Total UFCF</t>
  </si>
  <si>
    <t>Enterprise value</t>
  </si>
  <si>
    <t>No. of Eq Shares</t>
  </si>
  <si>
    <t>Book Value Per Share</t>
  </si>
  <si>
    <t>Value</t>
  </si>
  <si>
    <t>Average  Reinvestment Rate</t>
  </si>
  <si>
    <t>Ashwath Damodaran Estimate</t>
  </si>
  <si>
    <t>2018</t>
  </si>
  <si>
    <t>2019</t>
  </si>
  <si>
    <t>2020</t>
  </si>
  <si>
    <t>2021</t>
  </si>
  <si>
    <t>2022</t>
  </si>
  <si>
    <t>2023</t>
  </si>
  <si>
    <t>ROIC CALCULATION</t>
  </si>
  <si>
    <t>REINVESTMENT RATE CALCULATION</t>
  </si>
  <si>
    <t>FREE CASH FLOW PROJECTION</t>
  </si>
  <si>
    <t>Book Value</t>
  </si>
  <si>
    <t>Free Cash Flow to Firm</t>
  </si>
  <si>
    <t>Average Intrinsic Growth</t>
  </si>
  <si>
    <t>Year</t>
  </si>
  <si>
    <t>Annual</t>
  </si>
  <si>
    <t>Average Return</t>
  </si>
  <si>
    <t>Dividend Yield</t>
  </si>
  <si>
    <t>Net Average Return</t>
  </si>
  <si>
    <t>Date</t>
  </si>
  <si>
    <t>Nifty 50 Close</t>
  </si>
  <si>
    <t>Tata Motors Ltd Close</t>
  </si>
  <si>
    <t>% Returns</t>
  </si>
  <si>
    <t>Beta</t>
  </si>
  <si>
    <t>Source</t>
  </si>
  <si>
    <t>Source:</t>
  </si>
  <si>
    <t>Yahoo Finance</t>
  </si>
  <si>
    <t>India</t>
  </si>
  <si>
    <t>Inflation</t>
  </si>
  <si>
    <t>GDP</t>
  </si>
  <si>
    <t>Growth</t>
  </si>
  <si>
    <t>Average Inflation</t>
  </si>
  <si>
    <t>Average GDP</t>
  </si>
  <si>
    <t>GDP excluding COVID impact years</t>
  </si>
  <si>
    <t>Market Premium</t>
  </si>
  <si>
    <t>https://primeinvestor.in/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</si>
</sst>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F"/>
      <name val="Arial"/>
      <family val="2"/>
    </font>
    <font>
      <b/>
      <sz val="10"/>
      <color rgb="FF444444"/>
      <name val="Arial"/>
      <family val="2"/>
    </font>
    <font>
      <sz val="10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6">
    <xf numFmtId="0" fontId="0" fillId="0" borderId="0" xfId="0"/>
    <xf numFmtId="9" fontId="0" fillId="0" borderId="0" xfId="1" applyFont="1"/>
    <xf numFmtId="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9" fontId="0" fillId="0" borderId="0" xfId="0" applyNumberFormat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2" borderId="0" xfId="0" applyFont="1" applyFill="1"/>
    <xf numFmtId="10" fontId="2" fillId="0" borderId="4" xfId="1" applyNumberFormat="1" applyFont="1" applyBorder="1"/>
    <xf numFmtId="0" fontId="2" fillId="2" borderId="1" xfId="0" applyFont="1" applyFill="1" applyBorder="1"/>
    <xf numFmtId="0" fontId="2" fillId="2" borderId="19" xfId="0" applyFont="1" applyFill="1" applyBorder="1"/>
    <xf numFmtId="0" fontId="2" fillId="2" borderId="16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10" fontId="2" fillId="0" borderId="22" xfId="1" applyNumberFormat="1" applyFont="1" applyBorder="1"/>
    <xf numFmtId="10" fontId="2" fillId="0" borderId="5" xfId="1" applyNumberFormat="1" applyFont="1" applyBorder="1"/>
    <xf numFmtId="9" fontId="2" fillId="0" borderId="4" xfId="1" applyFont="1" applyBorder="1"/>
    <xf numFmtId="0" fontId="2" fillId="2" borderId="24" xfId="0" applyFont="1" applyFill="1" applyBorder="1"/>
    <xf numFmtId="4" fontId="2" fillId="0" borderId="17" xfId="0" applyNumberFormat="1" applyFont="1" applyBorder="1"/>
    <xf numFmtId="4" fontId="2" fillId="0" borderId="18" xfId="0" applyNumberFormat="1" applyFont="1" applyBorder="1"/>
    <xf numFmtId="4" fontId="2" fillId="0" borderId="7" xfId="0" applyNumberFormat="1" applyFont="1" applyBorder="1"/>
    <xf numFmtId="4" fontId="2" fillId="0" borderId="11" xfId="0" applyNumberFormat="1" applyFont="1" applyBorder="1"/>
    <xf numFmtId="10" fontId="2" fillId="0" borderId="7" xfId="0" applyNumberFormat="1" applyFont="1" applyBorder="1"/>
    <xf numFmtId="10" fontId="2" fillId="0" borderId="11" xfId="0" applyNumberFormat="1" applyFont="1" applyBorder="1"/>
    <xf numFmtId="2" fontId="2" fillId="0" borderId="7" xfId="0" applyNumberFormat="1" applyFont="1" applyBorder="1"/>
    <xf numFmtId="2" fontId="2" fillId="0" borderId="11" xfId="0" applyNumberFormat="1" applyFont="1" applyBorder="1"/>
    <xf numFmtId="0" fontId="2" fillId="0" borderId="7" xfId="0" applyFont="1" applyBorder="1"/>
    <xf numFmtId="0" fontId="2" fillId="0" borderId="11" xfId="0" applyFont="1" applyBorder="1"/>
    <xf numFmtId="164" fontId="2" fillId="0" borderId="7" xfId="0" applyNumberFormat="1" applyFont="1" applyBorder="1"/>
    <xf numFmtId="164" fontId="2" fillId="0" borderId="11" xfId="0" applyNumberFormat="1" applyFont="1" applyBorder="1"/>
    <xf numFmtId="2" fontId="2" fillId="0" borderId="15" xfId="0" applyNumberFormat="1" applyFont="1" applyBorder="1"/>
    <xf numFmtId="2" fontId="2" fillId="0" borderId="13" xfId="0" applyNumberFormat="1" applyFont="1" applyBorder="1"/>
    <xf numFmtId="4" fontId="0" fillId="0" borderId="4" xfId="0" applyNumberFormat="1" applyBorder="1"/>
    <xf numFmtId="4" fontId="2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2" fillId="3" borderId="0" xfId="0" applyFont="1" applyFill="1"/>
    <xf numFmtId="0" fontId="2" fillId="2" borderId="8" xfId="0" applyFont="1" applyFill="1" applyBorder="1"/>
    <xf numFmtId="10" fontId="2" fillId="0" borderId="9" xfId="1" applyNumberFormat="1" applyFont="1" applyBorder="1"/>
    <xf numFmtId="10" fontId="2" fillId="0" borderId="11" xfId="1" applyNumberFormat="1" applyFont="1" applyBorder="1"/>
    <xf numFmtId="10" fontId="2" fillId="0" borderId="13" xfId="1" applyNumberFormat="1" applyFont="1" applyBorder="1"/>
    <xf numFmtId="3" fontId="7" fillId="0" borderId="7" xfId="0" applyNumberFormat="1" applyFont="1" applyBorder="1"/>
    <xf numFmtId="3" fontId="7" fillId="0" borderId="14" xfId="0" applyNumberFormat="1" applyFont="1" applyBorder="1"/>
    <xf numFmtId="3" fontId="2" fillId="0" borderId="15" xfId="0" applyNumberFormat="1" applyFont="1" applyBorder="1"/>
    <xf numFmtId="10" fontId="2" fillId="0" borderId="13" xfId="0" applyNumberFormat="1" applyFont="1" applyBorder="1"/>
    <xf numFmtId="0" fontId="3" fillId="5" borderId="25" xfId="0" applyFont="1" applyFill="1" applyBorder="1"/>
    <xf numFmtId="0" fontId="2" fillId="2" borderId="26" xfId="0" applyFont="1" applyFill="1" applyBorder="1"/>
    <xf numFmtId="0" fontId="2" fillId="2" borderId="5" xfId="0" applyFont="1" applyFill="1" applyBorder="1"/>
    <xf numFmtId="0" fontId="0" fillId="0" borderId="27" xfId="0" applyBorder="1"/>
    <xf numFmtId="0" fontId="2" fillId="0" borderId="3" xfId="0" applyFont="1" applyBorder="1"/>
    <xf numFmtId="0" fontId="2" fillId="0" borderId="4" xfId="0" applyFont="1" applyBorder="1"/>
    <xf numFmtId="0" fontId="2" fillId="0" borderId="28" xfId="0" applyFont="1" applyBorder="1"/>
    <xf numFmtId="2" fontId="2" fillId="0" borderId="6" xfId="0" applyNumberFormat="1" applyFont="1" applyBorder="1"/>
    <xf numFmtId="2" fontId="2" fillId="0" borderId="23" xfId="0" applyNumberFormat="1" applyFont="1" applyBorder="1"/>
    <xf numFmtId="10" fontId="2" fillId="6" borderId="4" xfId="1" applyNumberFormat="1" applyFont="1" applyFill="1" applyBorder="1"/>
    <xf numFmtId="0" fontId="2" fillId="7" borderId="2" xfId="0" applyFont="1" applyFill="1" applyBorder="1"/>
    <xf numFmtId="0" fontId="2" fillId="7" borderId="1" xfId="0" applyFont="1" applyFill="1" applyBorder="1"/>
    <xf numFmtId="10" fontId="2" fillId="6" borderId="4" xfId="0" applyNumberFormat="1" applyFont="1" applyFill="1" applyBorder="1"/>
    <xf numFmtId="10" fontId="2" fillId="9" borderId="3" xfId="1" applyNumberFormat="1" applyFont="1" applyFill="1" applyBorder="1"/>
    <xf numFmtId="10" fontId="2" fillId="9" borderId="4" xfId="1" applyNumberFormat="1" applyFont="1" applyFill="1" applyBorder="1"/>
    <xf numFmtId="0" fontId="2" fillId="6" borderId="3" xfId="0" applyFont="1" applyFill="1" applyBorder="1"/>
    <xf numFmtId="10" fontId="2" fillId="6" borderId="3" xfId="0" applyNumberFormat="1" applyFont="1" applyFill="1" applyBorder="1"/>
    <xf numFmtId="0" fontId="2" fillId="9" borderId="3" xfId="0" applyFont="1" applyFill="1" applyBorder="1"/>
    <xf numFmtId="10" fontId="2" fillId="6" borderId="1" xfId="0" applyNumberFormat="1" applyFont="1" applyFill="1" applyBorder="1"/>
    <xf numFmtId="10" fontId="2" fillId="8" borderId="1" xfId="0" applyNumberFormat="1" applyFont="1" applyFill="1" applyBorder="1"/>
    <xf numFmtId="0" fontId="2" fillId="4" borderId="0" xfId="0" applyFont="1" applyFill="1" applyAlignment="1">
      <alignment horizontal="right"/>
    </xf>
    <xf numFmtId="10" fontId="2" fillId="0" borderId="9" xfId="0" applyNumberFormat="1" applyFont="1" applyBorder="1"/>
    <xf numFmtId="43" fontId="2" fillId="0" borderId="13" xfId="3" applyFont="1" applyBorder="1"/>
    <xf numFmtId="0" fontId="9" fillId="11" borderId="30" xfId="0" applyFont="1" applyFill="1" applyBorder="1" applyAlignment="1">
      <alignment horizontal="center" vertical="center" wrapText="1"/>
    </xf>
    <xf numFmtId="10" fontId="9" fillId="11" borderId="30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10" fontId="9" fillId="0" borderId="30" xfId="0" applyNumberFormat="1" applyFont="1" applyBorder="1" applyAlignment="1">
      <alignment horizontal="center" vertical="center" wrapText="1"/>
    </xf>
    <xf numFmtId="2" fontId="2" fillId="0" borderId="9" xfId="0" applyNumberFormat="1" applyFont="1" applyBorder="1"/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0" fontId="0" fillId="12" borderId="0" xfId="0" applyNumberFormat="1" applyFill="1"/>
    <xf numFmtId="10" fontId="11" fillId="10" borderId="0" xfId="0" applyNumberFormat="1" applyFont="1" applyFill="1" applyBorder="1" applyAlignment="1">
      <alignment horizontal="center" vertical="center" wrapText="1"/>
    </xf>
    <xf numFmtId="10" fontId="2" fillId="1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3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2" fillId="12" borderId="0" xfId="0" applyNumberFormat="1" applyFont="1" applyFill="1" applyAlignment="1">
      <alignment horizontal="center" vertical="center"/>
    </xf>
    <xf numFmtId="2" fontId="2" fillId="12" borderId="0" xfId="3" applyNumberFormat="1" applyFont="1" applyFill="1" applyAlignment="1">
      <alignment horizontal="center" vertical="center"/>
    </xf>
    <xf numFmtId="10" fontId="0" fillId="12" borderId="0" xfId="1" applyNumberFormat="1" applyFont="1" applyFill="1"/>
    <xf numFmtId="0" fontId="10" fillId="0" borderId="0" xfId="4"/>
  </cellXfs>
  <cellStyles count="5">
    <cellStyle name="Comma" xfId="3" builtinId="3"/>
    <cellStyle name="Hyperlink" xfId="4" builtinId="8"/>
    <cellStyle name="Normal" xfId="0" builtinId="0"/>
    <cellStyle name="Normal 2" xfId="2" xr:uid="{48845A92-950C-4A09-AF93-6EAE6FBBB450}"/>
    <cellStyle name="Percent" xfId="1" builtinId="5"/>
  </cellStyles>
  <dxfs count="10"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70F8A-0A62-40D1-A7B3-7A110F8B03E3}" name="Table1" displayName="Table1" ref="B2:H15" totalsRowShown="0" headerRowDxfId="9">
  <autoFilter ref="B2:H15" xr:uid="{81D70F8A-0A62-40D1-A7B3-7A110F8B03E3}"/>
  <tableColumns count="7">
    <tableColumn id="1" xr3:uid="{1FB56E47-7076-4880-9CDF-6AD156B8B431}" name="Particulars" dataDxfId="8"/>
    <tableColumn id="2" xr3:uid="{F71D1862-2BA7-4829-88BC-9571DB8D8761}" name="2018" dataDxfId="7"/>
    <tableColumn id="3" xr3:uid="{0A69F87B-1824-4F7E-89E7-309BC2F4AC53}" name="2019"/>
    <tableColumn id="4" xr3:uid="{F00872FC-391F-4608-9191-190A0C87CBCB}" name="2020"/>
    <tableColumn id="5" xr3:uid="{3FCB171A-1DAD-44A7-BF7B-CBC85C80654A}" name="2021"/>
    <tableColumn id="6" xr3:uid="{625D2205-92F3-4012-B769-5BD8EB8E9BD1}" name="2022"/>
    <tableColumn id="7" xr3:uid="{30214D97-B5B8-4186-B1F0-D4E66B1ED3EA}" name="20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A8FA8-BE54-4192-9F20-63102F8BC09C}" name="Table2" displayName="Table2" ref="B4:H17" totalsRowShown="0" headerRowDxfId="6">
  <autoFilter ref="B4:H17" xr:uid="{A98A8FA8-BE54-4192-9F20-63102F8BC09C}"/>
  <tableColumns count="7">
    <tableColumn id="1" xr3:uid="{D536B4F3-C3F4-4E36-8DE3-419F4BF3C90D}" name="Particulars" dataDxfId="5"/>
    <tableColumn id="2" xr3:uid="{34B20E9D-85D7-4844-B14E-F6F5C9D3AFB0}" name="2018" dataDxfId="4"/>
    <tableColumn id="3" xr3:uid="{78AB3785-0270-496D-A02E-C2D467FA26BA}" name="2019" dataDxfId="3"/>
    <tableColumn id="4" xr3:uid="{B3EB55A7-FA8D-498C-889F-D4B64B4E8120}" name="2020" dataDxfId="2"/>
    <tableColumn id="5" xr3:uid="{5FDB148C-0A9A-4C22-8524-91A099B0A4F5}" name="2021" dataDxfId="1"/>
    <tableColumn id="6" xr3:uid="{BB024BA6-A17B-40B6-8956-6BFA6D51B656}" name="2022" dataDxfId="0"/>
    <tableColumn id="7" xr3:uid="{833325D5-1D86-4478-B10E-90FB35D87860}" name="202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rimeinvesto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AC1E-C998-4027-BA0C-14E7726CDD1F}">
  <dimension ref="B2:I16"/>
  <sheetViews>
    <sheetView workbookViewId="0">
      <selection activeCell="C26" sqref="C26"/>
    </sheetView>
  </sheetViews>
  <sheetFormatPr defaultRowHeight="14.4" x14ac:dyDescent="0.3"/>
  <cols>
    <col min="2" max="2" width="24.6640625" bestFit="1" customWidth="1"/>
    <col min="3" max="3" width="12.21875" customWidth="1"/>
    <col min="4" max="4" width="14" customWidth="1"/>
    <col min="5" max="5" width="13.77734375" customWidth="1"/>
    <col min="6" max="6" width="11.77734375" customWidth="1"/>
    <col min="7" max="7" width="13.21875" customWidth="1"/>
    <col min="8" max="8" width="16.77734375" customWidth="1"/>
  </cols>
  <sheetData>
    <row r="2" spans="2:9" x14ac:dyDescent="0.3">
      <c r="B2" s="41" t="s">
        <v>34</v>
      </c>
      <c r="C2" s="41" t="s">
        <v>57</v>
      </c>
      <c r="D2" s="41" t="s">
        <v>58</v>
      </c>
      <c r="E2" s="41" t="s">
        <v>59</v>
      </c>
      <c r="F2" s="41" t="s">
        <v>60</v>
      </c>
      <c r="G2" s="41" t="s">
        <v>61</v>
      </c>
      <c r="H2" s="41" t="s">
        <v>62</v>
      </c>
    </row>
    <row r="3" spans="2:9" x14ac:dyDescent="0.3">
      <c r="B3" s="40" t="s">
        <v>0</v>
      </c>
      <c r="C3" s="38">
        <v>2374</v>
      </c>
      <c r="D3" s="38">
        <v>4940</v>
      </c>
      <c r="E3" s="38">
        <v>-651</v>
      </c>
      <c r="F3" s="38">
        <v>1354</v>
      </c>
      <c r="G3" s="39">
        <v>1499</v>
      </c>
      <c r="H3" s="39">
        <v>4531</v>
      </c>
    </row>
    <row r="4" spans="2:9" x14ac:dyDescent="0.3">
      <c r="B4" s="40" t="s">
        <v>3</v>
      </c>
      <c r="C4" s="5">
        <v>87.93</v>
      </c>
      <c r="D4" s="5">
        <v>378.33</v>
      </c>
      <c r="E4" s="5">
        <v>162.29</v>
      </c>
      <c r="F4" s="5">
        <v>82.87</v>
      </c>
      <c r="G4" s="5">
        <v>99.18</v>
      </c>
      <c r="H4" s="38">
        <v>-1473.33</v>
      </c>
      <c r="I4" s="6"/>
    </row>
    <row r="5" spans="2:9" x14ac:dyDescent="0.3">
      <c r="B5" s="40" t="s">
        <v>24</v>
      </c>
      <c r="C5" s="39">
        <v>59212</v>
      </c>
      <c r="D5" s="39">
        <v>60910</v>
      </c>
      <c r="E5" s="39">
        <v>62590</v>
      </c>
      <c r="F5" s="39">
        <v>65060</v>
      </c>
      <c r="G5" s="39">
        <v>63900</v>
      </c>
      <c r="H5" s="39">
        <v>61720</v>
      </c>
    </row>
    <row r="6" spans="2:9" x14ac:dyDescent="0.3">
      <c r="B6" s="40" t="s">
        <v>25</v>
      </c>
      <c r="C6" s="39">
        <v>59212</v>
      </c>
      <c r="D6" s="39">
        <v>60910</v>
      </c>
      <c r="E6" s="39">
        <v>62590</v>
      </c>
      <c r="F6" s="39">
        <v>65060</v>
      </c>
      <c r="G6" s="39">
        <v>63900</v>
      </c>
      <c r="H6" s="39">
        <v>61720</v>
      </c>
    </row>
    <row r="7" spans="2:9" x14ac:dyDescent="0.3">
      <c r="B7" s="40" t="s">
        <v>26</v>
      </c>
      <c r="C7" s="38">
        <v>14971.66</v>
      </c>
      <c r="D7" s="38">
        <v>13229.3</v>
      </c>
      <c r="E7" s="38">
        <v>13568.76</v>
      </c>
      <c r="F7" s="38">
        <v>15854.59</v>
      </c>
      <c r="G7" s="38">
        <v>15619.61</v>
      </c>
      <c r="H7" s="38">
        <v>11499.95</v>
      </c>
    </row>
    <row r="8" spans="2:9" x14ac:dyDescent="0.3">
      <c r="B8" s="40" t="s">
        <v>27</v>
      </c>
      <c r="C8" s="38">
        <v>24218.95</v>
      </c>
      <c r="D8" s="38">
        <v>22940.81</v>
      </c>
      <c r="E8" s="38">
        <v>25810.82</v>
      </c>
      <c r="F8" s="38">
        <v>26251.55</v>
      </c>
      <c r="G8" s="38">
        <v>26992.81</v>
      </c>
      <c r="H8" s="38">
        <v>25803.53</v>
      </c>
    </row>
    <row r="9" spans="2:9" x14ac:dyDescent="0.3">
      <c r="B9" s="40" t="s">
        <v>28</v>
      </c>
      <c r="C9" s="38">
        <f>C5-C7</f>
        <v>44240.34</v>
      </c>
      <c r="D9" s="38">
        <f t="shared" ref="D9:H9" si="0">D5-D7</f>
        <v>47680.7</v>
      </c>
      <c r="E9" s="38">
        <f t="shared" si="0"/>
        <v>49021.24</v>
      </c>
      <c r="F9" s="38">
        <f t="shared" si="0"/>
        <v>49205.41</v>
      </c>
      <c r="G9" s="38">
        <f t="shared" si="0"/>
        <v>48280.39</v>
      </c>
      <c r="H9" s="38">
        <f t="shared" si="0"/>
        <v>50220.05</v>
      </c>
    </row>
    <row r="10" spans="2:9" x14ac:dyDescent="0.3">
      <c r="B10" s="40" t="s">
        <v>29</v>
      </c>
      <c r="C10" s="38">
        <f>C7-C8</f>
        <v>-9247.2900000000009</v>
      </c>
      <c r="D10" s="38">
        <f t="shared" ref="D10:H10" si="1">D7-D8</f>
        <v>-9711.510000000002</v>
      </c>
      <c r="E10" s="38">
        <f t="shared" si="1"/>
        <v>-12242.06</v>
      </c>
      <c r="F10" s="38">
        <f t="shared" si="1"/>
        <v>-10396.959999999999</v>
      </c>
      <c r="G10" s="38">
        <f t="shared" si="1"/>
        <v>-11373.2</v>
      </c>
      <c r="H10" s="38">
        <f t="shared" si="1"/>
        <v>-14303.579999999998</v>
      </c>
    </row>
    <row r="11" spans="2:9" x14ac:dyDescent="0.3">
      <c r="B11" s="40" t="s">
        <v>13</v>
      </c>
      <c r="C11" s="5"/>
      <c r="D11" s="38">
        <f>D10-C10</f>
        <v>-464.22000000000116</v>
      </c>
      <c r="E11" s="38">
        <f t="shared" ref="E11:H11" si="2">E10-D10</f>
        <v>-2530.5499999999975</v>
      </c>
      <c r="F11" s="38">
        <f t="shared" si="2"/>
        <v>1845.1000000000004</v>
      </c>
      <c r="G11" s="38">
        <f t="shared" si="2"/>
        <v>-976.2400000000016</v>
      </c>
      <c r="H11" s="38">
        <f t="shared" si="2"/>
        <v>-2930.3799999999974</v>
      </c>
    </row>
    <row r="12" spans="2:9" x14ac:dyDescent="0.3">
      <c r="B12" s="40" t="s">
        <v>30</v>
      </c>
      <c r="C12" s="5">
        <v>154.61000000000001</v>
      </c>
      <c r="D12" s="5">
        <v>205.86</v>
      </c>
      <c r="E12" s="5">
        <v>198.59</v>
      </c>
      <c r="F12" s="5">
        <v>266.5</v>
      </c>
      <c r="G12" s="5">
        <v>173.72</v>
      </c>
      <c r="H12" s="5">
        <v>51.16</v>
      </c>
    </row>
    <row r="13" spans="2:9" x14ac:dyDescent="0.3">
      <c r="B13" s="40" t="s">
        <v>31</v>
      </c>
      <c r="C13" s="39">
        <v>3102</v>
      </c>
      <c r="D13" s="39">
        <v>3099</v>
      </c>
      <c r="E13" s="39">
        <v>3375</v>
      </c>
      <c r="F13" s="39">
        <v>1731</v>
      </c>
      <c r="G13" s="39">
        <v>1761</v>
      </c>
      <c r="H13" s="39">
        <v>1767</v>
      </c>
    </row>
    <row r="14" spans="2:9" x14ac:dyDescent="0.3">
      <c r="B14" s="40" t="s">
        <v>32</v>
      </c>
      <c r="C14" s="5">
        <v>18192</v>
      </c>
      <c r="D14" s="5">
        <v>18317</v>
      </c>
      <c r="E14" s="5">
        <v>18871</v>
      </c>
      <c r="F14" s="5">
        <v>19153</v>
      </c>
      <c r="G14" s="5">
        <v>11733</v>
      </c>
      <c r="H14" s="5">
        <v>11708</v>
      </c>
    </row>
    <row r="15" spans="2:9" x14ac:dyDescent="0.3">
      <c r="B15" s="40" t="s">
        <v>33</v>
      </c>
      <c r="C15" s="5"/>
      <c r="D15" s="39">
        <f>D14+D13-C14</f>
        <v>3224</v>
      </c>
      <c r="E15" s="39">
        <f t="shared" ref="E15:H15" si="3">E14+E13-D14</f>
        <v>3929</v>
      </c>
      <c r="F15" s="39">
        <f t="shared" si="3"/>
        <v>2013</v>
      </c>
      <c r="G15" s="39">
        <f t="shared" si="3"/>
        <v>-5659</v>
      </c>
      <c r="H15" s="39">
        <f t="shared" si="3"/>
        <v>1742</v>
      </c>
    </row>
    <row r="16" spans="2:9" x14ac:dyDescent="0.3">
      <c r="C16" s="5"/>
      <c r="D16" s="5"/>
      <c r="E16" s="5"/>
      <c r="F16" s="5"/>
      <c r="G16" s="5"/>
      <c r="H16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45D3-B588-44E1-AAD5-309E4F3DC358}">
  <dimension ref="B4:H28"/>
  <sheetViews>
    <sheetView workbookViewId="0">
      <selection activeCell="E23" sqref="E23"/>
    </sheetView>
  </sheetViews>
  <sheetFormatPr defaultRowHeight="14.4" x14ac:dyDescent="0.3"/>
  <cols>
    <col min="2" max="2" width="20.21875" bestFit="1" customWidth="1"/>
  </cols>
  <sheetData>
    <row r="4" spans="2:8" ht="15" thickBot="1" x14ac:dyDescent="0.35">
      <c r="B4" s="41" t="s">
        <v>34</v>
      </c>
      <c r="C4" s="41" t="s">
        <v>57</v>
      </c>
      <c r="D4" s="41" t="s">
        <v>58</v>
      </c>
      <c r="E4" s="41" t="s">
        <v>59</v>
      </c>
      <c r="F4" s="41" t="s">
        <v>60</v>
      </c>
      <c r="G4" s="41" t="s">
        <v>61</v>
      </c>
      <c r="H4" s="41" t="s">
        <v>62</v>
      </c>
    </row>
    <row r="5" spans="2:8" ht="15" thickBot="1" x14ac:dyDescent="0.35">
      <c r="B5" s="7" t="str">
        <f>'Tata Motors Data'!B3</f>
        <v>EBIT</v>
      </c>
      <c r="C5" s="8">
        <f>'Tata Motors Data'!C3</f>
        <v>2374</v>
      </c>
      <c r="D5" s="8">
        <f>'Tata Motors Data'!D3</f>
        <v>4940</v>
      </c>
      <c r="E5" s="8">
        <f>'Tata Motors Data'!E3</f>
        <v>-651</v>
      </c>
      <c r="F5" s="8">
        <f>'Tata Motors Data'!F3</f>
        <v>1354</v>
      </c>
      <c r="G5" s="8">
        <f>'Tata Motors Data'!G3</f>
        <v>1499</v>
      </c>
      <c r="H5" s="9">
        <f>'Tata Motors Data'!H3</f>
        <v>4531</v>
      </c>
    </row>
    <row r="6" spans="2:8" x14ac:dyDescent="0.3">
      <c r="B6" s="5"/>
    </row>
    <row r="7" spans="2:8" x14ac:dyDescent="0.3">
      <c r="B7" s="5" t="str">
        <f>'Tata Motors Data'!B7</f>
        <v>Current Assets</v>
      </c>
      <c r="C7">
        <f>'Tata Motors Data'!C7</f>
        <v>14971.66</v>
      </c>
      <c r="D7">
        <f>'Tata Motors Data'!D7</f>
        <v>13229.3</v>
      </c>
      <c r="E7">
        <f>'Tata Motors Data'!E7</f>
        <v>13568.76</v>
      </c>
      <c r="F7">
        <f>'Tata Motors Data'!F7</f>
        <v>15854.59</v>
      </c>
      <c r="G7">
        <f>'Tata Motors Data'!G7</f>
        <v>15619.61</v>
      </c>
      <c r="H7">
        <f>'Tata Motors Data'!H7</f>
        <v>11499.95</v>
      </c>
    </row>
    <row r="8" spans="2:8" x14ac:dyDescent="0.3">
      <c r="B8" s="5" t="str">
        <f>'Tata Motors Data'!B8</f>
        <v>Current Liabilities</v>
      </c>
      <c r="C8">
        <f>'Tata Motors Data'!C8</f>
        <v>24218.95</v>
      </c>
      <c r="D8">
        <f>'Tata Motors Data'!D8</f>
        <v>22940.81</v>
      </c>
      <c r="E8">
        <f>'Tata Motors Data'!E8</f>
        <v>25810.82</v>
      </c>
      <c r="F8">
        <f>'Tata Motors Data'!F8</f>
        <v>26251.55</v>
      </c>
      <c r="G8">
        <f>'Tata Motors Data'!G8</f>
        <v>26992.81</v>
      </c>
      <c r="H8">
        <f>'Tata Motors Data'!H8</f>
        <v>25803.53</v>
      </c>
    </row>
    <row r="9" spans="2:8" ht="15" thickBot="1" x14ac:dyDescent="0.35">
      <c r="B9" s="5" t="s">
        <v>1</v>
      </c>
      <c r="C9">
        <f>C7-C8</f>
        <v>-9247.2900000000009</v>
      </c>
      <c r="D9">
        <f t="shared" ref="D9:H9" si="0">D7-D8</f>
        <v>-9711.510000000002</v>
      </c>
      <c r="E9">
        <f t="shared" si="0"/>
        <v>-12242.06</v>
      </c>
      <c r="F9">
        <f t="shared" si="0"/>
        <v>-10396.959999999999</v>
      </c>
      <c r="G9">
        <f t="shared" si="0"/>
        <v>-11373.2</v>
      </c>
      <c r="H9">
        <f t="shared" si="0"/>
        <v>-14303.579999999998</v>
      </c>
    </row>
    <row r="10" spans="2:8" ht="15" thickBot="1" x14ac:dyDescent="0.35">
      <c r="B10" s="7" t="s">
        <v>13</v>
      </c>
      <c r="C10" s="8"/>
      <c r="D10" s="8">
        <f>D9-C9</f>
        <v>-464.22000000000116</v>
      </c>
      <c r="E10" s="8">
        <f t="shared" ref="E10:H10" si="1">E9-D9</f>
        <v>-2530.5499999999975</v>
      </c>
      <c r="F10" s="8">
        <f t="shared" si="1"/>
        <v>1845.1000000000004</v>
      </c>
      <c r="G10" s="8">
        <f t="shared" si="1"/>
        <v>-976.2400000000016</v>
      </c>
      <c r="H10" s="9">
        <f t="shared" si="1"/>
        <v>-2930.3799999999974</v>
      </c>
    </row>
    <row r="11" spans="2:8" ht="15" thickBot="1" x14ac:dyDescent="0.35">
      <c r="B11" s="5"/>
    </row>
    <row r="12" spans="2:8" ht="15" thickBot="1" x14ac:dyDescent="0.35">
      <c r="B12" s="7" t="str">
        <f>'Tata Motors Data'!B12</f>
        <v>Deferred Tax</v>
      </c>
      <c r="C12" s="8">
        <f>'Tata Motors Data'!C12</f>
        <v>154.61000000000001</v>
      </c>
      <c r="D12" s="8">
        <f>'Tata Motors Data'!D12</f>
        <v>205.86</v>
      </c>
      <c r="E12" s="8">
        <f>'Tata Motors Data'!E12</f>
        <v>198.59</v>
      </c>
      <c r="F12" s="8">
        <f>'Tata Motors Data'!F12</f>
        <v>266.5</v>
      </c>
      <c r="G12" s="8">
        <f>'Tata Motors Data'!G12</f>
        <v>173.72</v>
      </c>
      <c r="H12" s="9">
        <f>'Tata Motors Data'!H12</f>
        <v>51.16</v>
      </c>
    </row>
    <row r="13" spans="2:8" ht="15" thickBot="1" x14ac:dyDescent="0.35">
      <c r="B13" s="7" t="s">
        <v>3</v>
      </c>
      <c r="C13" s="8">
        <v>87.93</v>
      </c>
      <c r="D13" s="8">
        <v>378.33</v>
      </c>
      <c r="E13" s="8">
        <v>162.29</v>
      </c>
      <c r="F13" s="8">
        <v>82.87</v>
      </c>
      <c r="G13" s="8">
        <v>99.18</v>
      </c>
      <c r="H13" s="37">
        <v>-1473.33</v>
      </c>
    </row>
    <row r="14" spans="2:8" ht="15" thickBot="1" x14ac:dyDescent="0.35">
      <c r="B14" s="7" t="str">
        <f>'Tata Motors Data'!B13</f>
        <v>D&amp;A</v>
      </c>
      <c r="C14" s="8">
        <f>'Tata Motors Data'!C13</f>
        <v>3102</v>
      </c>
      <c r="D14" s="8">
        <f>'Tata Motors Data'!D13</f>
        <v>3099</v>
      </c>
      <c r="E14" s="8">
        <f>'Tata Motors Data'!E13</f>
        <v>3375</v>
      </c>
      <c r="F14" s="8">
        <f>'Tata Motors Data'!F13</f>
        <v>1731</v>
      </c>
      <c r="G14" s="8">
        <f>'Tata Motors Data'!G13</f>
        <v>1761</v>
      </c>
      <c r="H14" s="9">
        <f>'Tata Motors Data'!H13</f>
        <v>1767</v>
      </c>
    </row>
    <row r="15" spans="2:8" ht="15" thickBot="1" x14ac:dyDescent="0.35">
      <c r="B15" s="7" t="str">
        <f>'Tata Motors Data'!B15</f>
        <v>CapEx</v>
      </c>
      <c r="C15" s="8"/>
      <c r="D15" s="8">
        <f>'Tata Motors Data'!D15</f>
        <v>3224</v>
      </c>
      <c r="E15" s="8">
        <f>'Tata Motors Data'!E15</f>
        <v>3929</v>
      </c>
      <c r="F15" s="8">
        <f>'Tata Motors Data'!F15</f>
        <v>2013</v>
      </c>
      <c r="G15" s="8">
        <f>'Tata Motors Data'!G15</f>
        <v>-5659</v>
      </c>
      <c r="H15" s="9">
        <f>'Tata Motors Data'!H15</f>
        <v>1742</v>
      </c>
    </row>
    <row r="17" spans="2:8" x14ac:dyDescent="0.3">
      <c r="B17" s="10" t="s">
        <v>67</v>
      </c>
      <c r="C17" s="10"/>
      <c r="D17" s="10">
        <f>D5+D12-D10-D13-D15+D14</f>
        <v>5106.7500000000009</v>
      </c>
      <c r="E17" s="10">
        <f>E5+E12-E10-E13-E15+E14</f>
        <v>1361.8499999999976</v>
      </c>
      <c r="F17" s="10">
        <f>F5+F12-F10-F13-F15+F14</f>
        <v>-589.47000000000025</v>
      </c>
      <c r="G17" s="10">
        <f>G5+G12-G10-G13-G15+G14</f>
        <v>9969.7800000000025</v>
      </c>
      <c r="H17" s="10">
        <f>H5+H12-H10-H13-H15+H14</f>
        <v>9010.8699999999972</v>
      </c>
    </row>
    <row r="28" spans="2:8" x14ac:dyDescent="0.3">
      <c r="H28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6C19-C9C6-418D-BD2B-5E818B58DF6A}">
  <dimension ref="B4:G15"/>
  <sheetViews>
    <sheetView workbookViewId="0">
      <selection activeCell="D10" sqref="D10"/>
    </sheetView>
  </sheetViews>
  <sheetFormatPr defaultRowHeight="14.4" x14ac:dyDescent="0.3"/>
  <cols>
    <col min="2" max="2" width="19" bestFit="1" customWidth="1"/>
    <col min="5" max="5" width="17" customWidth="1"/>
    <col min="6" max="6" width="15.109375" customWidth="1"/>
    <col min="7" max="7" width="18.21875" bestFit="1" customWidth="1"/>
    <col min="8" max="9" width="12.88671875" bestFit="1" customWidth="1"/>
  </cols>
  <sheetData>
    <row r="4" spans="2:7" ht="15" thickBot="1" x14ac:dyDescent="0.35"/>
    <row r="5" spans="2:7" ht="15" thickBot="1" x14ac:dyDescent="0.35">
      <c r="B5" s="78" t="s">
        <v>40</v>
      </c>
      <c r="C5" s="79"/>
      <c r="F5" s="61" t="s">
        <v>54</v>
      </c>
      <c r="G5" s="61" t="s">
        <v>39</v>
      </c>
    </row>
    <row r="6" spans="2:7" x14ac:dyDescent="0.3">
      <c r="B6" s="42" t="s">
        <v>35</v>
      </c>
      <c r="C6" s="43">
        <f>1840/19279</f>
        <v>9.5440634887701645E-2</v>
      </c>
      <c r="E6" s="42" t="s">
        <v>37</v>
      </c>
      <c r="F6" s="47">
        <v>19279</v>
      </c>
      <c r="G6" s="43">
        <f>F6/$F$8</f>
        <v>7.6485150478850447E-2</v>
      </c>
    </row>
    <row r="7" spans="2:7" x14ac:dyDescent="0.3">
      <c r="B7" s="15" t="s">
        <v>23</v>
      </c>
      <c r="C7" s="44">
        <v>0.3</v>
      </c>
      <c r="E7" s="15" t="s">
        <v>38</v>
      </c>
      <c r="F7" s="46">
        <v>232783</v>
      </c>
      <c r="G7" s="44">
        <f>F7/$F$8</f>
        <v>0.92351484952114959</v>
      </c>
    </row>
    <row r="8" spans="2:7" ht="15" thickBot="1" x14ac:dyDescent="0.35">
      <c r="B8" s="16" t="s">
        <v>36</v>
      </c>
      <c r="C8" s="45">
        <f>C6*(1-C7)</f>
        <v>6.6808444421391153E-2</v>
      </c>
      <c r="E8" s="16" t="s">
        <v>5</v>
      </c>
      <c r="F8" s="48">
        <f>F6+F7</f>
        <v>252062</v>
      </c>
      <c r="G8" s="45">
        <f>F8/$F$8</f>
        <v>1</v>
      </c>
    </row>
    <row r="9" spans="2:7" ht="15" thickBot="1" x14ac:dyDescent="0.35"/>
    <row r="10" spans="2:7" x14ac:dyDescent="0.3">
      <c r="B10" s="42" t="s">
        <v>7</v>
      </c>
      <c r="C10" s="71">
        <v>7.1099999999999997E-2</v>
      </c>
      <c r="E10" s="42" t="s">
        <v>9</v>
      </c>
      <c r="F10" s="43">
        <f>(C10+(C11*C12))</f>
        <v>0.21581084493452324</v>
      </c>
    </row>
    <row r="11" spans="2:7" x14ac:dyDescent="0.3">
      <c r="B11" s="15" t="s">
        <v>6</v>
      </c>
      <c r="C11" s="28">
        <f>'Market Growth'!F6-WACC!C10</f>
        <v>9.7134782608695652E-2</v>
      </c>
      <c r="E11" s="15" t="s">
        <v>11</v>
      </c>
      <c r="F11" s="28">
        <f>G7</f>
        <v>0.92351484952114959</v>
      </c>
    </row>
    <row r="12" spans="2:7" ht="15" thickBot="1" x14ac:dyDescent="0.35">
      <c r="B12" s="16" t="s">
        <v>8</v>
      </c>
      <c r="C12" s="72">
        <f>Beta!M6</f>
        <v>1.4897942945678504</v>
      </c>
      <c r="E12" s="15" t="s">
        <v>10</v>
      </c>
      <c r="F12" s="28">
        <f>C8</f>
        <v>6.6808444421391153E-2</v>
      </c>
    </row>
    <row r="13" spans="2:7" ht="15" thickBot="1" x14ac:dyDescent="0.35">
      <c r="E13" s="16" t="s">
        <v>12</v>
      </c>
      <c r="F13" s="49">
        <f>G6</f>
        <v>7.6485150478850447E-2</v>
      </c>
    </row>
    <row r="14" spans="2:7" ht="15" thickBot="1" x14ac:dyDescent="0.35"/>
    <row r="15" spans="2:7" ht="15" thickBot="1" x14ac:dyDescent="0.35">
      <c r="E15" s="60" t="s">
        <v>4</v>
      </c>
      <c r="F15" s="59">
        <f>F10*F11+F12*F13</f>
        <v>0.2044143739095664</v>
      </c>
    </row>
  </sheetData>
  <mergeCells count="1"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3F34-67A1-4C1E-9634-A37D0B93F07F}">
  <dimension ref="B3:H25"/>
  <sheetViews>
    <sheetView workbookViewId="0">
      <selection activeCell="D19" sqref="D19"/>
    </sheetView>
  </sheetViews>
  <sheetFormatPr defaultRowHeight="14.4" x14ac:dyDescent="0.3"/>
  <cols>
    <col min="2" max="2" width="26.77734375" bestFit="1" customWidth="1"/>
    <col min="3" max="3" width="24.88671875" bestFit="1" customWidth="1"/>
    <col min="4" max="4" width="15.33203125" customWidth="1"/>
    <col min="9" max="9" width="0.5546875" customWidth="1"/>
    <col min="10" max="10" width="27.88671875" customWidth="1"/>
    <col min="11" max="11" width="30.6640625" customWidth="1"/>
  </cols>
  <sheetData>
    <row r="3" spans="2:8" ht="15" thickBot="1" x14ac:dyDescent="0.35"/>
    <row r="4" spans="2:8" ht="15" thickBot="1" x14ac:dyDescent="0.35">
      <c r="B4" s="80" t="s">
        <v>63</v>
      </c>
      <c r="C4" s="81"/>
      <c r="D4" s="81"/>
      <c r="E4" s="81"/>
      <c r="F4" s="81"/>
      <c r="G4" s="81"/>
      <c r="H4" s="82"/>
    </row>
    <row r="5" spans="2:8" ht="15" thickBot="1" x14ac:dyDescent="0.35">
      <c r="B5" s="50" t="s">
        <v>40</v>
      </c>
      <c r="C5" s="51">
        <v>2018</v>
      </c>
      <c r="D5" s="51">
        <v>2019</v>
      </c>
      <c r="E5" s="51">
        <v>2020</v>
      </c>
      <c r="F5" s="51">
        <v>2021</v>
      </c>
      <c r="G5" s="51">
        <v>2022</v>
      </c>
      <c r="H5" s="52">
        <v>2023</v>
      </c>
    </row>
    <row r="6" spans="2:8" ht="15" thickBot="1" x14ac:dyDescent="0.35">
      <c r="B6" s="12" t="str">
        <f>'Tata Motors Data'!B10</f>
        <v>WC</v>
      </c>
      <c r="C6" s="54">
        <f>'Tata Motors Data'!C10</f>
        <v>-9247.2900000000009</v>
      </c>
      <c r="D6" s="54">
        <f>'Tata Motors Data'!D10</f>
        <v>-9711.510000000002</v>
      </c>
      <c r="E6" s="54">
        <f>'Tata Motors Data'!E10</f>
        <v>-12242.06</v>
      </c>
      <c r="F6" s="54">
        <f>'Tata Motors Data'!F10</f>
        <v>-10396.959999999999</v>
      </c>
      <c r="G6" s="54">
        <f>'Tata Motors Data'!G10</f>
        <v>-11373.2</v>
      </c>
      <c r="H6" s="55">
        <f>'Tata Motors Data'!H10</f>
        <v>-14303.579999999998</v>
      </c>
    </row>
    <row r="7" spans="2:8" ht="15" thickBot="1" x14ac:dyDescent="0.35">
      <c r="B7" s="12" t="str">
        <f>'Tata Motors Data'!B9</f>
        <v>Net Non Current Assets</v>
      </c>
      <c r="C7" s="54">
        <f>'Tata Motors Data'!C9</f>
        <v>44240.34</v>
      </c>
      <c r="D7" s="54">
        <f>'Tata Motors Data'!D9</f>
        <v>47680.7</v>
      </c>
      <c r="E7" s="54">
        <f>'Tata Motors Data'!E9</f>
        <v>49021.24</v>
      </c>
      <c r="F7" s="54">
        <f>'Tata Motors Data'!F9</f>
        <v>49205.41</v>
      </c>
      <c r="G7" s="54">
        <f>'Tata Motors Data'!G9</f>
        <v>48280.39</v>
      </c>
      <c r="H7" s="55">
        <f>'Tata Motors Data'!H9</f>
        <v>50220.05</v>
      </c>
    </row>
    <row r="8" spans="2:8" ht="15" thickBot="1" x14ac:dyDescent="0.35">
      <c r="B8" s="12" t="s">
        <v>41</v>
      </c>
      <c r="C8" s="54">
        <f t="shared" ref="C8:H8" si="0">C6+C7</f>
        <v>34993.049999999996</v>
      </c>
      <c r="D8" s="54">
        <f t="shared" si="0"/>
        <v>37969.189999999995</v>
      </c>
      <c r="E8" s="54">
        <f t="shared" si="0"/>
        <v>36779.18</v>
      </c>
      <c r="F8" s="54">
        <f t="shared" si="0"/>
        <v>38808.450000000004</v>
      </c>
      <c r="G8" s="54">
        <f t="shared" si="0"/>
        <v>36907.19</v>
      </c>
      <c r="H8" s="55">
        <f t="shared" si="0"/>
        <v>35916.47</v>
      </c>
    </row>
    <row r="9" spans="2:8" ht="15" thickBot="1" x14ac:dyDescent="0.35">
      <c r="B9" s="12" t="str">
        <f>'Tata Motors Data'!B3</f>
        <v>EBIT</v>
      </c>
      <c r="C9" s="54">
        <f>'Tata Motors Data'!C3</f>
        <v>2374</v>
      </c>
      <c r="D9" s="54">
        <f>'Tata Motors Data'!D3</f>
        <v>4940</v>
      </c>
      <c r="E9" s="54">
        <f>'Tata Motors Data'!E3</f>
        <v>-651</v>
      </c>
      <c r="F9" s="54">
        <f>'Tata Motors Data'!F3</f>
        <v>1354</v>
      </c>
      <c r="G9" s="54">
        <f>'Tata Motors Data'!G3</f>
        <v>1499</v>
      </c>
      <c r="H9" s="55">
        <f>'Tata Motors Data'!H3</f>
        <v>4531</v>
      </c>
    </row>
    <row r="10" spans="2:8" ht="15" thickBot="1" x14ac:dyDescent="0.35">
      <c r="B10" s="12" t="s">
        <v>14</v>
      </c>
      <c r="C10" s="63">
        <f t="shared" ref="C10:H10" si="1">C9/C8</f>
        <v>6.7842042919951259E-2</v>
      </c>
      <c r="D10" s="63">
        <f t="shared" si="1"/>
        <v>0.1301054881602689</v>
      </c>
      <c r="E10" s="63">
        <f t="shared" si="1"/>
        <v>-1.7700231489663446E-2</v>
      </c>
      <c r="F10" s="63">
        <f t="shared" si="1"/>
        <v>3.4889308900510063E-2</v>
      </c>
      <c r="G10" s="63">
        <f t="shared" si="1"/>
        <v>4.0615392285351444E-2</v>
      </c>
      <c r="H10" s="64">
        <f t="shared" si="1"/>
        <v>0.12615382302325368</v>
      </c>
    </row>
    <row r="11" spans="2:8" ht="15" thickBot="1" x14ac:dyDescent="0.35"/>
    <row r="12" spans="2:8" ht="15" thickBot="1" x14ac:dyDescent="0.35">
      <c r="B12" s="80" t="s">
        <v>64</v>
      </c>
      <c r="C12" s="81"/>
      <c r="D12" s="81"/>
      <c r="E12" s="81"/>
      <c r="F12" s="81"/>
      <c r="G12" s="81"/>
      <c r="H12" s="82"/>
    </row>
    <row r="13" spans="2:8" ht="15" thickBot="1" x14ac:dyDescent="0.35">
      <c r="B13" s="12" t="str">
        <f>'Tata Motors Data'!B11</f>
        <v>WCC</v>
      </c>
      <c r="C13" s="54"/>
      <c r="D13" s="54">
        <f>'Tata Motors Data'!D11</f>
        <v>-464.22000000000116</v>
      </c>
      <c r="E13" s="54">
        <f>'Tata Motors Data'!E11</f>
        <v>-2530.5499999999975</v>
      </c>
      <c r="F13" s="54">
        <f>'Tata Motors Data'!F11</f>
        <v>1845.1000000000004</v>
      </c>
      <c r="G13" s="54">
        <f>'Tata Motors Data'!G11</f>
        <v>-976.2400000000016</v>
      </c>
      <c r="H13" s="55">
        <f>'Tata Motors Data'!H11</f>
        <v>-2930.3799999999974</v>
      </c>
    </row>
    <row r="14" spans="2:8" ht="15" thickBot="1" x14ac:dyDescent="0.35">
      <c r="B14" s="12" t="str">
        <f>'Tata Motors Data'!B15</f>
        <v>CapEx</v>
      </c>
      <c r="C14" s="54"/>
      <c r="D14" s="54">
        <f>'Tata Motors Data'!D15</f>
        <v>3224</v>
      </c>
      <c r="E14" s="54">
        <f>'Tata Motors Data'!E15</f>
        <v>3929</v>
      </c>
      <c r="F14" s="54">
        <f>'Tata Motors Data'!F15</f>
        <v>2013</v>
      </c>
      <c r="G14" s="54">
        <f>'Tata Motors Data'!G15</f>
        <v>-5659</v>
      </c>
      <c r="H14" s="55">
        <f>'Tata Motors Data'!H15</f>
        <v>1742</v>
      </c>
    </row>
    <row r="15" spans="2:8" ht="15" thickBot="1" x14ac:dyDescent="0.35">
      <c r="B15" s="12" t="s">
        <v>16</v>
      </c>
      <c r="C15" s="54"/>
      <c r="D15" s="54">
        <f>D13+D14</f>
        <v>2759.7799999999988</v>
      </c>
      <c r="E15" s="54">
        <f>E13+E14</f>
        <v>1398.4500000000025</v>
      </c>
      <c r="F15" s="54">
        <f>F13+F14</f>
        <v>3858.1000000000004</v>
      </c>
      <c r="G15" s="54">
        <f>G13+G14</f>
        <v>-6635.2400000000016</v>
      </c>
      <c r="H15" s="55">
        <f>H13+H14</f>
        <v>-1188.3799999999974</v>
      </c>
    </row>
    <row r="16" spans="2:8" ht="15" thickBot="1" x14ac:dyDescent="0.35">
      <c r="B16" s="12" t="s">
        <v>15</v>
      </c>
      <c r="C16" s="54">
        <f>'Free Cash Flow'!C5-'Free Cash Flow'!C13</f>
        <v>2286.0700000000002</v>
      </c>
      <c r="D16" s="54">
        <f>'Free Cash Flow'!D5-'Free Cash Flow'!D13</f>
        <v>4561.67</v>
      </c>
      <c r="E16" s="54">
        <f>'Free Cash Flow'!E5-'Free Cash Flow'!E13</f>
        <v>-813.29</v>
      </c>
      <c r="F16" s="54">
        <f>'Free Cash Flow'!F5-'Free Cash Flow'!F13</f>
        <v>1271.1300000000001</v>
      </c>
      <c r="G16" s="54">
        <f>'Free Cash Flow'!G5-'Free Cash Flow'!G13</f>
        <v>1399.82</v>
      </c>
      <c r="H16" s="55">
        <f>'Free Cash Flow'!H5-'Free Cash Flow'!H13</f>
        <v>6004.33</v>
      </c>
    </row>
    <row r="17" spans="2:8" ht="15" thickBot="1" x14ac:dyDescent="0.35">
      <c r="B17" s="12" t="s">
        <v>17</v>
      </c>
      <c r="C17" s="67"/>
      <c r="D17" s="63">
        <f>D15/D16</f>
        <v>0.60499334673485783</v>
      </c>
      <c r="E17" s="63">
        <f>E15/E16</f>
        <v>-1.719497350268665</v>
      </c>
      <c r="F17" s="63">
        <f>F15/F16</f>
        <v>3.0351734283668863</v>
      </c>
      <c r="G17" s="63">
        <f>G15/G16</f>
        <v>-4.7400665799888575</v>
      </c>
      <c r="H17" s="64">
        <f>H15/H16</f>
        <v>-0.19792050070532388</v>
      </c>
    </row>
    <row r="18" spans="2:8" ht="15" thickBot="1" x14ac:dyDescent="0.35">
      <c r="B18" s="53"/>
      <c r="C18" s="5"/>
      <c r="D18" s="5"/>
      <c r="E18" s="5"/>
      <c r="F18" s="5"/>
      <c r="G18" s="5"/>
      <c r="H18" s="56"/>
    </row>
    <row r="19" spans="2:8" ht="15" thickBot="1" x14ac:dyDescent="0.35">
      <c r="B19" s="12" t="s">
        <v>18</v>
      </c>
      <c r="C19" s="65"/>
      <c r="D19" s="66">
        <f>D10*D17</f>
        <v>7.871295471065351E-2</v>
      </c>
      <c r="E19" s="66">
        <f>E10*E17</f>
        <v>3.0435501145618282E-2</v>
      </c>
      <c r="F19" s="66">
        <f>F10*F17</f>
        <v>0.10589510330891246</v>
      </c>
      <c r="G19" s="66">
        <f>G10*G17</f>
        <v>-0.19251966360493164</v>
      </c>
      <c r="H19" s="62">
        <f>H10*H17</f>
        <v>-2.4968427818653185E-2</v>
      </c>
    </row>
    <row r="20" spans="2:8" ht="15" thickBot="1" x14ac:dyDescent="0.35"/>
    <row r="21" spans="2:8" ht="15" thickBot="1" x14ac:dyDescent="0.35">
      <c r="B21" s="22" t="s">
        <v>56</v>
      </c>
      <c r="C21" s="22" t="s">
        <v>55</v>
      </c>
    </row>
    <row r="22" spans="2:8" ht="15" thickBot="1" x14ac:dyDescent="0.35">
      <c r="B22" s="69">
        <v>-0.5625</v>
      </c>
      <c r="C22" s="68">
        <f>AVERAGE(D17:H17)</f>
        <v>-0.6034635311722204</v>
      </c>
    </row>
    <row r="23" spans="2:8" ht="15" thickBot="1" x14ac:dyDescent="0.35"/>
    <row r="24" spans="2:8" ht="15" thickBot="1" x14ac:dyDescent="0.35">
      <c r="B24" s="12" t="s">
        <v>68</v>
      </c>
    </row>
    <row r="25" spans="2:8" ht="15" thickBot="1" x14ac:dyDescent="0.35">
      <c r="B25" s="68">
        <f>AVERAGE(D19:H19)</f>
        <v>-4.8890645168011486E-4</v>
      </c>
      <c r="C25" s="5"/>
      <c r="D25" s="5"/>
      <c r="E25" s="5"/>
      <c r="F25" s="5"/>
      <c r="G25" s="5"/>
      <c r="H25" s="5"/>
    </row>
  </sheetData>
  <mergeCells count="2">
    <mergeCell ref="B4:H4"/>
    <mergeCell ref="B12:H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9849-C7D5-437D-A67B-A2862C26B6A8}">
  <dimension ref="B3:I27"/>
  <sheetViews>
    <sheetView tabSelected="1" workbookViewId="0">
      <selection activeCell="F25" sqref="F25"/>
    </sheetView>
  </sheetViews>
  <sheetFormatPr defaultRowHeight="14.4" x14ac:dyDescent="0.3"/>
  <cols>
    <col min="2" max="2" width="19.44140625" bestFit="1" customWidth="1"/>
    <col min="3" max="3" width="13" customWidth="1"/>
    <col min="4" max="4" width="13.77734375" customWidth="1"/>
    <col min="5" max="5" width="20.21875" bestFit="1" customWidth="1"/>
    <col min="6" max="6" width="14.6640625" customWidth="1"/>
    <col min="9" max="9" width="22" customWidth="1"/>
  </cols>
  <sheetData>
    <row r="3" spans="2:9" ht="15" thickBot="1" x14ac:dyDescent="0.35"/>
    <row r="4" spans="2:9" ht="15" thickBot="1" x14ac:dyDescent="0.35">
      <c r="B4" s="80" t="s">
        <v>65</v>
      </c>
      <c r="C4" s="81"/>
      <c r="D4" s="81"/>
      <c r="E4" s="81"/>
      <c r="F4" s="81"/>
    </row>
    <row r="5" spans="2:9" ht="15" thickBot="1" x14ac:dyDescent="0.35">
      <c r="B5" s="13"/>
      <c r="C5" s="17">
        <v>2023</v>
      </c>
      <c r="D5" s="17" t="s">
        <v>43</v>
      </c>
      <c r="E5" s="17" t="s">
        <v>44</v>
      </c>
      <c r="F5" s="18" t="s">
        <v>45</v>
      </c>
    </row>
    <row r="6" spans="2:9" x14ac:dyDescent="0.3">
      <c r="B6" s="14" t="s">
        <v>0</v>
      </c>
      <c r="C6" s="23">
        <f>'Tata Motors Data'!H3</f>
        <v>4531</v>
      </c>
      <c r="D6" s="23">
        <f>C6*(1+$F$15)</f>
        <v>4528.7847648674378</v>
      </c>
      <c r="E6" s="23">
        <f>D6*(1+$F$15)</f>
        <v>4526.5706127776239</v>
      </c>
      <c r="F6" s="24">
        <f>E6*(1+$F$15)</f>
        <v>4524.3575432010512</v>
      </c>
    </row>
    <row r="7" spans="2:9" x14ac:dyDescent="0.3">
      <c r="B7" s="15" t="s">
        <v>15</v>
      </c>
      <c r="C7" s="25">
        <f>'Intrinsic Growth'!H16</f>
        <v>6004.33</v>
      </c>
      <c r="D7" s="25">
        <f>D6*(1-$F$16)</f>
        <v>3170.1493354072063</v>
      </c>
      <c r="E7" s="25">
        <f>E6*(1-$F$16)</f>
        <v>3168.5994289443365</v>
      </c>
      <c r="F7" s="26">
        <f>F6*(1-$F$16)</f>
        <v>3167.0502802407354</v>
      </c>
    </row>
    <row r="8" spans="2:9" x14ac:dyDescent="0.3">
      <c r="B8" s="15" t="s">
        <v>17</v>
      </c>
      <c r="C8" s="27">
        <f>'Intrinsic Growth'!$C$22</f>
        <v>-0.6034635311722204</v>
      </c>
      <c r="D8" s="27">
        <f>'Intrinsic Growth'!$C$22</f>
        <v>-0.6034635311722204</v>
      </c>
      <c r="E8" s="27">
        <f>'Intrinsic Growth'!$C$22</f>
        <v>-0.6034635311722204</v>
      </c>
      <c r="F8" s="28">
        <f>'Intrinsic Growth'!$C$22</f>
        <v>-0.6034635311722204</v>
      </c>
    </row>
    <row r="9" spans="2:9" x14ac:dyDescent="0.3">
      <c r="B9" s="15" t="s">
        <v>2</v>
      </c>
      <c r="C9" s="29">
        <f>C7*(1-C8)</f>
        <v>9627.724184123299</v>
      </c>
      <c r="D9" s="29">
        <f t="shared" ref="D9:F9" si="0">D7*(1-D8)</f>
        <v>5083.218847695307</v>
      </c>
      <c r="E9" s="29">
        <f t="shared" si="0"/>
        <v>5080.7336292053669</v>
      </c>
      <c r="F9" s="30">
        <f t="shared" si="0"/>
        <v>5078.24962575478</v>
      </c>
    </row>
    <row r="10" spans="2:9" x14ac:dyDescent="0.3">
      <c r="B10" s="15" t="s">
        <v>47</v>
      </c>
      <c r="C10" s="31">
        <v>0.5</v>
      </c>
      <c r="D10" s="31">
        <f>1+C10</f>
        <v>1.5</v>
      </c>
      <c r="E10" s="31">
        <f t="shared" ref="E10:F10" si="1">1+D10</f>
        <v>2.5</v>
      </c>
      <c r="F10" s="32">
        <f t="shared" si="1"/>
        <v>3.5</v>
      </c>
    </row>
    <row r="11" spans="2:9" x14ac:dyDescent="0.3">
      <c r="B11" s="15" t="s">
        <v>48</v>
      </c>
      <c r="C11" s="33">
        <f>1/(1+$F$17)^C10</f>
        <v>0.91119648352468374</v>
      </c>
      <c r="D11" s="33">
        <f>1/(1+$F$17)^D10</f>
        <v>0.75654733392703688</v>
      </c>
      <c r="E11" s="33">
        <f>1/(1+$F$17)^E10</f>
        <v>0.6281453877632337</v>
      </c>
      <c r="F11" s="34">
        <f>1/(1+$F$17)^F10</f>
        <v>0.52153594424836891</v>
      </c>
    </row>
    <row r="12" spans="2:9" ht="15" thickBot="1" x14ac:dyDescent="0.35">
      <c r="B12" s="16" t="s">
        <v>19</v>
      </c>
      <c r="C12" s="35">
        <f>C9*C11</f>
        <v>8772.7484209187041</v>
      </c>
      <c r="D12" s="35">
        <f t="shared" ref="D12:F12" si="2">D9*D11</f>
        <v>3845.6956669915489</v>
      </c>
      <c r="E12" s="35">
        <f t="shared" si="2"/>
        <v>3191.4393956389067</v>
      </c>
      <c r="F12" s="36">
        <f t="shared" si="2"/>
        <v>2648.4897136969453</v>
      </c>
    </row>
    <row r="14" spans="2:9" ht="15" thickBot="1" x14ac:dyDescent="0.35">
      <c r="I14" s="3"/>
    </row>
    <row r="15" spans="2:9" ht="15" thickBot="1" x14ac:dyDescent="0.35">
      <c r="B15" s="83" t="s">
        <v>20</v>
      </c>
      <c r="C15" s="83"/>
      <c r="E15" s="13" t="s">
        <v>42</v>
      </c>
      <c r="F15" s="20">
        <f>'Intrinsic Growth'!B25</f>
        <v>-4.8890645168011486E-4</v>
      </c>
    </row>
    <row r="16" spans="2:9" ht="15" thickBot="1" x14ac:dyDescent="0.35">
      <c r="B16" s="13" t="s">
        <v>49</v>
      </c>
      <c r="C16" s="57">
        <f>F9*(1+$F$15)</f>
        <v>5075.7668367495062</v>
      </c>
      <c r="E16" s="13" t="s">
        <v>46</v>
      </c>
      <c r="F16" s="21">
        <v>0.3</v>
      </c>
    </row>
    <row r="17" spans="2:6" ht="15" thickBot="1" x14ac:dyDescent="0.35">
      <c r="B17" s="13" t="s">
        <v>21</v>
      </c>
      <c r="C17" s="19">
        <v>6.3E-2</v>
      </c>
      <c r="E17" s="13" t="s">
        <v>4</v>
      </c>
      <c r="F17" s="11">
        <f>WACC!F15</f>
        <v>0.2044143739095664</v>
      </c>
    </row>
    <row r="18" spans="2:6" ht="15" thickBot="1" x14ac:dyDescent="0.35">
      <c r="B18" s="13" t="s">
        <v>20</v>
      </c>
      <c r="C18" s="58">
        <f>C16/(F17-C17)</f>
        <v>35892.863620747827</v>
      </c>
    </row>
    <row r="20" spans="2:6" ht="15" thickBot="1" x14ac:dyDescent="0.35">
      <c r="B20" s="84" t="s">
        <v>66</v>
      </c>
      <c r="C20" s="84"/>
    </row>
    <row r="21" spans="2:6" x14ac:dyDescent="0.3">
      <c r="B21" s="42" t="s">
        <v>50</v>
      </c>
      <c r="C21" s="77">
        <f>SUM(C12:F12)</f>
        <v>18458.373197246106</v>
      </c>
    </row>
    <row r="22" spans="2:6" x14ac:dyDescent="0.3">
      <c r="B22" s="15" t="s">
        <v>22</v>
      </c>
      <c r="C22" s="30">
        <f>C18*F11</f>
        <v>18719.418520224648</v>
      </c>
    </row>
    <row r="23" spans="2:6" x14ac:dyDescent="0.3">
      <c r="B23" s="15" t="s">
        <v>51</v>
      </c>
      <c r="C23" s="30">
        <f>SUM(C21:C22)</f>
        <v>37177.791717470755</v>
      </c>
    </row>
    <row r="24" spans="2:6" x14ac:dyDescent="0.3">
      <c r="B24" s="15" t="s">
        <v>52</v>
      </c>
      <c r="C24" s="32">
        <v>332</v>
      </c>
    </row>
    <row r="25" spans="2:6" x14ac:dyDescent="0.3">
      <c r="B25" s="15" t="s">
        <v>53</v>
      </c>
      <c r="C25" s="30">
        <f>C23/C24</f>
        <v>111.98130035382758</v>
      </c>
    </row>
    <row r="26" spans="2:6" x14ac:dyDescent="0.3">
      <c r="B26" s="15" t="s">
        <v>38</v>
      </c>
      <c r="C26" s="30">
        <f>WACC!F7</f>
        <v>232783</v>
      </c>
    </row>
    <row r="27" spans="2:6" ht="15" thickBot="1" x14ac:dyDescent="0.35">
      <c r="B27" s="16" t="s">
        <v>89</v>
      </c>
      <c r="C27" s="72">
        <f>C26/C23</f>
        <v>6.2613455303911874</v>
      </c>
    </row>
  </sheetData>
  <mergeCells count="3">
    <mergeCell ref="B4:F4"/>
    <mergeCell ref="B15:C15"/>
    <mergeCell ref="B20:C20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90E0-B3BA-4C8F-883D-986F122DB2D1}">
  <dimension ref="B3:G29"/>
  <sheetViews>
    <sheetView workbookViewId="0">
      <selection activeCell="G30" sqref="G30"/>
    </sheetView>
  </sheetViews>
  <sheetFormatPr defaultRowHeight="14.4" x14ac:dyDescent="0.3"/>
  <cols>
    <col min="3" max="3" width="9.6640625" hidden="1" customWidth="1"/>
    <col min="5" max="5" width="17" bestFit="1" customWidth="1"/>
    <col min="7" max="7" width="22.109375" bestFit="1" customWidth="1"/>
  </cols>
  <sheetData>
    <row r="3" spans="2:6" x14ac:dyDescent="0.3">
      <c r="B3" s="70" t="s">
        <v>69</v>
      </c>
      <c r="C3" s="70" t="s">
        <v>70</v>
      </c>
      <c r="D3" s="70" t="s">
        <v>70</v>
      </c>
      <c r="E3">
        <v>100</v>
      </c>
    </row>
    <row r="4" spans="2:6" x14ac:dyDescent="0.3">
      <c r="B4">
        <v>2000</v>
      </c>
      <c r="C4" s="4">
        <f>-1465%</f>
        <v>-14.65</v>
      </c>
      <c r="D4" s="4">
        <f>C4/$E$3</f>
        <v>-0.14649999999999999</v>
      </c>
      <c r="E4" s="70" t="s">
        <v>71</v>
      </c>
      <c r="F4" s="85">
        <f>AVERAGE(D4:D26)</f>
        <v>0.15443478260869564</v>
      </c>
    </row>
    <row r="5" spans="2:6" x14ac:dyDescent="0.3">
      <c r="B5">
        <v>2001</v>
      </c>
      <c r="C5" s="1">
        <v>-16.18</v>
      </c>
      <c r="D5" s="4">
        <f>C5/$E$3</f>
        <v>-0.1618</v>
      </c>
      <c r="E5" s="70" t="s">
        <v>72</v>
      </c>
      <c r="F5" s="85">
        <v>1.38E-2</v>
      </c>
    </row>
    <row r="6" spans="2:6" x14ac:dyDescent="0.3">
      <c r="B6">
        <v>2002</v>
      </c>
      <c r="C6" s="1">
        <v>3.25</v>
      </c>
      <c r="D6" s="4">
        <f>C6/$E$3</f>
        <v>3.2500000000000001E-2</v>
      </c>
      <c r="E6" s="70" t="s">
        <v>73</v>
      </c>
      <c r="F6" s="94">
        <f>SUM(F4:F5)</f>
        <v>0.16823478260869565</v>
      </c>
    </row>
    <row r="7" spans="2:6" x14ac:dyDescent="0.3">
      <c r="B7">
        <v>2003</v>
      </c>
      <c r="C7" s="1">
        <v>71.900000000000006</v>
      </c>
      <c r="D7" s="4">
        <f>C7/$E$3</f>
        <v>0.71900000000000008</v>
      </c>
    </row>
    <row r="8" spans="2:6" x14ac:dyDescent="0.3">
      <c r="B8">
        <v>2004</v>
      </c>
      <c r="C8" s="1">
        <v>10.68</v>
      </c>
      <c r="D8" s="4">
        <f>C8/$E$3</f>
        <v>0.10679999999999999</v>
      </c>
    </row>
    <row r="9" spans="2:6" x14ac:dyDescent="0.3">
      <c r="B9">
        <v>2005</v>
      </c>
      <c r="C9" s="1">
        <v>36.340000000000003</v>
      </c>
      <c r="D9" s="4">
        <f>C9/$E$3</f>
        <v>0.36340000000000006</v>
      </c>
    </row>
    <row r="10" spans="2:6" x14ac:dyDescent="0.3">
      <c r="B10">
        <v>2006</v>
      </c>
      <c r="C10" s="1">
        <v>39.83</v>
      </c>
      <c r="D10" s="4">
        <f>C10/$E$3</f>
        <v>0.39829999999999999</v>
      </c>
    </row>
    <row r="11" spans="2:6" x14ac:dyDescent="0.3">
      <c r="B11">
        <v>2007</v>
      </c>
      <c r="C11" s="1">
        <v>54.77</v>
      </c>
      <c r="D11" s="4">
        <f>C11/$E$3</f>
        <v>0.54770000000000008</v>
      </c>
    </row>
    <row r="12" spans="2:6" x14ac:dyDescent="0.3">
      <c r="B12">
        <v>2008</v>
      </c>
      <c r="C12" s="1">
        <v>-51.79</v>
      </c>
      <c r="D12" s="4">
        <f>C12/$E$3</f>
        <v>-0.51790000000000003</v>
      </c>
    </row>
    <row r="13" spans="2:6" x14ac:dyDescent="0.3">
      <c r="B13">
        <v>2009</v>
      </c>
      <c r="C13" s="1">
        <v>75.760000000000005</v>
      </c>
      <c r="D13" s="4">
        <f>C13/$E$3</f>
        <v>0.75760000000000005</v>
      </c>
    </row>
    <row r="14" spans="2:6" x14ac:dyDescent="0.3">
      <c r="B14">
        <v>2010</v>
      </c>
      <c r="C14" s="1">
        <v>17.95</v>
      </c>
      <c r="D14" s="4">
        <f>C14/$E$3</f>
        <v>0.17949999999999999</v>
      </c>
    </row>
    <row r="15" spans="2:6" x14ac:dyDescent="0.3">
      <c r="B15">
        <v>2011</v>
      </c>
      <c r="C15" s="1">
        <v>-24.62</v>
      </c>
      <c r="D15" s="4">
        <f>C15/$E$3</f>
        <v>-0.2462</v>
      </c>
    </row>
    <row r="16" spans="2:6" x14ac:dyDescent="0.3">
      <c r="B16">
        <v>2012</v>
      </c>
      <c r="C16" s="1">
        <v>27.7</v>
      </c>
      <c r="D16" s="4">
        <f>C16/$E$3</f>
        <v>0.27699999999999997</v>
      </c>
    </row>
    <row r="17" spans="2:7" x14ac:dyDescent="0.3">
      <c r="B17">
        <v>2013</v>
      </c>
      <c r="C17" s="1">
        <v>6.76</v>
      </c>
      <c r="D17" s="4">
        <f>C17/$E$3</f>
        <v>6.7599999999999993E-2</v>
      </c>
    </row>
    <row r="18" spans="2:7" x14ac:dyDescent="0.3">
      <c r="B18">
        <v>2014</v>
      </c>
      <c r="C18" s="1">
        <v>31.39</v>
      </c>
      <c r="D18" s="4">
        <f>C18/$E$3</f>
        <v>0.31390000000000001</v>
      </c>
    </row>
    <row r="19" spans="2:7" x14ac:dyDescent="0.3">
      <c r="B19">
        <v>2015</v>
      </c>
      <c r="C19" s="1">
        <v>-4.0599999999999996</v>
      </c>
      <c r="D19" s="4">
        <f>C19/$E$3</f>
        <v>-4.0599999999999997E-2</v>
      </c>
    </row>
    <row r="20" spans="2:7" x14ac:dyDescent="0.3">
      <c r="B20">
        <v>2016</v>
      </c>
      <c r="C20" s="1">
        <v>3.01</v>
      </c>
      <c r="D20" s="4">
        <f>C20/$E$3</f>
        <v>3.0099999999999998E-2</v>
      </c>
    </row>
    <row r="21" spans="2:7" x14ac:dyDescent="0.3">
      <c r="B21">
        <v>2017</v>
      </c>
      <c r="C21" s="1">
        <v>28.65</v>
      </c>
      <c r="D21" s="4">
        <f>C21/$E$3</f>
        <v>0.28649999999999998</v>
      </c>
    </row>
    <row r="22" spans="2:7" x14ac:dyDescent="0.3">
      <c r="B22">
        <v>2018</v>
      </c>
      <c r="C22" s="1">
        <v>3.15</v>
      </c>
      <c r="D22" s="4">
        <f>C22/$E$3</f>
        <v>3.15E-2</v>
      </c>
    </row>
    <row r="23" spans="2:7" x14ac:dyDescent="0.3">
      <c r="B23">
        <v>2019</v>
      </c>
      <c r="C23" s="1">
        <v>12.02</v>
      </c>
      <c r="D23" s="4">
        <f>C23/$E$3</f>
        <v>0.1202</v>
      </c>
    </row>
    <row r="24" spans="2:7" x14ac:dyDescent="0.3">
      <c r="B24">
        <v>2020</v>
      </c>
      <c r="C24" s="1">
        <v>14.9</v>
      </c>
      <c r="D24" s="4">
        <f>C24/$E$3</f>
        <v>0.14899999999999999</v>
      </c>
    </row>
    <row r="25" spans="2:7" x14ac:dyDescent="0.3">
      <c r="B25">
        <v>2021</v>
      </c>
      <c r="C25" s="1">
        <v>24.12</v>
      </c>
      <c r="D25" s="4">
        <f>C25/$E$3</f>
        <v>0.2412</v>
      </c>
    </row>
    <row r="26" spans="2:7" x14ac:dyDescent="0.3">
      <c r="B26">
        <v>2022</v>
      </c>
      <c r="C26" s="1">
        <v>4.32</v>
      </c>
      <c r="D26" s="4">
        <f>C26/$E$3</f>
        <v>4.3200000000000002E-2</v>
      </c>
    </row>
    <row r="29" spans="2:7" x14ac:dyDescent="0.3">
      <c r="F29" t="s">
        <v>80</v>
      </c>
      <c r="G29" s="95" t="s">
        <v>90</v>
      </c>
    </row>
  </sheetData>
  <hyperlinks>
    <hyperlink ref="G29" r:id="rId1" xr:uid="{FEBF3F27-3D4C-4ABB-A0C0-45B80804CE4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9090-A601-4597-B4D8-924B13A26930}">
  <dimension ref="C2:M160"/>
  <sheetViews>
    <sheetView workbookViewId="0">
      <selection activeCell="M20" sqref="M20"/>
    </sheetView>
  </sheetViews>
  <sheetFormatPr defaultRowHeight="14.4" x14ac:dyDescent="0.3"/>
  <cols>
    <col min="1" max="2" width="8.88671875" style="88"/>
    <col min="3" max="3" width="10.33203125" style="88" bestFit="1" customWidth="1"/>
    <col min="4" max="4" width="12.33203125" style="88" bestFit="1" customWidth="1"/>
    <col min="5" max="5" width="19.21875" style="88" bestFit="1" customWidth="1"/>
    <col min="6" max="7" width="8.88671875" style="88"/>
    <col min="8" max="8" width="19.21875" style="88" bestFit="1" customWidth="1"/>
    <col min="9" max="12" width="8.88671875" style="88"/>
    <col min="13" max="13" width="20.21875" style="88" bestFit="1" customWidth="1"/>
    <col min="14" max="16384" width="8.88671875" style="88"/>
  </cols>
  <sheetData>
    <row r="2" spans="3:13" ht="15" thickBot="1" x14ac:dyDescent="0.35"/>
    <row r="3" spans="3:13" ht="27" thickBot="1" x14ac:dyDescent="0.35">
      <c r="C3" s="89" t="s">
        <v>74</v>
      </c>
      <c r="D3" s="89" t="s">
        <v>75</v>
      </c>
      <c r="E3" s="89" t="s">
        <v>77</v>
      </c>
      <c r="H3" s="89" t="s">
        <v>76</v>
      </c>
      <c r="I3" s="89" t="s">
        <v>77</v>
      </c>
    </row>
    <row r="4" spans="3:13" x14ac:dyDescent="0.3">
      <c r="C4" s="90">
        <v>44088</v>
      </c>
      <c r="D4" s="88">
        <v>11504.95</v>
      </c>
      <c r="H4" s="88">
        <v>147.44</v>
      </c>
    </row>
    <row r="5" spans="3:13" ht="15" thickBot="1" x14ac:dyDescent="0.35">
      <c r="C5" s="90">
        <v>44095</v>
      </c>
      <c r="D5" s="88">
        <v>11050.25</v>
      </c>
      <c r="E5" s="91">
        <f>1-D5/D4</f>
        <v>3.9522118740194512E-2</v>
      </c>
      <c r="H5" s="88">
        <v>126.85</v>
      </c>
      <c r="I5" s="91">
        <f>1-H5/H4</f>
        <v>0.13965002712967989</v>
      </c>
    </row>
    <row r="6" spans="3:13" ht="15" thickBot="1" x14ac:dyDescent="0.35">
      <c r="C6" s="90">
        <v>44102</v>
      </c>
      <c r="D6" s="88">
        <v>11416.95</v>
      </c>
      <c r="E6" s="91">
        <f t="shared" ref="E6:E69" si="0">1-D6/D5</f>
        <v>-3.3184769575349105E-2</v>
      </c>
      <c r="H6" s="88">
        <v>133.09</v>
      </c>
      <c r="I6" s="91">
        <f t="shared" ref="I6:I69" si="1">1-H6/H5</f>
        <v>-4.9191959006700925E-2</v>
      </c>
      <c r="L6" s="89" t="s">
        <v>78</v>
      </c>
      <c r="M6" s="92">
        <f>_xlfn.COVARIANCE.S(I5:I160,E5:E160)/_xlfn.VAR.S(E5:E160)</f>
        <v>1.4897942945678504</v>
      </c>
    </row>
    <row r="7" spans="3:13" ht="15" thickBot="1" x14ac:dyDescent="0.35">
      <c r="C7" s="90">
        <v>44109</v>
      </c>
      <c r="D7" s="88">
        <v>11914.2</v>
      </c>
      <c r="E7" s="91">
        <f t="shared" si="0"/>
        <v>-4.3553663631705541E-2</v>
      </c>
      <c r="H7" s="88">
        <v>138.02000000000001</v>
      </c>
      <c r="I7" s="91">
        <f t="shared" si="1"/>
        <v>-3.7042602750018805E-2</v>
      </c>
      <c r="L7" s="89" t="s">
        <v>78</v>
      </c>
      <c r="M7" s="93">
        <f>SLOPE(I5:I160,E5:E160)</f>
        <v>1.4897942945678491</v>
      </c>
    </row>
    <row r="8" spans="3:13" x14ac:dyDescent="0.3">
      <c r="C8" s="90">
        <v>44116</v>
      </c>
      <c r="D8" s="88">
        <v>11762.45</v>
      </c>
      <c r="E8" s="91">
        <f t="shared" si="0"/>
        <v>1.2736902183948517E-2</v>
      </c>
      <c r="H8" s="88">
        <v>127.35</v>
      </c>
      <c r="I8" s="91">
        <f t="shared" si="1"/>
        <v>7.7307636574409644E-2</v>
      </c>
    </row>
    <row r="9" spans="3:13" x14ac:dyDescent="0.3">
      <c r="C9" s="90">
        <v>44123</v>
      </c>
      <c r="D9" s="88">
        <v>11930.35</v>
      </c>
      <c r="E9" s="91">
        <f t="shared" si="0"/>
        <v>-1.4274237084961117E-2</v>
      </c>
      <c r="H9" s="88">
        <v>136.57</v>
      </c>
      <c r="I9" s="91">
        <f t="shared" si="1"/>
        <v>-7.2398900667451915E-2</v>
      </c>
    </row>
    <row r="10" spans="3:13" x14ac:dyDescent="0.3">
      <c r="C10" s="90">
        <v>44130</v>
      </c>
      <c r="D10" s="88">
        <v>11642.4</v>
      </c>
      <c r="E10" s="91">
        <f t="shared" si="0"/>
        <v>2.4135922248718633E-2</v>
      </c>
      <c r="H10" s="88">
        <v>132.24</v>
      </c>
      <c r="I10" s="91">
        <f t="shared" si="1"/>
        <v>3.1705352566449352E-2</v>
      </c>
      <c r="L10" s="88" t="s">
        <v>79</v>
      </c>
      <c r="M10" s="88" t="s">
        <v>81</v>
      </c>
    </row>
    <row r="11" spans="3:13" x14ac:dyDescent="0.3">
      <c r="C11" s="90">
        <v>44137</v>
      </c>
      <c r="D11" s="88">
        <v>12263.55</v>
      </c>
      <c r="E11" s="91">
        <f t="shared" si="0"/>
        <v>-5.3352401566687302E-2</v>
      </c>
      <c r="H11" s="88">
        <v>138.57</v>
      </c>
      <c r="I11" s="91">
        <f t="shared" si="1"/>
        <v>-4.786751361161512E-2</v>
      </c>
    </row>
    <row r="12" spans="3:13" x14ac:dyDescent="0.3">
      <c r="C12" s="90">
        <v>44144</v>
      </c>
      <c r="D12" s="88">
        <v>12719.95</v>
      </c>
      <c r="E12" s="91">
        <f t="shared" si="0"/>
        <v>-3.721597742904792E-2</v>
      </c>
      <c r="H12" s="88">
        <v>148.38999999999999</v>
      </c>
      <c r="I12" s="91">
        <f t="shared" si="1"/>
        <v>-7.086670996608202E-2</v>
      </c>
    </row>
    <row r="13" spans="3:13" x14ac:dyDescent="0.3">
      <c r="C13" s="90">
        <v>44151</v>
      </c>
      <c r="D13" s="88">
        <v>12859.05</v>
      </c>
      <c r="E13" s="91">
        <f t="shared" si="0"/>
        <v>-1.0935577576955735E-2</v>
      </c>
      <c r="H13" s="88">
        <v>168.57</v>
      </c>
      <c r="I13" s="91">
        <f t="shared" si="1"/>
        <v>-0.13599299144147192</v>
      </c>
    </row>
    <row r="14" spans="3:13" x14ac:dyDescent="0.3">
      <c r="C14" s="90">
        <v>44158</v>
      </c>
      <c r="D14" s="88">
        <v>12968.95</v>
      </c>
      <c r="E14" s="91">
        <f t="shared" si="0"/>
        <v>-8.5465100454544807E-3</v>
      </c>
      <c r="H14" s="88">
        <v>179.79</v>
      </c>
      <c r="I14" s="91">
        <f t="shared" si="1"/>
        <v>-6.6559886100729715E-2</v>
      </c>
    </row>
    <row r="15" spans="3:13" x14ac:dyDescent="0.3">
      <c r="C15" s="90">
        <v>44165</v>
      </c>
      <c r="D15" s="88">
        <v>13258.55</v>
      </c>
      <c r="E15" s="91">
        <f t="shared" si="0"/>
        <v>-2.2330258039394035E-2</v>
      </c>
      <c r="H15" s="88">
        <v>183.58</v>
      </c>
      <c r="I15" s="91">
        <f t="shared" si="1"/>
        <v>-2.108014906279565E-2</v>
      </c>
    </row>
    <row r="16" spans="3:13" x14ac:dyDescent="0.3">
      <c r="C16" s="90">
        <v>44172</v>
      </c>
      <c r="D16" s="88">
        <v>13513.85</v>
      </c>
      <c r="E16" s="91">
        <f t="shared" si="0"/>
        <v>-1.9255499281595645E-2</v>
      </c>
      <c r="H16" s="88">
        <v>178.29</v>
      </c>
      <c r="I16" s="91">
        <f t="shared" si="1"/>
        <v>2.8815775138904098E-2</v>
      </c>
    </row>
    <row r="17" spans="3:9" x14ac:dyDescent="0.3">
      <c r="C17" s="90">
        <v>44179</v>
      </c>
      <c r="D17" s="88">
        <v>13760.55</v>
      </c>
      <c r="E17" s="91">
        <f t="shared" si="0"/>
        <v>-1.825534544189833E-2</v>
      </c>
      <c r="H17" s="88">
        <v>179.99</v>
      </c>
      <c r="I17" s="91">
        <f t="shared" si="1"/>
        <v>-9.5350272028718042E-3</v>
      </c>
    </row>
    <row r="18" spans="3:9" x14ac:dyDescent="0.3">
      <c r="C18" s="90">
        <v>44186</v>
      </c>
      <c r="D18" s="88">
        <v>13749.25</v>
      </c>
      <c r="E18" s="91">
        <f t="shared" si="0"/>
        <v>8.2118810657993979E-4</v>
      </c>
      <c r="H18" s="88">
        <v>175.4</v>
      </c>
      <c r="I18" s="91">
        <f t="shared" si="1"/>
        <v>2.5501416745374761E-2</v>
      </c>
    </row>
    <row r="19" spans="3:9" x14ac:dyDescent="0.3">
      <c r="C19" s="90">
        <v>44193</v>
      </c>
      <c r="D19" s="88">
        <v>14018.5</v>
      </c>
      <c r="E19" s="91">
        <f t="shared" si="0"/>
        <v>-1.9582886339254868E-2</v>
      </c>
      <c r="H19" s="88">
        <v>185.92</v>
      </c>
      <c r="I19" s="91">
        <f t="shared" si="1"/>
        <v>-5.997719498289622E-2</v>
      </c>
    </row>
    <row r="20" spans="3:9" x14ac:dyDescent="0.3">
      <c r="C20" s="90">
        <v>44200</v>
      </c>
      <c r="D20" s="88">
        <v>14347.25</v>
      </c>
      <c r="E20" s="91">
        <f t="shared" si="0"/>
        <v>-2.3451153832435789E-2</v>
      </c>
      <c r="H20" s="88">
        <v>197.53</v>
      </c>
      <c r="I20" s="91">
        <f t="shared" si="1"/>
        <v>-6.2446213425129127E-2</v>
      </c>
    </row>
    <row r="21" spans="3:9" x14ac:dyDescent="0.3">
      <c r="C21" s="90">
        <v>44207</v>
      </c>
      <c r="D21" s="88">
        <v>14433.7</v>
      </c>
      <c r="E21" s="91">
        <f t="shared" si="0"/>
        <v>-6.0255449650630233E-3</v>
      </c>
      <c r="H21" s="88">
        <v>259.49</v>
      </c>
      <c r="I21" s="91">
        <f t="shared" si="1"/>
        <v>-0.31367387232319155</v>
      </c>
    </row>
    <row r="22" spans="3:9" x14ac:dyDescent="0.3">
      <c r="C22" s="90">
        <v>44214</v>
      </c>
      <c r="D22" s="88">
        <v>14371.9</v>
      </c>
      <c r="E22" s="91">
        <f t="shared" si="0"/>
        <v>4.281646424686758E-3</v>
      </c>
      <c r="H22" s="88">
        <v>288.45</v>
      </c>
      <c r="I22" s="91">
        <f t="shared" si="1"/>
        <v>-0.11160353000115597</v>
      </c>
    </row>
    <row r="23" spans="3:9" x14ac:dyDescent="0.3">
      <c r="C23" s="90">
        <v>44221</v>
      </c>
      <c r="D23" s="88">
        <v>13634.6</v>
      </c>
      <c r="E23" s="91">
        <f t="shared" si="0"/>
        <v>5.1301498062190753E-2</v>
      </c>
      <c r="H23" s="88">
        <v>261.88</v>
      </c>
      <c r="I23" s="91">
        <f t="shared" si="1"/>
        <v>9.2113017854047463E-2</v>
      </c>
    </row>
    <row r="24" spans="3:9" x14ac:dyDescent="0.3">
      <c r="C24" s="90">
        <v>44228</v>
      </c>
      <c r="D24" s="88">
        <v>14924.25</v>
      </c>
      <c r="E24" s="91">
        <f t="shared" si="0"/>
        <v>-9.458656652927111E-2</v>
      </c>
      <c r="H24" s="88">
        <v>314.92</v>
      </c>
      <c r="I24" s="91">
        <f t="shared" si="1"/>
        <v>-0.20253551244844981</v>
      </c>
    </row>
    <row r="25" spans="3:9" x14ac:dyDescent="0.3">
      <c r="C25" s="90">
        <v>44235</v>
      </c>
      <c r="D25" s="88">
        <v>15163.3</v>
      </c>
      <c r="E25" s="91">
        <f t="shared" si="0"/>
        <v>-1.6017555321037769E-2</v>
      </c>
      <c r="H25" s="88">
        <v>324.39</v>
      </c>
      <c r="I25" s="91">
        <f t="shared" si="1"/>
        <v>-3.0071129175663458E-2</v>
      </c>
    </row>
    <row r="26" spans="3:9" x14ac:dyDescent="0.3">
      <c r="C26" s="90">
        <v>44242</v>
      </c>
      <c r="D26" s="88">
        <v>14981.75</v>
      </c>
      <c r="E26" s="91">
        <f t="shared" si="0"/>
        <v>1.19729874103921E-2</v>
      </c>
      <c r="H26" s="88">
        <v>310.88</v>
      </c>
      <c r="I26" s="91">
        <f t="shared" si="1"/>
        <v>4.1647399734886958E-2</v>
      </c>
    </row>
    <row r="27" spans="3:9" x14ac:dyDescent="0.3">
      <c r="C27" s="90">
        <v>44249</v>
      </c>
      <c r="D27" s="88">
        <v>14529.15</v>
      </c>
      <c r="E27" s="91">
        <f t="shared" si="0"/>
        <v>3.0210088941545532E-2</v>
      </c>
      <c r="H27" s="88">
        <v>321.95</v>
      </c>
      <c r="I27" s="91">
        <f t="shared" si="1"/>
        <v>-3.5608594956253237E-2</v>
      </c>
    </row>
    <row r="28" spans="3:9" x14ac:dyDescent="0.3">
      <c r="C28" s="90">
        <v>44256</v>
      </c>
      <c r="D28" s="88">
        <v>14938.1</v>
      </c>
      <c r="E28" s="91">
        <f t="shared" si="0"/>
        <v>-2.8146863374663988E-2</v>
      </c>
      <c r="H28" s="88">
        <v>324.14</v>
      </c>
      <c r="I28" s="91">
        <f t="shared" si="1"/>
        <v>-6.8022984935549591E-3</v>
      </c>
    </row>
    <row r="29" spans="3:9" x14ac:dyDescent="0.3">
      <c r="C29" s="90">
        <v>44263</v>
      </c>
      <c r="D29" s="88">
        <v>15030.95</v>
      </c>
      <c r="E29" s="91">
        <f t="shared" si="0"/>
        <v>-6.2156499153172007E-3</v>
      </c>
      <c r="H29" s="88">
        <v>316.56</v>
      </c>
      <c r="I29" s="91">
        <f t="shared" si="1"/>
        <v>2.3384957117294936E-2</v>
      </c>
    </row>
    <row r="30" spans="3:9" x14ac:dyDescent="0.3">
      <c r="C30" s="90">
        <v>44270</v>
      </c>
      <c r="D30" s="88">
        <v>14744</v>
      </c>
      <c r="E30" s="91">
        <f t="shared" si="0"/>
        <v>1.9090609708634521E-2</v>
      </c>
      <c r="H30" s="88">
        <v>307.99</v>
      </c>
      <c r="I30" s="91">
        <f t="shared" si="1"/>
        <v>2.7072276977508136E-2</v>
      </c>
    </row>
    <row r="31" spans="3:9" x14ac:dyDescent="0.3">
      <c r="C31" s="90">
        <v>44277</v>
      </c>
      <c r="D31" s="88">
        <v>14507.3</v>
      </c>
      <c r="E31" s="91">
        <f t="shared" si="0"/>
        <v>1.6053988062940894E-2</v>
      </c>
      <c r="H31" s="88">
        <v>295.48</v>
      </c>
      <c r="I31" s="91">
        <f t="shared" si="1"/>
        <v>4.061820188967169E-2</v>
      </c>
    </row>
    <row r="32" spans="3:9" x14ac:dyDescent="0.3">
      <c r="C32" s="90">
        <v>44284</v>
      </c>
      <c r="D32" s="88">
        <v>14867.35</v>
      </c>
      <c r="E32" s="91">
        <f t="shared" si="0"/>
        <v>-2.4818539631771719E-2</v>
      </c>
      <c r="H32" s="88">
        <v>306.79000000000002</v>
      </c>
      <c r="I32" s="91">
        <f t="shared" si="1"/>
        <v>-3.8276702314877564E-2</v>
      </c>
    </row>
    <row r="33" spans="3:9" x14ac:dyDescent="0.3">
      <c r="C33" s="90">
        <v>44291</v>
      </c>
      <c r="D33" s="88">
        <v>14834.85</v>
      </c>
      <c r="E33" s="91">
        <f t="shared" si="0"/>
        <v>2.185998177213877E-3</v>
      </c>
      <c r="H33" s="88">
        <v>317.20999999999998</v>
      </c>
      <c r="I33" s="91">
        <f t="shared" si="1"/>
        <v>-3.3964601192998378E-2</v>
      </c>
    </row>
    <row r="34" spans="3:9" x14ac:dyDescent="0.3">
      <c r="C34" s="90">
        <v>44298</v>
      </c>
      <c r="D34" s="88">
        <v>14617.85</v>
      </c>
      <c r="E34" s="91">
        <f t="shared" si="0"/>
        <v>1.4627717840085985E-2</v>
      </c>
      <c r="H34" s="88">
        <v>309.04000000000002</v>
      </c>
      <c r="I34" s="91">
        <f t="shared" si="1"/>
        <v>2.5755808454966611E-2</v>
      </c>
    </row>
    <row r="35" spans="3:9" x14ac:dyDescent="0.3">
      <c r="C35" s="90">
        <v>44305</v>
      </c>
      <c r="D35" s="88">
        <v>14341.35</v>
      </c>
      <c r="E35" s="91">
        <f t="shared" si="0"/>
        <v>1.8915230351932766E-2</v>
      </c>
      <c r="H35" s="88">
        <v>293.08999999999997</v>
      </c>
      <c r="I35" s="91">
        <f t="shared" si="1"/>
        <v>5.1611441884545806E-2</v>
      </c>
    </row>
    <row r="36" spans="3:9" x14ac:dyDescent="0.3">
      <c r="C36" s="90">
        <v>44312</v>
      </c>
      <c r="D36" s="88">
        <v>14631.1</v>
      </c>
      <c r="E36" s="91">
        <f t="shared" si="0"/>
        <v>-2.020381623766232E-2</v>
      </c>
      <c r="H36" s="88">
        <v>292.94</v>
      </c>
      <c r="I36" s="91">
        <f t="shared" si="1"/>
        <v>5.117881879285191E-4</v>
      </c>
    </row>
    <row r="37" spans="3:9" x14ac:dyDescent="0.3">
      <c r="C37" s="90">
        <v>44319</v>
      </c>
      <c r="D37" s="88">
        <v>14823.15</v>
      </c>
      <c r="E37" s="91">
        <f t="shared" si="0"/>
        <v>-1.3126149093369621E-2</v>
      </c>
      <c r="H37" s="88">
        <v>301.81</v>
      </c>
      <c r="I37" s="91">
        <f t="shared" si="1"/>
        <v>-3.0279238069229164E-2</v>
      </c>
    </row>
    <row r="38" spans="3:9" x14ac:dyDescent="0.3">
      <c r="C38" s="90">
        <v>44326</v>
      </c>
      <c r="D38" s="88">
        <v>14677.8</v>
      </c>
      <c r="E38" s="91">
        <f t="shared" si="0"/>
        <v>9.8056081197316347E-3</v>
      </c>
      <c r="H38" s="88">
        <v>311.27999999999997</v>
      </c>
      <c r="I38" s="91">
        <f t="shared" si="1"/>
        <v>-3.1377356615088781E-2</v>
      </c>
    </row>
    <row r="39" spans="3:9" x14ac:dyDescent="0.3">
      <c r="C39" s="90">
        <v>44333</v>
      </c>
      <c r="D39" s="88">
        <v>15175.3</v>
      </c>
      <c r="E39" s="91">
        <f t="shared" si="0"/>
        <v>-3.3894725367561884E-2</v>
      </c>
      <c r="H39" s="88">
        <v>312.13</v>
      </c>
      <c r="I39" s="91">
        <f t="shared" si="1"/>
        <v>-2.7306604985866123E-3</v>
      </c>
    </row>
    <row r="40" spans="3:9" x14ac:dyDescent="0.3">
      <c r="C40" s="90">
        <v>44340</v>
      </c>
      <c r="D40" s="88">
        <v>15435.65</v>
      </c>
      <c r="E40" s="91">
        <f t="shared" si="0"/>
        <v>-1.7156168247085768E-2</v>
      </c>
      <c r="H40" s="88">
        <v>317.76</v>
      </c>
      <c r="I40" s="91">
        <f t="shared" si="1"/>
        <v>-1.803735622977598E-2</v>
      </c>
    </row>
    <row r="41" spans="3:9" x14ac:dyDescent="0.3">
      <c r="C41" s="90">
        <v>44347</v>
      </c>
      <c r="D41" s="88">
        <v>15670.25</v>
      </c>
      <c r="E41" s="91">
        <f t="shared" si="0"/>
        <v>-1.5198582502194524E-2</v>
      </c>
      <c r="H41" s="88">
        <v>333.91</v>
      </c>
      <c r="I41" s="91">
        <f t="shared" si="1"/>
        <v>-5.0824521651561039E-2</v>
      </c>
    </row>
    <row r="42" spans="3:9" x14ac:dyDescent="0.3">
      <c r="C42" s="90">
        <v>44354</v>
      </c>
      <c r="D42" s="88">
        <v>15799.35</v>
      </c>
      <c r="E42" s="91">
        <f t="shared" si="0"/>
        <v>-8.238541184728998E-3</v>
      </c>
      <c r="H42" s="88">
        <v>349.66</v>
      </c>
      <c r="I42" s="91">
        <f t="shared" si="1"/>
        <v>-4.7168398670300427E-2</v>
      </c>
    </row>
    <row r="43" spans="3:9" x14ac:dyDescent="0.3">
      <c r="C43" s="90">
        <v>44361</v>
      </c>
      <c r="D43" s="88">
        <v>15683.35</v>
      </c>
      <c r="E43" s="91">
        <f t="shared" si="0"/>
        <v>7.3420741992550331E-3</v>
      </c>
      <c r="H43" s="88">
        <v>336.35</v>
      </c>
      <c r="I43" s="91">
        <f t="shared" si="1"/>
        <v>3.8065549390836839E-2</v>
      </c>
    </row>
    <row r="44" spans="3:9" x14ac:dyDescent="0.3">
      <c r="C44" s="90">
        <v>44368</v>
      </c>
      <c r="D44" s="88">
        <v>15860.35</v>
      </c>
      <c r="E44" s="91">
        <f t="shared" si="0"/>
        <v>-1.1285854106424908E-2</v>
      </c>
      <c r="H44" s="88">
        <v>338.59</v>
      </c>
      <c r="I44" s="91">
        <f t="shared" si="1"/>
        <v>-6.6597294484909142E-3</v>
      </c>
    </row>
    <row r="45" spans="3:9" x14ac:dyDescent="0.3">
      <c r="C45" s="90">
        <v>44375</v>
      </c>
      <c r="D45" s="88">
        <v>15722.2</v>
      </c>
      <c r="E45" s="91">
        <f t="shared" si="0"/>
        <v>8.7104004640502497E-3</v>
      </c>
      <c r="H45" s="88">
        <v>343.83</v>
      </c>
      <c r="I45" s="91">
        <f t="shared" si="1"/>
        <v>-1.5475944357482563E-2</v>
      </c>
    </row>
    <row r="46" spans="3:9" x14ac:dyDescent="0.3">
      <c r="C46" s="90">
        <v>44382</v>
      </c>
      <c r="D46" s="88">
        <v>15689.8</v>
      </c>
      <c r="E46" s="91">
        <f t="shared" si="0"/>
        <v>2.0607802979227818E-3</v>
      </c>
      <c r="H46" s="88">
        <v>305.35000000000002</v>
      </c>
      <c r="I46" s="91">
        <f t="shared" si="1"/>
        <v>0.11191577232934868</v>
      </c>
    </row>
    <row r="47" spans="3:9" x14ac:dyDescent="0.3">
      <c r="C47" s="90">
        <v>44389</v>
      </c>
      <c r="D47" s="88">
        <v>15923.4</v>
      </c>
      <c r="E47" s="91">
        <f t="shared" si="0"/>
        <v>-1.4888653775064098E-2</v>
      </c>
      <c r="H47" s="88">
        <v>310.27999999999997</v>
      </c>
      <c r="I47" s="91">
        <f t="shared" si="1"/>
        <v>-1.6145406910103022E-2</v>
      </c>
    </row>
    <row r="48" spans="3:9" x14ac:dyDescent="0.3">
      <c r="C48" s="90">
        <v>44396</v>
      </c>
      <c r="D48" s="88">
        <v>15856.05</v>
      </c>
      <c r="E48" s="91">
        <f t="shared" si="0"/>
        <v>4.2296243264630107E-3</v>
      </c>
      <c r="H48" s="88">
        <v>294.63</v>
      </c>
      <c r="I48" s="91">
        <f t="shared" si="1"/>
        <v>5.0438313781100863E-2</v>
      </c>
    </row>
    <row r="49" spans="3:9" x14ac:dyDescent="0.3">
      <c r="C49" s="90">
        <v>44403</v>
      </c>
      <c r="D49" s="88">
        <v>15763.05</v>
      </c>
      <c r="E49" s="91">
        <f t="shared" si="0"/>
        <v>5.8652690928698847E-3</v>
      </c>
      <c r="H49" s="88">
        <v>293.04000000000002</v>
      </c>
      <c r="I49" s="91">
        <f t="shared" si="1"/>
        <v>5.3965991243253297E-3</v>
      </c>
    </row>
    <row r="50" spans="3:9" x14ac:dyDescent="0.3">
      <c r="C50" s="90">
        <v>44410</v>
      </c>
      <c r="D50" s="88">
        <v>16238.2</v>
      </c>
      <c r="E50" s="91">
        <f t="shared" si="0"/>
        <v>-3.0143278109249216E-2</v>
      </c>
      <c r="H50" s="88">
        <v>299.12</v>
      </c>
      <c r="I50" s="91">
        <f t="shared" si="1"/>
        <v>-2.0748020748020624E-2</v>
      </c>
    </row>
    <row r="51" spans="3:9" x14ac:dyDescent="0.3">
      <c r="C51" s="90">
        <v>44417</v>
      </c>
      <c r="D51" s="88">
        <v>16529.099999999999</v>
      </c>
      <c r="E51" s="91">
        <f t="shared" si="0"/>
        <v>-1.7914547178874418E-2</v>
      </c>
      <c r="H51" s="88">
        <v>306.3</v>
      </c>
      <c r="I51" s="91">
        <f t="shared" si="1"/>
        <v>-2.4003744316662301E-2</v>
      </c>
    </row>
    <row r="52" spans="3:9" x14ac:dyDescent="0.3">
      <c r="C52" s="90">
        <v>44424</v>
      </c>
      <c r="D52" s="88">
        <v>16450.5</v>
      </c>
      <c r="E52" s="91">
        <f t="shared" si="0"/>
        <v>4.7552498321141723E-3</v>
      </c>
      <c r="H52" s="88">
        <v>282.22000000000003</v>
      </c>
      <c r="I52" s="91">
        <f t="shared" si="1"/>
        <v>7.8615736206333553E-2</v>
      </c>
    </row>
    <row r="53" spans="3:9" x14ac:dyDescent="0.3">
      <c r="C53" s="90">
        <v>44431</v>
      </c>
      <c r="D53" s="88">
        <v>16705.2</v>
      </c>
      <c r="E53" s="91">
        <f t="shared" si="0"/>
        <v>-1.5482812072581398E-2</v>
      </c>
      <c r="H53" s="88">
        <v>284.86</v>
      </c>
      <c r="I53" s="91">
        <f t="shared" si="1"/>
        <v>-9.3544043653885911E-3</v>
      </c>
    </row>
    <row r="54" spans="3:9" x14ac:dyDescent="0.3">
      <c r="C54" s="90">
        <v>44438</v>
      </c>
      <c r="D54" s="88">
        <v>17323.599999999999</v>
      </c>
      <c r="E54" s="91">
        <f t="shared" si="0"/>
        <v>-3.7018413428153929E-2</v>
      </c>
      <c r="H54" s="88">
        <v>294.63</v>
      </c>
      <c r="I54" s="91">
        <f t="shared" si="1"/>
        <v>-3.4297549673523831E-2</v>
      </c>
    </row>
    <row r="55" spans="3:9" x14ac:dyDescent="0.3">
      <c r="C55" s="90">
        <v>44445</v>
      </c>
      <c r="D55" s="88">
        <v>17369.25</v>
      </c>
      <c r="E55" s="91">
        <f t="shared" si="0"/>
        <v>-2.6351335750076643E-3</v>
      </c>
      <c r="H55" s="88">
        <v>298.02</v>
      </c>
      <c r="I55" s="91">
        <f t="shared" si="1"/>
        <v>-1.1505956623561797E-2</v>
      </c>
    </row>
    <row r="56" spans="3:9" x14ac:dyDescent="0.3">
      <c r="C56" s="90">
        <v>44452</v>
      </c>
      <c r="D56" s="88">
        <v>17585.150000000001</v>
      </c>
      <c r="E56" s="91">
        <f t="shared" si="0"/>
        <v>-1.2430012809994784E-2</v>
      </c>
      <c r="H56" s="88">
        <v>307.64</v>
      </c>
      <c r="I56" s="91">
        <f t="shared" si="1"/>
        <v>-3.2279712770955094E-2</v>
      </c>
    </row>
    <row r="57" spans="3:9" x14ac:dyDescent="0.3">
      <c r="C57" s="90">
        <v>44459</v>
      </c>
      <c r="D57" s="88">
        <v>17853.2</v>
      </c>
      <c r="E57" s="91">
        <f t="shared" si="0"/>
        <v>-1.5242974896432449E-2</v>
      </c>
      <c r="H57" s="88">
        <v>316.95999999999998</v>
      </c>
      <c r="I57" s="91">
        <f t="shared" si="1"/>
        <v>-3.029515017552975E-2</v>
      </c>
    </row>
    <row r="58" spans="3:9" x14ac:dyDescent="0.3">
      <c r="C58" s="90">
        <v>44466</v>
      </c>
      <c r="D58" s="88">
        <v>17532.05</v>
      </c>
      <c r="E58" s="91">
        <f t="shared" si="0"/>
        <v>1.7988371832500683E-2</v>
      </c>
      <c r="H58" s="88">
        <v>332.26</v>
      </c>
      <c r="I58" s="91">
        <f t="shared" si="1"/>
        <v>-4.8271075214538106E-2</v>
      </c>
    </row>
    <row r="59" spans="3:9" x14ac:dyDescent="0.3">
      <c r="C59" s="90">
        <v>44473</v>
      </c>
      <c r="D59" s="88">
        <v>17895.2</v>
      </c>
      <c r="E59" s="91">
        <f t="shared" si="0"/>
        <v>-2.0713493288006868E-2</v>
      </c>
      <c r="H59" s="88">
        <v>381.76</v>
      </c>
      <c r="I59" s="91">
        <f t="shared" si="1"/>
        <v>-0.14897971468127369</v>
      </c>
    </row>
    <row r="60" spans="3:9" x14ac:dyDescent="0.3">
      <c r="C60" s="90">
        <v>44480</v>
      </c>
      <c r="D60" s="88">
        <v>18338.55</v>
      </c>
      <c r="E60" s="91">
        <f t="shared" si="0"/>
        <v>-2.4774799946354342E-2</v>
      </c>
      <c r="H60" s="88">
        <v>496.05</v>
      </c>
      <c r="I60" s="91">
        <f t="shared" si="1"/>
        <v>-0.29937657166806386</v>
      </c>
    </row>
    <row r="61" spans="3:9" x14ac:dyDescent="0.3">
      <c r="C61" s="90">
        <v>44487</v>
      </c>
      <c r="D61" s="88">
        <v>18114.900000000001</v>
      </c>
      <c r="E61" s="91">
        <f t="shared" si="0"/>
        <v>1.2195620700655052E-2</v>
      </c>
      <c r="H61" s="88">
        <v>489.37</v>
      </c>
      <c r="I61" s="91">
        <f t="shared" si="1"/>
        <v>1.3466384437052725E-2</v>
      </c>
    </row>
    <row r="62" spans="3:9" x14ac:dyDescent="0.3">
      <c r="C62" s="90">
        <v>44494</v>
      </c>
      <c r="D62" s="88">
        <v>17671.650000000001</v>
      </c>
      <c r="E62" s="91">
        <f t="shared" si="0"/>
        <v>2.4468807445804264E-2</v>
      </c>
      <c r="H62" s="88">
        <v>482.2</v>
      </c>
      <c r="I62" s="91">
        <f t="shared" si="1"/>
        <v>1.4651490692114355E-2</v>
      </c>
    </row>
    <row r="63" spans="3:9" x14ac:dyDescent="0.3">
      <c r="C63" s="90">
        <v>44501</v>
      </c>
      <c r="D63" s="88">
        <v>17916.8</v>
      </c>
      <c r="E63" s="91">
        <f t="shared" si="0"/>
        <v>-1.3872502001793796E-2</v>
      </c>
      <c r="H63" s="88">
        <v>488.18</v>
      </c>
      <c r="I63" s="91">
        <f t="shared" si="1"/>
        <v>-1.2401493156366739E-2</v>
      </c>
    </row>
    <row r="64" spans="3:9" x14ac:dyDescent="0.3">
      <c r="C64" s="90">
        <v>44508</v>
      </c>
      <c r="D64" s="88">
        <v>18102.75</v>
      </c>
      <c r="E64" s="91">
        <f t="shared" si="0"/>
        <v>-1.0378527415610073E-2</v>
      </c>
      <c r="H64" s="88">
        <v>505.47</v>
      </c>
      <c r="I64" s="91">
        <f t="shared" si="1"/>
        <v>-3.5417264123888792E-2</v>
      </c>
    </row>
    <row r="65" spans="3:9" x14ac:dyDescent="0.3">
      <c r="C65" s="90">
        <v>44515</v>
      </c>
      <c r="D65" s="88">
        <v>17764.8</v>
      </c>
      <c r="E65" s="91">
        <f t="shared" si="0"/>
        <v>1.8668434353896535E-2</v>
      </c>
      <c r="H65" s="88">
        <v>508.12</v>
      </c>
      <c r="I65" s="91">
        <f t="shared" si="1"/>
        <v>-5.242645458682027E-3</v>
      </c>
    </row>
    <row r="66" spans="3:9" x14ac:dyDescent="0.3">
      <c r="C66" s="90">
        <v>44522</v>
      </c>
      <c r="D66" s="88">
        <v>17026.45</v>
      </c>
      <c r="E66" s="91">
        <f t="shared" si="0"/>
        <v>4.1562528145546174E-2</v>
      </c>
      <c r="H66" s="88">
        <v>458.77</v>
      </c>
      <c r="I66" s="91">
        <f t="shared" si="1"/>
        <v>9.712272691490198E-2</v>
      </c>
    </row>
    <row r="67" spans="3:9" x14ac:dyDescent="0.3">
      <c r="C67" s="90">
        <v>44529</v>
      </c>
      <c r="D67" s="88">
        <v>17196.7</v>
      </c>
      <c r="E67" s="91">
        <f t="shared" si="0"/>
        <v>-9.9991483838381967E-3</v>
      </c>
      <c r="H67" s="88">
        <v>478.61</v>
      </c>
      <c r="I67" s="91">
        <f t="shared" si="1"/>
        <v>-4.3246071015977661E-2</v>
      </c>
    </row>
    <row r="68" spans="3:9" x14ac:dyDescent="0.3">
      <c r="C68" s="90">
        <v>44536</v>
      </c>
      <c r="D68" s="88">
        <v>17511.3</v>
      </c>
      <c r="E68" s="91">
        <f t="shared" si="0"/>
        <v>-1.8294207609599322E-2</v>
      </c>
      <c r="H68" s="88">
        <v>492.91</v>
      </c>
      <c r="I68" s="91">
        <f t="shared" si="1"/>
        <v>-2.9878188922086935E-2</v>
      </c>
    </row>
    <row r="69" spans="3:9" x14ac:dyDescent="0.3">
      <c r="C69" s="90">
        <v>44543</v>
      </c>
      <c r="D69" s="88">
        <v>16985.2</v>
      </c>
      <c r="E69" s="91">
        <f t="shared" si="0"/>
        <v>3.004345765305827E-2</v>
      </c>
      <c r="H69" s="88">
        <v>468.74</v>
      </c>
      <c r="I69" s="91">
        <f t="shared" si="1"/>
        <v>4.9035320849648012E-2</v>
      </c>
    </row>
    <row r="70" spans="3:9" x14ac:dyDescent="0.3">
      <c r="C70" s="90">
        <v>44550</v>
      </c>
      <c r="D70" s="88">
        <v>17003.75</v>
      </c>
      <c r="E70" s="91">
        <f t="shared" ref="E70:E133" si="2">1-D70/D69</f>
        <v>-1.0921272637354207E-3</v>
      </c>
      <c r="H70" s="88">
        <v>466.15</v>
      </c>
      <c r="I70" s="91">
        <f t="shared" ref="I70:I133" si="3">1-H70/H69</f>
        <v>5.5254512096258868E-3</v>
      </c>
    </row>
    <row r="71" spans="3:9" x14ac:dyDescent="0.3">
      <c r="C71" s="90">
        <v>44557</v>
      </c>
      <c r="D71" s="88">
        <v>17354.05</v>
      </c>
      <c r="E71" s="91">
        <f t="shared" si="2"/>
        <v>-2.0601337940160169E-2</v>
      </c>
      <c r="H71" s="88">
        <v>480.9</v>
      </c>
      <c r="I71" s="91">
        <f t="shared" si="3"/>
        <v>-3.1642175265472527E-2</v>
      </c>
    </row>
    <row r="72" spans="3:9" x14ac:dyDescent="0.3">
      <c r="C72" s="90">
        <v>44564</v>
      </c>
      <c r="D72" s="88">
        <v>17812.7</v>
      </c>
      <c r="E72" s="91">
        <f t="shared" si="2"/>
        <v>-2.6428989198486796E-2</v>
      </c>
      <c r="H72" s="88">
        <v>489.08</v>
      </c>
      <c r="I72" s="91">
        <f t="shared" si="3"/>
        <v>-1.7009773341650991E-2</v>
      </c>
    </row>
    <row r="73" spans="3:9" x14ac:dyDescent="0.3">
      <c r="C73" s="90">
        <v>44571</v>
      </c>
      <c r="D73" s="88">
        <v>18255.75</v>
      </c>
      <c r="E73" s="91">
        <f t="shared" si="2"/>
        <v>-2.4872703183683509E-2</v>
      </c>
      <c r="H73" s="88">
        <v>508.32</v>
      </c>
      <c r="I73" s="91">
        <f t="shared" si="3"/>
        <v>-3.9339167416373666E-2</v>
      </c>
    </row>
    <row r="74" spans="3:9" x14ac:dyDescent="0.3">
      <c r="C74" s="90">
        <v>44578</v>
      </c>
      <c r="D74" s="88">
        <v>17617.150000000001</v>
      </c>
      <c r="E74" s="91">
        <f t="shared" si="2"/>
        <v>3.4980759486736956E-2</v>
      </c>
      <c r="H74" s="88">
        <v>500.29</v>
      </c>
      <c r="I74" s="91">
        <f t="shared" si="3"/>
        <v>1.5797135662574679E-2</v>
      </c>
    </row>
    <row r="75" spans="3:9" x14ac:dyDescent="0.3">
      <c r="C75" s="90">
        <v>44585</v>
      </c>
      <c r="D75" s="88">
        <v>17101.95</v>
      </c>
      <c r="E75" s="91">
        <f t="shared" si="2"/>
        <v>2.9244230763772805E-2</v>
      </c>
      <c r="H75" s="88">
        <v>495.75</v>
      </c>
      <c r="I75" s="91">
        <f t="shared" si="3"/>
        <v>9.0747366527414997E-3</v>
      </c>
    </row>
    <row r="76" spans="3:9" x14ac:dyDescent="0.3">
      <c r="C76" s="90">
        <v>44592</v>
      </c>
      <c r="D76" s="88">
        <v>17516.3</v>
      </c>
      <c r="E76" s="91">
        <f t="shared" si="2"/>
        <v>-2.4228231283567103E-2</v>
      </c>
      <c r="H76" s="88">
        <v>499.04</v>
      </c>
      <c r="I76" s="91">
        <f t="shared" si="3"/>
        <v>-6.6364094805850815E-3</v>
      </c>
    </row>
    <row r="77" spans="3:9" x14ac:dyDescent="0.3">
      <c r="C77" s="90">
        <v>44599</v>
      </c>
      <c r="D77" s="88">
        <v>17374.75</v>
      </c>
      <c r="E77" s="91">
        <f t="shared" si="2"/>
        <v>8.0810445128252084E-3</v>
      </c>
      <c r="H77" s="88">
        <v>497.3</v>
      </c>
      <c r="I77" s="91">
        <f t="shared" si="3"/>
        <v>3.4866944533504807E-3</v>
      </c>
    </row>
    <row r="78" spans="3:9" x14ac:dyDescent="0.3">
      <c r="C78" s="90">
        <v>44606</v>
      </c>
      <c r="D78" s="88">
        <v>17276.3</v>
      </c>
      <c r="E78" s="91">
        <f t="shared" si="2"/>
        <v>5.6662685794041101E-3</v>
      </c>
      <c r="H78" s="88">
        <v>491.62</v>
      </c>
      <c r="I78" s="91">
        <f t="shared" si="3"/>
        <v>1.1421677056102975E-2</v>
      </c>
    </row>
    <row r="79" spans="3:9" x14ac:dyDescent="0.3">
      <c r="C79" s="90">
        <v>44613</v>
      </c>
      <c r="D79" s="88">
        <v>16658.400000000001</v>
      </c>
      <c r="E79" s="91">
        <f t="shared" si="2"/>
        <v>3.5765760029635829E-2</v>
      </c>
      <c r="H79" s="88">
        <v>458.32</v>
      </c>
      <c r="I79" s="91">
        <f t="shared" si="3"/>
        <v>6.7735242667100626E-2</v>
      </c>
    </row>
    <row r="80" spans="3:9" x14ac:dyDescent="0.3">
      <c r="C80" s="90">
        <v>44620</v>
      </c>
      <c r="D80" s="88">
        <v>16245.35</v>
      </c>
      <c r="E80" s="91">
        <f t="shared" si="2"/>
        <v>2.4795298468040183E-2</v>
      </c>
      <c r="H80" s="88">
        <v>415.95</v>
      </c>
      <c r="I80" s="91">
        <f t="shared" si="3"/>
        <v>9.2446325711293409E-2</v>
      </c>
    </row>
    <row r="81" spans="3:9" x14ac:dyDescent="0.3">
      <c r="C81" s="90">
        <v>44627</v>
      </c>
      <c r="D81" s="88">
        <v>16630.45</v>
      </c>
      <c r="E81" s="91">
        <f t="shared" si="2"/>
        <v>-2.3705244885459553E-2</v>
      </c>
      <c r="H81" s="88">
        <v>416.85</v>
      </c>
      <c r="I81" s="91">
        <f t="shared" si="3"/>
        <v>-2.1637216011540783E-3</v>
      </c>
    </row>
    <row r="82" spans="3:9" x14ac:dyDescent="0.3">
      <c r="C82" s="90">
        <v>44634</v>
      </c>
      <c r="D82" s="88">
        <v>17287.05</v>
      </c>
      <c r="E82" s="91">
        <f t="shared" si="2"/>
        <v>-3.9481793938227705E-2</v>
      </c>
      <c r="H82" s="88">
        <v>432.45</v>
      </c>
      <c r="I82" s="91">
        <f t="shared" si="3"/>
        <v>-3.7423533645196017E-2</v>
      </c>
    </row>
    <row r="83" spans="3:9" x14ac:dyDescent="0.3">
      <c r="C83" s="90">
        <v>44641</v>
      </c>
      <c r="D83" s="88">
        <v>17153</v>
      </c>
      <c r="E83" s="91">
        <f t="shared" si="2"/>
        <v>7.7543594771808388E-3</v>
      </c>
      <c r="H83" s="88">
        <v>430.76</v>
      </c>
      <c r="I83" s="91">
        <f t="shared" si="3"/>
        <v>3.9079662388715741E-3</v>
      </c>
    </row>
    <row r="84" spans="3:9" x14ac:dyDescent="0.3">
      <c r="C84" s="90">
        <v>44648</v>
      </c>
      <c r="D84" s="88">
        <v>17670.45</v>
      </c>
      <c r="E84" s="91">
        <f t="shared" si="2"/>
        <v>-3.0166734681979834E-2</v>
      </c>
      <c r="H84" s="88">
        <v>439.78</v>
      </c>
      <c r="I84" s="91">
        <f t="shared" si="3"/>
        <v>-2.0939734422880552E-2</v>
      </c>
    </row>
    <row r="85" spans="3:9" x14ac:dyDescent="0.3">
      <c r="C85" s="90">
        <v>44655</v>
      </c>
      <c r="D85" s="88">
        <v>17784.349999999999</v>
      </c>
      <c r="E85" s="91">
        <f t="shared" si="2"/>
        <v>-6.4457894394311932E-3</v>
      </c>
      <c r="H85" s="88">
        <v>450.65</v>
      </c>
      <c r="I85" s="91">
        <f t="shared" si="3"/>
        <v>-2.4716903906498722E-2</v>
      </c>
    </row>
    <row r="86" spans="3:9" x14ac:dyDescent="0.3">
      <c r="C86" s="90">
        <v>44662</v>
      </c>
      <c r="D86" s="88">
        <v>17475.650000000001</v>
      </c>
      <c r="E86" s="91">
        <f t="shared" si="2"/>
        <v>1.7357957979909133E-2</v>
      </c>
      <c r="H86" s="88">
        <v>429.71</v>
      </c>
      <c r="I86" s="91">
        <f t="shared" si="3"/>
        <v>4.6466215466548277E-2</v>
      </c>
    </row>
    <row r="87" spans="3:9" x14ac:dyDescent="0.3">
      <c r="C87" s="90">
        <v>44669</v>
      </c>
      <c r="D87" s="88">
        <v>17171.95</v>
      </c>
      <c r="E87" s="91">
        <f t="shared" si="2"/>
        <v>1.7378466609253462E-2</v>
      </c>
      <c r="H87" s="88">
        <v>437.49</v>
      </c>
      <c r="I87" s="91">
        <f t="shared" si="3"/>
        <v>-1.8105233762304884E-2</v>
      </c>
    </row>
    <row r="88" spans="3:9" x14ac:dyDescent="0.3">
      <c r="C88" s="90">
        <v>44676</v>
      </c>
      <c r="D88" s="88">
        <v>17102.55</v>
      </c>
      <c r="E88" s="91">
        <f t="shared" si="2"/>
        <v>4.0414746141237412E-3</v>
      </c>
      <c r="H88" s="88">
        <v>436.24</v>
      </c>
      <c r="I88" s="91">
        <f t="shared" si="3"/>
        <v>2.857208164758096E-3</v>
      </c>
    </row>
    <row r="89" spans="3:9" x14ac:dyDescent="0.3">
      <c r="C89" s="90">
        <v>44683</v>
      </c>
      <c r="D89" s="88">
        <v>16411.25</v>
      </c>
      <c r="E89" s="91">
        <f t="shared" si="2"/>
        <v>4.0420872910764682E-2</v>
      </c>
      <c r="H89" s="88">
        <v>407.28</v>
      </c>
      <c r="I89" s="91">
        <f t="shared" si="3"/>
        <v>6.6385475884834122E-2</v>
      </c>
    </row>
    <row r="90" spans="3:9" x14ac:dyDescent="0.3">
      <c r="C90" s="90">
        <v>44690</v>
      </c>
      <c r="D90" s="88">
        <v>15782.15</v>
      </c>
      <c r="E90" s="91">
        <f t="shared" si="2"/>
        <v>3.8333460278772158E-2</v>
      </c>
      <c r="H90" s="88">
        <v>403.04</v>
      </c>
      <c r="I90" s="91">
        <f t="shared" si="3"/>
        <v>1.0410528383421602E-2</v>
      </c>
    </row>
    <row r="91" spans="3:9" x14ac:dyDescent="0.3">
      <c r="C91" s="90">
        <v>44697</v>
      </c>
      <c r="D91" s="88">
        <v>16266.15</v>
      </c>
      <c r="E91" s="91">
        <f t="shared" si="2"/>
        <v>-3.0667557968971249E-2</v>
      </c>
      <c r="H91" s="88">
        <v>416.7</v>
      </c>
      <c r="I91" s="91">
        <f t="shared" si="3"/>
        <v>-3.3892417626042004E-2</v>
      </c>
    </row>
    <row r="92" spans="3:9" x14ac:dyDescent="0.3">
      <c r="C92" s="90">
        <v>44704</v>
      </c>
      <c r="D92" s="88">
        <v>16352.45</v>
      </c>
      <c r="E92" s="91">
        <f t="shared" si="2"/>
        <v>-5.3054963835941216E-3</v>
      </c>
      <c r="H92" s="88">
        <v>428.27</v>
      </c>
      <c r="I92" s="91">
        <f t="shared" si="3"/>
        <v>-2.776577873770103E-2</v>
      </c>
    </row>
    <row r="93" spans="3:9" x14ac:dyDescent="0.3">
      <c r="C93" s="90">
        <v>44711</v>
      </c>
      <c r="D93" s="88">
        <v>16584.3</v>
      </c>
      <c r="E93" s="91">
        <f t="shared" si="2"/>
        <v>-1.4178303556959371E-2</v>
      </c>
      <c r="H93" s="88">
        <v>430.56</v>
      </c>
      <c r="I93" s="91">
        <f t="shared" si="3"/>
        <v>-5.3470941228663804E-3</v>
      </c>
    </row>
    <row r="94" spans="3:9" x14ac:dyDescent="0.3">
      <c r="C94" s="90">
        <v>44718</v>
      </c>
      <c r="D94" s="88">
        <v>16201.8</v>
      </c>
      <c r="E94" s="91">
        <f t="shared" si="2"/>
        <v>2.3063982200032584E-2</v>
      </c>
      <c r="H94" s="88">
        <v>426.72</v>
      </c>
      <c r="I94" s="91">
        <f t="shared" si="3"/>
        <v>8.9186176142697082E-3</v>
      </c>
    </row>
    <row r="95" spans="3:9" x14ac:dyDescent="0.3">
      <c r="C95" s="90">
        <v>44725</v>
      </c>
      <c r="D95" s="88">
        <v>15293.5</v>
      </c>
      <c r="E95" s="91">
        <f t="shared" si="2"/>
        <v>5.6061672159883447E-2</v>
      </c>
      <c r="H95" s="88">
        <v>387.74</v>
      </c>
      <c r="I95" s="91">
        <f t="shared" si="3"/>
        <v>9.1347956505436811E-2</v>
      </c>
    </row>
    <row r="96" spans="3:9" x14ac:dyDescent="0.3">
      <c r="C96" s="90">
        <v>44732</v>
      </c>
      <c r="D96" s="88">
        <v>15699.25</v>
      </c>
      <c r="E96" s="91">
        <f t="shared" si="2"/>
        <v>-2.6530879131657192E-2</v>
      </c>
      <c r="H96" s="88">
        <v>408.03</v>
      </c>
      <c r="I96" s="91">
        <f t="shared" si="3"/>
        <v>-5.2328880177438419E-2</v>
      </c>
    </row>
    <row r="97" spans="3:9" x14ac:dyDescent="0.3">
      <c r="C97" s="90">
        <v>44739</v>
      </c>
      <c r="D97" s="88">
        <v>15752.05</v>
      </c>
      <c r="E97" s="91">
        <f t="shared" si="2"/>
        <v>-3.3632179881204483E-3</v>
      </c>
      <c r="H97" s="88">
        <v>411.42</v>
      </c>
      <c r="I97" s="91">
        <f t="shared" si="3"/>
        <v>-8.3082126314242277E-3</v>
      </c>
    </row>
    <row r="98" spans="3:9" x14ac:dyDescent="0.3">
      <c r="C98" s="90">
        <v>44746</v>
      </c>
      <c r="D98" s="88">
        <v>16220.6</v>
      </c>
      <c r="E98" s="91">
        <f t="shared" si="2"/>
        <v>-2.9745334734209372E-2</v>
      </c>
      <c r="H98" s="88">
        <v>440.18</v>
      </c>
      <c r="I98" s="91">
        <f t="shared" si="3"/>
        <v>-6.9904234115988562E-2</v>
      </c>
    </row>
    <row r="99" spans="3:9" x14ac:dyDescent="0.3">
      <c r="C99" s="90">
        <v>44753</v>
      </c>
      <c r="D99" s="88">
        <v>16049.2</v>
      </c>
      <c r="E99" s="91">
        <f t="shared" si="2"/>
        <v>1.0566810105668067E-2</v>
      </c>
      <c r="H99" s="88">
        <v>438.83</v>
      </c>
      <c r="I99" s="91">
        <f t="shared" si="3"/>
        <v>3.0669271661593056E-3</v>
      </c>
    </row>
    <row r="100" spans="3:9" x14ac:dyDescent="0.3">
      <c r="C100" s="90">
        <v>44760</v>
      </c>
      <c r="D100" s="88">
        <v>16719.45</v>
      </c>
      <c r="E100" s="91">
        <f t="shared" si="2"/>
        <v>-4.1762206215886222E-2</v>
      </c>
      <c r="H100" s="88">
        <v>453.49</v>
      </c>
      <c r="I100" s="91">
        <f t="shared" si="3"/>
        <v>-3.3407014105690136E-2</v>
      </c>
    </row>
    <row r="101" spans="3:9" x14ac:dyDescent="0.3">
      <c r="C101" s="90">
        <v>44767</v>
      </c>
      <c r="D101" s="88">
        <v>17158.25</v>
      </c>
      <c r="E101" s="91">
        <f t="shared" si="2"/>
        <v>-2.6244882457257868E-2</v>
      </c>
      <c r="H101" s="88">
        <v>448.2</v>
      </c>
      <c r="I101" s="91">
        <f t="shared" si="3"/>
        <v>1.1665086330459373E-2</v>
      </c>
    </row>
    <row r="102" spans="3:9" x14ac:dyDescent="0.3">
      <c r="C102" s="90">
        <v>44774</v>
      </c>
      <c r="D102" s="88">
        <v>17397.5</v>
      </c>
      <c r="E102" s="91">
        <f t="shared" si="2"/>
        <v>-1.3943729692713402E-2</v>
      </c>
      <c r="H102" s="88">
        <v>463.8</v>
      </c>
      <c r="I102" s="91">
        <f t="shared" si="3"/>
        <v>-3.4805890227576963E-2</v>
      </c>
    </row>
    <row r="103" spans="3:9" x14ac:dyDescent="0.3">
      <c r="C103" s="90">
        <v>44781</v>
      </c>
      <c r="D103" s="88">
        <v>17698.150000000001</v>
      </c>
      <c r="E103" s="91">
        <f t="shared" si="2"/>
        <v>-1.7281218565885936E-2</v>
      </c>
      <c r="H103" s="88">
        <v>476.07</v>
      </c>
      <c r="I103" s="91">
        <f t="shared" si="3"/>
        <v>-2.645536869340237E-2</v>
      </c>
    </row>
    <row r="104" spans="3:9" x14ac:dyDescent="0.3">
      <c r="C104" s="90">
        <v>44788</v>
      </c>
      <c r="D104" s="88">
        <v>17758.45</v>
      </c>
      <c r="E104" s="91">
        <f t="shared" si="2"/>
        <v>-3.4071357740781405E-3</v>
      </c>
      <c r="H104" s="88">
        <v>469.54</v>
      </c>
      <c r="I104" s="91">
        <f t="shared" si="3"/>
        <v>1.3716470266977532E-2</v>
      </c>
    </row>
    <row r="105" spans="3:9" x14ac:dyDescent="0.3">
      <c r="C105" s="90">
        <v>44795</v>
      </c>
      <c r="D105" s="88">
        <v>17558.900000000001</v>
      </c>
      <c r="E105" s="91">
        <f t="shared" si="2"/>
        <v>1.1236904121699753E-2</v>
      </c>
      <c r="H105" s="88">
        <v>463.61</v>
      </c>
      <c r="I105" s="91">
        <f t="shared" si="3"/>
        <v>1.2629381948289775E-2</v>
      </c>
    </row>
    <row r="106" spans="3:9" x14ac:dyDescent="0.3">
      <c r="C106" s="90">
        <v>44802</v>
      </c>
      <c r="D106" s="88">
        <v>17539.45</v>
      </c>
      <c r="E106" s="91">
        <f t="shared" si="2"/>
        <v>1.1077003684741848E-3</v>
      </c>
      <c r="H106" s="88">
        <v>460.32</v>
      </c>
      <c r="I106" s="91">
        <f t="shared" si="3"/>
        <v>7.0964819568172244E-3</v>
      </c>
    </row>
    <row r="107" spans="3:9" x14ac:dyDescent="0.3">
      <c r="C107" s="90">
        <v>44809</v>
      </c>
      <c r="D107" s="88">
        <v>17833.349999999999</v>
      </c>
      <c r="E107" s="91">
        <f t="shared" si="2"/>
        <v>-1.6756511749228098E-2</v>
      </c>
      <c r="H107" s="88">
        <v>444.51</v>
      </c>
      <c r="I107" s="91">
        <f t="shared" si="3"/>
        <v>3.4345672575599617E-2</v>
      </c>
    </row>
    <row r="108" spans="3:9" x14ac:dyDescent="0.3">
      <c r="C108" s="90">
        <v>44816</v>
      </c>
      <c r="D108" s="88">
        <v>17530.849999999999</v>
      </c>
      <c r="E108" s="91">
        <f t="shared" si="2"/>
        <v>1.6962600969531838E-2</v>
      </c>
      <c r="H108" s="88">
        <v>431.16</v>
      </c>
      <c r="I108" s="91">
        <f t="shared" si="3"/>
        <v>3.0033070122156946E-2</v>
      </c>
    </row>
    <row r="109" spans="3:9" x14ac:dyDescent="0.3">
      <c r="C109" s="90">
        <v>44823</v>
      </c>
      <c r="D109" s="88">
        <v>17327.349999999999</v>
      </c>
      <c r="E109" s="91">
        <f t="shared" si="2"/>
        <v>1.1608107992481798E-2</v>
      </c>
      <c r="H109" s="88">
        <v>421.79</v>
      </c>
      <c r="I109" s="91">
        <f t="shared" si="3"/>
        <v>2.1732071620744087E-2</v>
      </c>
    </row>
    <row r="110" spans="3:9" x14ac:dyDescent="0.3">
      <c r="C110" s="90">
        <v>44830</v>
      </c>
      <c r="D110" s="88">
        <v>17094.349999999999</v>
      </c>
      <c r="E110" s="91">
        <f t="shared" si="2"/>
        <v>1.3446949475828696E-2</v>
      </c>
      <c r="H110" s="88">
        <v>403.34</v>
      </c>
      <c r="I110" s="91">
        <f t="shared" si="3"/>
        <v>4.3742146565826756E-2</v>
      </c>
    </row>
    <row r="111" spans="3:9" x14ac:dyDescent="0.3">
      <c r="C111" s="90">
        <v>44837</v>
      </c>
      <c r="D111" s="88">
        <v>17314.650000000001</v>
      </c>
      <c r="E111" s="91">
        <f t="shared" si="2"/>
        <v>-1.2887299019851861E-2</v>
      </c>
      <c r="H111" s="88">
        <v>410.87</v>
      </c>
      <c r="I111" s="91">
        <f t="shared" si="3"/>
        <v>-1.8669112907224727E-2</v>
      </c>
    </row>
    <row r="112" spans="3:9" x14ac:dyDescent="0.3">
      <c r="C112" s="90">
        <v>44844</v>
      </c>
      <c r="D112" s="88">
        <v>17185.7</v>
      </c>
      <c r="E112" s="91">
        <f t="shared" si="2"/>
        <v>7.4474505693156168E-3</v>
      </c>
      <c r="H112" s="88">
        <v>395.02</v>
      </c>
      <c r="I112" s="91">
        <f t="shared" si="3"/>
        <v>3.857667875483739E-2</v>
      </c>
    </row>
    <row r="113" spans="3:9" x14ac:dyDescent="0.3">
      <c r="C113" s="90">
        <v>44851</v>
      </c>
      <c r="D113" s="88">
        <v>17576.3</v>
      </c>
      <c r="E113" s="91">
        <f t="shared" si="2"/>
        <v>-2.2728198444055048E-2</v>
      </c>
      <c r="H113" s="88">
        <v>396.81</v>
      </c>
      <c r="I113" s="91">
        <f t="shared" si="3"/>
        <v>-4.5314161308289691E-3</v>
      </c>
    </row>
    <row r="114" spans="3:9" x14ac:dyDescent="0.3">
      <c r="C114" s="90">
        <v>44858</v>
      </c>
      <c r="D114" s="88">
        <v>17786.8</v>
      </c>
      <c r="E114" s="91">
        <f t="shared" si="2"/>
        <v>-1.1976354522851729E-2</v>
      </c>
      <c r="H114" s="88">
        <v>408.63</v>
      </c>
      <c r="I114" s="91">
        <f t="shared" si="3"/>
        <v>-2.9787555757163409E-2</v>
      </c>
    </row>
    <row r="115" spans="3:9" x14ac:dyDescent="0.3">
      <c r="C115" s="90">
        <v>44865</v>
      </c>
      <c r="D115" s="88">
        <v>18117.150000000001</v>
      </c>
      <c r="E115" s="91">
        <f t="shared" si="2"/>
        <v>-1.8572761823374861E-2</v>
      </c>
      <c r="H115" s="88">
        <v>424.03</v>
      </c>
      <c r="I115" s="91">
        <f t="shared" si="3"/>
        <v>-3.7686905024104878E-2</v>
      </c>
    </row>
    <row r="116" spans="3:9" x14ac:dyDescent="0.3">
      <c r="C116" s="90">
        <v>44872</v>
      </c>
      <c r="D116" s="88">
        <v>18349.7</v>
      </c>
      <c r="E116" s="91">
        <f t="shared" si="2"/>
        <v>-1.2835904101914375E-2</v>
      </c>
      <c r="H116" s="88">
        <v>422.18</v>
      </c>
      <c r="I116" s="91">
        <f t="shared" si="3"/>
        <v>4.3628988514963218E-3</v>
      </c>
    </row>
    <row r="117" spans="3:9" x14ac:dyDescent="0.3">
      <c r="C117" s="90">
        <v>44879</v>
      </c>
      <c r="D117" s="88">
        <v>18307.650000000001</v>
      </c>
      <c r="E117" s="91">
        <f t="shared" si="2"/>
        <v>2.2915905982113793E-3</v>
      </c>
      <c r="H117" s="88">
        <v>422.48</v>
      </c>
      <c r="I117" s="91">
        <f t="shared" si="3"/>
        <v>-7.1059737552703339E-4</v>
      </c>
    </row>
    <row r="118" spans="3:9" x14ac:dyDescent="0.3">
      <c r="C118" s="90">
        <v>44886</v>
      </c>
      <c r="D118" s="88">
        <v>18512.75</v>
      </c>
      <c r="E118" s="91">
        <f t="shared" si="2"/>
        <v>-1.1202967065680136E-2</v>
      </c>
      <c r="H118" s="88">
        <v>431.85</v>
      </c>
      <c r="I118" s="91">
        <f t="shared" si="3"/>
        <v>-2.2178564665783052E-2</v>
      </c>
    </row>
    <row r="119" spans="3:9" x14ac:dyDescent="0.3">
      <c r="C119" s="90">
        <v>44893</v>
      </c>
      <c r="D119" s="88">
        <v>18696.099999999999</v>
      </c>
      <c r="E119" s="91">
        <f t="shared" si="2"/>
        <v>-9.9039850913558158E-3</v>
      </c>
      <c r="H119" s="88">
        <v>434.05</v>
      </c>
      <c r="I119" s="91">
        <f t="shared" si="3"/>
        <v>-5.0943614681022709E-3</v>
      </c>
    </row>
    <row r="120" spans="3:9" x14ac:dyDescent="0.3">
      <c r="C120" s="90">
        <v>44900</v>
      </c>
      <c r="D120" s="88">
        <v>18496.599999999999</v>
      </c>
      <c r="E120" s="91">
        <f t="shared" si="2"/>
        <v>1.0670674632677457E-2</v>
      </c>
      <c r="H120" s="88">
        <v>412.02</v>
      </c>
      <c r="I120" s="91">
        <f t="shared" si="3"/>
        <v>5.0754521368506E-2</v>
      </c>
    </row>
    <row r="121" spans="3:9" x14ac:dyDescent="0.3">
      <c r="C121" s="90">
        <v>44907</v>
      </c>
      <c r="D121" s="88">
        <v>18269</v>
      </c>
      <c r="E121" s="91">
        <f t="shared" si="2"/>
        <v>1.2304964155574472E-2</v>
      </c>
      <c r="H121" s="88">
        <v>420.29</v>
      </c>
      <c r="I121" s="91">
        <f t="shared" si="3"/>
        <v>-2.0071841172758731E-2</v>
      </c>
    </row>
    <row r="122" spans="3:9" x14ac:dyDescent="0.3">
      <c r="C122" s="90">
        <v>44914</v>
      </c>
      <c r="D122" s="88">
        <v>17806.8</v>
      </c>
      <c r="E122" s="91">
        <f t="shared" si="2"/>
        <v>2.5299687996058973E-2</v>
      </c>
      <c r="H122" s="88">
        <v>377.17</v>
      </c>
      <c r="I122" s="91">
        <f t="shared" si="3"/>
        <v>0.10259582669109424</v>
      </c>
    </row>
    <row r="123" spans="3:9" x14ac:dyDescent="0.3">
      <c r="C123" s="90">
        <v>44921</v>
      </c>
      <c r="D123" s="88">
        <v>18105.3</v>
      </c>
      <c r="E123" s="91">
        <f t="shared" si="2"/>
        <v>-1.6763258979715534E-2</v>
      </c>
      <c r="H123" s="88">
        <v>386.74</v>
      </c>
      <c r="I123" s="91">
        <f t="shared" si="3"/>
        <v>-2.5373173900363311E-2</v>
      </c>
    </row>
    <row r="124" spans="3:9" x14ac:dyDescent="0.3">
      <c r="C124" s="90">
        <v>44928</v>
      </c>
      <c r="D124" s="88">
        <v>17859.45</v>
      </c>
      <c r="E124" s="91">
        <f t="shared" si="2"/>
        <v>1.3578896787128536E-2</v>
      </c>
      <c r="H124" s="88">
        <v>380.81</v>
      </c>
      <c r="I124" s="91">
        <f t="shared" si="3"/>
        <v>1.533329885711332E-2</v>
      </c>
    </row>
    <row r="125" spans="3:9" x14ac:dyDescent="0.3">
      <c r="C125" s="90">
        <v>44935</v>
      </c>
      <c r="D125" s="88">
        <v>17956.599999999999</v>
      </c>
      <c r="E125" s="91">
        <f t="shared" si="2"/>
        <v>-5.4396971911228054E-3</v>
      </c>
      <c r="H125" s="88">
        <v>410.22</v>
      </c>
      <c r="I125" s="91">
        <f t="shared" si="3"/>
        <v>-7.7230114755389989E-2</v>
      </c>
    </row>
    <row r="126" spans="3:9" x14ac:dyDescent="0.3">
      <c r="C126" s="90">
        <v>44942</v>
      </c>
      <c r="D126" s="88">
        <v>18027.650000000001</v>
      </c>
      <c r="E126" s="91">
        <f t="shared" si="2"/>
        <v>-3.9567624160476988E-3</v>
      </c>
      <c r="H126" s="88">
        <v>401.9</v>
      </c>
      <c r="I126" s="91">
        <f t="shared" si="3"/>
        <v>2.0281800009750994E-2</v>
      </c>
    </row>
    <row r="127" spans="3:9" x14ac:dyDescent="0.3">
      <c r="C127" s="90">
        <v>44949</v>
      </c>
      <c r="D127" s="88">
        <v>17604.349999999999</v>
      </c>
      <c r="E127" s="91">
        <f t="shared" si="2"/>
        <v>2.3480597859399488E-2</v>
      </c>
      <c r="H127" s="88">
        <v>444.22</v>
      </c>
      <c r="I127" s="91">
        <f t="shared" si="3"/>
        <v>-0.10529982582732034</v>
      </c>
    </row>
    <row r="128" spans="3:9" x14ac:dyDescent="0.3">
      <c r="C128" s="90">
        <v>44956</v>
      </c>
      <c r="D128" s="88">
        <v>17854.05</v>
      </c>
      <c r="E128" s="91">
        <f t="shared" si="2"/>
        <v>-1.4183994296864233E-2</v>
      </c>
      <c r="H128" s="88">
        <v>444.07</v>
      </c>
      <c r="I128" s="91">
        <f t="shared" si="3"/>
        <v>3.3767052361455274E-4</v>
      </c>
    </row>
    <row r="129" spans="3:9" x14ac:dyDescent="0.3">
      <c r="C129" s="90">
        <v>44963</v>
      </c>
      <c r="D129" s="88">
        <v>17856.5</v>
      </c>
      <c r="E129" s="91">
        <f t="shared" si="2"/>
        <v>-1.372237671564136E-4</v>
      </c>
      <c r="H129" s="88">
        <v>444.46</v>
      </c>
      <c r="I129" s="91">
        <f t="shared" si="3"/>
        <v>-8.7823991713009697E-4</v>
      </c>
    </row>
    <row r="130" spans="3:9" x14ac:dyDescent="0.3">
      <c r="C130" s="90">
        <v>44970</v>
      </c>
      <c r="D130" s="88">
        <v>17944.2</v>
      </c>
      <c r="E130" s="91">
        <f t="shared" si="2"/>
        <v>-4.9113768095652155E-3</v>
      </c>
      <c r="H130" s="88">
        <v>438.53</v>
      </c>
      <c r="I130" s="91">
        <f t="shared" si="3"/>
        <v>1.3342033028843958E-2</v>
      </c>
    </row>
    <row r="131" spans="3:9" x14ac:dyDescent="0.3">
      <c r="C131" s="90">
        <v>44977</v>
      </c>
      <c r="D131" s="88">
        <v>17465.8</v>
      </c>
      <c r="E131" s="91">
        <f t="shared" si="2"/>
        <v>2.6660425095574092E-2</v>
      </c>
      <c r="H131" s="88">
        <v>426.42</v>
      </c>
      <c r="I131" s="91">
        <f t="shared" si="3"/>
        <v>2.7614986431942934E-2</v>
      </c>
    </row>
    <row r="132" spans="3:9" x14ac:dyDescent="0.3">
      <c r="C132" s="90">
        <v>44984</v>
      </c>
      <c r="D132" s="88">
        <v>17594.349999999999</v>
      </c>
      <c r="E132" s="91">
        <f t="shared" si="2"/>
        <v>-7.360098020130712E-3</v>
      </c>
      <c r="H132" s="88">
        <v>426.67</v>
      </c>
      <c r="I132" s="91">
        <f t="shared" si="3"/>
        <v>-5.8627644106756804E-4</v>
      </c>
    </row>
    <row r="133" spans="3:9" x14ac:dyDescent="0.3">
      <c r="C133" s="90">
        <v>44991</v>
      </c>
      <c r="D133" s="88">
        <v>17412.900000000001</v>
      </c>
      <c r="E133" s="91">
        <f t="shared" si="2"/>
        <v>1.0312969788596749E-2</v>
      </c>
      <c r="H133" s="88">
        <v>434.5</v>
      </c>
      <c r="I133" s="91">
        <f t="shared" si="3"/>
        <v>-1.8351419129537971E-2</v>
      </c>
    </row>
    <row r="134" spans="3:9" x14ac:dyDescent="0.3">
      <c r="C134" s="90">
        <v>44998</v>
      </c>
      <c r="D134" s="88">
        <v>17100.05</v>
      </c>
      <c r="E134" s="91">
        <f t="shared" ref="E134:E160" si="4">1-D134/D133</f>
        <v>1.796656501788918E-2</v>
      </c>
      <c r="H134" s="88">
        <v>417.7</v>
      </c>
      <c r="I134" s="91">
        <f t="shared" ref="I134:I160" si="5">1-H134/H133</f>
        <v>3.8665132336018426E-2</v>
      </c>
    </row>
    <row r="135" spans="3:9" x14ac:dyDescent="0.3">
      <c r="C135" s="90">
        <v>45005</v>
      </c>
      <c r="D135" s="88">
        <v>16945.05</v>
      </c>
      <c r="E135" s="91">
        <f t="shared" si="4"/>
        <v>9.0643009815760678E-3</v>
      </c>
      <c r="H135" s="88">
        <v>415.21</v>
      </c>
      <c r="I135" s="91">
        <f t="shared" si="5"/>
        <v>5.9612161838640265E-3</v>
      </c>
    </row>
    <row r="136" spans="3:9" x14ac:dyDescent="0.3">
      <c r="C136" s="90">
        <v>45012</v>
      </c>
      <c r="D136" s="88">
        <v>17359.75</v>
      </c>
      <c r="E136" s="91">
        <f t="shared" si="4"/>
        <v>-2.4473223743807226E-2</v>
      </c>
      <c r="H136" s="88">
        <v>419.49</v>
      </c>
      <c r="I136" s="91">
        <f t="shared" si="5"/>
        <v>-1.030803689699189E-2</v>
      </c>
    </row>
    <row r="137" spans="3:9" x14ac:dyDescent="0.3">
      <c r="C137" s="90">
        <v>45019</v>
      </c>
      <c r="D137" s="88">
        <v>17599.150000000001</v>
      </c>
      <c r="E137" s="91">
        <f t="shared" si="4"/>
        <v>-1.3790521176860304E-2</v>
      </c>
      <c r="H137" s="88">
        <v>436.29</v>
      </c>
      <c r="I137" s="91">
        <f t="shared" si="5"/>
        <v>-4.0048630479868397E-2</v>
      </c>
    </row>
    <row r="138" spans="3:9" x14ac:dyDescent="0.3">
      <c r="C138" s="90">
        <v>45026</v>
      </c>
      <c r="D138" s="88">
        <v>17828</v>
      </c>
      <c r="E138" s="91">
        <f t="shared" si="4"/>
        <v>-1.3003468917532901E-2</v>
      </c>
      <c r="H138" s="88">
        <v>468.04</v>
      </c>
      <c r="I138" s="91">
        <f t="shared" si="5"/>
        <v>-7.2772697059295455E-2</v>
      </c>
    </row>
    <row r="139" spans="3:9" x14ac:dyDescent="0.3">
      <c r="C139" s="90">
        <v>45033</v>
      </c>
      <c r="D139" s="88">
        <v>17624.05</v>
      </c>
      <c r="E139" s="91">
        <f t="shared" si="4"/>
        <v>1.143986986762402E-2</v>
      </c>
      <c r="H139" s="88">
        <v>469.74</v>
      </c>
      <c r="I139" s="91">
        <f t="shared" si="5"/>
        <v>-3.6321681907529602E-3</v>
      </c>
    </row>
    <row r="140" spans="3:9" x14ac:dyDescent="0.3">
      <c r="C140" s="90">
        <v>45040</v>
      </c>
      <c r="D140" s="88">
        <v>18065</v>
      </c>
      <c r="E140" s="91">
        <f t="shared" si="4"/>
        <v>-2.5019788300645995E-2</v>
      </c>
      <c r="H140" s="88">
        <v>483.44</v>
      </c>
      <c r="I140" s="91">
        <f t="shared" si="5"/>
        <v>-2.9165070038744911E-2</v>
      </c>
    </row>
    <row r="141" spans="3:9" x14ac:dyDescent="0.3">
      <c r="C141" s="90">
        <v>45047</v>
      </c>
      <c r="D141" s="88">
        <v>18069</v>
      </c>
      <c r="E141" s="91">
        <f t="shared" si="4"/>
        <v>-2.2142264046509652E-4</v>
      </c>
      <c r="H141" s="88">
        <v>475.62</v>
      </c>
      <c r="I141" s="91">
        <f t="shared" si="5"/>
        <v>1.6175740526228721E-2</v>
      </c>
    </row>
    <row r="142" spans="3:9" x14ac:dyDescent="0.3">
      <c r="C142" s="90">
        <v>45054</v>
      </c>
      <c r="D142" s="88">
        <v>18314.8</v>
      </c>
      <c r="E142" s="91">
        <f t="shared" si="4"/>
        <v>-1.3603409153799317E-2</v>
      </c>
      <c r="H142" s="88">
        <v>514.35</v>
      </c>
      <c r="I142" s="91">
        <f t="shared" si="5"/>
        <v>-8.143055380345654E-2</v>
      </c>
    </row>
    <row r="143" spans="3:9" x14ac:dyDescent="0.3">
      <c r="C143" s="90">
        <v>45061</v>
      </c>
      <c r="D143" s="88">
        <v>18203.400000000001</v>
      </c>
      <c r="E143" s="91">
        <f t="shared" si="4"/>
        <v>6.0825125035489647E-3</v>
      </c>
      <c r="H143" s="88">
        <v>523.32000000000005</v>
      </c>
      <c r="I143" s="91">
        <f t="shared" si="5"/>
        <v>-1.7439486730825404E-2</v>
      </c>
    </row>
    <row r="144" spans="3:9" x14ac:dyDescent="0.3">
      <c r="C144" s="90">
        <v>45068</v>
      </c>
      <c r="D144" s="88">
        <v>18499.349999999999</v>
      </c>
      <c r="E144" s="91">
        <f t="shared" si="4"/>
        <v>-1.6257951811200044E-2</v>
      </c>
      <c r="H144" s="88">
        <v>516.84</v>
      </c>
      <c r="I144" s="91">
        <f t="shared" si="5"/>
        <v>1.2382481082320651E-2</v>
      </c>
    </row>
    <row r="145" spans="3:9" x14ac:dyDescent="0.3">
      <c r="C145" s="90">
        <v>45075</v>
      </c>
      <c r="D145" s="88">
        <v>18534.099999999999</v>
      </c>
      <c r="E145" s="91">
        <f t="shared" si="4"/>
        <v>-1.8784443777755122E-3</v>
      </c>
      <c r="H145" s="88">
        <v>534.23</v>
      </c>
      <c r="I145" s="91">
        <f t="shared" si="5"/>
        <v>-3.3646776565281256E-2</v>
      </c>
    </row>
    <row r="146" spans="3:9" x14ac:dyDescent="0.3">
      <c r="C146" s="90">
        <v>45082</v>
      </c>
      <c r="D146" s="88">
        <v>18563.400000000001</v>
      </c>
      <c r="E146" s="91">
        <f t="shared" si="4"/>
        <v>-1.5808698561032841E-3</v>
      </c>
      <c r="H146" s="88">
        <v>560.54999999999995</v>
      </c>
      <c r="I146" s="91">
        <f t="shared" si="5"/>
        <v>-4.9267169571158398E-2</v>
      </c>
    </row>
    <row r="147" spans="3:9" x14ac:dyDescent="0.3">
      <c r="C147" s="90">
        <v>45089</v>
      </c>
      <c r="D147" s="88">
        <v>18826</v>
      </c>
      <c r="E147" s="91">
        <f t="shared" si="4"/>
        <v>-1.4146115474535925E-2</v>
      </c>
      <c r="H147" s="88">
        <v>568.03</v>
      </c>
      <c r="I147" s="91">
        <f t="shared" si="5"/>
        <v>-1.3344037106413298E-2</v>
      </c>
    </row>
    <row r="148" spans="3:9" x14ac:dyDescent="0.3">
      <c r="C148" s="90">
        <v>45096</v>
      </c>
      <c r="D148" s="88">
        <v>18665.5</v>
      </c>
      <c r="E148" s="91">
        <f t="shared" si="4"/>
        <v>8.5254435355359703E-3</v>
      </c>
      <c r="H148" s="88">
        <v>557.91</v>
      </c>
      <c r="I148" s="91">
        <f t="shared" si="5"/>
        <v>1.7815960424625521E-2</v>
      </c>
    </row>
    <row r="149" spans="3:9" x14ac:dyDescent="0.3">
      <c r="C149" s="90">
        <v>45103</v>
      </c>
      <c r="D149" s="88">
        <v>19189.05</v>
      </c>
      <c r="E149" s="91">
        <f t="shared" si="4"/>
        <v>-2.8049074495727355E-2</v>
      </c>
      <c r="H149" s="88">
        <v>593.70000000000005</v>
      </c>
      <c r="I149" s="91">
        <f t="shared" si="5"/>
        <v>-6.4150131741678829E-2</v>
      </c>
    </row>
    <row r="150" spans="3:9" x14ac:dyDescent="0.3">
      <c r="C150" s="90">
        <v>45110</v>
      </c>
      <c r="D150" s="88">
        <v>19331.8</v>
      </c>
      <c r="E150" s="91">
        <f t="shared" si="4"/>
        <v>-7.4391384669902916E-3</v>
      </c>
      <c r="H150" s="88">
        <v>616.28</v>
      </c>
      <c r="I150" s="91">
        <f t="shared" si="5"/>
        <v>-3.803267643591024E-2</v>
      </c>
    </row>
    <row r="151" spans="3:9" x14ac:dyDescent="0.3">
      <c r="C151" s="90">
        <v>45117</v>
      </c>
      <c r="D151" s="88">
        <v>19564.5</v>
      </c>
      <c r="E151" s="91">
        <f t="shared" si="4"/>
        <v>-1.2037161567986399E-2</v>
      </c>
      <c r="H151" s="88">
        <v>622.96</v>
      </c>
      <c r="I151" s="91">
        <f t="shared" si="5"/>
        <v>-1.0839228921918798E-2</v>
      </c>
    </row>
    <row r="152" spans="3:9" x14ac:dyDescent="0.3">
      <c r="C152" s="90">
        <v>45124</v>
      </c>
      <c r="D152" s="88">
        <v>19745</v>
      </c>
      <c r="E152" s="91">
        <f t="shared" si="4"/>
        <v>-9.225893838329613E-3</v>
      </c>
      <c r="H152" s="88">
        <v>623.80999999999995</v>
      </c>
      <c r="I152" s="91">
        <f t="shared" si="5"/>
        <v>-1.3644535764734123E-3</v>
      </c>
    </row>
    <row r="153" spans="3:9" x14ac:dyDescent="0.3">
      <c r="C153" s="90">
        <v>45131</v>
      </c>
      <c r="D153" s="88">
        <v>19646.05</v>
      </c>
      <c r="E153" s="91">
        <f t="shared" si="4"/>
        <v>5.0113952899468739E-3</v>
      </c>
      <c r="H153" s="88">
        <v>633.33000000000004</v>
      </c>
      <c r="I153" s="91">
        <f t="shared" si="5"/>
        <v>-1.5261057052628368E-2</v>
      </c>
    </row>
    <row r="154" spans="3:9" x14ac:dyDescent="0.3">
      <c r="C154" s="90">
        <v>45138</v>
      </c>
      <c r="D154" s="88">
        <v>19517</v>
      </c>
      <c r="E154" s="91">
        <f t="shared" si="4"/>
        <v>6.568750461288575E-3</v>
      </c>
      <c r="H154" s="88">
        <v>615</v>
      </c>
      <c r="I154" s="91">
        <f t="shared" si="5"/>
        <v>2.8942257590829468E-2</v>
      </c>
    </row>
    <row r="155" spans="3:9" x14ac:dyDescent="0.3">
      <c r="C155" s="90">
        <v>45145</v>
      </c>
      <c r="D155" s="88">
        <v>19428.3</v>
      </c>
      <c r="E155" s="91">
        <f t="shared" si="4"/>
        <v>4.5447558538710409E-3</v>
      </c>
      <c r="H155" s="88">
        <v>611.79999999999995</v>
      </c>
      <c r="I155" s="91">
        <f t="shared" si="5"/>
        <v>5.2032520325203668E-3</v>
      </c>
    </row>
    <row r="156" spans="3:9" x14ac:dyDescent="0.3">
      <c r="C156" s="90">
        <v>45152</v>
      </c>
      <c r="D156" s="88">
        <v>19310.150000000001</v>
      </c>
      <c r="E156" s="91">
        <f t="shared" si="4"/>
        <v>6.0813349598265454E-3</v>
      </c>
      <c r="H156" s="88">
        <v>615.79999999999995</v>
      </c>
      <c r="I156" s="91">
        <f t="shared" si="5"/>
        <v>-6.5380843412881084E-3</v>
      </c>
    </row>
    <row r="157" spans="3:9" x14ac:dyDescent="0.3">
      <c r="C157" s="90">
        <v>45159</v>
      </c>
      <c r="D157" s="88">
        <v>19265.8</v>
      </c>
      <c r="E157" s="91">
        <f t="shared" si="4"/>
        <v>2.2967196008317758E-3</v>
      </c>
      <c r="H157" s="88">
        <v>605.1</v>
      </c>
      <c r="I157" s="91">
        <f t="shared" si="5"/>
        <v>1.7375771354335767E-2</v>
      </c>
    </row>
    <row r="158" spans="3:9" x14ac:dyDescent="0.3">
      <c r="C158" s="90">
        <v>45166</v>
      </c>
      <c r="D158" s="88">
        <v>19435.3</v>
      </c>
      <c r="E158" s="91">
        <f t="shared" si="4"/>
        <v>-8.7979736112697715E-3</v>
      </c>
      <c r="H158" s="88">
        <v>611.20000000000005</v>
      </c>
      <c r="I158" s="91">
        <f t="shared" si="5"/>
        <v>-1.0080978350685887E-2</v>
      </c>
    </row>
    <row r="159" spans="3:9" x14ac:dyDescent="0.3">
      <c r="C159" s="90">
        <v>45173</v>
      </c>
      <c r="D159" s="88">
        <v>19819.95</v>
      </c>
      <c r="E159" s="91">
        <f t="shared" si="4"/>
        <v>-1.9791307569216876E-2</v>
      </c>
      <c r="H159" s="88">
        <v>627.25</v>
      </c>
      <c r="I159" s="91">
        <f t="shared" si="5"/>
        <v>-2.6259816753926524E-2</v>
      </c>
    </row>
    <row r="160" spans="3:9" x14ac:dyDescent="0.3">
      <c r="C160" s="90">
        <v>45180</v>
      </c>
      <c r="D160" s="88">
        <v>20070</v>
      </c>
      <c r="E160" s="91">
        <f t="shared" si="4"/>
        <v>-1.2616076226226625E-2</v>
      </c>
      <c r="H160" s="88">
        <v>625.9</v>
      </c>
      <c r="I160" s="91">
        <f t="shared" si="5"/>
        <v>2.1522518931845758E-3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75AF-BDFC-4356-9D17-1B2541AB83F6}">
  <dimension ref="A2:K27"/>
  <sheetViews>
    <sheetView showGridLines="0" topLeftCell="A2" workbookViewId="0">
      <selection activeCell="A4" sqref="A4"/>
    </sheetView>
  </sheetViews>
  <sheetFormatPr defaultRowHeight="14.4" x14ac:dyDescent="0.3"/>
  <cols>
    <col min="1" max="1" width="7.88671875" style="88" bestFit="1" customWidth="1"/>
    <col min="2" max="3" width="10.6640625" style="88" customWidth="1"/>
    <col min="4" max="4" width="15" style="88" bestFit="1" customWidth="1"/>
    <col min="5" max="6" width="8.88671875" style="88"/>
    <col min="7" max="7" width="8.44140625" style="88" customWidth="1"/>
    <col min="8" max="9" width="8.88671875" style="88"/>
    <col min="10" max="10" width="29.5546875" style="88" bestFit="1" customWidth="1"/>
    <col min="11" max="16384" width="8.88671875" style="88"/>
  </cols>
  <sheetData>
    <row r="2" spans="1:11" x14ac:dyDescent="0.3">
      <c r="A2" s="88" t="s">
        <v>83</v>
      </c>
      <c r="G2" s="88" t="s">
        <v>84</v>
      </c>
    </row>
    <row r="3" spans="1:11" ht="15" thickBot="1" x14ac:dyDescent="0.35"/>
    <row r="4" spans="1:11" ht="27" thickBot="1" x14ac:dyDescent="0.35">
      <c r="A4" s="89" t="s">
        <v>69</v>
      </c>
      <c r="B4" s="89" t="s">
        <v>82</v>
      </c>
      <c r="C4" s="86"/>
      <c r="D4" s="89" t="s">
        <v>86</v>
      </c>
      <c r="E4" s="87">
        <f>AVERAGE(B5:B27)</f>
        <v>6.1965217391304346E-2</v>
      </c>
      <c r="G4" s="89" t="s">
        <v>69</v>
      </c>
      <c r="H4" s="89" t="s">
        <v>85</v>
      </c>
      <c r="J4" s="89" t="s">
        <v>87</v>
      </c>
      <c r="K4" s="87">
        <f>AVERAGE(H5:H27)</f>
        <v>6.0621739130434775E-2</v>
      </c>
    </row>
    <row r="5" spans="1:11" ht="15" thickBot="1" x14ac:dyDescent="0.35">
      <c r="A5" s="73">
        <v>2022</v>
      </c>
      <c r="B5" s="74">
        <v>6.7000000000000004E-2</v>
      </c>
      <c r="C5" s="86"/>
      <c r="G5" s="73">
        <v>2022</v>
      </c>
      <c r="H5" s="74">
        <v>7.0000000000000007E-2</v>
      </c>
    </row>
    <row r="6" spans="1:11" ht="27" thickBot="1" x14ac:dyDescent="0.35">
      <c r="A6" s="75">
        <v>2021</v>
      </c>
      <c r="B6" s="76">
        <v>5.1299999999999998E-2</v>
      </c>
      <c r="C6" s="86"/>
      <c r="G6" s="75">
        <v>2021</v>
      </c>
      <c r="H6" s="76">
        <v>9.0499999999999997E-2</v>
      </c>
      <c r="J6" s="89" t="s">
        <v>88</v>
      </c>
      <c r="K6" s="87">
        <f>AVERAGE(H5:H6,H9:H27)</f>
        <v>6.7328571428571432E-2</v>
      </c>
    </row>
    <row r="7" spans="1:11" ht="15" thickBot="1" x14ac:dyDescent="0.35">
      <c r="A7" s="73">
        <v>2020</v>
      </c>
      <c r="B7" s="74">
        <v>6.6199999999999995E-2</v>
      </c>
      <c r="C7" s="86"/>
      <c r="G7" s="73">
        <v>2020</v>
      </c>
      <c r="H7" s="74">
        <v>-5.8299999999999998E-2</v>
      </c>
    </row>
    <row r="8" spans="1:11" ht="15" thickBot="1" x14ac:dyDescent="0.35">
      <c r="A8" s="75">
        <v>2019</v>
      </c>
      <c r="B8" s="76">
        <v>3.73E-2</v>
      </c>
      <c r="C8" s="86"/>
      <c r="G8" s="75">
        <v>2019</v>
      </c>
      <c r="H8" s="76">
        <v>3.8699999999999998E-2</v>
      </c>
    </row>
    <row r="9" spans="1:11" ht="15" thickBot="1" x14ac:dyDescent="0.35">
      <c r="A9" s="73">
        <v>2018</v>
      </c>
      <c r="B9" s="74">
        <v>3.9399999999999998E-2</v>
      </c>
      <c r="C9" s="86"/>
      <c r="G9" s="73">
        <v>2018</v>
      </c>
      <c r="H9" s="74">
        <v>6.4500000000000002E-2</v>
      </c>
    </row>
    <row r="10" spans="1:11" ht="15" thickBot="1" x14ac:dyDescent="0.35">
      <c r="A10" s="75">
        <v>2017</v>
      </c>
      <c r="B10" s="76">
        <v>3.3300000000000003E-2</v>
      </c>
      <c r="C10" s="86"/>
      <c r="G10" s="75">
        <v>2017</v>
      </c>
      <c r="H10" s="76">
        <v>6.8000000000000005E-2</v>
      </c>
    </row>
    <row r="11" spans="1:11" ht="15" thickBot="1" x14ac:dyDescent="0.35">
      <c r="A11" s="73">
        <v>2016</v>
      </c>
      <c r="B11" s="74">
        <v>4.9500000000000002E-2</v>
      </c>
      <c r="C11" s="86"/>
      <c r="G11" s="73">
        <v>2016</v>
      </c>
      <c r="H11" s="74">
        <v>8.2600000000000007E-2</v>
      </c>
    </row>
    <row r="12" spans="1:11" ht="15" thickBot="1" x14ac:dyDescent="0.35">
      <c r="A12" s="75">
        <v>2015</v>
      </c>
      <c r="B12" s="76">
        <v>4.9099999999999998E-2</v>
      </c>
      <c r="C12" s="86"/>
      <c r="G12" s="75">
        <v>2015</v>
      </c>
      <c r="H12" s="76">
        <v>0.08</v>
      </c>
    </row>
    <row r="13" spans="1:11" ht="15" thickBot="1" x14ac:dyDescent="0.35">
      <c r="A13" s="73">
        <v>2014</v>
      </c>
      <c r="B13" s="74">
        <v>6.6699999999999995E-2</v>
      </c>
      <c r="C13" s="86"/>
      <c r="G13" s="73">
        <v>2014</v>
      </c>
      <c r="H13" s="74">
        <v>7.4099999999999999E-2</v>
      </c>
    </row>
    <row r="14" spans="1:11" ht="15" thickBot="1" x14ac:dyDescent="0.35">
      <c r="A14" s="75">
        <v>2013</v>
      </c>
      <c r="B14" s="76">
        <v>0.1106</v>
      </c>
      <c r="C14" s="86"/>
      <c r="G14" s="75">
        <v>2013</v>
      </c>
      <c r="H14" s="76">
        <v>6.3899999999999998E-2</v>
      </c>
    </row>
    <row r="15" spans="1:11" ht="15" thickBot="1" x14ac:dyDescent="0.35">
      <c r="A15" s="73">
        <v>2012</v>
      </c>
      <c r="B15" s="74">
        <v>9.3100000000000002E-2</v>
      </c>
      <c r="C15" s="86"/>
      <c r="G15" s="73">
        <v>2012</v>
      </c>
      <c r="H15" s="74">
        <v>5.4600000000000003E-2</v>
      </c>
    </row>
    <row r="16" spans="1:11" ht="15" thickBot="1" x14ac:dyDescent="0.35">
      <c r="A16" s="75">
        <v>2011</v>
      </c>
      <c r="B16" s="76">
        <v>8.8599999999999998E-2</v>
      </c>
      <c r="C16" s="86"/>
      <c r="G16" s="75">
        <v>2011</v>
      </c>
      <c r="H16" s="76">
        <v>5.2400000000000002E-2</v>
      </c>
    </row>
    <row r="17" spans="1:8" ht="15" thickBot="1" x14ac:dyDescent="0.35">
      <c r="A17" s="73">
        <v>2010</v>
      </c>
      <c r="B17" s="74">
        <v>0.11990000000000001</v>
      </c>
      <c r="C17" s="86"/>
      <c r="G17" s="73">
        <v>2010</v>
      </c>
      <c r="H17" s="74">
        <v>8.5000000000000006E-2</v>
      </c>
    </row>
    <row r="18" spans="1:8" ht="15" thickBot="1" x14ac:dyDescent="0.35">
      <c r="A18" s="75">
        <v>2009</v>
      </c>
      <c r="B18" s="76">
        <v>0.10879999999999999</v>
      </c>
      <c r="C18" s="86"/>
      <c r="G18" s="75">
        <v>2009</v>
      </c>
      <c r="H18" s="76">
        <v>7.8600000000000003E-2</v>
      </c>
    </row>
    <row r="19" spans="1:8" ht="15" thickBot="1" x14ac:dyDescent="0.35">
      <c r="A19" s="73">
        <v>2008</v>
      </c>
      <c r="B19" s="74">
        <v>8.3500000000000005E-2</v>
      </c>
      <c r="C19" s="86"/>
      <c r="G19" s="73">
        <v>2008</v>
      </c>
      <c r="H19" s="74">
        <v>3.09E-2</v>
      </c>
    </row>
    <row r="20" spans="1:8" ht="15" thickBot="1" x14ac:dyDescent="0.35">
      <c r="A20" s="75">
        <v>2007</v>
      </c>
      <c r="B20" s="76">
        <v>6.3700000000000007E-2</v>
      </c>
      <c r="C20" s="86"/>
      <c r="G20" s="75">
        <v>2007</v>
      </c>
      <c r="H20" s="76">
        <v>7.6600000000000001E-2</v>
      </c>
    </row>
    <row r="21" spans="1:8" ht="15" thickBot="1" x14ac:dyDescent="0.35">
      <c r="A21" s="73">
        <v>2006</v>
      </c>
      <c r="B21" s="74">
        <v>5.8000000000000003E-2</v>
      </c>
      <c r="C21" s="86"/>
      <c r="G21" s="73">
        <v>2006</v>
      </c>
      <c r="H21" s="74">
        <v>8.0600000000000005E-2</v>
      </c>
    </row>
    <row r="22" spans="1:8" ht="15" thickBot="1" x14ac:dyDescent="0.35">
      <c r="A22" s="75">
        <v>2005</v>
      </c>
      <c r="B22" s="76">
        <v>4.2500000000000003E-2</v>
      </c>
      <c r="C22" s="86"/>
      <c r="G22" s="75">
        <v>2005</v>
      </c>
      <c r="H22" s="76">
        <v>7.9200000000000007E-2</v>
      </c>
    </row>
    <row r="23" spans="1:8" ht="15" thickBot="1" x14ac:dyDescent="0.35">
      <c r="A23" s="73">
        <v>2004</v>
      </c>
      <c r="B23" s="74">
        <v>3.7699999999999997E-2</v>
      </c>
      <c r="C23" s="86"/>
      <c r="G23" s="73">
        <v>2004</v>
      </c>
      <c r="H23" s="74">
        <v>7.9200000000000007E-2</v>
      </c>
    </row>
    <row r="24" spans="1:8" ht="15" thickBot="1" x14ac:dyDescent="0.35">
      <c r="A24" s="75">
        <v>2003</v>
      </c>
      <c r="B24" s="76">
        <v>3.8100000000000002E-2</v>
      </c>
      <c r="C24" s="86"/>
      <c r="G24" s="75">
        <v>2003</v>
      </c>
      <c r="H24" s="76">
        <v>7.8600000000000003E-2</v>
      </c>
    </row>
    <row r="25" spans="1:8" ht="15" thickBot="1" x14ac:dyDescent="0.35">
      <c r="A25" s="73">
        <v>2002</v>
      </c>
      <c r="B25" s="74">
        <v>4.2999999999999997E-2</v>
      </c>
      <c r="C25" s="86"/>
      <c r="G25" s="73">
        <v>2002</v>
      </c>
      <c r="H25" s="74">
        <v>3.7999999999999999E-2</v>
      </c>
    </row>
    <row r="26" spans="1:8" ht="15" thickBot="1" x14ac:dyDescent="0.35">
      <c r="A26" s="75">
        <v>2001</v>
      </c>
      <c r="B26" s="76">
        <v>3.78E-2</v>
      </c>
      <c r="C26" s="86"/>
      <c r="G26" s="75">
        <v>2001</v>
      </c>
      <c r="H26" s="76">
        <v>4.82E-2</v>
      </c>
    </row>
    <row r="27" spans="1:8" ht="15" thickBot="1" x14ac:dyDescent="0.35">
      <c r="A27" s="73">
        <v>2000</v>
      </c>
      <c r="B27" s="74">
        <v>4.0099999999999997E-2</v>
      </c>
      <c r="C27" s="86"/>
      <c r="G27" s="73">
        <v>2000</v>
      </c>
      <c r="H27" s="74">
        <v>3.8399999999999997E-2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Tata Motors Data</vt:lpstr>
      <vt:lpstr>Free Cash Flow</vt:lpstr>
      <vt:lpstr>WACC</vt:lpstr>
      <vt:lpstr>Intrinsic Growth</vt:lpstr>
      <vt:lpstr>Projections and Terminal Value</vt:lpstr>
      <vt:lpstr>Market Growth</vt:lpstr>
      <vt:lpstr>Beta</vt:lpstr>
      <vt:lpstr>Inflation And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Hemanth P</cp:lastModifiedBy>
  <dcterms:created xsi:type="dcterms:W3CDTF">2015-06-05T18:17:20Z</dcterms:created>
  <dcterms:modified xsi:type="dcterms:W3CDTF">2023-12-28T18:53:52Z</dcterms:modified>
</cp:coreProperties>
</file>