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Qatar Embassies in World Cup Countries/"/>
    </mc:Choice>
  </mc:AlternateContent>
  <xr:revisionPtr revIDLastSave="0" documentId="8_{E9606CD3-98D6-8E44-BCEC-D53C26B056AC}" xr6:coauthVersionLast="47" xr6:coauthVersionMax="47" xr10:uidLastSave="{00000000-0000-0000-0000-000000000000}"/>
  <bookViews>
    <workbookView xWindow="5060" yWindow="200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644" i="1" l="1"/>
  <c r="H1644" i="1"/>
  <c r="A1644" i="1"/>
  <c r="I1643" i="1"/>
  <c r="H1643" i="1"/>
  <c r="A1643" i="1"/>
  <c r="J1642" i="1"/>
  <c r="I1642" i="1"/>
  <c r="H1642" i="1"/>
  <c r="A1642" i="1"/>
  <c r="J1641" i="1"/>
  <c r="I1641" i="1"/>
  <c r="H1641" i="1"/>
  <c r="A1641" i="1"/>
  <c r="A1640" i="1"/>
  <c r="J1639" i="1"/>
  <c r="I1639" i="1"/>
  <c r="H1639" i="1"/>
  <c r="A1639" i="1"/>
  <c r="J1638" i="1"/>
  <c r="I1638" i="1"/>
  <c r="H1638" i="1"/>
  <c r="A1638" i="1"/>
  <c r="K1637" i="1"/>
  <c r="J1637" i="1"/>
  <c r="I1637" i="1"/>
  <c r="H1637" i="1"/>
  <c r="A1637" i="1"/>
  <c r="H1636" i="1"/>
  <c r="A1636" i="1"/>
  <c r="H1635" i="1"/>
  <c r="A1635" i="1"/>
  <c r="K1634" i="1"/>
  <c r="J1634" i="1"/>
  <c r="I1634" i="1"/>
  <c r="H1634" i="1"/>
  <c r="A1634" i="1"/>
  <c r="H1633" i="1"/>
  <c r="A1633" i="1"/>
  <c r="H1632" i="1"/>
  <c r="A1632" i="1"/>
  <c r="H1631" i="1"/>
  <c r="A1631" i="1"/>
  <c r="J1630" i="1"/>
  <c r="I1630" i="1"/>
  <c r="H1630" i="1"/>
  <c r="A1630" i="1"/>
  <c r="J1629" i="1"/>
  <c r="I1629" i="1"/>
  <c r="H1629" i="1"/>
  <c r="A1629" i="1"/>
  <c r="H1628" i="1"/>
  <c r="A1628" i="1"/>
  <c r="H1627" i="1"/>
  <c r="A1627" i="1"/>
  <c r="A1626" i="1"/>
  <c r="H1625" i="1"/>
  <c r="A1625" i="1"/>
  <c r="H1624" i="1"/>
  <c r="A1624" i="1"/>
  <c r="H1623" i="1"/>
  <c r="A1623" i="1"/>
  <c r="H1622" i="1"/>
  <c r="A1622" i="1"/>
  <c r="H1621" i="1"/>
  <c r="A1621" i="1"/>
  <c r="H1620" i="1"/>
  <c r="A1620" i="1"/>
  <c r="I1619" i="1"/>
  <c r="H1619" i="1"/>
  <c r="A1619" i="1"/>
  <c r="H1618" i="1"/>
  <c r="A1618" i="1"/>
  <c r="I1617" i="1"/>
  <c r="H1617" i="1"/>
  <c r="A1617" i="1"/>
  <c r="H1616" i="1"/>
  <c r="A1616" i="1"/>
  <c r="H1615" i="1"/>
  <c r="A1615" i="1"/>
  <c r="H1614" i="1"/>
  <c r="A1614" i="1"/>
  <c r="H1613" i="1"/>
  <c r="A1613" i="1"/>
  <c r="H1612" i="1"/>
  <c r="A1612" i="1"/>
  <c r="J1611" i="1"/>
  <c r="I1611" i="1"/>
  <c r="H1611" i="1"/>
  <c r="A1611" i="1"/>
  <c r="H1610" i="1"/>
  <c r="A1610" i="1"/>
  <c r="K1609" i="1"/>
  <c r="J1609" i="1"/>
  <c r="I1609" i="1"/>
  <c r="H1609" i="1"/>
  <c r="A1609" i="1"/>
  <c r="I1608" i="1"/>
  <c r="H1608" i="1"/>
  <c r="A1608" i="1"/>
  <c r="H1607" i="1"/>
  <c r="A1607" i="1"/>
  <c r="H1606" i="1"/>
  <c r="A1606" i="1"/>
  <c r="H1605" i="1"/>
  <c r="A1605" i="1"/>
  <c r="H1604" i="1"/>
  <c r="A1604" i="1"/>
  <c r="K1603" i="1"/>
  <c r="J1603" i="1"/>
  <c r="I1603" i="1"/>
  <c r="H1603" i="1"/>
  <c r="A1603" i="1"/>
  <c r="H1602" i="1"/>
  <c r="A1602" i="1"/>
  <c r="I1601" i="1"/>
  <c r="H1601" i="1"/>
  <c r="A1601" i="1"/>
  <c r="H1600" i="1"/>
  <c r="A1600" i="1"/>
  <c r="I1599" i="1"/>
  <c r="H1599" i="1"/>
  <c r="A1599" i="1"/>
  <c r="H1598" i="1"/>
  <c r="A1598" i="1"/>
  <c r="H1597" i="1"/>
  <c r="A1597" i="1"/>
  <c r="H1596" i="1"/>
  <c r="A1596" i="1"/>
  <c r="K1595" i="1"/>
  <c r="J1595" i="1"/>
  <c r="I1595" i="1"/>
  <c r="H1595" i="1"/>
  <c r="A1595" i="1"/>
  <c r="K1594" i="1"/>
  <c r="J1594" i="1"/>
  <c r="I1594" i="1"/>
  <c r="H1594" i="1"/>
  <c r="A1594" i="1"/>
  <c r="J1593" i="1"/>
  <c r="I1593" i="1"/>
  <c r="H1593" i="1"/>
  <c r="A1593" i="1"/>
  <c r="K1592" i="1"/>
  <c r="J1592" i="1"/>
  <c r="I1592" i="1"/>
  <c r="H1592" i="1"/>
  <c r="A1592" i="1"/>
  <c r="H1591" i="1"/>
  <c r="A1591" i="1"/>
  <c r="K1590" i="1"/>
  <c r="J1590" i="1"/>
  <c r="I1590" i="1"/>
  <c r="H1590" i="1"/>
  <c r="A1590" i="1"/>
  <c r="H1589" i="1"/>
  <c r="A1589" i="1"/>
  <c r="H1588" i="1"/>
  <c r="A1588" i="1"/>
  <c r="H1587" i="1"/>
  <c r="A1587" i="1"/>
  <c r="I1586" i="1"/>
  <c r="H1586" i="1"/>
  <c r="A1586" i="1"/>
  <c r="H1585" i="1"/>
  <c r="A1585" i="1"/>
  <c r="H1584" i="1"/>
  <c r="A1584" i="1"/>
  <c r="H1583" i="1"/>
  <c r="A1583" i="1"/>
  <c r="A1582" i="1"/>
  <c r="K1581" i="1"/>
  <c r="J1581" i="1"/>
  <c r="I1581" i="1"/>
  <c r="H1581" i="1"/>
  <c r="A1581" i="1"/>
  <c r="K1580" i="1"/>
  <c r="J1580" i="1"/>
  <c r="I1580" i="1"/>
  <c r="H1580" i="1"/>
  <c r="A1580" i="1"/>
  <c r="H1579" i="1"/>
  <c r="A1579" i="1"/>
  <c r="H1578" i="1"/>
  <c r="A1578" i="1"/>
  <c r="H1577" i="1"/>
  <c r="A1577" i="1"/>
  <c r="A1576" i="1"/>
  <c r="H1575" i="1"/>
  <c r="A1575" i="1"/>
  <c r="H1574" i="1"/>
  <c r="A1574" i="1"/>
  <c r="H1573" i="1"/>
  <c r="A1573" i="1"/>
  <c r="K1572" i="1"/>
  <c r="J1572" i="1"/>
  <c r="I1572" i="1"/>
  <c r="H1572" i="1"/>
  <c r="A1572" i="1"/>
  <c r="K1571" i="1"/>
  <c r="J1571" i="1"/>
  <c r="I1571" i="1"/>
  <c r="H1571" i="1"/>
  <c r="A1571" i="1"/>
  <c r="H1570" i="1"/>
  <c r="A1570" i="1"/>
  <c r="A1569" i="1"/>
  <c r="H1568" i="1"/>
  <c r="A1568" i="1"/>
  <c r="H1567" i="1"/>
  <c r="A1567" i="1"/>
  <c r="H1566" i="1"/>
  <c r="A1566" i="1"/>
  <c r="H1565" i="1"/>
  <c r="A1565" i="1"/>
  <c r="H1564" i="1"/>
  <c r="A1564" i="1"/>
  <c r="H1563" i="1"/>
  <c r="A1563" i="1"/>
  <c r="I1562" i="1"/>
  <c r="H1562" i="1"/>
  <c r="A1562" i="1"/>
  <c r="H1561" i="1"/>
  <c r="A1561" i="1"/>
  <c r="H1560" i="1"/>
  <c r="A1560" i="1"/>
  <c r="H1559" i="1"/>
  <c r="A1559" i="1"/>
  <c r="H1558" i="1"/>
  <c r="A1558" i="1"/>
  <c r="H1557" i="1"/>
  <c r="A1557" i="1"/>
  <c r="H1556" i="1"/>
  <c r="A1556" i="1"/>
  <c r="H1555" i="1"/>
  <c r="A1555" i="1"/>
  <c r="A1554" i="1"/>
  <c r="K1553" i="1"/>
  <c r="J1553" i="1"/>
  <c r="I1553" i="1"/>
  <c r="H1553" i="1"/>
  <c r="A1553" i="1"/>
  <c r="H1552" i="1"/>
  <c r="A1552" i="1"/>
  <c r="H1551" i="1"/>
  <c r="A1551" i="1"/>
  <c r="A1550" i="1"/>
  <c r="K1549" i="1"/>
  <c r="J1549" i="1"/>
  <c r="I1549" i="1"/>
  <c r="H1549" i="1"/>
  <c r="A1549" i="1"/>
  <c r="I1548" i="1"/>
  <c r="H1548" i="1"/>
  <c r="A1548" i="1"/>
  <c r="A1547" i="1"/>
  <c r="H1546" i="1"/>
  <c r="A1546" i="1"/>
  <c r="K1545" i="1"/>
  <c r="J1545" i="1"/>
  <c r="I1545" i="1"/>
  <c r="H1545" i="1"/>
  <c r="A1545" i="1"/>
  <c r="H1544" i="1"/>
  <c r="A1544" i="1"/>
  <c r="A1543" i="1"/>
  <c r="H1542" i="1"/>
  <c r="A1542" i="1"/>
  <c r="H1541" i="1"/>
  <c r="A1541" i="1"/>
  <c r="H1540" i="1"/>
  <c r="A1540" i="1"/>
  <c r="H1539" i="1"/>
  <c r="A1539" i="1"/>
  <c r="J1538" i="1"/>
  <c r="I1538" i="1"/>
  <c r="H1538" i="1"/>
  <c r="A1538" i="1"/>
  <c r="I1537" i="1"/>
  <c r="H1537" i="1"/>
  <c r="A1537" i="1"/>
  <c r="H1536" i="1"/>
  <c r="A1536" i="1"/>
  <c r="J1535" i="1"/>
  <c r="I1535" i="1"/>
  <c r="H1535" i="1"/>
  <c r="A1535" i="1"/>
  <c r="H1534" i="1"/>
  <c r="A1534" i="1"/>
  <c r="H1533" i="1"/>
  <c r="A1533" i="1"/>
  <c r="H1532" i="1"/>
  <c r="A1532" i="1"/>
  <c r="H1531" i="1"/>
  <c r="A1531" i="1"/>
  <c r="H1530" i="1"/>
  <c r="A1530" i="1"/>
  <c r="J1529" i="1"/>
  <c r="I1529" i="1"/>
  <c r="H1529" i="1"/>
  <c r="A1529" i="1"/>
  <c r="H1528" i="1"/>
  <c r="A1528" i="1"/>
  <c r="H1527" i="1"/>
  <c r="A1527" i="1"/>
  <c r="H1526" i="1"/>
  <c r="A1526" i="1"/>
  <c r="H1525" i="1"/>
  <c r="A1525" i="1"/>
  <c r="H1524" i="1"/>
  <c r="A1524" i="1"/>
  <c r="J1523" i="1"/>
  <c r="I1523" i="1"/>
  <c r="H1523" i="1"/>
  <c r="A1523" i="1"/>
  <c r="J1522" i="1"/>
  <c r="I1522" i="1"/>
  <c r="H1522" i="1"/>
  <c r="A1522" i="1"/>
  <c r="H1521" i="1"/>
  <c r="A1521" i="1"/>
  <c r="H1520" i="1"/>
  <c r="A1520" i="1"/>
  <c r="H1519" i="1"/>
  <c r="A1519" i="1"/>
  <c r="H1518" i="1"/>
  <c r="A1518" i="1"/>
  <c r="H1517" i="1"/>
  <c r="A1517" i="1"/>
  <c r="A1516" i="1"/>
  <c r="H1515" i="1"/>
  <c r="A1515" i="1"/>
  <c r="A1514" i="1"/>
  <c r="H1513" i="1"/>
  <c r="A1513" i="1"/>
  <c r="H1512" i="1"/>
  <c r="A1512" i="1"/>
  <c r="I1511" i="1"/>
  <c r="H1511" i="1"/>
  <c r="A1511" i="1"/>
  <c r="I1510" i="1"/>
  <c r="H1510" i="1"/>
  <c r="A1510" i="1"/>
  <c r="H1509" i="1"/>
  <c r="A1509" i="1"/>
  <c r="H1508" i="1"/>
  <c r="A1508" i="1"/>
  <c r="I1507" i="1"/>
  <c r="H1507" i="1"/>
  <c r="A1507" i="1"/>
  <c r="I1506" i="1"/>
  <c r="H1506" i="1"/>
  <c r="A1506" i="1"/>
  <c r="H1505" i="1"/>
  <c r="A1505" i="1"/>
  <c r="A1504" i="1"/>
  <c r="H1503" i="1"/>
  <c r="A1503" i="1"/>
  <c r="H1502" i="1"/>
  <c r="A1502" i="1"/>
  <c r="H1501" i="1"/>
  <c r="A1501" i="1"/>
  <c r="I1500" i="1"/>
  <c r="H1500" i="1"/>
  <c r="A1500" i="1"/>
  <c r="I1499" i="1"/>
  <c r="H1499" i="1"/>
  <c r="A1499" i="1"/>
  <c r="I1498" i="1"/>
  <c r="H1498" i="1"/>
  <c r="A1498" i="1"/>
  <c r="J1497" i="1"/>
  <c r="I1497" i="1"/>
  <c r="H1497" i="1"/>
  <c r="A1497" i="1"/>
  <c r="J1496" i="1"/>
  <c r="I1496" i="1"/>
  <c r="H1496" i="1"/>
  <c r="A1496" i="1"/>
  <c r="H1495" i="1"/>
  <c r="A1495" i="1"/>
  <c r="H1494" i="1"/>
  <c r="A1494" i="1"/>
  <c r="H1493" i="1"/>
  <c r="A1493" i="1"/>
  <c r="I1492" i="1"/>
  <c r="H1492" i="1"/>
  <c r="A1492" i="1"/>
  <c r="I1491" i="1"/>
  <c r="H1491" i="1"/>
  <c r="A1491" i="1"/>
  <c r="J1490" i="1"/>
  <c r="I1490" i="1"/>
  <c r="H1490" i="1"/>
  <c r="A1490" i="1"/>
  <c r="H1489" i="1"/>
  <c r="A1489" i="1"/>
  <c r="K1488" i="1"/>
  <c r="J1488" i="1"/>
  <c r="I1488" i="1"/>
  <c r="H1488" i="1"/>
  <c r="A1488" i="1"/>
  <c r="I1487" i="1"/>
  <c r="H1487" i="1"/>
  <c r="A1487" i="1"/>
  <c r="I1486" i="1"/>
  <c r="H1486" i="1"/>
  <c r="A1486" i="1"/>
  <c r="A1485" i="1"/>
  <c r="H1484" i="1"/>
  <c r="A1484" i="1"/>
  <c r="A1483" i="1"/>
  <c r="H1482" i="1"/>
  <c r="A1482" i="1"/>
  <c r="A1481" i="1"/>
  <c r="H1480" i="1"/>
  <c r="A1480" i="1"/>
  <c r="H1479" i="1"/>
  <c r="A1479" i="1"/>
  <c r="H1478" i="1"/>
  <c r="A1478" i="1"/>
  <c r="H1477" i="1"/>
  <c r="A1477" i="1"/>
  <c r="H1476" i="1"/>
  <c r="A1476" i="1"/>
  <c r="H1475" i="1"/>
  <c r="A1475" i="1"/>
  <c r="H1474" i="1"/>
  <c r="A1474" i="1"/>
  <c r="H1473" i="1"/>
  <c r="A1473" i="1"/>
  <c r="H1472" i="1"/>
  <c r="A1472" i="1"/>
  <c r="H1471" i="1"/>
  <c r="A1471" i="1"/>
  <c r="I1470" i="1"/>
  <c r="H1470" i="1"/>
  <c r="A1470" i="1"/>
  <c r="H1469" i="1"/>
  <c r="A1469" i="1"/>
  <c r="K1468" i="1"/>
  <c r="J1468" i="1"/>
  <c r="I1468" i="1"/>
  <c r="H1468" i="1"/>
  <c r="A1468" i="1"/>
  <c r="K1467" i="1"/>
  <c r="J1467" i="1"/>
  <c r="I1467" i="1"/>
  <c r="H1467" i="1"/>
  <c r="A1467" i="1"/>
  <c r="I1466" i="1"/>
  <c r="H1466" i="1"/>
  <c r="A1466" i="1"/>
  <c r="H1465" i="1"/>
  <c r="A1465" i="1"/>
  <c r="H1464" i="1"/>
  <c r="A1464" i="1"/>
  <c r="H1463" i="1"/>
  <c r="A1463" i="1"/>
  <c r="H1462" i="1"/>
  <c r="A1462" i="1"/>
  <c r="A1461" i="1"/>
  <c r="H1460" i="1"/>
  <c r="A1460" i="1"/>
  <c r="H1459" i="1"/>
  <c r="A1459" i="1"/>
  <c r="H1458" i="1"/>
  <c r="A1458" i="1"/>
  <c r="K1457" i="1"/>
  <c r="J1457" i="1"/>
  <c r="I1457" i="1"/>
  <c r="H1457" i="1"/>
  <c r="A1457" i="1"/>
  <c r="I1456" i="1"/>
  <c r="H1456" i="1"/>
  <c r="A1456" i="1"/>
  <c r="K1455" i="1"/>
  <c r="J1455" i="1"/>
  <c r="I1455" i="1"/>
  <c r="H1455" i="1"/>
  <c r="A1455" i="1"/>
  <c r="H1454" i="1"/>
  <c r="A1454" i="1"/>
  <c r="H1453" i="1"/>
  <c r="A1453" i="1"/>
  <c r="I1452" i="1"/>
  <c r="H1452" i="1"/>
  <c r="A1452" i="1"/>
  <c r="I1451" i="1"/>
  <c r="H1451" i="1"/>
  <c r="A1451" i="1"/>
  <c r="H1450" i="1"/>
  <c r="A1450" i="1"/>
  <c r="H1449" i="1"/>
  <c r="A1449" i="1"/>
  <c r="H1448" i="1"/>
  <c r="A1448" i="1"/>
  <c r="A1447" i="1"/>
  <c r="A1446" i="1"/>
  <c r="H1445" i="1"/>
  <c r="A1445" i="1"/>
  <c r="H1444" i="1"/>
  <c r="A1444" i="1"/>
  <c r="H1443" i="1"/>
  <c r="A1443" i="1"/>
  <c r="H1442" i="1"/>
  <c r="A1442" i="1"/>
  <c r="H1441" i="1"/>
  <c r="A1441" i="1"/>
  <c r="H1440" i="1"/>
  <c r="A1440" i="1"/>
  <c r="H1439" i="1"/>
  <c r="A1439" i="1"/>
  <c r="I1438" i="1"/>
  <c r="H1438" i="1"/>
  <c r="A1438" i="1"/>
  <c r="I1437" i="1"/>
  <c r="H1437" i="1"/>
  <c r="A1437" i="1"/>
  <c r="I1436" i="1"/>
  <c r="H1436" i="1"/>
  <c r="A1436" i="1"/>
  <c r="H1435" i="1"/>
  <c r="A1435" i="1"/>
  <c r="H1434" i="1"/>
  <c r="A1434" i="1"/>
  <c r="H1433" i="1"/>
  <c r="A1433" i="1"/>
  <c r="H1432" i="1"/>
  <c r="A1432" i="1"/>
  <c r="H1431" i="1"/>
  <c r="A1431" i="1"/>
  <c r="I1430" i="1"/>
  <c r="H1430" i="1"/>
  <c r="A1430" i="1"/>
  <c r="I1429" i="1"/>
  <c r="H1429" i="1"/>
  <c r="A1429" i="1"/>
  <c r="I1428" i="1"/>
  <c r="H1428" i="1"/>
  <c r="A1428" i="1"/>
  <c r="I1427" i="1"/>
  <c r="H1427" i="1"/>
  <c r="A1427" i="1"/>
  <c r="J1426" i="1"/>
  <c r="I1426" i="1"/>
  <c r="H1426" i="1"/>
  <c r="A1426" i="1"/>
  <c r="I1425" i="1"/>
  <c r="H1425" i="1"/>
  <c r="A1425" i="1"/>
  <c r="J1424" i="1"/>
  <c r="I1424" i="1"/>
  <c r="H1424" i="1"/>
  <c r="A1424" i="1"/>
  <c r="H1423" i="1"/>
  <c r="A1423" i="1"/>
  <c r="I1422" i="1"/>
  <c r="H1422" i="1"/>
  <c r="A1422" i="1"/>
  <c r="H1421" i="1"/>
  <c r="A1421" i="1"/>
  <c r="H1420" i="1"/>
  <c r="A1420" i="1"/>
  <c r="H1419" i="1"/>
  <c r="A1419" i="1"/>
  <c r="H1418" i="1"/>
  <c r="A1418" i="1"/>
  <c r="I1417" i="1"/>
  <c r="H1417" i="1"/>
  <c r="A1417" i="1"/>
  <c r="H1416" i="1"/>
  <c r="A1416" i="1"/>
  <c r="H1415" i="1"/>
  <c r="A1415" i="1"/>
  <c r="A1414" i="1"/>
  <c r="I1413" i="1"/>
  <c r="H1413" i="1"/>
  <c r="A1413" i="1"/>
  <c r="H1412" i="1"/>
  <c r="A1412" i="1"/>
  <c r="H1411" i="1"/>
  <c r="A1411" i="1"/>
  <c r="I1410" i="1"/>
  <c r="H1410" i="1"/>
  <c r="A1410" i="1"/>
  <c r="I1409" i="1"/>
  <c r="H1409" i="1"/>
  <c r="A1409" i="1"/>
  <c r="H1408" i="1"/>
  <c r="A1408" i="1"/>
  <c r="I1407" i="1"/>
  <c r="H1407" i="1"/>
  <c r="A1407" i="1"/>
  <c r="H1406" i="1"/>
  <c r="A1406" i="1"/>
  <c r="H1405" i="1"/>
  <c r="A1405" i="1"/>
  <c r="H1404" i="1"/>
  <c r="A1404" i="1"/>
  <c r="H1403" i="1"/>
  <c r="A1403" i="1"/>
  <c r="H1402" i="1"/>
  <c r="A1402" i="1"/>
  <c r="I1401" i="1"/>
  <c r="H1401" i="1"/>
  <c r="A1401" i="1"/>
  <c r="H1400" i="1"/>
  <c r="A1400" i="1"/>
  <c r="I1399" i="1"/>
  <c r="H1399" i="1"/>
  <c r="A1399" i="1"/>
  <c r="H1398" i="1"/>
  <c r="A1398" i="1"/>
  <c r="A1397" i="1"/>
  <c r="A1396" i="1"/>
  <c r="A1395" i="1"/>
  <c r="A1394" i="1"/>
  <c r="I1393" i="1"/>
  <c r="H1393" i="1"/>
  <c r="A1393" i="1"/>
  <c r="H1392" i="1"/>
  <c r="A1392" i="1"/>
  <c r="H1391" i="1"/>
  <c r="A1391" i="1"/>
  <c r="H1390" i="1"/>
  <c r="A1390" i="1"/>
  <c r="I1389" i="1"/>
  <c r="H1389" i="1"/>
  <c r="A1389" i="1"/>
  <c r="H1388" i="1"/>
  <c r="A1388" i="1"/>
  <c r="H1387" i="1"/>
  <c r="A1387" i="1"/>
  <c r="H1386" i="1"/>
  <c r="A1386" i="1"/>
  <c r="H1385" i="1"/>
  <c r="A1385" i="1"/>
  <c r="H1384" i="1"/>
  <c r="A1384" i="1"/>
  <c r="H1383" i="1"/>
  <c r="A1383" i="1"/>
  <c r="K1382" i="1"/>
  <c r="J1382" i="1"/>
  <c r="I1382" i="1"/>
  <c r="H1382" i="1"/>
  <c r="A1382" i="1"/>
  <c r="H1381" i="1"/>
  <c r="A1381" i="1"/>
  <c r="H1380" i="1"/>
  <c r="A1380" i="1"/>
  <c r="I1379" i="1"/>
  <c r="H1379" i="1"/>
  <c r="A1379" i="1"/>
  <c r="I1378" i="1"/>
  <c r="H1378" i="1"/>
  <c r="A1378" i="1"/>
  <c r="I1377" i="1"/>
  <c r="H1377" i="1"/>
  <c r="A1377" i="1"/>
  <c r="I1376" i="1"/>
  <c r="H1376" i="1"/>
  <c r="A1376" i="1"/>
  <c r="H1375" i="1"/>
  <c r="A1375" i="1"/>
  <c r="H1374" i="1"/>
  <c r="A1374" i="1"/>
  <c r="H1373" i="1"/>
  <c r="A1373" i="1"/>
  <c r="H1372" i="1"/>
  <c r="A1372" i="1"/>
  <c r="I1371" i="1"/>
  <c r="H1371" i="1"/>
  <c r="A1371" i="1"/>
  <c r="H1370" i="1"/>
  <c r="A1370" i="1"/>
  <c r="A1369" i="1"/>
  <c r="K1368" i="1"/>
  <c r="J1368" i="1"/>
  <c r="I1368" i="1"/>
  <c r="H1368" i="1"/>
  <c r="A1368" i="1"/>
  <c r="H1367" i="1"/>
  <c r="A1367" i="1"/>
  <c r="A1366" i="1"/>
  <c r="H1365" i="1"/>
  <c r="A1365" i="1"/>
  <c r="A1364" i="1"/>
  <c r="I1363" i="1"/>
  <c r="H1363" i="1"/>
  <c r="A1363" i="1"/>
  <c r="H1362" i="1"/>
  <c r="A1362" i="1"/>
  <c r="H1361" i="1"/>
  <c r="A1361" i="1"/>
  <c r="K1360" i="1"/>
  <c r="J1360" i="1"/>
  <c r="I1360" i="1"/>
  <c r="H1360" i="1"/>
  <c r="A1360" i="1"/>
  <c r="H1359" i="1"/>
  <c r="A1359" i="1"/>
  <c r="I1358" i="1"/>
  <c r="H1358" i="1"/>
  <c r="A1358" i="1"/>
  <c r="I1357" i="1"/>
  <c r="H1357" i="1"/>
  <c r="A1357" i="1"/>
  <c r="H1356" i="1"/>
  <c r="A1356" i="1"/>
  <c r="I1355" i="1"/>
  <c r="H1355" i="1"/>
  <c r="A1355" i="1"/>
  <c r="H1354" i="1"/>
  <c r="A1354" i="1"/>
  <c r="I1353" i="1"/>
  <c r="H1353" i="1"/>
  <c r="A1353" i="1"/>
  <c r="H1352" i="1"/>
  <c r="A1352" i="1"/>
  <c r="H1351" i="1"/>
  <c r="A1351" i="1"/>
  <c r="A1350" i="1"/>
  <c r="H1349" i="1"/>
  <c r="A1349" i="1"/>
  <c r="K1348" i="1"/>
  <c r="J1348" i="1"/>
  <c r="I1348" i="1"/>
  <c r="H1348" i="1"/>
  <c r="A1348" i="1"/>
  <c r="H1347" i="1"/>
  <c r="A1347" i="1"/>
  <c r="H1346" i="1"/>
  <c r="A1346" i="1"/>
  <c r="A1345" i="1"/>
  <c r="I1344" i="1"/>
  <c r="H1344" i="1"/>
  <c r="A1344" i="1"/>
  <c r="I1343" i="1"/>
  <c r="H1343" i="1"/>
  <c r="A1343" i="1"/>
  <c r="I1342" i="1"/>
  <c r="H1342" i="1"/>
  <c r="A1342" i="1"/>
  <c r="I1341" i="1"/>
  <c r="H1341" i="1"/>
  <c r="A1341" i="1"/>
  <c r="I1340" i="1"/>
  <c r="H1340" i="1"/>
  <c r="A1340" i="1"/>
  <c r="H1339" i="1"/>
  <c r="A1339" i="1"/>
  <c r="H1338" i="1"/>
  <c r="A1338" i="1"/>
  <c r="I1337" i="1"/>
  <c r="H1337" i="1"/>
  <c r="A1337" i="1"/>
  <c r="H1336" i="1"/>
  <c r="A1336" i="1"/>
  <c r="H1335" i="1"/>
  <c r="A1335" i="1"/>
  <c r="H1334" i="1"/>
  <c r="A1334" i="1"/>
  <c r="H1333" i="1"/>
  <c r="A1333" i="1"/>
  <c r="H1332" i="1"/>
  <c r="A1332" i="1"/>
  <c r="H1331" i="1"/>
  <c r="A1331" i="1"/>
  <c r="K1330" i="1"/>
  <c r="J1330" i="1"/>
  <c r="I1330" i="1"/>
  <c r="H1330" i="1"/>
  <c r="A1330" i="1"/>
  <c r="H1329" i="1"/>
  <c r="A1329" i="1"/>
  <c r="H1328" i="1"/>
  <c r="A1328" i="1"/>
  <c r="K1327" i="1"/>
  <c r="J1327" i="1"/>
  <c r="I1327" i="1"/>
  <c r="H1327" i="1"/>
  <c r="A1327" i="1"/>
  <c r="H1326" i="1"/>
  <c r="A1326" i="1"/>
  <c r="H1325" i="1"/>
  <c r="A1325" i="1"/>
  <c r="H1324" i="1"/>
  <c r="A1324" i="1"/>
  <c r="A1323" i="1"/>
  <c r="H1322" i="1"/>
  <c r="A1322" i="1"/>
  <c r="H1321" i="1"/>
  <c r="A1321" i="1"/>
  <c r="H1320" i="1"/>
  <c r="A1320" i="1"/>
  <c r="I1319" i="1"/>
  <c r="H1319" i="1"/>
  <c r="A1319" i="1"/>
  <c r="H1318" i="1"/>
  <c r="A1318" i="1"/>
  <c r="A1317" i="1"/>
  <c r="A1316" i="1"/>
  <c r="A1315" i="1"/>
  <c r="A1314" i="1"/>
  <c r="H1313" i="1"/>
  <c r="A1313" i="1"/>
  <c r="H1312" i="1"/>
  <c r="A1312" i="1"/>
  <c r="H1311" i="1"/>
  <c r="A1311" i="1"/>
  <c r="H1310" i="1"/>
  <c r="A1310" i="1"/>
  <c r="A1309" i="1"/>
  <c r="H1308" i="1"/>
  <c r="A1308" i="1"/>
  <c r="H1307" i="1"/>
  <c r="A1307" i="1"/>
  <c r="H1306" i="1"/>
  <c r="A1306" i="1"/>
  <c r="H1305" i="1"/>
  <c r="A1305" i="1"/>
  <c r="H1304" i="1"/>
  <c r="A1304" i="1"/>
  <c r="H1303" i="1"/>
  <c r="A1303" i="1"/>
  <c r="H1302" i="1"/>
  <c r="A1302" i="1"/>
  <c r="H1301" i="1"/>
  <c r="A1301" i="1"/>
  <c r="H1300" i="1"/>
  <c r="A1300" i="1"/>
  <c r="H1299" i="1"/>
  <c r="A1299" i="1"/>
  <c r="H1298" i="1"/>
  <c r="A1298" i="1"/>
  <c r="H1297" i="1"/>
  <c r="A1297" i="1"/>
  <c r="A1296" i="1"/>
  <c r="K1295" i="1"/>
  <c r="J1295" i="1"/>
  <c r="I1295" i="1"/>
  <c r="H1295" i="1"/>
  <c r="A1295" i="1"/>
  <c r="K1294" i="1"/>
  <c r="J1294" i="1"/>
  <c r="I1294" i="1"/>
  <c r="H1294" i="1"/>
  <c r="A1294" i="1"/>
  <c r="H1293" i="1"/>
  <c r="A1293" i="1"/>
  <c r="H1292" i="1"/>
  <c r="A1292" i="1"/>
  <c r="H1291" i="1"/>
  <c r="A1291" i="1"/>
  <c r="H1290" i="1"/>
  <c r="A1290" i="1"/>
  <c r="H1289" i="1"/>
  <c r="A1289" i="1"/>
  <c r="J1288" i="1"/>
  <c r="I1288" i="1"/>
  <c r="H1288" i="1"/>
  <c r="A1288" i="1"/>
  <c r="I1287" i="1"/>
  <c r="H1287" i="1"/>
  <c r="A1287" i="1"/>
  <c r="H1286" i="1"/>
  <c r="A1286" i="1"/>
  <c r="A1285" i="1"/>
  <c r="H1284" i="1"/>
  <c r="A1284" i="1"/>
  <c r="I1283" i="1"/>
  <c r="H1283" i="1"/>
  <c r="A1283" i="1"/>
  <c r="K1282" i="1"/>
  <c r="J1282" i="1"/>
  <c r="I1282" i="1"/>
  <c r="H1282" i="1"/>
  <c r="A1282" i="1"/>
  <c r="K1281" i="1"/>
  <c r="J1281" i="1"/>
  <c r="I1281" i="1"/>
  <c r="H1281" i="1"/>
  <c r="A1281" i="1"/>
  <c r="J1280" i="1"/>
  <c r="I1280" i="1"/>
  <c r="H1280" i="1"/>
  <c r="A1280" i="1"/>
  <c r="J1279" i="1"/>
  <c r="I1279" i="1"/>
  <c r="H1279" i="1"/>
  <c r="A1279" i="1"/>
  <c r="I1278" i="1"/>
  <c r="H1278" i="1"/>
  <c r="A1278" i="1"/>
  <c r="A1277" i="1"/>
  <c r="H1276" i="1"/>
  <c r="A1276" i="1"/>
  <c r="J1275" i="1"/>
  <c r="I1275" i="1"/>
  <c r="H1275" i="1"/>
  <c r="A1275" i="1"/>
  <c r="K1274" i="1"/>
  <c r="J1274" i="1"/>
  <c r="I1274" i="1"/>
  <c r="H1274" i="1"/>
  <c r="A1274" i="1"/>
  <c r="H1273" i="1"/>
  <c r="A1273" i="1"/>
  <c r="J1272" i="1"/>
  <c r="I1272" i="1"/>
  <c r="H1272" i="1"/>
  <c r="A1272" i="1"/>
  <c r="H1271" i="1"/>
  <c r="A1271" i="1"/>
  <c r="H1270" i="1"/>
  <c r="A1270" i="1"/>
  <c r="J1269" i="1"/>
  <c r="I1269" i="1"/>
  <c r="H1269" i="1"/>
  <c r="A1269" i="1"/>
  <c r="A1268" i="1"/>
  <c r="H1267" i="1"/>
  <c r="A1267" i="1"/>
  <c r="H1266" i="1"/>
  <c r="A1266" i="1"/>
  <c r="H1265" i="1"/>
  <c r="A1265" i="1"/>
  <c r="H1264" i="1"/>
  <c r="A1264" i="1"/>
  <c r="H1263" i="1"/>
  <c r="A1263" i="1"/>
  <c r="H1262" i="1"/>
  <c r="A1262" i="1"/>
  <c r="H1261" i="1"/>
  <c r="A1261" i="1"/>
  <c r="H1260" i="1"/>
  <c r="A1260" i="1"/>
  <c r="H1259" i="1"/>
  <c r="A1259" i="1"/>
  <c r="J1258" i="1"/>
  <c r="I1258" i="1"/>
  <c r="H1258" i="1"/>
  <c r="A1258" i="1"/>
  <c r="H1257" i="1"/>
  <c r="A1257" i="1"/>
  <c r="A1256" i="1"/>
  <c r="H1255" i="1"/>
  <c r="A1255" i="1"/>
  <c r="H1254" i="1"/>
  <c r="A1254" i="1"/>
  <c r="H1253" i="1"/>
  <c r="A1253" i="1"/>
  <c r="H1252" i="1"/>
  <c r="A1252" i="1"/>
  <c r="H1251" i="1"/>
  <c r="A1251" i="1"/>
  <c r="H1250" i="1"/>
  <c r="A1250" i="1"/>
  <c r="H1249" i="1"/>
  <c r="A1249" i="1"/>
  <c r="H1248" i="1"/>
  <c r="A1248" i="1"/>
  <c r="H1247" i="1"/>
  <c r="A1247" i="1"/>
  <c r="I1246" i="1"/>
  <c r="H1246" i="1"/>
  <c r="A1246" i="1"/>
  <c r="H1245" i="1"/>
  <c r="A1245" i="1"/>
  <c r="H1244" i="1"/>
  <c r="A1244" i="1"/>
  <c r="A1243" i="1"/>
  <c r="H1242" i="1"/>
  <c r="A1242" i="1"/>
  <c r="H1241" i="1"/>
  <c r="A1241" i="1"/>
  <c r="H1240" i="1"/>
  <c r="A1240" i="1"/>
  <c r="J1239" i="1"/>
  <c r="I1239" i="1"/>
  <c r="H1239" i="1"/>
  <c r="A1239" i="1"/>
  <c r="J1238" i="1"/>
  <c r="I1238" i="1"/>
  <c r="H1238" i="1"/>
  <c r="A1238" i="1"/>
  <c r="H1237" i="1"/>
  <c r="A1237" i="1"/>
  <c r="H1236" i="1"/>
  <c r="A1236" i="1"/>
  <c r="J1235" i="1"/>
  <c r="I1235" i="1"/>
  <c r="H1235" i="1"/>
  <c r="A1235" i="1"/>
  <c r="H1234" i="1"/>
  <c r="A1234" i="1"/>
  <c r="H1233" i="1"/>
  <c r="A1233" i="1"/>
  <c r="H1232" i="1"/>
  <c r="A1232" i="1"/>
  <c r="H1231" i="1"/>
  <c r="A1231" i="1"/>
  <c r="H1230" i="1"/>
  <c r="A1230" i="1"/>
  <c r="H1229" i="1"/>
  <c r="A1229" i="1"/>
  <c r="J1228" i="1"/>
  <c r="I1228" i="1"/>
  <c r="H1228" i="1"/>
  <c r="A1228" i="1"/>
  <c r="I1227" i="1"/>
  <c r="H1227" i="1"/>
  <c r="A1227" i="1"/>
  <c r="H1226" i="1"/>
  <c r="A1226" i="1"/>
  <c r="H1225" i="1"/>
  <c r="A1225" i="1"/>
  <c r="H1224" i="1"/>
  <c r="A1224" i="1"/>
  <c r="H1223" i="1"/>
  <c r="A1223" i="1"/>
  <c r="A1222" i="1"/>
  <c r="H1221" i="1"/>
  <c r="A1221" i="1"/>
  <c r="H1220" i="1"/>
  <c r="A1220" i="1"/>
  <c r="H1219" i="1"/>
  <c r="A1219" i="1"/>
  <c r="H1218" i="1"/>
  <c r="A1218" i="1"/>
  <c r="K1217" i="1"/>
  <c r="J1217" i="1"/>
  <c r="I1217" i="1"/>
  <c r="H1217" i="1"/>
  <c r="A1217" i="1"/>
  <c r="H1216" i="1"/>
  <c r="A1216" i="1"/>
  <c r="A1215" i="1"/>
  <c r="H1214" i="1"/>
  <c r="A1214" i="1"/>
  <c r="A1213" i="1"/>
  <c r="H1212" i="1"/>
  <c r="A1212" i="1"/>
  <c r="H1211" i="1"/>
  <c r="A1211" i="1"/>
  <c r="H1210" i="1"/>
  <c r="A1210" i="1"/>
  <c r="H1209" i="1"/>
  <c r="A1209" i="1"/>
  <c r="H1208" i="1"/>
  <c r="A1208" i="1"/>
  <c r="H1207" i="1"/>
  <c r="A1207" i="1"/>
  <c r="H1206" i="1"/>
  <c r="A1206" i="1"/>
  <c r="H1205" i="1"/>
  <c r="A1205" i="1"/>
  <c r="J1204" i="1"/>
  <c r="I1204" i="1"/>
  <c r="H1204" i="1"/>
  <c r="A1204" i="1"/>
  <c r="H1203" i="1"/>
  <c r="A1203" i="1"/>
  <c r="K1202" i="1"/>
  <c r="J1202" i="1"/>
  <c r="I1202" i="1"/>
  <c r="H1202" i="1"/>
  <c r="A1202" i="1"/>
  <c r="H1201" i="1"/>
  <c r="A1201" i="1"/>
  <c r="H1200" i="1"/>
  <c r="A1200" i="1"/>
  <c r="A1199" i="1"/>
  <c r="H1198" i="1"/>
  <c r="A1198" i="1"/>
  <c r="H1197" i="1"/>
  <c r="A1197" i="1"/>
  <c r="I1196" i="1"/>
  <c r="H1196" i="1"/>
  <c r="A1196" i="1"/>
  <c r="H1195" i="1"/>
  <c r="A1195" i="1"/>
  <c r="J1194" i="1"/>
  <c r="I1194" i="1"/>
  <c r="H1194" i="1"/>
  <c r="A1194" i="1"/>
  <c r="J1193" i="1"/>
  <c r="I1193" i="1"/>
  <c r="H1193" i="1"/>
  <c r="A1193" i="1"/>
  <c r="H1192" i="1"/>
  <c r="A1192" i="1"/>
  <c r="A1191" i="1"/>
  <c r="I1190" i="1"/>
  <c r="H1190" i="1"/>
  <c r="A1190" i="1"/>
  <c r="H1189" i="1"/>
  <c r="A1189" i="1"/>
  <c r="H1188" i="1"/>
  <c r="A1188" i="1"/>
  <c r="A1187" i="1"/>
  <c r="H1186" i="1"/>
  <c r="A1186" i="1"/>
  <c r="H1185" i="1"/>
  <c r="A1185" i="1"/>
  <c r="H1184" i="1"/>
  <c r="A1184" i="1"/>
  <c r="H1183" i="1"/>
  <c r="A1183" i="1"/>
  <c r="H1182" i="1"/>
  <c r="A1182" i="1"/>
  <c r="H1181" i="1"/>
  <c r="A1181" i="1"/>
  <c r="A1180" i="1"/>
  <c r="A1179" i="1"/>
  <c r="I1178" i="1"/>
  <c r="H1178" i="1"/>
  <c r="A1178" i="1"/>
  <c r="H1177" i="1"/>
  <c r="A1177" i="1"/>
  <c r="H1176" i="1"/>
  <c r="A1176" i="1"/>
  <c r="H1175" i="1"/>
  <c r="A1175" i="1"/>
  <c r="H1174" i="1"/>
  <c r="A1174" i="1"/>
  <c r="A1173" i="1"/>
  <c r="A1172" i="1"/>
  <c r="A1171" i="1"/>
  <c r="H1170" i="1"/>
  <c r="A1170" i="1"/>
  <c r="A1169" i="1"/>
  <c r="H1168" i="1"/>
  <c r="A1168" i="1"/>
  <c r="H1167" i="1"/>
  <c r="A1167" i="1"/>
  <c r="H1166" i="1"/>
  <c r="A1166" i="1"/>
  <c r="K1165" i="1"/>
  <c r="J1165" i="1"/>
  <c r="I1165" i="1"/>
  <c r="H1165" i="1"/>
  <c r="A1165" i="1"/>
  <c r="H1164" i="1"/>
  <c r="A1164" i="1"/>
  <c r="H1163" i="1"/>
  <c r="A1163" i="1"/>
  <c r="K1162" i="1"/>
  <c r="J1162" i="1"/>
  <c r="I1162" i="1"/>
  <c r="H1162" i="1"/>
  <c r="A1162" i="1"/>
  <c r="H1161" i="1"/>
  <c r="A1161" i="1"/>
  <c r="A1160" i="1"/>
  <c r="A1159" i="1"/>
  <c r="A1158" i="1"/>
  <c r="A1157" i="1"/>
  <c r="H1156" i="1"/>
  <c r="A1156" i="1"/>
  <c r="I1155" i="1"/>
  <c r="H1155" i="1"/>
  <c r="A1155" i="1"/>
  <c r="H1154" i="1"/>
  <c r="A1154" i="1"/>
  <c r="J1153" i="1"/>
  <c r="I1153" i="1"/>
  <c r="H1153" i="1"/>
  <c r="A1153" i="1"/>
  <c r="K1152" i="1"/>
  <c r="J1152" i="1"/>
  <c r="I1152" i="1"/>
  <c r="H1152" i="1"/>
  <c r="A1152" i="1"/>
  <c r="H1151" i="1"/>
  <c r="A1151" i="1"/>
  <c r="J1150" i="1"/>
  <c r="I1150" i="1"/>
  <c r="H1150" i="1"/>
  <c r="A1150" i="1"/>
  <c r="K1149" i="1"/>
  <c r="J1149" i="1"/>
  <c r="I1149" i="1"/>
  <c r="H1149" i="1"/>
  <c r="A1149" i="1"/>
  <c r="H1148" i="1"/>
  <c r="A1148" i="1"/>
  <c r="H1147" i="1"/>
  <c r="A1147" i="1"/>
  <c r="A1146" i="1"/>
  <c r="J1145" i="1"/>
  <c r="I1145" i="1"/>
  <c r="H1145" i="1"/>
  <c r="A1145" i="1"/>
  <c r="J1144" i="1"/>
  <c r="I1144" i="1"/>
  <c r="H1144" i="1"/>
  <c r="A1144" i="1"/>
  <c r="H1143" i="1"/>
  <c r="A1143" i="1"/>
  <c r="H1142" i="1"/>
  <c r="A1142" i="1"/>
  <c r="K1141" i="1"/>
  <c r="J1141" i="1"/>
  <c r="I1141" i="1"/>
  <c r="H1141" i="1"/>
  <c r="A1141" i="1"/>
  <c r="H1140" i="1"/>
  <c r="A1140" i="1"/>
  <c r="I1139" i="1"/>
  <c r="H1139" i="1"/>
  <c r="A1139" i="1"/>
  <c r="H1138" i="1"/>
  <c r="A1138" i="1"/>
  <c r="J1137" i="1"/>
  <c r="I1137" i="1"/>
  <c r="H1137" i="1"/>
  <c r="A1137" i="1"/>
  <c r="J1136" i="1"/>
  <c r="I1136" i="1"/>
  <c r="H1136" i="1"/>
  <c r="A1136" i="1"/>
  <c r="H1135" i="1"/>
  <c r="A1135" i="1"/>
  <c r="I1134" i="1"/>
  <c r="H1134" i="1"/>
  <c r="A1134" i="1"/>
  <c r="K1133" i="1"/>
  <c r="J1133" i="1"/>
  <c r="I1133" i="1"/>
  <c r="H1133" i="1"/>
  <c r="A1133" i="1"/>
  <c r="H1132" i="1"/>
  <c r="A1132" i="1"/>
  <c r="K1131" i="1"/>
  <c r="J1131" i="1"/>
  <c r="I1131" i="1"/>
  <c r="H1131" i="1"/>
  <c r="A1131" i="1"/>
  <c r="I1130" i="1"/>
  <c r="H1130" i="1"/>
  <c r="A1130" i="1"/>
  <c r="H1129" i="1"/>
  <c r="A1129" i="1"/>
  <c r="H1128" i="1"/>
  <c r="A1128" i="1"/>
  <c r="H1127" i="1"/>
  <c r="A1127" i="1"/>
  <c r="I1126" i="1"/>
  <c r="H1126" i="1"/>
  <c r="A1126" i="1"/>
  <c r="H1125" i="1"/>
  <c r="A1125" i="1"/>
  <c r="H1124" i="1"/>
  <c r="A1124" i="1"/>
  <c r="I1123" i="1"/>
  <c r="H1123" i="1"/>
  <c r="A1123" i="1"/>
  <c r="H1122" i="1"/>
  <c r="A1122" i="1"/>
  <c r="H1121" i="1"/>
  <c r="A1121" i="1"/>
  <c r="K1120" i="1"/>
  <c r="J1120" i="1"/>
  <c r="I1120" i="1"/>
  <c r="H1120" i="1"/>
  <c r="A1120" i="1"/>
  <c r="J1119" i="1"/>
  <c r="I1119" i="1"/>
  <c r="H1119" i="1"/>
  <c r="A1119" i="1"/>
  <c r="J1118" i="1"/>
  <c r="I1118" i="1"/>
  <c r="H1118" i="1"/>
  <c r="A1118" i="1"/>
  <c r="J1117" i="1"/>
  <c r="I1117" i="1"/>
  <c r="H1117" i="1"/>
  <c r="A1117" i="1"/>
  <c r="I1116" i="1"/>
  <c r="H1116" i="1"/>
  <c r="A1116" i="1"/>
  <c r="I1115" i="1"/>
  <c r="H1115" i="1"/>
  <c r="A1115" i="1"/>
  <c r="H1114" i="1"/>
  <c r="A1114" i="1"/>
  <c r="H1113" i="1"/>
  <c r="A1113" i="1"/>
  <c r="H1112" i="1"/>
  <c r="A1112" i="1"/>
  <c r="H1111" i="1"/>
  <c r="A1111" i="1"/>
  <c r="K1110" i="1"/>
  <c r="J1110" i="1"/>
  <c r="I1110" i="1"/>
  <c r="H1110" i="1"/>
  <c r="A1110" i="1"/>
  <c r="H1109" i="1"/>
  <c r="A1109" i="1"/>
  <c r="H1108" i="1"/>
  <c r="A1108" i="1"/>
  <c r="K1107" i="1"/>
  <c r="J1107" i="1"/>
  <c r="I1107" i="1"/>
  <c r="H1107" i="1"/>
  <c r="A1107" i="1"/>
  <c r="H1106" i="1"/>
  <c r="A1106" i="1"/>
  <c r="H1105" i="1"/>
  <c r="A1105" i="1"/>
  <c r="H1104" i="1"/>
  <c r="A1104" i="1"/>
  <c r="H1103" i="1"/>
  <c r="A1103" i="1"/>
  <c r="J1102" i="1"/>
  <c r="I1102" i="1"/>
  <c r="H1102" i="1"/>
  <c r="A1102" i="1"/>
  <c r="H1101" i="1"/>
  <c r="A1101" i="1"/>
  <c r="I1100" i="1"/>
  <c r="H1100" i="1"/>
  <c r="A1100" i="1"/>
  <c r="I1099" i="1"/>
  <c r="H1099" i="1"/>
  <c r="A1099" i="1"/>
  <c r="H1098" i="1"/>
  <c r="A1098" i="1"/>
  <c r="I1097" i="1"/>
  <c r="H1097" i="1"/>
  <c r="A1097" i="1"/>
  <c r="A1096" i="1"/>
  <c r="I1095" i="1"/>
  <c r="H1095" i="1"/>
  <c r="A1095" i="1"/>
  <c r="I1094" i="1"/>
  <c r="H1094" i="1"/>
  <c r="A1094" i="1"/>
  <c r="H1093" i="1"/>
  <c r="A1093" i="1"/>
  <c r="H1092" i="1"/>
  <c r="A1092" i="1"/>
  <c r="I1091" i="1"/>
  <c r="H1091" i="1"/>
  <c r="A1091" i="1"/>
  <c r="H1090" i="1"/>
  <c r="A1090" i="1"/>
  <c r="H1089" i="1"/>
  <c r="A1089" i="1"/>
  <c r="H1088" i="1"/>
  <c r="A1088" i="1"/>
  <c r="A1087" i="1"/>
  <c r="A1086" i="1"/>
  <c r="A1085" i="1"/>
  <c r="K1084" i="1"/>
  <c r="J1084" i="1"/>
  <c r="I1084" i="1"/>
  <c r="H1084" i="1"/>
  <c r="A1084" i="1"/>
  <c r="A1083" i="1"/>
  <c r="H1082" i="1"/>
  <c r="A1082" i="1"/>
  <c r="H1081" i="1"/>
  <c r="A1081" i="1"/>
  <c r="H1080" i="1"/>
  <c r="A1080" i="1"/>
  <c r="A1079" i="1"/>
  <c r="H1078" i="1"/>
  <c r="A1078" i="1"/>
  <c r="H1077" i="1"/>
  <c r="A1077" i="1"/>
  <c r="J1076" i="1"/>
  <c r="I1076" i="1"/>
  <c r="H1076" i="1"/>
  <c r="A1076" i="1"/>
  <c r="J1075" i="1"/>
  <c r="I1075" i="1"/>
  <c r="H1075" i="1"/>
  <c r="A1075" i="1"/>
  <c r="H1074" i="1"/>
  <c r="A1074" i="1"/>
  <c r="I1073" i="1"/>
  <c r="H1073" i="1"/>
  <c r="A1073" i="1"/>
  <c r="H1072" i="1"/>
  <c r="A1072" i="1"/>
  <c r="I1071" i="1"/>
  <c r="H1071" i="1"/>
  <c r="A1071" i="1"/>
  <c r="H1070" i="1"/>
  <c r="A1070" i="1"/>
  <c r="H1069" i="1"/>
  <c r="A1069" i="1"/>
  <c r="H1068" i="1"/>
  <c r="A1068" i="1"/>
  <c r="I1067" i="1"/>
  <c r="H1067" i="1"/>
  <c r="A1067" i="1"/>
  <c r="H1066" i="1"/>
  <c r="A1066" i="1"/>
  <c r="K1065" i="1"/>
  <c r="J1065" i="1"/>
  <c r="I1065" i="1"/>
  <c r="H1065" i="1"/>
  <c r="A1065" i="1"/>
  <c r="J1064" i="1"/>
  <c r="I1064" i="1"/>
  <c r="H1064" i="1"/>
  <c r="A1064" i="1"/>
  <c r="H1063" i="1"/>
  <c r="A1063" i="1"/>
  <c r="H1062" i="1"/>
  <c r="A1062" i="1"/>
  <c r="K1061" i="1"/>
  <c r="J1061" i="1"/>
  <c r="I1061" i="1"/>
  <c r="H1061" i="1"/>
  <c r="A1061" i="1"/>
  <c r="K1060" i="1"/>
  <c r="J1060" i="1"/>
  <c r="I1060" i="1"/>
  <c r="H1060" i="1"/>
  <c r="A1060" i="1"/>
  <c r="H1059" i="1"/>
  <c r="A1059" i="1"/>
  <c r="H1058" i="1"/>
  <c r="A1058" i="1"/>
  <c r="H1057" i="1"/>
  <c r="A1057" i="1"/>
  <c r="H1056" i="1"/>
  <c r="A1056" i="1"/>
  <c r="H1055" i="1"/>
  <c r="A1055" i="1"/>
  <c r="K1054" i="1"/>
  <c r="J1054" i="1"/>
  <c r="I1054" i="1"/>
  <c r="H1054" i="1"/>
  <c r="A1054" i="1"/>
  <c r="H1053" i="1"/>
  <c r="A1053" i="1"/>
  <c r="H1052" i="1"/>
  <c r="A1052" i="1"/>
  <c r="H1051" i="1"/>
  <c r="A1051" i="1"/>
  <c r="I1050" i="1"/>
  <c r="H1050" i="1"/>
  <c r="A1050" i="1"/>
  <c r="H1049" i="1"/>
  <c r="A1049" i="1"/>
  <c r="I1048" i="1"/>
  <c r="H1048" i="1"/>
  <c r="A1048" i="1"/>
  <c r="H1047" i="1"/>
  <c r="A1047" i="1"/>
  <c r="I1046" i="1"/>
  <c r="H1046" i="1"/>
  <c r="A1046" i="1"/>
  <c r="H1045" i="1"/>
  <c r="A1045" i="1"/>
  <c r="H1044" i="1"/>
  <c r="A1044" i="1"/>
  <c r="H1043" i="1"/>
  <c r="A1043" i="1"/>
  <c r="H1042" i="1"/>
  <c r="A1042" i="1"/>
  <c r="H1041" i="1"/>
  <c r="A1041" i="1"/>
  <c r="I1040" i="1"/>
  <c r="H1040" i="1"/>
  <c r="A1040" i="1"/>
  <c r="I1039" i="1"/>
  <c r="H1039" i="1"/>
  <c r="A1039" i="1"/>
  <c r="H1038" i="1"/>
  <c r="A1038" i="1"/>
  <c r="H1037" i="1"/>
  <c r="A1037" i="1"/>
  <c r="H1036" i="1"/>
  <c r="A1036" i="1"/>
  <c r="I1035" i="1"/>
  <c r="H1035" i="1"/>
  <c r="A1035" i="1"/>
  <c r="H1034" i="1"/>
  <c r="A1034" i="1"/>
  <c r="I1033" i="1"/>
  <c r="H1033" i="1"/>
  <c r="A1033" i="1"/>
  <c r="H1032" i="1"/>
  <c r="A1032" i="1"/>
  <c r="J1031" i="1"/>
  <c r="I1031" i="1"/>
  <c r="H1031" i="1"/>
  <c r="A1031" i="1"/>
  <c r="J1030" i="1"/>
  <c r="I1030" i="1"/>
  <c r="H1030" i="1"/>
  <c r="A1030" i="1"/>
  <c r="H1029" i="1"/>
  <c r="A1029" i="1"/>
  <c r="H1028" i="1"/>
  <c r="A1028" i="1"/>
  <c r="H1027" i="1"/>
  <c r="A1027" i="1"/>
  <c r="K1026" i="1"/>
  <c r="J1026" i="1"/>
  <c r="I1026" i="1"/>
  <c r="H1026" i="1"/>
  <c r="A1026" i="1"/>
  <c r="K1025" i="1"/>
  <c r="J1025" i="1"/>
  <c r="I1025" i="1"/>
  <c r="H1025" i="1"/>
  <c r="A1025" i="1"/>
  <c r="K1024" i="1"/>
  <c r="J1024" i="1"/>
  <c r="I1024" i="1"/>
  <c r="H1024" i="1"/>
  <c r="A1024" i="1"/>
  <c r="H1023" i="1"/>
  <c r="A1023" i="1"/>
  <c r="K1022" i="1"/>
  <c r="J1022" i="1"/>
  <c r="I1022" i="1"/>
  <c r="H1022" i="1"/>
  <c r="A1022" i="1"/>
  <c r="I1021" i="1"/>
  <c r="H1021" i="1"/>
  <c r="A1021" i="1"/>
  <c r="I1020" i="1"/>
  <c r="H1020" i="1"/>
  <c r="A1020" i="1"/>
  <c r="K1019" i="1"/>
  <c r="J1019" i="1"/>
  <c r="I1019" i="1"/>
  <c r="H1019" i="1"/>
  <c r="A1019" i="1"/>
  <c r="A1018" i="1"/>
  <c r="H1017" i="1"/>
  <c r="A1017" i="1"/>
  <c r="H1016" i="1"/>
  <c r="A1016" i="1"/>
  <c r="H1015" i="1"/>
  <c r="A1015" i="1"/>
  <c r="H1014" i="1"/>
  <c r="A1014" i="1"/>
  <c r="H1013" i="1"/>
  <c r="A1013" i="1"/>
  <c r="H1012" i="1"/>
  <c r="A1012" i="1"/>
  <c r="H1011" i="1"/>
  <c r="A1011" i="1"/>
  <c r="H1010" i="1"/>
  <c r="A1010" i="1"/>
  <c r="H1009" i="1"/>
  <c r="A1009" i="1"/>
  <c r="H1008" i="1"/>
  <c r="A1008" i="1"/>
  <c r="A1007" i="1"/>
  <c r="H1006" i="1"/>
  <c r="A1006" i="1"/>
  <c r="A1005" i="1"/>
  <c r="H1004" i="1"/>
  <c r="A1004" i="1"/>
  <c r="H1003" i="1"/>
  <c r="A1003" i="1"/>
  <c r="H1002" i="1"/>
  <c r="A1002" i="1"/>
  <c r="H1001" i="1"/>
  <c r="A1001" i="1"/>
  <c r="H1000" i="1"/>
  <c r="A1000" i="1"/>
  <c r="H999" i="1"/>
  <c r="A999" i="1"/>
  <c r="A998" i="1"/>
  <c r="H997" i="1"/>
  <c r="A997" i="1"/>
  <c r="H996" i="1"/>
  <c r="A996" i="1"/>
  <c r="A995" i="1"/>
  <c r="H994" i="1"/>
  <c r="A994" i="1"/>
  <c r="H993" i="1"/>
  <c r="A993" i="1"/>
  <c r="H992" i="1"/>
  <c r="A992" i="1"/>
  <c r="A991" i="1"/>
  <c r="H990" i="1"/>
  <c r="A990" i="1"/>
  <c r="H989" i="1"/>
  <c r="A989" i="1"/>
  <c r="H988" i="1"/>
  <c r="A988" i="1"/>
  <c r="H987" i="1"/>
  <c r="A987" i="1"/>
  <c r="H986" i="1"/>
  <c r="A986" i="1"/>
  <c r="A985" i="1"/>
  <c r="A984" i="1"/>
  <c r="J983" i="1"/>
  <c r="I983" i="1"/>
  <c r="H983" i="1"/>
  <c r="A983" i="1"/>
  <c r="H982" i="1"/>
  <c r="A982" i="1"/>
  <c r="H981" i="1"/>
  <c r="A981" i="1"/>
  <c r="H980" i="1"/>
  <c r="A980" i="1"/>
  <c r="H979" i="1"/>
  <c r="A979" i="1"/>
  <c r="H978" i="1"/>
  <c r="A978" i="1"/>
  <c r="I977" i="1"/>
  <c r="H977" i="1"/>
  <c r="A977" i="1"/>
  <c r="I976" i="1"/>
  <c r="H976" i="1"/>
  <c r="A976" i="1"/>
  <c r="K975" i="1"/>
  <c r="J975" i="1"/>
  <c r="I975" i="1"/>
  <c r="H975" i="1"/>
  <c r="A975" i="1"/>
  <c r="H974" i="1"/>
  <c r="A974" i="1"/>
  <c r="H973" i="1"/>
  <c r="A973" i="1"/>
  <c r="H972" i="1"/>
  <c r="A972" i="1"/>
  <c r="H971" i="1"/>
  <c r="A971" i="1"/>
  <c r="H970" i="1"/>
  <c r="A970" i="1"/>
  <c r="H969" i="1"/>
  <c r="A969" i="1"/>
  <c r="H968" i="1"/>
  <c r="A968" i="1"/>
  <c r="H967" i="1"/>
  <c r="A967" i="1"/>
  <c r="H966" i="1"/>
  <c r="A966" i="1"/>
  <c r="J965" i="1"/>
  <c r="I965" i="1"/>
  <c r="H965" i="1"/>
  <c r="A965" i="1"/>
  <c r="I964" i="1"/>
  <c r="H964" i="1"/>
  <c r="A964" i="1"/>
  <c r="A963" i="1"/>
  <c r="H962" i="1"/>
  <c r="A962" i="1"/>
  <c r="H961" i="1"/>
  <c r="A961" i="1"/>
  <c r="K960" i="1"/>
  <c r="J960" i="1"/>
  <c r="I960" i="1"/>
  <c r="H960" i="1"/>
  <c r="A960" i="1"/>
  <c r="H959" i="1"/>
  <c r="A959" i="1"/>
  <c r="H958" i="1"/>
  <c r="A958" i="1"/>
  <c r="H957" i="1"/>
  <c r="A957" i="1"/>
  <c r="H956" i="1"/>
  <c r="A956" i="1"/>
  <c r="H955" i="1"/>
  <c r="A955" i="1"/>
  <c r="H954" i="1"/>
  <c r="A954" i="1"/>
  <c r="H953" i="1"/>
  <c r="A953" i="1"/>
  <c r="H952" i="1"/>
  <c r="A952" i="1"/>
  <c r="H951" i="1"/>
  <c r="A951" i="1"/>
  <c r="H950" i="1"/>
  <c r="A950" i="1"/>
  <c r="H949" i="1"/>
  <c r="A949" i="1"/>
  <c r="H948" i="1"/>
  <c r="A948" i="1"/>
  <c r="H947" i="1"/>
  <c r="A947" i="1"/>
  <c r="H946" i="1"/>
  <c r="A946" i="1"/>
  <c r="H945" i="1"/>
  <c r="A945" i="1"/>
  <c r="H944" i="1"/>
  <c r="A944" i="1"/>
  <c r="A943" i="1"/>
  <c r="A942" i="1"/>
  <c r="I941" i="1"/>
  <c r="H941" i="1"/>
  <c r="A941" i="1"/>
  <c r="H940" i="1"/>
  <c r="A940" i="1"/>
  <c r="H939" i="1"/>
  <c r="A939" i="1"/>
  <c r="H938" i="1"/>
  <c r="A938" i="1"/>
  <c r="H937" i="1"/>
  <c r="A937" i="1"/>
  <c r="H936" i="1"/>
  <c r="A936" i="1"/>
  <c r="H935" i="1"/>
  <c r="A935" i="1"/>
  <c r="H934" i="1"/>
  <c r="A934" i="1"/>
  <c r="I933" i="1"/>
  <c r="H933" i="1"/>
  <c r="A933" i="1"/>
  <c r="H932" i="1"/>
  <c r="A932" i="1"/>
  <c r="H931" i="1"/>
  <c r="A931" i="1"/>
  <c r="I930" i="1"/>
  <c r="H930" i="1"/>
  <c r="A930" i="1"/>
  <c r="A929" i="1"/>
  <c r="H928" i="1"/>
  <c r="A928" i="1"/>
  <c r="I927" i="1"/>
  <c r="H927" i="1"/>
  <c r="A927" i="1"/>
  <c r="H926" i="1"/>
  <c r="A926" i="1"/>
  <c r="H925" i="1"/>
  <c r="A925" i="1"/>
  <c r="H924" i="1"/>
  <c r="A924" i="1"/>
  <c r="H923" i="1"/>
  <c r="A923" i="1"/>
  <c r="H922" i="1"/>
  <c r="A922" i="1"/>
  <c r="I921" i="1"/>
  <c r="H921" i="1"/>
  <c r="A921" i="1"/>
  <c r="I920" i="1"/>
  <c r="H920" i="1"/>
  <c r="A920" i="1"/>
  <c r="H919" i="1"/>
  <c r="A919" i="1"/>
  <c r="I918" i="1"/>
  <c r="H918" i="1"/>
  <c r="A918" i="1"/>
  <c r="I917" i="1"/>
  <c r="H917" i="1"/>
  <c r="A917" i="1"/>
  <c r="I916" i="1"/>
  <c r="H916" i="1"/>
  <c r="A916" i="1"/>
  <c r="H915" i="1"/>
  <c r="A915" i="1"/>
  <c r="H914" i="1"/>
  <c r="A914" i="1"/>
  <c r="I913" i="1"/>
  <c r="H913" i="1"/>
  <c r="A913" i="1"/>
  <c r="H912" i="1"/>
  <c r="A912" i="1"/>
  <c r="I911" i="1"/>
  <c r="H911" i="1"/>
  <c r="A911" i="1"/>
  <c r="H910" i="1"/>
  <c r="A910" i="1"/>
  <c r="H909" i="1"/>
  <c r="A909" i="1"/>
  <c r="H908" i="1"/>
  <c r="A908" i="1"/>
  <c r="I907" i="1"/>
  <c r="H907" i="1"/>
  <c r="A907" i="1"/>
  <c r="I906" i="1"/>
  <c r="H906" i="1"/>
  <c r="A906" i="1"/>
  <c r="H905" i="1"/>
  <c r="A905" i="1"/>
  <c r="H904" i="1"/>
  <c r="A904" i="1"/>
  <c r="I903" i="1"/>
  <c r="H903" i="1"/>
  <c r="A903" i="1"/>
  <c r="H902" i="1"/>
  <c r="A902" i="1"/>
  <c r="H901" i="1"/>
  <c r="A901" i="1"/>
  <c r="H900" i="1"/>
  <c r="A900" i="1"/>
  <c r="H899" i="1"/>
  <c r="A899" i="1"/>
  <c r="H898" i="1"/>
  <c r="A898" i="1"/>
  <c r="H897" i="1"/>
  <c r="A897" i="1"/>
  <c r="I896" i="1"/>
  <c r="H896" i="1"/>
  <c r="A896" i="1"/>
  <c r="A895" i="1"/>
  <c r="I894" i="1"/>
  <c r="H894" i="1"/>
  <c r="A894" i="1"/>
  <c r="A893" i="1"/>
  <c r="A892" i="1"/>
  <c r="H891" i="1"/>
  <c r="A891" i="1"/>
  <c r="H890" i="1"/>
  <c r="A890" i="1"/>
  <c r="H889" i="1"/>
  <c r="A889" i="1"/>
  <c r="I888" i="1"/>
  <c r="H888" i="1"/>
  <c r="A888" i="1"/>
  <c r="K887" i="1"/>
  <c r="J887" i="1"/>
  <c r="I887" i="1"/>
  <c r="H887" i="1"/>
  <c r="A887" i="1"/>
  <c r="H886" i="1"/>
  <c r="A886" i="1"/>
  <c r="H885" i="1"/>
  <c r="A885" i="1"/>
  <c r="H884" i="1"/>
  <c r="A884" i="1"/>
  <c r="H883" i="1"/>
  <c r="A883" i="1"/>
  <c r="H882" i="1"/>
  <c r="A882" i="1"/>
  <c r="J881" i="1"/>
  <c r="I881" i="1"/>
  <c r="H881" i="1"/>
  <c r="A881" i="1"/>
  <c r="K880" i="1"/>
  <c r="J880" i="1"/>
  <c r="I880" i="1"/>
  <c r="H880" i="1"/>
  <c r="A880" i="1"/>
  <c r="I879" i="1"/>
  <c r="H879" i="1"/>
  <c r="A879" i="1"/>
  <c r="H878" i="1"/>
  <c r="A878" i="1"/>
  <c r="I877" i="1"/>
  <c r="H877" i="1"/>
  <c r="A877" i="1"/>
  <c r="H876" i="1"/>
  <c r="A876" i="1"/>
  <c r="H875" i="1"/>
  <c r="A875" i="1"/>
  <c r="H874" i="1"/>
  <c r="A874" i="1"/>
  <c r="H873" i="1"/>
  <c r="A873" i="1"/>
  <c r="H872" i="1"/>
  <c r="A872" i="1"/>
  <c r="I871" i="1"/>
  <c r="H871" i="1"/>
  <c r="A871" i="1"/>
  <c r="H870" i="1"/>
  <c r="A870" i="1"/>
  <c r="H869" i="1"/>
  <c r="A869" i="1"/>
  <c r="H868" i="1"/>
  <c r="A868" i="1"/>
  <c r="H867" i="1"/>
  <c r="A867" i="1"/>
  <c r="H866" i="1"/>
  <c r="A866" i="1"/>
  <c r="H865" i="1"/>
  <c r="A865" i="1"/>
  <c r="I864" i="1"/>
  <c r="H864" i="1"/>
  <c r="A864" i="1"/>
  <c r="I863" i="1"/>
  <c r="H863" i="1"/>
  <c r="A863" i="1"/>
  <c r="H862" i="1"/>
  <c r="A862" i="1"/>
  <c r="H861" i="1"/>
  <c r="A861" i="1"/>
  <c r="H860" i="1"/>
  <c r="A860" i="1"/>
  <c r="I859" i="1"/>
  <c r="H859" i="1"/>
  <c r="A859" i="1"/>
  <c r="J858" i="1"/>
  <c r="I858" i="1"/>
  <c r="H858" i="1"/>
  <c r="A858" i="1"/>
  <c r="H857" i="1"/>
  <c r="A857" i="1"/>
  <c r="H856" i="1"/>
  <c r="A856" i="1"/>
  <c r="H855" i="1"/>
  <c r="A855" i="1"/>
  <c r="I854" i="1"/>
  <c r="H854" i="1"/>
  <c r="A854" i="1"/>
  <c r="J853" i="1"/>
  <c r="I853" i="1"/>
  <c r="H853" i="1"/>
  <c r="A853" i="1"/>
  <c r="K852" i="1"/>
  <c r="J852" i="1"/>
  <c r="I852" i="1"/>
  <c r="H852" i="1"/>
  <c r="A852" i="1"/>
  <c r="I851" i="1"/>
  <c r="H851" i="1"/>
  <c r="A851" i="1"/>
  <c r="H850" i="1"/>
  <c r="A850" i="1"/>
  <c r="H849" i="1"/>
  <c r="A849" i="1"/>
  <c r="H848" i="1"/>
  <c r="A848" i="1"/>
  <c r="H847" i="1"/>
  <c r="A847" i="1"/>
  <c r="H846" i="1"/>
  <c r="A846" i="1"/>
  <c r="H845" i="1"/>
  <c r="A845" i="1"/>
  <c r="H844" i="1"/>
  <c r="A844" i="1"/>
  <c r="A843" i="1"/>
  <c r="H842" i="1"/>
  <c r="A842" i="1"/>
  <c r="H841" i="1"/>
  <c r="A841" i="1"/>
  <c r="A840" i="1"/>
  <c r="H839" i="1"/>
  <c r="A839" i="1"/>
  <c r="J838" i="1"/>
  <c r="I838" i="1"/>
  <c r="H838" i="1"/>
  <c r="A838" i="1"/>
  <c r="H837" i="1"/>
  <c r="A837" i="1"/>
  <c r="H836" i="1"/>
  <c r="A836" i="1"/>
  <c r="H835" i="1"/>
  <c r="A835" i="1"/>
  <c r="H834" i="1"/>
  <c r="A834" i="1"/>
  <c r="H833" i="1"/>
  <c r="A833" i="1"/>
  <c r="A832" i="1"/>
  <c r="H831" i="1"/>
  <c r="A831" i="1"/>
  <c r="A830" i="1"/>
  <c r="K829" i="1"/>
  <c r="J829" i="1"/>
  <c r="I829" i="1"/>
  <c r="H829" i="1"/>
  <c r="A829" i="1"/>
  <c r="K828" i="1"/>
  <c r="J828" i="1"/>
  <c r="I828" i="1"/>
  <c r="H828" i="1"/>
  <c r="A828" i="1"/>
  <c r="H827" i="1"/>
  <c r="A827" i="1"/>
  <c r="H826" i="1"/>
  <c r="A826" i="1"/>
  <c r="H825" i="1"/>
  <c r="A825" i="1"/>
  <c r="H824" i="1"/>
  <c r="A824" i="1"/>
  <c r="A823" i="1"/>
  <c r="K822" i="1"/>
  <c r="J822" i="1"/>
  <c r="I822" i="1"/>
  <c r="H822" i="1"/>
  <c r="A822" i="1"/>
  <c r="K821" i="1"/>
  <c r="J821" i="1"/>
  <c r="I821" i="1"/>
  <c r="H821" i="1"/>
  <c r="A821" i="1"/>
  <c r="H820" i="1"/>
  <c r="A820" i="1"/>
  <c r="H819" i="1"/>
  <c r="A819" i="1"/>
  <c r="A818" i="1"/>
  <c r="I817" i="1"/>
  <c r="H817" i="1"/>
  <c r="A817" i="1"/>
  <c r="A816" i="1"/>
  <c r="I815" i="1"/>
  <c r="H815" i="1"/>
  <c r="A815" i="1"/>
  <c r="A814" i="1"/>
  <c r="J813" i="1"/>
  <c r="I813" i="1"/>
  <c r="H813" i="1"/>
  <c r="A813" i="1"/>
  <c r="H812" i="1"/>
  <c r="A812" i="1"/>
  <c r="A811" i="1"/>
  <c r="I810" i="1"/>
  <c r="H810" i="1"/>
  <c r="A810" i="1"/>
  <c r="H809" i="1"/>
  <c r="A809" i="1"/>
  <c r="H808" i="1"/>
  <c r="A808" i="1"/>
  <c r="H807" i="1"/>
  <c r="A807" i="1"/>
  <c r="J806" i="1"/>
  <c r="I806" i="1"/>
  <c r="H806" i="1"/>
  <c r="A806" i="1"/>
  <c r="H805" i="1"/>
  <c r="A805" i="1"/>
  <c r="H804" i="1"/>
  <c r="A804" i="1"/>
  <c r="J803" i="1"/>
  <c r="I803" i="1"/>
  <c r="H803" i="1"/>
  <c r="A803" i="1"/>
  <c r="I802" i="1"/>
  <c r="H802" i="1"/>
  <c r="A802" i="1"/>
  <c r="I801" i="1"/>
  <c r="H801" i="1"/>
  <c r="A801" i="1"/>
  <c r="I800" i="1"/>
  <c r="H800" i="1"/>
  <c r="A800" i="1"/>
  <c r="I799" i="1"/>
  <c r="H799" i="1"/>
  <c r="A799" i="1"/>
  <c r="A798" i="1"/>
  <c r="A797" i="1"/>
  <c r="A796" i="1"/>
  <c r="H795" i="1"/>
  <c r="A795" i="1"/>
  <c r="H794" i="1"/>
  <c r="A794" i="1"/>
  <c r="H793" i="1"/>
  <c r="A793" i="1"/>
  <c r="H792" i="1"/>
  <c r="A792" i="1"/>
  <c r="I791" i="1"/>
  <c r="H791" i="1"/>
  <c r="A791" i="1"/>
  <c r="H790" i="1"/>
  <c r="A790" i="1"/>
  <c r="H789" i="1"/>
  <c r="A789" i="1"/>
  <c r="H788" i="1"/>
  <c r="A788" i="1"/>
  <c r="K787" i="1"/>
  <c r="J787" i="1"/>
  <c r="I787" i="1"/>
  <c r="H787" i="1"/>
  <c r="A787" i="1"/>
  <c r="I786" i="1"/>
  <c r="H786" i="1"/>
  <c r="A786" i="1"/>
  <c r="J785" i="1"/>
  <c r="I785" i="1"/>
  <c r="H785" i="1"/>
  <c r="A785" i="1"/>
  <c r="H784" i="1"/>
  <c r="A784" i="1"/>
  <c r="K783" i="1"/>
  <c r="J783" i="1"/>
  <c r="I783" i="1"/>
  <c r="H783" i="1"/>
  <c r="A783" i="1"/>
  <c r="J782" i="1"/>
  <c r="I782" i="1"/>
  <c r="H782" i="1"/>
  <c r="A782" i="1"/>
  <c r="H781" i="1"/>
  <c r="A781" i="1"/>
  <c r="H780" i="1"/>
  <c r="A780" i="1"/>
  <c r="H779" i="1"/>
  <c r="A779" i="1"/>
  <c r="I778" i="1"/>
  <c r="H778" i="1"/>
  <c r="A778" i="1"/>
  <c r="H777" i="1"/>
  <c r="A777" i="1"/>
  <c r="H776" i="1"/>
  <c r="A776" i="1"/>
  <c r="H775" i="1"/>
  <c r="A775" i="1"/>
  <c r="I774" i="1"/>
  <c r="H774" i="1"/>
  <c r="A774" i="1"/>
  <c r="H773" i="1"/>
  <c r="A773" i="1"/>
  <c r="A772" i="1"/>
  <c r="A771" i="1"/>
  <c r="H770" i="1"/>
  <c r="A770" i="1"/>
  <c r="H769" i="1"/>
  <c r="A769" i="1"/>
  <c r="H768" i="1"/>
  <c r="A768" i="1"/>
  <c r="A767" i="1"/>
  <c r="H766" i="1"/>
  <c r="A766" i="1"/>
  <c r="H765" i="1"/>
  <c r="A765" i="1"/>
  <c r="A764" i="1"/>
  <c r="A763" i="1"/>
  <c r="H762" i="1"/>
  <c r="A762" i="1"/>
  <c r="H761" i="1"/>
  <c r="A761" i="1"/>
  <c r="H760" i="1"/>
  <c r="A760" i="1"/>
  <c r="H759" i="1"/>
  <c r="A759" i="1"/>
  <c r="H758" i="1"/>
  <c r="A758" i="1"/>
  <c r="H757" i="1"/>
  <c r="A757" i="1"/>
  <c r="H756" i="1"/>
  <c r="A756" i="1"/>
  <c r="H755" i="1"/>
  <c r="A755" i="1"/>
  <c r="H754" i="1"/>
  <c r="A754" i="1"/>
  <c r="H753" i="1"/>
  <c r="A753" i="1"/>
  <c r="J752" i="1"/>
  <c r="I752" i="1"/>
  <c r="H752" i="1"/>
  <c r="A752" i="1"/>
  <c r="K751" i="1"/>
  <c r="J751" i="1"/>
  <c r="I751" i="1"/>
  <c r="H751" i="1"/>
  <c r="A751" i="1"/>
  <c r="H750" i="1"/>
  <c r="A750" i="1"/>
  <c r="J749" i="1"/>
  <c r="I749" i="1"/>
  <c r="H749" i="1"/>
  <c r="A749" i="1"/>
  <c r="H748" i="1"/>
  <c r="A748" i="1"/>
  <c r="H747" i="1"/>
  <c r="A747" i="1"/>
  <c r="H746" i="1"/>
  <c r="A746" i="1"/>
  <c r="H745" i="1"/>
  <c r="A745" i="1"/>
  <c r="H744" i="1"/>
  <c r="A744" i="1"/>
  <c r="H743" i="1"/>
  <c r="A743" i="1"/>
  <c r="A742" i="1"/>
  <c r="I741" i="1"/>
  <c r="H741" i="1"/>
  <c r="A741" i="1"/>
  <c r="A740" i="1"/>
  <c r="I739" i="1"/>
  <c r="H739" i="1"/>
  <c r="A739" i="1"/>
  <c r="I738" i="1"/>
  <c r="H738" i="1"/>
  <c r="A738" i="1"/>
  <c r="H737" i="1"/>
  <c r="A737" i="1"/>
  <c r="H736" i="1"/>
  <c r="A736" i="1"/>
  <c r="H735" i="1"/>
  <c r="A735" i="1"/>
  <c r="I734" i="1"/>
  <c r="H734" i="1"/>
  <c r="A734" i="1"/>
  <c r="A733" i="1"/>
  <c r="H732" i="1"/>
  <c r="A732" i="1"/>
  <c r="H731" i="1"/>
  <c r="A731" i="1"/>
  <c r="H730" i="1"/>
  <c r="A730" i="1"/>
  <c r="H729" i="1"/>
  <c r="A729" i="1"/>
  <c r="H728" i="1"/>
  <c r="A728" i="1"/>
  <c r="I727" i="1"/>
  <c r="H727" i="1"/>
  <c r="A727" i="1"/>
  <c r="H726" i="1"/>
  <c r="A726" i="1"/>
  <c r="H725" i="1"/>
  <c r="A725" i="1"/>
  <c r="A724" i="1"/>
  <c r="H723" i="1"/>
  <c r="A723" i="1"/>
  <c r="H722" i="1"/>
  <c r="A722" i="1"/>
  <c r="H721" i="1"/>
  <c r="A721" i="1"/>
  <c r="A720" i="1"/>
  <c r="A719" i="1"/>
  <c r="H718" i="1"/>
  <c r="A718" i="1"/>
  <c r="K717" i="1"/>
  <c r="J717" i="1"/>
  <c r="I717" i="1"/>
  <c r="H717" i="1"/>
  <c r="A717" i="1"/>
  <c r="H716" i="1"/>
  <c r="A716" i="1"/>
  <c r="H715" i="1"/>
  <c r="A715" i="1"/>
  <c r="H714" i="1"/>
  <c r="A714" i="1"/>
  <c r="H713" i="1"/>
  <c r="A713" i="1"/>
  <c r="H712" i="1"/>
  <c r="A712" i="1"/>
  <c r="H711" i="1"/>
  <c r="A711" i="1"/>
  <c r="H710" i="1"/>
  <c r="A710" i="1"/>
  <c r="H709" i="1"/>
  <c r="A709" i="1"/>
  <c r="H708" i="1"/>
  <c r="A708" i="1"/>
  <c r="H707" i="1"/>
  <c r="A707" i="1"/>
  <c r="H706" i="1"/>
  <c r="A706" i="1"/>
  <c r="K705" i="1"/>
  <c r="J705" i="1"/>
  <c r="I705" i="1"/>
  <c r="H705" i="1"/>
  <c r="A705" i="1"/>
  <c r="H704" i="1"/>
  <c r="A704" i="1"/>
  <c r="K703" i="1"/>
  <c r="J703" i="1"/>
  <c r="I703" i="1"/>
  <c r="H703" i="1"/>
  <c r="A703" i="1"/>
  <c r="H702" i="1"/>
  <c r="A702" i="1"/>
  <c r="H701" i="1"/>
  <c r="A701" i="1"/>
  <c r="H700" i="1"/>
  <c r="A700" i="1"/>
  <c r="H699" i="1"/>
  <c r="A699" i="1"/>
  <c r="H698" i="1"/>
  <c r="A698" i="1"/>
  <c r="H697" i="1"/>
  <c r="A697" i="1"/>
  <c r="H696" i="1"/>
  <c r="A696" i="1"/>
  <c r="H695" i="1"/>
  <c r="A695" i="1"/>
  <c r="H694" i="1"/>
  <c r="A694" i="1"/>
  <c r="I693" i="1"/>
  <c r="H693" i="1"/>
  <c r="A693" i="1"/>
  <c r="H692" i="1"/>
  <c r="A692" i="1"/>
  <c r="H691" i="1"/>
  <c r="A691" i="1"/>
  <c r="H690" i="1"/>
  <c r="A690" i="1"/>
  <c r="A689" i="1"/>
  <c r="H688" i="1"/>
  <c r="A688" i="1"/>
  <c r="K687" i="1"/>
  <c r="J687" i="1"/>
  <c r="I687" i="1"/>
  <c r="H687" i="1"/>
  <c r="A687" i="1"/>
  <c r="H686" i="1"/>
  <c r="A686" i="1"/>
  <c r="A685" i="1"/>
  <c r="I684" i="1"/>
  <c r="H684" i="1"/>
  <c r="A684" i="1"/>
  <c r="H683" i="1"/>
  <c r="A683" i="1"/>
  <c r="H682" i="1"/>
  <c r="A682" i="1"/>
  <c r="H681" i="1"/>
  <c r="A681" i="1"/>
  <c r="A680" i="1"/>
  <c r="H679" i="1"/>
  <c r="A679" i="1"/>
  <c r="A678" i="1"/>
  <c r="H677" i="1"/>
  <c r="A677" i="1"/>
  <c r="H676" i="1"/>
  <c r="A676" i="1"/>
  <c r="H675" i="1"/>
  <c r="A675" i="1"/>
  <c r="H674" i="1"/>
  <c r="A674" i="1"/>
  <c r="H673" i="1"/>
  <c r="A673" i="1"/>
  <c r="H672" i="1"/>
  <c r="A672" i="1"/>
  <c r="H671" i="1"/>
  <c r="A671" i="1"/>
  <c r="H670" i="1"/>
  <c r="A670" i="1"/>
  <c r="H669" i="1"/>
  <c r="A669" i="1"/>
  <c r="H668" i="1"/>
  <c r="A668" i="1"/>
  <c r="H667" i="1"/>
  <c r="A667" i="1"/>
  <c r="J666" i="1"/>
  <c r="I666" i="1"/>
  <c r="H666" i="1"/>
  <c r="A666" i="1"/>
  <c r="J665" i="1"/>
  <c r="I665" i="1"/>
  <c r="H665" i="1"/>
  <c r="A665" i="1"/>
  <c r="H664" i="1"/>
  <c r="A664" i="1"/>
  <c r="H663" i="1"/>
  <c r="A663" i="1"/>
  <c r="H662" i="1"/>
  <c r="A662" i="1"/>
  <c r="I661" i="1"/>
  <c r="H661" i="1"/>
  <c r="A661" i="1"/>
  <c r="H660" i="1"/>
  <c r="A660" i="1"/>
  <c r="H659" i="1"/>
  <c r="A659" i="1"/>
  <c r="I658" i="1"/>
  <c r="H658" i="1"/>
  <c r="A658" i="1"/>
  <c r="J657" i="1"/>
  <c r="I657" i="1"/>
  <c r="H657" i="1"/>
  <c r="A657" i="1"/>
  <c r="K656" i="1"/>
  <c r="J656" i="1"/>
  <c r="I656" i="1"/>
  <c r="H656" i="1"/>
  <c r="A656" i="1"/>
  <c r="K655" i="1"/>
  <c r="J655" i="1"/>
  <c r="I655" i="1"/>
  <c r="H655" i="1"/>
  <c r="A655" i="1"/>
  <c r="H654" i="1"/>
  <c r="A654" i="1"/>
  <c r="K653" i="1"/>
  <c r="J653" i="1"/>
  <c r="I653" i="1"/>
  <c r="H653" i="1"/>
  <c r="A653" i="1"/>
  <c r="A652" i="1"/>
  <c r="H651" i="1"/>
  <c r="A651" i="1"/>
  <c r="J650" i="1"/>
  <c r="I650" i="1"/>
  <c r="H650" i="1"/>
  <c r="A650" i="1"/>
  <c r="H649" i="1"/>
  <c r="A649" i="1"/>
  <c r="H648" i="1"/>
  <c r="A648" i="1"/>
  <c r="H647" i="1"/>
  <c r="A647" i="1"/>
  <c r="I646" i="1"/>
  <c r="H646" i="1"/>
  <c r="A646" i="1"/>
  <c r="A645" i="1"/>
  <c r="H644" i="1"/>
  <c r="A644" i="1"/>
  <c r="H643" i="1"/>
  <c r="A643" i="1"/>
  <c r="H642" i="1"/>
  <c r="A642" i="1"/>
  <c r="H641" i="1"/>
  <c r="A641" i="1"/>
  <c r="H640" i="1"/>
  <c r="A640" i="1"/>
  <c r="H639" i="1"/>
  <c r="A639" i="1"/>
  <c r="H638" i="1"/>
  <c r="A638" i="1"/>
  <c r="I637" i="1"/>
  <c r="H637" i="1"/>
  <c r="A637" i="1"/>
  <c r="H636" i="1"/>
  <c r="A636" i="1"/>
  <c r="H635" i="1"/>
  <c r="A635" i="1"/>
  <c r="H634" i="1"/>
  <c r="A634" i="1"/>
  <c r="H633" i="1"/>
  <c r="A633" i="1"/>
  <c r="H632" i="1"/>
  <c r="A632" i="1"/>
  <c r="A631" i="1"/>
  <c r="H630" i="1"/>
  <c r="A630" i="1"/>
  <c r="H629" i="1"/>
  <c r="A629" i="1"/>
  <c r="H628" i="1"/>
  <c r="A628" i="1"/>
  <c r="H627" i="1"/>
  <c r="A627" i="1"/>
  <c r="I626" i="1"/>
  <c r="H626" i="1"/>
  <c r="A626" i="1"/>
  <c r="J625" i="1"/>
  <c r="I625" i="1"/>
  <c r="H625" i="1"/>
  <c r="A625" i="1"/>
  <c r="I624" i="1"/>
  <c r="H624" i="1"/>
  <c r="A624" i="1"/>
  <c r="H623" i="1"/>
  <c r="A623" i="1"/>
  <c r="H622" i="1"/>
  <c r="A622" i="1"/>
  <c r="H621" i="1"/>
  <c r="A621" i="1"/>
  <c r="H620" i="1"/>
  <c r="A620" i="1"/>
  <c r="H619" i="1"/>
  <c r="A619" i="1"/>
  <c r="H618" i="1"/>
  <c r="A618" i="1"/>
  <c r="I617" i="1"/>
  <c r="H617" i="1"/>
  <c r="A617" i="1"/>
  <c r="H616" i="1"/>
  <c r="A616" i="1"/>
  <c r="H615" i="1"/>
  <c r="A615" i="1"/>
  <c r="I614" i="1"/>
  <c r="H614" i="1"/>
  <c r="A614" i="1"/>
  <c r="I613" i="1"/>
  <c r="H613" i="1"/>
  <c r="A613" i="1"/>
  <c r="A612" i="1"/>
  <c r="I611" i="1"/>
  <c r="H611" i="1"/>
  <c r="A611" i="1"/>
  <c r="A610" i="1"/>
  <c r="A609" i="1"/>
  <c r="K608" i="1"/>
  <c r="J608" i="1"/>
  <c r="I608" i="1"/>
  <c r="H608" i="1"/>
  <c r="A608" i="1"/>
  <c r="H607" i="1"/>
  <c r="A607" i="1"/>
  <c r="H606" i="1"/>
  <c r="A606" i="1"/>
  <c r="H605" i="1"/>
  <c r="A605" i="1"/>
  <c r="H604" i="1"/>
  <c r="A604" i="1"/>
  <c r="H603" i="1"/>
  <c r="A603" i="1"/>
  <c r="H602" i="1"/>
  <c r="A602" i="1"/>
  <c r="I601" i="1"/>
  <c r="H601" i="1"/>
  <c r="A601" i="1"/>
  <c r="I600" i="1"/>
  <c r="H600" i="1"/>
  <c r="A600" i="1"/>
  <c r="I599" i="1"/>
  <c r="H599" i="1"/>
  <c r="A599" i="1"/>
  <c r="A598" i="1"/>
  <c r="K597" i="1"/>
  <c r="J597" i="1"/>
  <c r="I597" i="1"/>
  <c r="H597" i="1"/>
  <c r="A597" i="1"/>
  <c r="J596" i="1"/>
  <c r="I596" i="1"/>
  <c r="H596" i="1"/>
  <c r="A596" i="1"/>
  <c r="H595" i="1"/>
  <c r="A595" i="1"/>
  <c r="A594" i="1"/>
  <c r="A593" i="1"/>
  <c r="H592" i="1"/>
  <c r="A592" i="1"/>
  <c r="H591" i="1"/>
  <c r="A591" i="1"/>
  <c r="H590" i="1"/>
  <c r="A590" i="1"/>
  <c r="H589" i="1"/>
  <c r="A589" i="1"/>
  <c r="I588" i="1"/>
  <c r="H588" i="1"/>
  <c r="A588" i="1"/>
  <c r="I587" i="1"/>
  <c r="H587" i="1"/>
  <c r="A587" i="1"/>
  <c r="H586" i="1"/>
  <c r="A586" i="1"/>
  <c r="A585" i="1"/>
  <c r="H584" i="1"/>
  <c r="A584" i="1"/>
  <c r="A583" i="1"/>
  <c r="A582" i="1"/>
  <c r="A581" i="1"/>
  <c r="H580" i="1"/>
  <c r="A580" i="1"/>
  <c r="H579" i="1"/>
  <c r="A579" i="1"/>
  <c r="H578" i="1"/>
  <c r="A578" i="1"/>
  <c r="H577" i="1"/>
  <c r="A577" i="1"/>
  <c r="H576" i="1"/>
  <c r="A576" i="1"/>
  <c r="H575" i="1"/>
  <c r="A575" i="1"/>
  <c r="H574" i="1"/>
  <c r="A574" i="1"/>
  <c r="H573" i="1"/>
  <c r="A573" i="1"/>
  <c r="H572" i="1"/>
  <c r="A572" i="1"/>
  <c r="H571" i="1"/>
  <c r="A571" i="1"/>
  <c r="H570" i="1"/>
  <c r="A570" i="1"/>
  <c r="H569" i="1"/>
  <c r="A569" i="1"/>
  <c r="H568" i="1"/>
  <c r="A568" i="1"/>
  <c r="H567" i="1"/>
  <c r="A567" i="1"/>
  <c r="A566" i="1"/>
  <c r="A565" i="1"/>
  <c r="A564" i="1"/>
  <c r="H563" i="1"/>
  <c r="A563" i="1"/>
  <c r="H562" i="1"/>
  <c r="A562" i="1"/>
  <c r="H561" i="1"/>
  <c r="A561" i="1"/>
  <c r="H560" i="1"/>
  <c r="A560" i="1"/>
  <c r="A559" i="1"/>
  <c r="H558" i="1"/>
  <c r="A558" i="1"/>
  <c r="H557" i="1"/>
  <c r="A557" i="1"/>
  <c r="H556" i="1"/>
  <c r="A556" i="1"/>
  <c r="H555" i="1"/>
  <c r="A555" i="1"/>
  <c r="H554" i="1"/>
  <c r="A554" i="1"/>
  <c r="H553" i="1"/>
  <c r="A553" i="1"/>
  <c r="H552" i="1"/>
  <c r="A552" i="1"/>
  <c r="I551" i="1"/>
  <c r="H551" i="1"/>
  <c r="A551" i="1"/>
  <c r="I550" i="1"/>
  <c r="H550" i="1"/>
  <c r="A550" i="1"/>
  <c r="A549" i="1"/>
  <c r="H548" i="1"/>
  <c r="A548" i="1"/>
  <c r="H547" i="1"/>
  <c r="A547" i="1"/>
  <c r="A546" i="1"/>
  <c r="A545" i="1"/>
  <c r="K544" i="1"/>
  <c r="J544" i="1"/>
  <c r="I544" i="1"/>
  <c r="H544" i="1"/>
  <c r="A544" i="1"/>
  <c r="H543" i="1"/>
  <c r="A543" i="1"/>
  <c r="H542" i="1"/>
  <c r="A542" i="1"/>
  <c r="H541" i="1"/>
  <c r="A541" i="1"/>
  <c r="K540" i="1"/>
  <c r="J540" i="1"/>
  <c r="I540" i="1"/>
  <c r="H540" i="1"/>
  <c r="A540" i="1"/>
  <c r="H539" i="1"/>
  <c r="A539" i="1"/>
  <c r="H538" i="1"/>
  <c r="A538" i="1"/>
  <c r="K537" i="1"/>
  <c r="J537" i="1"/>
  <c r="I537" i="1"/>
  <c r="H537" i="1"/>
  <c r="A537" i="1"/>
  <c r="H536" i="1"/>
  <c r="A536" i="1"/>
  <c r="H535" i="1"/>
  <c r="A535" i="1"/>
  <c r="H534" i="1"/>
  <c r="A534" i="1"/>
  <c r="I533" i="1"/>
  <c r="H533" i="1"/>
  <c r="A533" i="1"/>
  <c r="H532" i="1"/>
  <c r="A532" i="1"/>
  <c r="H531" i="1"/>
  <c r="A531" i="1"/>
  <c r="H530" i="1"/>
  <c r="A530" i="1"/>
  <c r="H529" i="1"/>
  <c r="A529" i="1"/>
  <c r="H528" i="1"/>
  <c r="A528" i="1"/>
  <c r="H527" i="1"/>
  <c r="A527" i="1"/>
  <c r="H526" i="1"/>
  <c r="A526" i="1"/>
  <c r="I525" i="1"/>
  <c r="H525" i="1"/>
  <c r="A525" i="1"/>
  <c r="H524" i="1"/>
  <c r="A524" i="1"/>
  <c r="H523" i="1"/>
  <c r="A523" i="1"/>
  <c r="H522" i="1"/>
  <c r="A522" i="1"/>
  <c r="I521" i="1"/>
  <c r="H521" i="1"/>
  <c r="A521" i="1"/>
  <c r="H520" i="1"/>
  <c r="A520" i="1"/>
  <c r="H519" i="1"/>
  <c r="A519" i="1"/>
  <c r="H518" i="1"/>
  <c r="A518" i="1"/>
  <c r="H517" i="1"/>
  <c r="A517" i="1"/>
  <c r="A516" i="1"/>
  <c r="I515" i="1"/>
  <c r="H515" i="1"/>
  <c r="A515" i="1"/>
  <c r="J514" i="1"/>
  <c r="I514" i="1"/>
  <c r="H514" i="1"/>
  <c r="A514" i="1"/>
  <c r="I513" i="1"/>
  <c r="H513" i="1"/>
  <c r="A513" i="1"/>
  <c r="J512" i="1"/>
  <c r="I512" i="1"/>
  <c r="H512" i="1"/>
  <c r="A512" i="1"/>
  <c r="I511" i="1"/>
  <c r="H511" i="1"/>
  <c r="A511" i="1"/>
  <c r="I510" i="1"/>
  <c r="H510" i="1"/>
  <c r="A510" i="1"/>
  <c r="H509" i="1"/>
  <c r="A509" i="1"/>
  <c r="H508" i="1"/>
  <c r="A508" i="1"/>
  <c r="J507" i="1"/>
  <c r="I507" i="1"/>
  <c r="H507" i="1"/>
  <c r="A507" i="1"/>
  <c r="H506" i="1"/>
  <c r="A506" i="1"/>
  <c r="J505" i="1"/>
  <c r="I505" i="1"/>
  <c r="H505" i="1"/>
  <c r="A505" i="1"/>
  <c r="H504" i="1"/>
  <c r="A504" i="1"/>
  <c r="J503" i="1"/>
  <c r="I503" i="1"/>
  <c r="H503" i="1"/>
  <c r="A503" i="1"/>
  <c r="H502" i="1"/>
  <c r="A502" i="1"/>
  <c r="H501" i="1"/>
  <c r="A501" i="1"/>
  <c r="H500" i="1"/>
  <c r="A500" i="1"/>
  <c r="H499" i="1"/>
  <c r="A499" i="1"/>
  <c r="H498" i="1"/>
  <c r="A498" i="1"/>
  <c r="H497" i="1"/>
  <c r="A497" i="1"/>
  <c r="H496" i="1"/>
  <c r="A496" i="1"/>
  <c r="I495" i="1"/>
  <c r="H495" i="1"/>
  <c r="A495" i="1"/>
  <c r="I494" i="1"/>
  <c r="H494" i="1"/>
  <c r="A494" i="1"/>
  <c r="H493" i="1"/>
  <c r="A493" i="1"/>
  <c r="H492" i="1"/>
  <c r="A492" i="1"/>
  <c r="H491" i="1"/>
  <c r="A491" i="1"/>
  <c r="H490" i="1"/>
  <c r="A490" i="1"/>
  <c r="J489" i="1"/>
  <c r="I489" i="1"/>
  <c r="H489" i="1"/>
  <c r="A489" i="1"/>
  <c r="J488" i="1"/>
  <c r="I488" i="1"/>
  <c r="H488" i="1"/>
  <c r="A488" i="1"/>
  <c r="J487" i="1"/>
  <c r="I487" i="1"/>
  <c r="H487" i="1"/>
  <c r="A487" i="1"/>
  <c r="J486" i="1"/>
  <c r="I486" i="1"/>
  <c r="H486" i="1"/>
  <c r="A486" i="1"/>
  <c r="A485" i="1"/>
  <c r="A484" i="1"/>
  <c r="H483" i="1"/>
  <c r="A483" i="1"/>
  <c r="I482" i="1"/>
  <c r="H482" i="1"/>
  <c r="A482" i="1"/>
  <c r="I481" i="1"/>
  <c r="H481" i="1"/>
  <c r="A481" i="1"/>
  <c r="H480" i="1"/>
  <c r="A480" i="1"/>
  <c r="J479" i="1"/>
  <c r="I479" i="1"/>
  <c r="H479" i="1"/>
  <c r="A479" i="1"/>
  <c r="H478" i="1"/>
  <c r="A478" i="1"/>
  <c r="H477" i="1"/>
  <c r="A477" i="1"/>
  <c r="A476" i="1"/>
  <c r="J475" i="1"/>
  <c r="I475" i="1"/>
  <c r="H475" i="1"/>
  <c r="A475" i="1"/>
  <c r="A474" i="1"/>
  <c r="A473" i="1"/>
  <c r="I472" i="1"/>
  <c r="H472" i="1"/>
  <c r="A472" i="1"/>
  <c r="H471" i="1"/>
  <c r="A471" i="1"/>
  <c r="H470" i="1"/>
  <c r="A470" i="1"/>
  <c r="H469" i="1"/>
  <c r="A469" i="1"/>
  <c r="A468" i="1"/>
  <c r="H467" i="1"/>
  <c r="A467" i="1"/>
  <c r="H466" i="1"/>
  <c r="A466" i="1"/>
  <c r="H465" i="1"/>
  <c r="A465" i="1"/>
  <c r="H464" i="1"/>
  <c r="A464" i="1"/>
  <c r="H463" i="1"/>
  <c r="A463" i="1"/>
  <c r="H462" i="1"/>
  <c r="A462" i="1"/>
  <c r="H461" i="1"/>
  <c r="A461" i="1"/>
  <c r="H460" i="1"/>
  <c r="A460" i="1"/>
  <c r="H459" i="1"/>
  <c r="A459" i="1"/>
  <c r="H458" i="1"/>
  <c r="A458" i="1"/>
  <c r="H457" i="1"/>
  <c r="A457" i="1"/>
  <c r="H456" i="1"/>
  <c r="A456" i="1"/>
  <c r="H455" i="1"/>
  <c r="A455" i="1"/>
  <c r="A454" i="1"/>
  <c r="H453" i="1"/>
  <c r="A453" i="1"/>
  <c r="H452" i="1"/>
  <c r="A452" i="1"/>
  <c r="H451" i="1"/>
  <c r="A451" i="1"/>
  <c r="H450" i="1"/>
  <c r="A450" i="1"/>
  <c r="H449" i="1"/>
  <c r="A449" i="1"/>
  <c r="H448" i="1"/>
  <c r="A448" i="1"/>
  <c r="H447" i="1"/>
  <c r="A447" i="1"/>
  <c r="H446" i="1"/>
  <c r="A446" i="1"/>
  <c r="J445" i="1"/>
  <c r="I445" i="1"/>
  <c r="H445" i="1"/>
  <c r="A445" i="1"/>
  <c r="H444" i="1"/>
  <c r="A444" i="1"/>
  <c r="H443" i="1"/>
  <c r="A443" i="1"/>
  <c r="H442" i="1"/>
  <c r="A442" i="1"/>
  <c r="I441" i="1"/>
  <c r="H441" i="1"/>
  <c r="A441" i="1"/>
  <c r="I440" i="1"/>
  <c r="H440" i="1"/>
  <c r="A440" i="1"/>
  <c r="K439" i="1"/>
  <c r="J439" i="1"/>
  <c r="I439" i="1"/>
  <c r="H439" i="1"/>
  <c r="A439" i="1"/>
  <c r="K438" i="1"/>
  <c r="J438" i="1"/>
  <c r="I438" i="1"/>
  <c r="H438" i="1"/>
  <c r="A438" i="1"/>
  <c r="K437" i="1"/>
  <c r="J437" i="1"/>
  <c r="I437" i="1"/>
  <c r="H437" i="1"/>
  <c r="A437" i="1"/>
  <c r="I436" i="1"/>
  <c r="H436" i="1"/>
  <c r="A436" i="1"/>
  <c r="K435" i="1"/>
  <c r="J435" i="1"/>
  <c r="I435" i="1"/>
  <c r="H435" i="1"/>
  <c r="A435" i="1"/>
  <c r="A434" i="1"/>
  <c r="K433" i="1"/>
  <c r="J433" i="1"/>
  <c r="I433" i="1"/>
  <c r="H433" i="1"/>
  <c r="A433" i="1"/>
  <c r="H432" i="1"/>
  <c r="A432" i="1"/>
  <c r="H431" i="1"/>
  <c r="A431" i="1"/>
  <c r="A430" i="1"/>
  <c r="H429" i="1"/>
  <c r="A429" i="1"/>
  <c r="H428" i="1"/>
  <c r="A428" i="1"/>
  <c r="H427" i="1"/>
  <c r="A427" i="1"/>
  <c r="A426" i="1"/>
  <c r="A425" i="1"/>
  <c r="H424" i="1"/>
  <c r="A424" i="1"/>
  <c r="H423" i="1"/>
  <c r="A423" i="1"/>
  <c r="H422" i="1"/>
  <c r="A422" i="1"/>
  <c r="H421" i="1"/>
  <c r="A421" i="1"/>
  <c r="A420" i="1"/>
  <c r="A419" i="1"/>
  <c r="A418" i="1"/>
  <c r="A417" i="1"/>
  <c r="I416" i="1"/>
  <c r="H416" i="1"/>
  <c r="A416" i="1"/>
  <c r="I415" i="1"/>
  <c r="H415" i="1"/>
  <c r="A415" i="1"/>
  <c r="H414" i="1"/>
  <c r="A414" i="1"/>
  <c r="H413" i="1"/>
  <c r="A413" i="1"/>
  <c r="H412" i="1"/>
  <c r="A412" i="1"/>
  <c r="H411" i="1"/>
  <c r="A411" i="1"/>
  <c r="H410" i="1"/>
  <c r="A410" i="1"/>
  <c r="A409" i="1"/>
  <c r="A408" i="1"/>
  <c r="A407" i="1"/>
  <c r="H406" i="1"/>
  <c r="A406" i="1"/>
  <c r="A405" i="1"/>
  <c r="A404" i="1"/>
  <c r="H403" i="1"/>
  <c r="A403" i="1"/>
  <c r="H402" i="1"/>
  <c r="A402" i="1"/>
  <c r="H401" i="1"/>
  <c r="A401" i="1"/>
  <c r="H400" i="1"/>
  <c r="A400" i="1"/>
  <c r="K399" i="1"/>
  <c r="J399" i="1"/>
  <c r="I399" i="1"/>
  <c r="H399" i="1"/>
  <c r="A399" i="1"/>
  <c r="K398" i="1"/>
  <c r="J398" i="1"/>
  <c r="I398" i="1"/>
  <c r="H398" i="1"/>
  <c r="A398" i="1"/>
  <c r="K397" i="1"/>
  <c r="J397" i="1"/>
  <c r="I397" i="1"/>
  <c r="H397" i="1"/>
  <c r="A397" i="1"/>
  <c r="J396" i="1"/>
  <c r="I396" i="1"/>
  <c r="H396" i="1"/>
  <c r="A396" i="1"/>
  <c r="J395" i="1"/>
  <c r="I395" i="1"/>
  <c r="H395" i="1"/>
  <c r="A395" i="1"/>
  <c r="J394" i="1"/>
  <c r="I394" i="1"/>
  <c r="H394" i="1"/>
  <c r="A394" i="1"/>
  <c r="J393" i="1"/>
  <c r="I393" i="1"/>
  <c r="H393" i="1"/>
  <c r="A393" i="1"/>
  <c r="I392" i="1"/>
  <c r="H392" i="1"/>
  <c r="A392" i="1"/>
  <c r="H391" i="1"/>
  <c r="A391" i="1"/>
  <c r="H390" i="1"/>
  <c r="A390" i="1"/>
  <c r="I389" i="1"/>
  <c r="H389" i="1"/>
  <c r="A389" i="1"/>
  <c r="H388" i="1"/>
  <c r="A388" i="1"/>
  <c r="K387" i="1"/>
  <c r="J387" i="1"/>
  <c r="I387" i="1"/>
  <c r="H387" i="1"/>
  <c r="A387" i="1"/>
  <c r="H386" i="1"/>
  <c r="A386" i="1"/>
  <c r="K385" i="1"/>
  <c r="J385" i="1"/>
  <c r="I385" i="1"/>
  <c r="H385" i="1"/>
  <c r="A385" i="1"/>
  <c r="H384" i="1"/>
  <c r="A384" i="1"/>
  <c r="H383" i="1"/>
  <c r="A383" i="1"/>
  <c r="H382" i="1"/>
  <c r="A382" i="1"/>
  <c r="H381" i="1"/>
  <c r="A381" i="1"/>
  <c r="H380" i="1"/>
  <c r="A380" i="1"/>
  <c r="H379" i="1"/>
  <c r="A379" i="1"/>
  <c r="H378" i="1"/>
  <c r="A378" i="1"/>
  <c r="H377" i="1"/>
  <c r="A377" i="1"/>
  <c r="H376" i="1"/>
  <c r="A376" i="1"/>
  <c r="H375" i="1"/>
  <c r="A375" i="1"/>
  <c r="H374" i="1"/>
  <c r="A374" i="1"/>
  <c r="H373" i="1"/>
  <c r="A373" i="1"/>
  <c r="H372" i="1"/>
  <c r="A372" i="1"/>
  <c r="H371" i="1"/>
  <c r="A371" i="1"/>
  <c r="H370" i="1"/>
  <c r="A370" i="1"/>
  <c r="H369" i="1"/>
  <c r="A369" i="1"/>
  <c r="H368" i="1"/>
  <c r="A368" i="1"/>
  <c r="H367" i="1"/>
  <c r="A367" i="1"/>
  <c r="I366" i="1"/>
  <c r="H366" i="1"/>
  <c r="A366" i="1"/>
  <c r="K365" i="1"/>
  <c r="J365" i="1"/>
  <c r="I365" i="1"/>
  <c r="H365" i="1"/>
  <c r="A365" i="1"/>
  <c r="H364" i="1"/>
  <c r="A364" i="1"/>
  <c r="H363" i="1"/>
  <c r="A363" i="1"/>
  <c r="I362" i="1"/>
  <c r="H362" i="1"/>
  <c r="A362" i="1"/>
  <c r="K361" i="1"/>
  <c r="J361" i="1"/>
  <c r="I361" i="1"/>
  <c r="H361" i="1"/>
  <c r="A361" i="1"/>
  <c r="I360" i="1"/>
  <c r="H360" i="1"/>
  <c r="A360" i="1"/>
  <c r="H359" i="1"/>
  <c r="A359" i="1"/>
  <c r="H358" i="1"/>
  <c r="A358" i="1"/>
  <c r="I357" i="1"/>
  <c r="H357" i="1"/>
  <c r="A357" i="1"/>
  <c r="H356" i="1"/>
  <c r="A356" i="1"/>
  <c r="H355" i="1"/>
  <c r="A355" i="1"/>
  <c r="A354" i="1"/>
  <c r="H353" i="1"/>
  <c r="A353" i="1"/>
  <c r="H352" i="1"/>
  <c r="A352" i="1"/>
  <c r="I351" i="1"/>
  <c r="H351" i="1"/>
  <c r="A351" i="1"/>
  <c r="H350" i="1"/>
  <c r="A350" i="1"/>
  <c r="H349" i="1"/>
  <c r="A349" i="1"/>
  <c r="H348" i="1"/>
  <c r="A348" i="1"/>
  <c r="H347" i="1"/>
  <c r="A347" i="1"/>
  <c r="H346" i="1"/>
  <c r="A346" i="1"/>
  <c r="H345" i="1"/>
  <c r="A345" i="1"/>
  <c r="H344" i="1"/>
  <c r="A344" i="1"/>
  <c r="I343" i="1"/>
  <c r="H343" i="1"/>
  <c r="A343" i="1"/>
  <c r="H342" i="1"/>
  <c r="A342" i="1"/>
  <c r="H341" i="1"/>
  <c r="A341" i="1"/>
  <c r="I340" i="1"/>
  <c r="H340" i="1"/>
  <c r="A340" i="1"/>
  <c r="H339" i="1"/>
  <c r="A339" i="1"/>
  <c r="J338" i="1"/>
  <c r="I338" i="1"/>
  <c r="H338" i="1"/>
  <c r="A338" i="1"/>
  <c r="H337" i="1"/>
  <c r="A337" i="1"/>
  <c r="H336" i="1"/>
  <c r="A336" i="1"/>
  <c r="H335" i="1"/>
  <c r="A335" i="1"/>
  <c r="H334" i="1"/>
  <c r="A334" i="1"/>
  <c r="I333" i="1"/>
  <c r="H333" i="1"/>
  <c r="A333" i="1"/>
  <c r="H332" i="1"/>
  <c r="A332" i="1"/>
  <c r="H331" i="1"/>
  <c r="A331" i="1"/>
  <c r="I330" i="1"/>
  <c r="H330" i="1"/>
  <c r="A330" i="1"/>
  <c r="H329" i="1"/>
  <c r="A329" i="1"/>
  <c r="H328" i="1"/>
  <c r="A328" i="1"/>
  <c r="H327" i="1"/>
  <c r="A327" i="1"/>
  <c r="H326" i="1"/>
  <c r="A326" i="1"/>
  <c r="K325" i="1"/>
  <c r="J325" i="1"/>
  <c r="I325" i="1"/>
  <c r="H325" i="1"/>
  <c r="A325" i="1"/>
  <c r="H324" i="1"/>
  <c r="A324" i="1"/>
  <c r="H323" i="1"/>
  <c r="A323" i="1"/>
  <c r="H322" i="1"/>
  <c r="A322" i="1"/>
  <c r="H321" i="1"/>
  <c r="A321" i="1"/>
  <c r="H320" i="1"/>
  <c r="A320" i="1"/>
  <c r="H319" i="1"/>
  <c r="A319" i="1"/>
  <c r="H318" i="1"/>
  <c r="A318" i="1"/>
  <c r="H317" i="1"/>
  <c r="A317" i="1"/>
  <c r="A316" i="1"/>
  <c r="H315" i="1"/>
  <c r="A315" i="1"/>
  <c r="A314" i="1"/>
  <c r="A313" i="1"/>
  <c r="H312" i="1"/>
  <c r="A312" i="1"/>
  <c r="H311" i="1"/>
  <c r="A311" i="1"/>
  <c r="A310" i="1"/>
  <c r="H309" i="1"/>
  <c r="A309" i="1"/>
  <c r="H308" i="1"/>
  <c r="A308" i="1"/>
  <c r="H307" i="1"/>
  <c r="A307" i="1"/>
  <c r="I306" i="1"/>
  <c r="H306" i="1"/>
  <c r="A306" i="1"/>
  <c r="H305" i="1"/>
  <c r="A305" i="1"/>
  <c r="H304" i="1"/>
  <c r="A304" i="1"/>
  <c r="H303" i="1"/>
  <c r="A303" i="1"/>
  <c r="H302" i="1"/>
  <c r="A302" i="1"/>
  <c r="H301" i="1"/>
  <c r="A301" i="1"/>
  <c r="H300" i="1"/>
  <c r="A300" i="1"/>
  <c r="I299" i="1"/>
  <c r="H299" i="1"/>
  <c r="A299" i="1"/>
  <c r="A298" i="1"/>
  <c r="H297" i="1"/>
  <c r="A297" i="1"/>
  <c r="J296" i="1"/>
  <c r="I296" i="1"/>
  <c r="H296" i="1"/>
  <c r="A296" i="1"/>
  <c r="H295" i="1"/>
  <c r="A295" i="1"/>
  <c r="H294" i="1"/>
  <c r="A294" i="1"/>
  <c r="H293" i="1"/>
  <c r="A293" i="1"/>
  <c r="H292" i="1"/>
  <c r="A292" i="1"/>
  <c r="H291" i="1"/>
  <c r="A291" i="1"/>
  <c r="A290" i="1"/>
  <c r="H289" i="1"/>
  <c r="A289" i="1"/>
  <c r="H288" i="1"/>
  <c r="A288" i="1"/>
  <c r="H287" i="1"/>
  <c r="A287" i="1"/>
  <c r="H286" i="1"/>
  <c r="A286" i="1"/>
  <c r="H285" i="1"/>
  <c r="A285" i="1"/>
  <c r="H284" i="1"/>
  <c r="A284" i="1"/>
  <c r="H283" i="1"/>
  <c r="A283" i="1"/>
  <c r="H282" i="1"/>
  <c r="A282" i="1"/>
  <c r="H281" i="1"/>
  <c r="A281" i="1"/>
  <c r="H280" i="1"/>
  <c r="A280" i="1"/>
  <c r="H279" i="1"/>
  <c r="A279" i="1"/>
  <c r="I278" i="1"/>
  <c r="H278" i="1"/>
  <c r="A278" i="1"/>
  <c r="A277" i="1"/>
  <c r="A276" i="1"/>
  <c r="A275" i="1"/>
  <c r="H274" i="1"/>
  <c r="A274" i="1"/>
  <c r="I273" i="1"/>
  <c r="H273" i="1"/>
  <c r="A273" i="1"/>
  <c r="H272" i="1"/>
  <c r="A272" i="1"/>
  <c r="H271" i="1"/>
  <c r="A271" i="1"/>
  <c r="H270" i="1"/>
  <c r="A270" i="1"/>
  <c r="A269" i="1"/>
  <c r="H268" i="1"/>
  <c r="A268" i="1"/>
  <c r="H267" i="1"/>
  <c r="A267" i="1"/>
  <c r="H266" i="1"/>
  <c r="A266" i="1"/>
  <c r="H265" i="1"/>
  <c r="A265" i="1"/>
  <c r="H264" i="1"/>
  <c r="A264" i="1"/>
  <c r="I263" i="1"/>
  <c r="H263" i="1"/>
  <c r="A263" i="1"/>
  <c r="H262" i="1"/>
  <c r="A262" i="1"/>
  <c r="K261" i="1"/>
  <c r="J261" i="1"/>
  <c r="I261" i="1"/>
  <c r="H261" i="1"/>
  <c r="A261" i="1"/>
  <c r="I260" i="1"/>
  <c r="H260" i="1"/>
  <c r="A260" i="1"/>
  <c r="H259" i="1"/>
  <c r="A259" i="1"/>
  <c r="H258" i="1"/>
  <c r="A258" i="1"/>
  <c r="H257" i="1"/>
  <c r="A257" i="1"/>
  <c r="H256" i="1"/>
  <c r="A256" i="1"/>
  <c r="I255" i="1"/>
  <c r="H255" i="1"/>
  <c r="A255" i="1"/>
  <c r="K254" i="1"/>
  <c r="J254" i="1"/>
  <c r="I254" i="1"/>
  <c r="H254" i="1"/>
  <c r="A254" i="1"/>
  <c r="A253" i="1"/>
  <c r="H252" i="1"/>
  <c r="A252" i="1"/>
  <c r="H251" i="1"/>
  <c r="A251" i="1"/>
  <c r="H250" i="1"/>
  <c r="A250" i="1"/>
  <c r="H249" i="1"/>
  <c r="A249" i="1"/>
  <c r="H248" i="1"/>
  <c r="A248" i="1"/>
  <c r="I247" i="1"/>
  <c r="H247" i="1"/>
  <c r="A247" i="1"/>
  <c r="I246" i="1"/>
  <c r="H246" i="1"/>
  <c r="A246" i="1"/>
  <c r="H245" i="1"/>
  <c r="A245" i="1"/>
  <c r="I244" i="1"/>
  <c r="H244" i="1"/>
  <c r="A244" i="1"/>
  <c r="A243" i="1"/>
  <c r="H242" i="1"/>
  <c r="A242" i="1"/>
  <c r="H241" i="1"/>
  <c r="A241" i="1"/>
  <c r="I240" i="1"/>
  <c r="H240" i="1"/>
  <c r="A240" i="1"/>
  <c r="H239" i="1"/>
  <c r="A239" i="1"/>
  <c r="A238" i="1"/>
  <c r="H237" i="1"/>
  <c r="A237" i="1"/>
  <c r="I236" i="1"/>
  <c r="H236" i="1"/>
  <c r="A236" i="1"/>
  <c r="I235" i="1"/>
  <c r="H235" i="1"/>
  <c r="A235" i="1"/>
  <c r="H234" i="1"/>
  <c r="A234" i="1"/>
  <c r="A233" i="1"/>
  <c r="H232" i="1"/>
  <c r="A232" i="1"/>
  <c r="A231" i="1"/>
  <c r="H230" i="1"/>
  <c r="A230" i="1"/>
  <c r="K229" i="1"/>
  <c r="J229" i="1"/>
  <c r="I229" i="1"/>
  <c r="H229" i="1"/>
  <c r="A229" i="1"/>
  <c r="J228" i="1"/>
  <c r="I228" i="1"/>
  <c r="H228" i="1"/>
  <c r="A228" i="1"/>
  <c r="H227" i="1"/>
  <c r="A227" i="1"/>
  <c r="H226" i="1"/>
  <c r="A226" i="1"/>
  <c r="H225" i="1"/>
  <c r="A225" i="1"/>
  <c r="I224" i="1"/>
  <c r="H224" i="1"/>
  <c r="A224" i="1"/>
  <c r="H223" i="1"/>
  <c r="A223" i="1"/>
  <c r="H222" i="1"/>
  <c r="A222" i="1"/>
  <c r="H221" i="1"/>
  <c r="A221" i="1"/>
  <c r="H220" i="1"/>
  <c r="A220" i="1"/>
  <c r="I219" i="1"/>
  <c r="H219" i="1"/>
  <c r="A219" i="1"/>
  <c r="H218" i="1"/>
  <c r="A218" i="1"/>
  <c r="H217" i="1"/>
  <c r="A217" i="1"/>
  <c r="I216" i="1"/>
  <c r="H216" i="1"/>
  <c r="A216" i="1"/>
  <c r="I215" i="1"/>
  <c r="H215" i="1"/>
  <c r="A215" i="1"/>
  <c r="H214" i="1"/>
  <c r="A214" i="1"/>
  <c r="H213" i="1"/>
  <c r="A213" i="1"/>
  <c r="A212" i="1"/>
  <c r="H211" i="1"/>
  <c r="A211" i="1"/>
  <c r="H210" i="1"/>
  <c r="A210" i="1"/>
  <c r="H209" i="1"/>
  <c r="A209" i="1"/>
  <c r="K208" i="1"/>
  <c r="J208" i="1"/>
  <c r="I208" i="1"/>
  <c r="H208" i="1"/>
  <c r="A208" i="1"/>
  <c r="H207" i="1"/>
  <c r="A207" i="1"/>
  <c r="H206" i="1"/>
  <c r="A206" i="1"/>
  <c r="I205" i="1"/>
  <c r="H205" i="1"/>
  <c r="A205" i="1"/>
  <c r="I204" i="1"/>
  <c r="H204" i="1"/>
  <c r="A204" i="1"/>
  <c r="H203" i="1"/>
  <c r="A203" i="1"/>
  <c r="H202" i="1"/>
  <c r="A202" i="1"/>
  <c r="A201" i="1"/>
  <c r="H200" i="1"/>
  <c r="A200" i="1"/>
  <c r="I199" i="1"/>
  <c r="H199" i="1"/>
  <c r="A199" i="1"/>
  <c r="I198" i="1"/>
  <c r="H198" i="1"/>
  <c r="A198" i="1"/>
  <c r="H197" i="1"/>
  <c r="A197" i="1"/>
  <c r="I196" i="1"/>
  <c r="H196" i="1"/>
  <c r="A196" i="1"/>
  <c r="H195" i="1"/>
  <c r="A195" i="1"/>
  <c r="H194" i="1"/>
  <c r="A194" i="1"/>
  <c r="H193" i="1"/>
  <c r="A193" i="1"/>
  <c r="H192" i="1"/>
  <c r="A192" i="1"/>
  <c r="I191" i="1"/>
  <c r="H191" i="1"/>
  <c r="A191" i="1"/>
  <c r="I190" i="1"/>
  <c r="H190" i="1"/>
  <c r="A190" i="1"/>
  <c r="H189" i="1"/>
  <c r="A189" i="1"/>
  <c r="H188" i="1"/>
  <c r="A188" i="1"/>
  <c r="A187" i="1"/>
  <c r="I186" i="1"/>
  <c r="H186" i="1"/>
  <c r="A186" i="1"/>
  <c r="J185" i="1"/>
  <c r="I185" i="1"/>
  <c r="H185" i="1"/>
  <c r="A185" i="1"/>
  <c r="H184" i="1"/>
  <c r="A184" i="1"/>
  <c r="H183" i="1"/>
  <c r="A183" i="1"/>
  <c r="H182" i="1"/>
  <c r="A182" i="1"/>
  <c r="A181" i="1"/>
  <c r="I180" i="1"/>
  <c r="H180" i="1"/>
  <c r="A180" i="1"/>
  <c r="H179" i="1"/>
  <c r="A179" i="1"/>
  <c r="K178" i="1"/>
  <c r="J178" i="1"/>
  <c r="I178" i="1"/>
  <c r="H178" i="1"/>
  <c r="A178" i="1"/>
  <c r="I177" i="1"/>
  <c r="H177" i="1"/>
  <c r="A177" i="1"/>
  <c r="I176" i="1"/>
  <c r="H176" i="1"/>
  <c r="A176" i="1"/>
  <c r="H175" i="1"/>
  <c r="A175" i="1"/>
  <c r="H174" i="1"/>
  <c r="A174" i="1"/>
  <c r="H173" i="1"/>
  <c r="A173" i="1"/>
  <c r="H172" i="1"/>
  <c r="A172" i="1"/>
  <c r="H171" i="1"/>
  <c r="A171" i="1"/>
  <c r="H170" i="1"/>
  <c r="A170" i="1"/>
  <c r="H169" i="1"/>
  <c r="A169" i="1"/>
  <c r="H168" i="1"/>
  <c r="A168" i="1"/>
  <c r="H167" i="1"/>
  <c r="A167" i="1"/>
  <c r="J166" i="1"/>
  <c r="I166" i="1"/>
  <c r="H166" i="1"/>
  <c r="A166" i="1"/>
  <c r="A165" i="1"/>
  <c r="A164" i="1"/>
  <c r="H163" i="1"/>
  <c r="A163" i="1"/>
  <c r="H162" i="1"/>
  <c r="A162" i="1"/>
  <c r="H161" i="1"/>
  <c r="A161" i="1"/>
  <c r="H160" i="1"/>
  <c r="A160" i="1"/>
  <c r="H159" i="1"/>
  <c r="A159" i="1"/>
  <c r="H158" i="1"/>
  <c r="A158" i="1"/>
  <c r="I157" i="1"/>
  <c r="H157" i="1"/>
  <c r="A157" i="1"/>
  <c r="H156" i="1"/>
  <c r="A156" i="1"/>
  <c r="H155" i="1"/>
  <c r="A155" i="1"/>
  <c r="H154" i="1"/>
  <c r="A154" i="1"/>
  <c r="H153" i="1"/>
  <c r="A153" i="1"/>
  <c r="H152" i="1"/>
  <c r="A152" i="1"/>
  <c r="H151" i="1"/>
  <c r="A151" i="1"/>
  <c r="H150" i="1"/>
  <c r="A150" i="1"/>
  <c r="H149" i="1"/>
  <c r="A149" i="1"/>
  <c r="H148" i="1"/>
  <c r="A148" i="1"/>
  <c r="H147" i="1"/>
  <c r="A147" i="1"/>
  <c r="H146" i="1"/>
  <c r="A146" i="1"/>
  <c r="H145" i="1"/>
  <c r="A145" i="1"/>
  <c r="H144" i="1"/>
  <c r="A144" i="1"/>
  <c r="H143" i="1"/>
  <c r="A143" i="1"/>
  <c r="H142" i="1"/>
  <c r="A142" i="1"/>
  <c r="H141" i="1"/>
  <c r="A141" i="1"/>
  <c r="H140" i="1"/>
  <c r="A140" i="1"/>
  <c r="H139" i="1"/>
  <c r="A139" i="1"/>
  <c r="H138" i="1"/>
  <c r="A138" i="1"/>
  <c r="H137" i="1"/>
  <c r="A137" i="1"/>
  <c r="H136" i="1"/>
  <c r="A136" i="1"/>
  <c r="I135" i="1"/>
  <c r="H135" i="1"/>
  <c r="A135" i="1"/>
  <c r="I134" i="1"/>
  <c r="H134" i="1"/>
  <c r="A134" i="1"/>
  <c r="H133" i="1"/>
  <c r="A133" i="1"/>
  <c r="I132" i="1"/>
  <c r="H132" i="1"/>
  <c r="A132" i="1"/>
  <c r="H131" i="1"/>
  <c r="A131" i="1"/>
  <c r="H130" i="1"/>
  <c r="A130" i="1"/>
  <c r="H129" i="1"/>
  <c r="A129" i="1"/>
  <c r="H128" i="1"/>
  <c r="A128" i="1"/>
  <c r="H127" i="1"/>
  <c r="A127" i="1"/>
  <c r="H126" i="1"/>
  <c r="A126" i="1"/>
  <c r="H125" i="1"/>
  <c r="A125" i="1"/>
  <c r="H124" i="1"/>
  <c r="A124" i="1"/>
  <c r="I123" i="1"/>
  <c r="H123" i="1"/>
  <c r="A123" i="1"/>
  <c r="H122" i="1"/>
  <c r="A122" i="1"/>
  <c r="H121" i="1"/>
  <c r="A121" i="1"/>
  <c r="I120" i="1"/>
  <c r="H120" i="1"/>
  <c r="A120" i="1"/>
  <c r="H119" i="1"/>
  <c r="A119" i="1"/>
  <c r="H118" i="1"/>
  <c r="A118" i="1"/>
  <c r="H117" i="1"/>
  <c r="A117" i="1"/>
  <c r="H116" i="1"/>
  <c r="A116" i="1"/>
  <c r="A115" i="1"/>
  <c r="H114" i="1"/>
  <c r="A114" i="1"/>
  <c r="H113" i="1"/>
  <c r="A113" i="1"/>
  <c r="H112" i="1"/>
  <c r="A112" i="1"/>
  <c r="A111" i="1"/>
  <c r="A110" i="1"/>
  <c r="H109" i="1"/>
  <c r="A109" i="1"/>
  <c r="I108" i="1"/>
  <c r="H108" i="1"/>
  <c r="A108" i="1"/>
  <c r="H107" i="1"/>
  <c r="A107" i="1"/>
  <c r="H106" i="1"/>
  <c r="A106" i="1"/>
  <c r="H105" i="1"/>
  <c r="A105" i="1"/>
  <c r="I104" i="1"/>
  <c r="H104" i="1"/>
  <c r="A104" i="1"/>
  <c r="H103" i="1"/>
  <c r="A103" i="1"/>
  <c r="H102" i="1"/>
  <c r="A102" i="1"/>
  <c r="H101" i="1"/>
  <c r="A101" i="1"/>
  <c r="I100" i="1"/>
  <c r="H100" i="1"/>
  <c r="A100" i="1"/>
  <c r="H99" i="1"/>
  <c r="A99" i="1"/>
  <c r="H98" i="1"/>
  <c r="A98" i="1"/>
  <c r="K97" i="1"/>
  <c r="J97" i="1"/>
  <c r="I97" i="1"/>
  <c r="H97" i="1"/>
  <c r="A97" i="1"/>
  <c r="A96" i="1"/>
  <c r="H95" i="1"/>
  <c r="A95" i="1"/>
  <c r="H94" i="1"/>
  <c r="A94" i="1"/>
  <c r="A93" i="1"/>
  <c r="A92" i="1"/>
  <c r="A91" i="1"/>
  <c r="A90" i="1"/>
  <c r="A89" i="1"/>
  <c r="H88" i="1"/>
  <c r="A88" i="1"/>
  <c r="H87" i="1"/>
  <c r="A87" i="1"/>
  <c r="H86" i="1"/>
  <c r="A86" i="1"/>
  <c r="H85" i="1"/>
  <c r="A85" i="1"/>
  <c r="H84" i="1"/>
  <c r="A84" i="1"/>
  <c r="H83" i="1"/>
  <c r="A83" i="1"/>
  <c r="H82" i="1"/>
  <c r="A82" i="1"/>
  <c r="H81" i="1"/>
  <c r="A81" i="1"/>
  <c r="H80" i="1"/>
  <c r="A80" i="1"/>
  <c r="H79" i="1"/>
  <c r="A79" i="1"/>
  <c r="A78" i="1"/>
  <c r="A77" i="1"/>
  <c r="H76" i="1"/>
  <c r="A76" i="1"/>
  <c r="H75" i="1"/>
  <c r="A75" i="1"/>
  <c r="H74" i="1"/>
  <c r="A74" i="1"/>
  <c r="H73" i="1"/>
  <c r="A73" i="1"/>
  <c r="I72" i="1"/>
  <c r="H72" i="1"/>
  <c r="A72" i="1"/>
  <c r="H71" i="1"/>
  <c r="A71" i="1"/>
  <c r="H70" i="1"/>
  <c r="A70" i="1"/>
  <c r="H69" i="1"/>
  <c r="A69" i="1"/>
  <c r="H68" i="1"/>
  <c r="A68" i="1"/>
  <c r="H67" i="1"/>
  <c r="A67" i="1"/>
  <c r="H66" i="1"/>
  <c r="A66" i="1"/>
  <c r="K65" i="1"/>
  <c r="J65" i="1"/>
  <c r="I65" i="1"/>
  <c r="H65" i="1"/>
  <c r="A65" i="1"/>
  <c r="A64" i="1"/>
  <c r="K63" i="1"/>
  <c r="J63" i="1"/>
  <c r="I63" i="1"/>
  <c r="H63" i="1"/>
  <c r="A63" i="1"/>
  <c r="H62" i="1"/>
  <c r="A62" i="1"/>
  <c r="A61" i="1"/>
  <c r="A60" i="1"/>
  <c r="A59" i="1"/>
  <c r="A58" i="1"/>
  <c r="H57" i="1"/>
  <c r="A57" i="1"/>
  <c r="J56" i="1"/>
  <c r="I56" i="1"/>
  <c r="H56" i="1"/>
  <c r="A56" i="1"/>
  <c r="A55" i="1"/>
  <c r="H54" i="1"/>
  <c r="A54" i="1"/>
  <c r="H53" i="1"/>
  <c r="A53" i="1"/>
  <c r="H52" i="1"/>
  <c r="A52" i="1"/>
  <c r="H51" i="1"/>
  <c r="A51" i="1"/>
  <c r="H50" i="1"/>
  <c r="A50" i="1"/>
  <c r="H49" i="1"/>
  <c r="A49" i="1"/>
  <c r="H48" i="1"/>
  <c r="A48" i="1"/>
  <c r="H47" i="1"/>
  <c r="A47" i="1"/>
  <c r="J46" i="1"/>
  <c r="I46" i="1"/>
  <c r="H46" i="1"/>
  <c r="A46" i="1"/>
  <c r="J45" i="1"/>
  <c r="I45" i="1"/>
  <c r="H45" i="1"/>
  <c r="A45" i="1"/>
  <c r="I44" i="1"/>
  <c r="H44" i="1"/>
  <c r="A44" i="1"/>
  <c r="A43" i="1"/>
  <c r="H42" i="1"/>
  <c r="A42" i="1"/>
  <c r="H41" i="1"/>
  <c r="A41" i="1"/>
  <c r="A40" i="1"/>
  <c r="H39" i="1"/>
  <c r="A39" i="1"/>
  <c r="H38" i="1"/>
  <c r="A38" i="1"/>
  <c r="H37" i="1"/>
  <c r="A37" i="1"/>
  <c r="I36" i="1"/>
  <c r="H36" i="1"/>
  <c r="A36" i="1"/>
  <c r="H35" i="1"/>
  <c r="A35" i="1"/>
  <c r="I34" i="1"/>
  <c r="H34" i="1"/>
  <c r="A34" i="1"/>
  <c r="A33" i="1"/>
  <c r="I32" i="1"/>
  <c r="H32" i="1"/>
  <c r="A32" i="1"/>
  <c r="H31" i="1"/>
  <c r="A31" i="1"/>
  <c r="H30" i="1"/>
  <c r="A30" i="1"/>
  <c r="I29" i="1"/>
  <c r="H29" i="1"/>
  <c r="A29" i="1"/>
  <c r="H28" i="1"/>
  <c r="A28" i="1"/>
  <c r="I27" i="1"/>
  <c r="H27" i="1"/>
  <c r="A27" i="1"/>
  <c r="I26" i="1"/>
  <c r="H26" i="1"/>
  <c r="A26" i="1"/>
  <c r="H25" i="1"/>
  <c r="A25" i="1"/>
  <c r="H24" i="1"/>
  <c r="A24" i="1"/>
  <c r="H23" i="1"/>
  <c r="A23" i="1"/>
  <c r="H22" i="1"/>
  <c r="A22" i="1"/>
  <c r="H21" i="1"/>
  <c r="A21" i="1"/>
  <c r="H20" i="1"/>
  <c r="A20" i="1"/>
  <c r="H19" i="1"/>
  <c r="A19" i="1"/>
  <c r="H18" i="1"/>
  <c r="A18" i="1"/>
  <c r="H17" i="1"/>
  <c r="A17" i="1"/>
  <c r="H16" i="1"/>
  <c r="A16" i="1"/>
  <c r="H15" i="1"/>
  <c r="A15" i="1"/>
  <c r="A14" i="1"/>
  <c r="I13" i="1"/>
  <c r="H13" i="1"/>
  <c r="A13" i="1"/>
  <c r="H12" i="1"/>
  <c r="A12" i="1"/>
  <c r="A11" i="1"/>
  <c r="H10" i="1"/>
  <c r="A10" i="1"/>
  <c r="H9" i="1"/>
  <c r="A9" i="1"/>
  <c r="A8" i="1"/>
  <c r="H7" i="1"/>
  <c r="A7" i="1"/>
  <c r="H6" i="1"/>
  <c r="A6" i="1"/>
  <c r="H5" i="1"/>
  <c r="A5" i="1"/>
  <c r="H4" i="1"/>
  <c r="A4" i="1"/>
  <c r="A3" i="1"/>
  <c r="A2" i="1"/>
</calcChain>
</file>

<file path=xl/sharedStrings.xml><?xml version="1.0" encoding="utf-8"?>
<sst xmlns="http://schemas.openxmlformats.org/spreadsheetml/2006/main" count="4936" uniqueCount="1731">
  <si>
    <t>id</t>
  </si>
  <si>
    <t>screen_name</t>
  </si>
  <si>
    <t>created_at</t>
  </si>
  <si>
    <t>fav</t>
  </si>
  <si>
    <t>rt</t>
  </si>
  <si>
    <t>RTed</t>
  </si>
  <si>
    <t>text</t>
  </si>
  <si>
    <t>media1</t>
  </si>
  <si>
    <t>media2</t>
  </si>
  <si>
    <t>media3</t>
  </si>
  <si>
    <t>media4</t>
  </si>
  <si>
    <t>compound</t>
  </si>
  <si>
    <t>neg</t>
  </si>
  <si>
    <t>neu</t>
  </si>
  <si>
    <t>pos</t>
  </si>
  <si>
    <t>QatarEmb_BRS</t>
  </si>
  <si>
    <t>MofaQatar_AR</t>
  </si>
  <si>
    <t>MofaQatar_EN</t>
  </si>
  <si>
    <t>MBA_AlThani_</t>
  </si>
  <si>
    <t>AmbAlyaAlThani</t>
  </si>
  <si>
    <t>MOFAQatar_ES</t>
  </si>
  <si>
    <t>QatarMission_Ge</t>
  </si>
  <si>
    <t>HinzabH</t>
  </si>
  <si>
    <t>UN_PGA</t>
  </si>
  <si>
    <t>GCOQatar</t>
  </si>
  <si>
    <t>majedalansari</t>
  </si>
  <si>
    <t>Dr_Al_Khulaifi</t>
  </si>
  <si>
    <t>TamimBinHamad</t>
  </si>
  <si>
    <t>AmiriDiwan</t>
  </si>
  <si>
    <t>QNAEnglish</t>
  </si>
  <si>
    <t>ShuraQatar</t>
  </si>
  <si>
    <t>qatar_fund</t>
  </si>
  <si>
    <t>MOI_Qatar</t>
  </si>
  <si>
    <t>MOI_QatarEn</t>
  </si>
  <si>
    <t>MOD_Qatar</t>
  </si>
  <si>
    <t>QatarPR_Geneva</t>
  </si>
  <si>
    <t>tariqahmadbt</t>
  </si>
  <si>
    <t>MOTQatar</t>
  </si>
  <si>
    <t>QatarNewsAgency</t>
  </si>
  <si>
    <t>MOCIQatar</t>
  </si>
  <si>
    <t>MoF_Qatar</t>
  </si>
  <si>
    <t>QFA</t>
  </si>
  <si>
    <t>qatarenergy</t>
  </si>
  <si>
    <t>MANAlMisned</t>
  </si>
  <si>
    <t>qatar_olympic</t>
  </si>
  <si>
    <t>JoaanBinHamad</t>
  </si>
  <si>
    <t>سمو الأمير المفدى يتلقى اتصالا هاتفيا من أخيه صاحب السمو الشيخ محمد بن زايد آل نهيان رئيس دولة الإمارات العربية المتحدة الشقيقة. https://t.co/jy0x2VY5Oq</t>
  </si>
  <si>
    <t>سمو الأمير المفدى يعزي دولة السيد ناريندرا مودي رئيس وزراء جمهورية الهند في وفاة والدته. https://t.co/rC5n4J6E8H</t>
  </si>
  <si>
    <t>Qatar condena enérgicamente los planes del gobierno israelí para desarrollar asentamientos
#MOFAQatar https://t.co/Gbmuhl7epL</t>
  </si>
  <si>
    <t>Statement : Qatar Condemns Israeli Government's Plans on Developing Settlements
#MOFAQatar https://t.co/nPhJRc4NBY</t>
  </si>
  <si>
    <t>بيان : قطر تدين بشدة خطط الحكومة الإسرائيلية لتطوير الاستيطان
#الخارجية_القطرية https://t.co/rW3QOiASCU</t>
  </si>
  <si>
    <t>Lolwah_Alkhater</t>
  </si>
  <si>
    <t>رأيتُ النور في عينيكِ إلّا
مخافةَ عاذل فيما تجلّى
رأيتكِ في ربوع القدسِ سفرا 
على جرس القيامة بات يتلى
وفي الأقصى وفي التكبير أخرى
فما كذب الفؤاد إذن و(ضلّا)
وطه والمسيحَ وقد هززتِ
بجذع الحقّ في الأرجاء حلّا
فصلى ابن الخليل عليك حبّا
وهذا ابن الجليل عليك صلّى
#شيرين_أبوعاقلة https://t.co/67UmClgzC3 https://t.co/Al22lkSVny</t>
  </si>
  <si>
    <t>شرفني سعادة الأخ خالد المطيري سفير الكويت الشقيقة بزيارة كريمة، أكدت له خلالها تقدير دولة قطر حكومة وشعباً للدعم الرسمي والشعبي لاستضافة قطر لنهائيات كأس العالم،  وليس ذلك إلا ترجمة لعلاقات الأخوة الراسخة بين قادة البلدين وشعوبهم. https://t.co/V4plKlDC3K</t>
  </si>
  <si>
    <t>Spokesperson for the Ministry of Foreign Affairs @majedalansari Meets Kuwait Ambassador
#MOFAQatar https://t.co/szHfhNvdaj</t>
  </si>
  <si>
    <t>المتحدث الرسمي لوزارة الخارجية @majedalansari  يجتمع مع السفير الكويتي
#الخارجية_القطرية https://t.co/QchS9wkmuG</t>
  </si>
  <si>
    <t>سمو الأمير المفدى يعزي فخامة الرئيس جو بايدن رئيس الولايات المتحدة الأمريكية الصديقة، في ضحايا العاصفة الثلجية التي اجتاحت عدداً من الولايات، متمنيا سموه الشفاء العاجل للمصابين. https://t.co/RIrrx8qDrP</t>
  </si>
  <si>
    <t>أقام سعادة السيد سلطان بن سعد المريخي، وزير الدولة للشؤون الخارجية، مأدبة غداء، لمديري الإدارات والمكاتب بوزارة الخارجية، وذلك تقديراً لدورهم خلال بطولة كأس العالم FIFA قطر 2022.
#الخارجية_القطرية https://t.co/g1GTVnttVJ</t>
  </si>
  <si>
    <t>Deputy Prime Minister and Minister of Foreign Affairs @MBA_AlThani_ Receives Telephone Call From US National Security Advisor
#MOFAQatar https://t.co/QZn9fhdfJw</t>
  </si>
  <si>
    <t>سمو الأمير المفدى يتلقى اتصالاً هاتفياً من دولة السيد شهباز شريف رئيس الوزراء في جمهورية باكستان الإسلامية، أعرب خلاله عن تهنئته لسموه بمناسبة نجاح تنظيم بطولة كأس العالم FIFA قطر 2022. https://t.co/UQn5XOiuHH</t>
  </si>
  <si>
    <t>Minister of Foreign Affairs of Iran received a written message from HE Deputy Prime Minister and Minister of Foreign Affairs pertaining to the bilateral relations between the two countries. 
#QNA 
https://t.co/QtNZ6jBnGt https://t.co/UlHSMO1GKf</t>
  </si>
  <si>
    <t>مساعد وزير الخارجية @Lolwah_Alkhater تجتمع مع ممثل (اليونسكو ) في الخليج واليمن ومدير مكتبها بالدوحة
#الخارجية_القطرية https://t.co/FibfJkO3ou</t>
  </si>
  <si>
    <t>HE Minister of State for Foreign Affairs met with HE Ambassador of the State of #Kuwait to Qatar and discussed aspects of bilateral cooperation between the two countries. #QNA
#Qatar
https://t.co/NEc7SSvXm0 https://t.co/O1qLgv0PWi</t>
  </si>
  <si>
    <t>لجنة الخدمات والمرافق العامة بـ #مجلس_الشورى، تجتمع برئاسة سعادة السيد محمد بن عيد الكعبي، وتناقش موضوع "إعادة تنظيم ومراقبة مكاتب استقدام عمال المنازل". https://t.co/wD7CVZqqC4</t>
  </si>
  <si>
    <t>Assistant Foreign Minister @Lolwah_Alkhater Meets UNESCO Representative for Gulf States and Yemen, Director of Doha Office
#MOFAQatar https://t.co/VE2Rojok93</t>
  </si>
  <si>
    <t>The State of #Qatar has been a source of inspiration to people across the world throughout the FIFA World Cup Qatar 2022™️, particularly because of the State's ambitious post-World Cup plans which include building on the sustainable legacy of the tournament. https://t.co/docALGNbVA</t>
  </si>
  <si>
    <t>حالة من السعار انتابت إعلاميين أوروبيين كثر وهم يمارسون عقدتهم الاستعلائية على ثقافات العالم بعد خلع "البشت" العربي على #ميسي تكريما. والمفارقة أن الأوربيين أنفسهم يمارسون هذا الطقس في كل حفلات التخرج وهو تقليد عربي بدأ في جامعة القرويين التي أسستها فاطمة الفهري عام ٨٥٩. https://t.co/qM0o01rjFl https://t.co/TUwnBQGeF0</t>
  </si>
  <si>
    <t>Secretary-General of Ministry of Foreign Affairs Meets Ugandan Permanent Secretary of Ministry of Foreign Affairs
#MOFAQatar https://t.co/Fkt6LobhgX</t>
  </si>
  <si>
    <t>Statement | Qatar Expresses Deep Concern, Disappointment over Decision to Suspend Study of Girls, Women in Afghanistan's Universities
#MOFAQatar https://t.co/pE65ghWLbu</t>
  </si>
  <si>
    <t>Disbursing Qatari Cash Assistance for Needy Families in Gaza Starts on Thursday
#MOFAQatar https://t.co/FJPQtX9vw4</t>
  </si>
  <si>
    <t>Disbursing Qatari Cash Assistance for Needy Families in Gaza Starts on Thursday
#MOFAQatar https://t.co/gxe6gXEmd7</t>
  </si>
  <si>
    <t>Minister of State for Foreign Affairs Meets Kenyan Secretary for Foreign &amp;amp; Diaspora Affairs
#MOFAQatar https://t.co/bdgCcMQCC4</t>
  </si>
  <si>
    <t>Minister of State for Foreign Affairs Meets Kuwaiti Ambassador
#MOFAQatar https://t.co/sD8ZVSOePs</t>
  </si>
  <si>
    <t>Deputy Prime Minister and Minister of Foreign Affairs @MBA_AlThani_  Sends Written Message to Iranian Foreign Minister
#MOFAQatar https://t.co/hmL0gql85f</t>
  </si>
  <si>
    <t>Assistant Foreign Minister for Regional Affairs @Dr_Al_Khulaifi Meets Iranian Deputy Foreign Minister for Political Affairs
#MOFAQatar https://t.co/pdyRH6T8bg</t>
  </si>
  <si>
    <t>انتخاب دولة قطر عضواً باللجنة التنظيمية للجنة بناء السلام
#الخارجية_القطرية https://t.co/1tIwYbdq5W</t>
  </si>
  <si>
    <t>الأمين العام لوزارة الخارجية يجتمع مع وكيل وزارة الخارجية في أوغندا
#الخارجية_القطرية https://t.co/6j0HZSboXI</t>
  </si>
  <si>
    <t>سمو الأمير المفدى يمنح سعادة تشو جيان سفير جمهورية الصين الشعبية، وسام الوجبة تقديراً لدوره في المساهمة في تعزيز العلاقات الثنائية بين البلدين، وذلك خلال استقبال سموه له في مكتبه بقصر لوسيل بمناسبة انتهاء فترة عمله في البلاد. https://t.co/VLxzdaTr3U https://t.co/EYMUQSa55z</t>
  </si>
  <si>
    <t>سمو الأمير المفدى يتلقى مزيداً من التهاني من أصحاب الجلالة والفخامة والسمو قادة ورؤساء الدول والحكومات الشقيقة والصديقة، بمناسبة نجاح تنظيم بطولة كأس العالم FIFA قطر 2022. https://t.co/7CTzuaX8wh</t>
  </si>
  <si>
    <t>وزير الدولة للشؤون الخارجية يجتمع مع السفير الكويتي
#الخارجية_القطرية https://t.co/Dw6t0n9GhM</t>
  </si>
  <si>
    <t>رسالة من نائب رئيس مجلس الوزراء وزير الخارجية @MBA_AlThani_  لوزير الخارجية الإيراني
#الخارجية_القطرية https://t.co/JaB3ZeFw04</t>
  </si>
  <si>
    <t>مساعد وزير الخارجية للشؤون الإقليمية @Dr_Al_Khulaifi  يجتمع مع نائب وزير الخارجية الإيراني للشؤون السياسية 
#الخارجية_القطرية https://t.co/x1MYsCmss5</t>
  </si>
  <si>
    <t>وثمن سعادة وزير الدولة للشؤون الخارجية، خلال المأدبة، الجهود الكبيرة التي بذلتها الإدارات والمكاتب في وزارة الخارجية خلال العام الحالي، معرباً عن تطلع الوزارة لمواصلة التميز في المرحلة المقبلة.
#الخارجية_القطرية https://t.co/Ko1k3aN7qr</t>
  </si>
  <si>
    <t>وزير الدولة للشؤون الخارجية يقيم مأدبة غداء لمديري الإدارات والمكاتب بوزارة الخارجية
#الخارجية_القطرية https://t.co/l4WNYdS7Qo</t>
  </si>
  <si>
    <t>Gowning #Messi with a“Bisht” drove many Euro-Centric supremacists Crazy. Do they know that their graduation gowns came from the Arabian gown? A tradition Muslims started in 859 at Al-Qarawiyyan University; founded by a Muslim Woman by the way. Too much for your colonial fantasy? https://t.co/cXYp1rBKg2</t>
  </si>
  <si>
    <t>سمو الأمير المفدى يتلقى اتصالًا هاتفيًا من فخامة الرئيس جوكو ويدودو رئيس جمهورية إندونيسيا، أعرب خلاله عن تهنئته بمناسبة نجاح تنظيم بطولة كأس العالم FIFA قطر 2022. https://t.co/14J4WgTXZa</t>
  </si>
  <si>
    <t>Statement | Qatar Expresses Deep Concern over Banning Afghan Women from Working in NGOs
#MOFAQatar https://t.co/Z8lvv65kb0</t>
  </si>
  <si>
    <t>بيان| قطر تعرب عن قلقها البالغ لحظر عمل الأفغانيات في المنظمات غير الحكومية
#الخارجية_القطرية https://t.co/NpGZIlqLsD</t>
  </si>
  <si>
    <t>أتقدم بأطيب التهاني والتبريكات لدولة #ليبيا حكومةً وشعباً بمناسبة ذكرى يوم الاستقلال متمنياً لهم المزيد من التقدم والازدهار. كما أشيد بالعلاقات الوطيدة بين بلدينا الشقيقين والتي نعمل على تنميتها في المجالات كافة.</t>
  </si>
  <si>
    <t>Deputy Prime Minister and Minister of Foreign Affairs @MBA_AlThani_ Meets High Representative of EU for Foreign Affairs
#MOFAQatar https://t.co/a36l4fcuty</t>
  </si>
  <si>
    <t>دولة قطر تشارك في مؤتمر بغداد للتعاون والشراكة بالأردن
#الخارجية_القطرية 
@MBA_AlThani_ https://t.co/ow7BHW8dsy</t>
  </si>
  <si>
    <t>Qatar Partakes in Baghdad Conference for Cooperation and Partnership in Jordan
#MOFAQatar 
@MBA_AlThani_ https://t.co/aXHhTZ4jO1</t>
  </si>
  <si>
    <t>بيان| دولة قطر تعرب عن قلقها البالغ وخيبة أملها من قرار تعليق دراسة الفتيات والنساء في جامعات أفغانستان
#الخارجية_القطرية https://t.co/Vy6t2g1qAM</t>
  </si>
  <si>
    <t>The State of Qatar's general budget for the 2023 fiscal year was announced by the @MoF_Qatar. Here are the top points, along with important figures and indicators that will direct the State’s financial plans as it works to achieve the #QNV2030. https://t.co/ETwircjYnA</t>
  </si>
  <si>
    <t>Qatar Participates in First Ministerial Meeting of Anti-Corruption Law Enforcement Agencies .#QNA
https://t.co/iI3mMVSTdm https://t.co/sM58gntDzv</t>
  </si>
  <si>
    <t>أعلنت @MoF_Qatar عن إصدار الموازنة العامة لدولة #قطر للسنة المالية 2023، وإليكم أبرز النقاط التي وردت فيها، بالإضافة إلى أهم الأرقام والحقائق والمؤشرات التي ستوجه الخطط المالية للدولة في سعيها المستمر لتحقيق #رؤية_قطر_الوطنية_2030. https://t.co/5s2KnBtJvY</t>
  </si>
  <si>
    <t>دولة #قطر تشارك في الاجتماع الوزاري الأول لأجهزة إنفاذ قانون مكافحة الفساد
#قنا
https://t.co/9UXuXNGsiw https://t.co/snk8scTu9A</t>
  </si>
  <si>
    <t>Met HE @JosepBorrellF in Amman to discuss cooperation,regional issues &amp;amp; investigations of corruption in the EU Parliament.We stressed the need to respect judicial process and not pre-empt results of investigations.I affirmed our rejection of misleading media leaks targeting Qatar https://t.co/KczDqYKVWj</t>
  </si>
  <si>
    <t>NadeebQa</t>
  </si>
  <si>
    <t>سموّ الأمير @TamimBinHamad يتلقى التهاني من أصحاب الجلالة والفخامة والسموّ قادة ورؤساء الدول والحكومات الشقيقة والصديقة بمناسبة نجاح تنظيم بطولة #كأس_العالم_قطر2022
#قطر2022 | #نديب_قطر | #قطر 🇶🇦 https://t.co/qJ1byUe0Ds</t>
  </si>
  <si>
    <t>التقيت اليوم بسعادة @JosepBorrellF في عمان حيث ناقشنا العلاقات الثنائية والتطورات الاقليمية، وتحقيقات الفساد في البرلمان الأوروبي، وأكدنا على ضرورة احترام اجراءات القضاء وعدم استباق نتائج التحقيقات، وأكدت له موقفنا الرافض للتسريبات الإعلامية المضللة التي تزج باسم قطر في المسألة. https://t.co/hhPZZ2aehn</t>
  </si>
  <si>
    <t>شكرن وصلة الرساله ..
#اليوم_العالمي_للغة_العربية https://t.co/o0zPLl8ODg</t>
  </si>
  <si>
    <t>البيان الصحفي لـ #وزارة_الداخلية بالتنسيق المشترك مع الجهات المختلفة في الدولة والشركاء في أمن وسلامة بطولة كأس العالم FIFA قطر 2022™ والجهات التنظيمية، بشأن جاهزية منفذ ابوسمرة البري لاستقبال جمهور المونديال اعتبارا من الأول من نوفمبر القادم وحتى انتهاء البطولة #الداخلية_قطر https://t.co/ePYBTolhEb</t>
  </si>
  <si>
    <t>سمو الأمير يتلقى التهاني بمناسبة نجاح تنظيم بطولة كأس العالم FIFA قطر 2022
#قنا 
#كأس_العالم_قطر2022 
https://t.co/OeGDw3L7vM https://t.co/8X3Q62ILlu</t>
  </si>
  <si>
    <t>🔗To learn more : https://t.co/JyA51WcVi9</t>
  </si>
  <si>
    <t>🔗لقراءة المزيد : https://t.co/xQYmdIi2NS</t>
  </si>
  <si>
    <t>سفارة دولة قطر لدى جمهورية البرازيل الإتحادية ، تحتفل باليوم الوطني للدولة
#وحدتنا_مصدر_قوتنا
#اليوم_الوطني_القطري 
#الخارجية_القطرية https://t.co/f6Je6VpLy1</t>
  </si>
  <si>
    <t>سفارة دولة قطر لدى جمهورية البرازيل الإتحادية ، تحتفل باليوم الوطني للدولة
#وحدتنا_مصدر_قوتنا
#اليوم_الوطني_القطري 
#الخارجية_القطرية https://t.co/UrAC9sC904</t>
  </si>
  <si>
    <t>سمو الأمير المفدى يتلقى التهاني من أصحاب الجلالة والفخامة والسمو قادة ورؤساء الدول والحكومات الشقيقة والصديقة، بمناسبة نجاح تنظيم بطولة كأس العالم FIFA قطر 2022. https://t.co/NWktwFd3xK</t>
  </si>
  <si>
    <t>The Embassy of the State of Qatar in The Federative Republic of Brazil celebrates the national day of the State 
#our_unity_source_of_our_strength 
#Qatar_national_Day 
#MOFAQatar https://t.co/TH5wSDeWpm</t>
  </si>
  <si>
    <t>The Embassy of the State of Qatar in The Federative Republic of Brazil celebrates the national day of the State 
#our_unity_source_of_our_strength 
#Qatar_national_Day 
#MOFAQatar https://t.co/gSY2WZwDrG</t>
  </si>
  <si>
    <t>al_watanQatar</t>
  </si>
  <si>
    <t>الأسطورة البرازيلية بيليه 🇧🇷 : شكراً قطر  🇶🇦
#جريدة_الوطن_القطرية #الدوحة #قطر #FIFAWorldCupQatar2022 #FIFAWorldCup2022 #QatarWorldCup2022 #Qatar2022 
@QatarEmb_BRS https://t.co/yE1p52H42R</t>
  </si>
  <si>
    <t>CrosbyNicky</t>
  </si>
  <si>
    <t>The fact that one of the loudest cheers of the night came when Sheikh Tamim draped the Bisht on Messi’s shoulders tells you what it meant. This is the greatest honour you can bestow on a person in the Arab world. Messi knew it, the people in the stadium knew it. https://t.co/oid9QjCTx2</t>
  </si>
  <si>
    <t>QATARNHRC</t>
  </si>
  <si>
    <t>بيان اللجنة الوطنية لحقوق الإنسان بشأن ختام مونديال كأس العالم فيفا قطر ٢٠٢٢.
#حقوق_الأنسان_قطر 
#فيفا_قطر٢٠٢٢
#فيفا
#حقوق_الإنسان https://t.co/8WtpvuOrwF</t>
  </si>
  <si>
    <t>@majedalansari : “el Estado de Qatar siempre ha pasado sus relaciones diplomáticas en métodos institucionales y nos hemos esforzado de presentar una imagen de Qatar transparente y abierta, así que hoy somos un socio internacional de confianza en el mundo”.
#MOFAQatar https://t.co/JcbjMV8Jjl</t>
  </si>
  <si>
    <t>Statement | Qatar Strongly Condemns Attack on UN Peacekeeping Force in Southern Lebanon
#MOFAQatar https://t.co/GfcwyjsYkj</t>
  </si>
  <si>
    <t>Deputy Prime Minister and Minister of Foreign Affairs @MBA_AlThani_  Meets UN Permanent Representative of USA
#MOFAQatar https://t.co/ZI2dObMuSp</t>
  </si>
  <si>
    <t>Qatar Participates in Third Tehran Dialogue Forum
#MOFAQatar https://t.co/j9GoMJTM00</t>
  </si>
  <si>
    <t>Iranian Foreign Minister Meets Assistant Foreign Minister for Regional Affairs
🔗To learn more : https://t.co/w3sKTGq26J
#MOFAQatar https://t.co/LSQcNyxTzS</t>
  </si>
  <si>
    <t>بيان | دولة قطر تدين بشدة هجوماً في العراق
#الخارجية_القطرية https://t.co/aLOGSyrJFi</t>
  </si>
  <si>
    <t>وزير الخارجية الإيراني يجتمع مع مساعد وزير الخارجية للشؤون الإقليمية @Dr_Al_Khulaifi  
🔗لقراءة المزيد : https://t.co/WefbeaINYJ
#الخارجية_القطرية https://t.co/uJFrvtEIV7</t>
  </si>
  <si>
    <t>سمو الأمير المفدى يتلقى اتصالا هاتفيا من أخيه جلالة الملك عبدالله الثاني ابن الحسين ملك المملكة الأردنية الهاشمية الشقيقة، أعرب خلاله عن تهنئته لسمو الأمير بمناسبة نجاح بطولة كأس العالم FIFA قطر 2022. https://t.co/ogNRg9m1K7</t>
  </si>
  <si>
    <t>سمو الأمير المفدى يتلقى اتصالا هاتفيا من فخامة الرئيس قاسم جومارت توكاييف رئيس جمهورية كازاخستان، أعرب خلاله عن تهنئته لسمو الأمير بمناسبة نجاح بطولة كأس العالم FIFA قطر 2022. https://t.co/NRma46ZPFB</t>
  </si>
  <si>
    <t>إثنا عشر عاماً مرت، عبر طريق ملؤه التحديات، وقف على جانبيه المتربصون، لتكتسي قطر البارحة بثوب الفخر والمجد مع إسدال الستار على أعظم بطولات كأس العالم، ويتحقق الحلم.
لحظة تاريخية لبلادنا والمنطقة، وقفت خلفها قيادة حالمة وشعب لا يعرف المستحيل.
وللعالم نقول، هذه ليست إلا البداية… https://t.co/uRZv5Ua9G4</t>
  </si>
  <si>
    <t>HH the Amir Issues Amiri Decision Establishing Police Academy. #QNA https://t.co/PiaFmOvLur</t>
  </si>
  <si>
    <t>En una entrevista con la VOA, @majedalansari Portavoz del Ministerio de Relaciones Exteriores:  “Qatar ha pagado más de 350 millones de dólares por trabajadores lesionaos o muertos y eso refleja el compromiso de nuestro país ”
#MOFAQatar https://t.co/T84ExFle8j</t>
  </si>
  <si>
    <t>En una entrevista con la VOA, @majedalansari Portavoz del Ministerio de Relaciones Exteriores: “la información que tenemos hasta ahora viene de los medios y los fiscales oficiales no mencionaron el nombre de Qatar”.
#MOFAQatar https://t.co/Akmsm6UNrn</t>
  </si>
  <si>
    <t>En una entrevista con la VOA, @majedalansari Portavoz del Ministerio de Relaciones Exteriores: “el deporte es una herramienta para alcanzar paz y unidad el mundo de hoy”
#MOFAQatar https://t.co/eoUFR7hvxG</t>
  </si>
  <si>
    <t>Qatar condena enérgicamente un ataque en Irak
#MOFAQatar https://t.co/edSDK6Qkmm</t>
  </si>
  <si>
    <t>بالتزامن مع يومنا الوطني 🇶🇦، شهد العالم حدثاً تاريخياً عالمياً فاز فيه الجميع فرنسا 🇫🇷 والأرجنتين 🇦🇷 بتقديم نهائي استثنائي، في أجواء ثقافية ورياضية عالمية أسعدت العالم أجمع. https://t.co/DgBOLeoxMl</t>
  </si>
  <si>
    <t>دولة قطر تشارك في منتدى طهران الثالث للحوار
#الخارجية_القطرية https://t.co/Q94HJvpKkL</t>
  </si>
  <si>
    <t>Statement | The State of Qatar strongly condemns the attack in Iraq 
#MOFAQatar https://t.co/FjNtziJHq1</t>
  </si>
  <si>
    <t>كالعهد بنا، نرفع هامتنا عالية و نحن نختتم أروع بطولة شهدها تاريخ مونديال كأس العالم لكرة القدم علي الاطلاق بقيادة حضرة صاحب السمو  الشيخ تميم بن حمد آل ثاني، أمير البلاد المفدى -حفظه الله ورعاه- صاحب الرؤية ، والارادة، و الطموح  و الأمجاد.#qatar2022 https://t.co/XXZ0NhU91s</t>
  </si>
  <si>
    <t>كما أشكر الاتحاد الدولي لكرة القدم على التعاون البناء في تنظيم هذه البطوله وأتمنى أن يكون النجاح الذي حققناه في استضافة البطولة دافعاً لتقديم المزيد من العطاء خدمة ورفعة لوطننا الغالي.</t>
  </si>
  <si>
    <t>مع انتهاء بطولة كأس العالم FIFA قطر 2022 أتقدم بالشكر لكل من ساهم من جماهير ومتطوعين وأفراد ومؤسسات ووزارات في إنجاح البطولة وإظهارها ودولة قطر والعالم العربي بصورة مشرفة لملايين من المشاهدين حول العالم.</t>
  </si>
  <si>
    <t>سمو الأمير المفدى يتلقى اتصالًا هاتفيًا من أخيه فخامة الرئيس عبدالمجيد تبون رئيس الجمهورية الجزائرية الديمقراطية الشعبية الشقيقة، أعرب خلاله عن تهنئته لسمو الأمير بمناسبة اليوم الوطني للدولة، وبمناسبة نجاح بطولة كأس العالم FIFA قطر 2022. https://t.co/YgwL2JHSYs</t>
  </si>
  <si>
    <t>سمو الأمير المفدى يعزي أخاه خادم الحرمين الشريفين الملك سلمان بن عبدالعزيز آل سعود ملك المملكة العربية السعودية الشقيقة، بوفاة صاحب السمو الأمير فهد بن تركي بن عبدالله بن محمد بن سعود الكبير آل سعود. https://t.co/MZxVuJjsqI</t>
  </si>
  <si>
    <t>The #FIFAWorldCup2022 ends today, but the vision does not end and does not stop here. The symbolism of the #QatarNationalDay coinciding with the tournament’s finals lies in Qatar's ability to turn dreams into reality and challenges into opportunities.</t>
  </si>
  <si>
    <t>حضور أصحاب السعادة السفراء المعتمدين لدى الدولة لمباريات بطولة كأس العالم FIFA قطر ٢٠٢٢ ™️
#الخارجية_القطرية https://t.co/MYgIU5C5f8</t>
  </si>
  <si>
    <t>بيان| قطر تدين بشدة هجومًا على قوة حفظ السلام بجنوب لبنان
#الخارجية_القطرية https://t.co/dY5WjNBFqj</t>
  </si>
  <si>
    <t>سمو الأمير المفدى يتلقى التهاني من أصحاب الجلالة والفخامة والسمو قادة ورؤساء الدول الشقيقة والصديقة، بمناسبة اليوم الوطني للدولة. https://t.co/ESuxCTPSQy</t>
  </si>
  <si>
    <t>سمو الأمير المفدى يشارك في عرضة هل قطر، التي أقيمت في الساحة الخارجية بقصر لوسيل، احتفالا باليوم الوطني للدولة. https://t.co/AaolcUJi1t https://t.co/cvzHgxRZDO</t>
  </si>
  <si>
    <t>يأتي #اليوم_الوطني_القطري لهذا العام تتويجاً لنهضة مباركة ومسيرة حافلة بالانجازات على كافة الأصعدة في ظل قيادتنا الرشيدة، التي اتخذت من الوحدة العربية شعاراً وهدفاً سامياً. سائلاً المولى عز وجل أن يديم علينا وعلى كافة الأقطار العربية الأمن والأمان والازدهار. https://t.co/8VqBX7vYq7</t>
  </si>
  <si>
    <t>#وحدتنا_مصدر_قوتنا 
#اليوم_الوطني_القطري https://t.co/x4mmrYNjSv</t>
  </si>
  <si>
    <t>نائب رئيس مجلس الوزراء وزير الخارجية @MBA_AlThani_  يجتمع مع المندوبة الدائمة للولايات المتحدة الأمريكية لدى الأمم المتحدة
#الخارجية_القطرية https://t.co/uYCIxPMsAC</t>
  </si>
  <si>
    <t>📽️نائب رئيس مجلس الوزراء وزير الخارجية @MBA_AlThani_  يجتمع مع المندوبة الدائمة للولايات المتحدة الأمريكية لدى الأمم المتحدة
#الخارجية_القطرية https://t.co/6ZiDvZG0aM</t>
  </si>
  <si>
    <t>سررت بلقاء سعادة السيدة @USAmbUN المندوبة الدائمة للولايات المتحدة الأمريكية لدى الأمم المتحدة، لنقاش سبل تعزيز التعاون الثنائي بين بلدينا الصديقين، على هامش مشاركتها في فعاليات #كأس_العالم_قطر_2022، كما تطرقنا إلى عدد من الموضوعات ذات الاهتمام المشترك. https://t.co/JaG8zbcdV9</t>
  </si>
  <si>
    <t>من أكبر النعم التي منّ الله بها على هذه البلاد الطيبة تماسكُ شعبها وتلاحمه وتمسكه بدينه وثقافته في ظل تحديات العولمة. لقد شكل النموذج القطري خلال البطولة حالة فريدة حيث أظهرنا للعالم انفتاحنا وكرم ضيافتنا مع التمسك بأصالة هويتنا. #وحدتنا_مصدر_قوتنا https://t.co/ngwjfrU8f2</t>
  </si>
  <si>
    <t>سمو الأمير المفدى يشهد حفل ختام بطولة كأس العالم FIFA قطر 2022، في استاد لوسيل. https://t.co/SZgiBalnHK https://t.co/gGYRuUNGW7</t>
  </si>
  <si>
    <t>We extend our congratulations on #Qatar_National_Day, to HH Sheikh Tamim bin Hamad Al Thani, the Amir of #Qatar, &amp;amp; the Qatari people, &amp;amp; affirm that our strength comes from our unity, &amp;amp; is the solid foundation that our foreign policy, based on lending a helping hand, is built on. https://t.co/I466d0WUa9</t>
  </si>
  <si>
    <t>في هذا اليوم نحتفل بمناسبة اليوم الوطني لبلادنا قطر، ونحتفل بمناسبة ختام البطولة الأفضل في تاريخ بطولات كأس العالم ..
وحدتنا مصدر قوتنا وبها سيتواصل الانجاز بقيادة سيدي أمير البلاد المُفدى ..
كل عام وقطر وأهلها بخير .. 🇶🇦 https://t.co/AMYjpyUrCC</t>
  </si>
  <si>
    <t>Pleased to meet HE @USAmbUN, Permanent Representative of the U.S. to the United Nations, to discuss ways to enhance our bilateral cooperation, on the sidelines of her participation in the #QatarWorldCup activities, we also discussed a number of issues of common interest. https://t.co/gMjJCVQvJM</t>
  </si>
  <si>
    <t>في يومنا الوطني هذا العام يحتفل معنا العالم هنا في قطر بإنجاز وطني لا مثيل له، أبرز دور بلادنا الفاعل في الساحة العالمية، وهوية شعبنا المضياف المعتز بقيمه وأهمية التعارف والتواصل بين شعوب العالم، لتنطلق قطر من هذه اللحظة الاستثنائية إلى فضاء أرحب متسلحة بسمعتها كشريك دولي موثوق. https://t.co/6QnY4o2QTs</t>
  </si>
  <si>
    <t>#Our_Unity_Source_of_Our_Strength 
#Qatar_National_Day https://t.co/EYaek8boMV</t>
  </si>
  <si>
    <t>أبارك لمنتخب الأرجنتين فوزهم بكأس العالم قطر 2022، وللمنتخب الفرنسي وصافة البطولة، وأشكر كل المنتخبات على لعبهم الرائع، والجماهير التي شجعتهم بحماس. ومع الختام نكون أوفينا بوعدنا بتنظيم بطولة استثنائية من بلاد العرب، أتاحت الفرصة لشعوب العالم لتتعرف على ثراء ثقافتنا وأصالة قيمنا.</t>
  </si>
  <si>
    <t>تنتهي بطولة #كأس_العالم_قطر_2022 اليوم، ولكن الرؤية لا تنتهي ولا تقف عند هذا الحد. إن رمزية تزامن #اليوم_الوطني_القطري مع اختتام البطولة تكمن في قدرة قطر على تحويل الأحلام إلى واقع والتحديات إلى فرص.</t>
  </si>
  <si>
    <t>بمناسبة #اليوم_الوطني_القطري نرفع أسمى آيات التهنئة والتبريكات لحضرة صاحب السمو الشيخ تميم بن حمد آل ثاني أمير البلاد المفدى وللشعب القطري الكريم، ونؤكد أن #وحدتنا_مصدر_قوتنا والأساس الصلب الذي بنيت عليه ركائز سياستنا الخارجية القائمة على مد أيادي الخير أينما استطعنا. https://t.co/1yykaVlyPE</t>
  </si>
  <si>
    <t>This year’s #Qatar_National_Day comes as a culmination of a march full of achievements at all levels under our wise leadership, which has taken Arab unity as a supreme goal. May Allah keep our country and all Arab nations safe and peaceful. https://t.co/pRQQsZR1ju</t>
  </si>
  <si>
    <t>On our National Day the world celebrates with us an achievement that showcased Qatar’s vital role in the international community and the values &amp;amp; hospitality of its people.This moment will lead Qatar to a greater future shaped by its reputation as a trusted international partner. https://t.co/mIrqMQmpex</t>
  </si>
  <si>
    <t>نبارك لشعبنا والمقيمين على هذه الأرض الطيبة بمناسبة يومنا الوطني، الذي يصادف هذا العام أجواء احتفالية مع ضيوف قطر من شتى أنحاء العالم في ختام بطولة كروية عالمية واستثنائية. كل عام وقطر في عز ورفعة، وأدام الله على بلدنا الأمن والأمان والاستقرار.</t>
  </si>
  <si>
    <t>#Our_Unity_Source_of_Our_Strength 
#Qatar_National_Day https://t.co/WkBfu16Jds</t>
  </si>
  <si>
    <t>#Our_Unity_Source_of_Our_Strength 
#Qatar_National_Day https://t.co/TSHeHfNuMl</t>
  </si>
  <si>
    <t>#Our_Unity_Source_of_Our_Strength 
#Qatar_National_Day https://t.co/ZUmWFxRXzy</t>
  </si>
  <si>
    <t>#اليوم_الوطني_القطري 
#وحدتنا_مصدر_قوتنا https://t.co/jlAGigXYcL</t>
  </si>
  <si>
    <t>Deputy Prime Minister and Minister of Foreign Affairs @MBA_AlThani_  Meets Egyptian Minister of Planning and Economic Development
#MOFAQatar https://t.co/I0sTs9jBhT</t>
  </si>
  <si>
    <t>Their Excellencies, the accredited ambassadors to the State of Qatar, highlight their experiences in the FIFA World Cup Qatar 2022.
#MOFAQatar https://t.co/7PSd60we2w</t>
  </si>
  <si>
    <t>HE Assistant Foreign Minister met with the Turkish Deputy Foreign Minister , who is currently visiting the country to attend a part of the FIFA World Cup #Qatar2022 events.#QNA https://t.co/tdidDgmguk</t>
  </si>
  <si>
    <t>سمو الأمير المفدى يلتقي مع فخامة الرئيس إيمانويل ماكرون رئيس الجمهورية الفرنسية الصديقة، الذي يزور البلاد لحضور جانب من مباريات بطولة كأس العالم FIFA قطر 2022، وذلك في استاد البيت.  https://t.co/HvI4EefDxw https://t.co/H34whwx49l</t>
  </si>
  <si>
    <t>Qatar Calls for Strengthening Multilateral Action to Address Issues and Challenges that Threaten Global Peace and Security
🔗To learn more: https://t.co/Fd9NsdCJH4
#MOFAQatar https://t.co/i41MDXXlY8</t>
  </si>
  <si>
    <t>قطر تدعو إلى تعزيز العمل المتعدد الأطراف لمعالجة القضايا والتحديات التي تهدد السلام والأمن العالميين
🔗لقراءة المزيد: https://t.co/SUckzerRHJ
#الخارجية_القطرية https://t.co/vuE5MoaC2M</t>
  </si>
  <si>
    <t>Pleased to receive SRSG for #Afghanistan Ms. Roza Otunbayeva 🇺🇳 following her recent visit to Doha.
I reaffirmed #Qatar 🇶🇦 support for the work of @UNAMAnews &amp;amp; their mandate &amp;amp; our commitment towards Afghanistan🇦🇫, including protecting the right to #EducationForAll
@MofaQatar_EN https://t.co/2d86eywon6</t>
  </si>
  <si>
    <t>📽️نائب رئيس مجلس الوزراء وزير الخارجية @MBA_AlThani_ يجتمع مع وزيرة التخطيط والتنمية الاقتصادية المصرية
#الخارجية_القطرية https://t.co/D2IByR1ykw</t>
  </si>
  <si>
    <t>مساعد وزير الخارجية @Lolwah_Alkhater تجتمع مع نائب وزير الخارجية التركي
#الخارجية_القطرية https://t.co/cbmVtlX3f9</t>
  </si>
  <si>
    <t>Félicitations 👏 aux Bleus pour la qualification à la finale de #CoupeDuMondeFIFA ! 🇫🇷🇶🇦 https://t.co/Rgn1TRwT7X</t>
  </si>
  <si>
    <t>Assistant Foreign Minister @Lolwah_Alkhater Meets Turkish Deputy Foreign Minister
#MOFAQatar https://t.co/QNcJdbouM6</t>
  </si>
  <si>
    <t>Asistente del Ministro de Relaciones Exteriores @Lolwah_Alkhater  se reúne con el Viceministro de Asuntos Exteriores turco
#MOFAQatar https://t.co/uiBQCuAeB2</t>
  </si>
  <si>
    <t>نائب رئيس مجلس الوزراء وزير الخارجية @MBA_AlThani_  يجتمع مع وزيرة التخطيط والتنمية الاقتصادية المصرية
#الخارجية_القطرية https://t.co/nrwbShCxjH</t>
  </si>
  <si>
    <t>Viceprimer Ministro y Ministro de Relaciones Exteriores @MBA_AlThani_  se reúne con Ministro de Asuntos Exteriores y comercio de hungría
#MOFAQatar https://t.co/E2ofzkS5dI</t>
  </si>
  <si>
    <t>HH the Amir met with King of #Malaysia, who is visiting the country to attend part of the FIFA World Cup Qatar 2022 matches. #QNA
#Qatar
#WorldCupQatar2022
https://t.co/fffNE3wUQk https://t.co/U3dwCKiH0L</t>
  </si>
  <si>
    <t>سمو الأمير يلتقي ملك #ماليزيا الذي يزور البلاد لحضور جانب من مباريات بطولة كأس العالم FIFA #قطر2022
#قنا 
#قطر 
#كأس_العالم_قطر_2022 
https://t.co/KD3aHAGMiV https://t.co/2uVl2KHu22</t>
  </si>
  <si>
    <t>I met today with HE Julio Cesar Arriola, Minister of Foreign Affairs of the Republic of #Paraguay, to discuss ways to develop bilateral relations between us in all fields, we also exchanged views on a number of issues of common interest. https://t.co/9bUgVuzfAL</t>
  </si>
  <si>
    <t>التقيت اليوم بسعادة السيد خوليو سيزار أريولا، وزير الخارجية في جمهورية #الباراغواي، لنقاش سبل تطوير العلاقات الثنائية بيننا في المجالات كافة، كما تبادلنا الآراء حول عدد من القضايا ذات الاهتمام المشترك. https://t.co/8xiDE0rccG</t>
  </si>
  <si>
    <t>📽️نائب رئيس مجلس الوزراء وزير الخارجية @MBA_AlThani_  يجتمع مع وزير الخارجية والتجارة الهنغاري
#الخارجية_القطرية https://t.co/705uRYJlpN</t>
  </si>
  <si>
    <t>📽️نائب رئيس مجلس الوزراء وزير الخارجية @MBA_AlThani_  يجتمع مع وزير العلاقات الخارجية في الباراغواي
#الخارجية_القطرية https://t.co/K5O0Bwiy5R</t>
  </si>
  <si>
    <t>Deputy Prime Minister and Minister of Foreign Affairs @MBA_AlThani_  Meets Hungarian Minister of Foreign Affairs and Trade
#MOFAQatar https://t.co/wxYsVD257h</t>
  </si>
  <si>
    <t>نائب رئيس مجلس الوزراء وزير الخارجية @MBA_AlThani_  يجتمع مع وزير العلاقات الخارجية في الباراغواي
#الخارجية_القطرية https://t.co/C8GWfb9HWq</t>
  </si>
  <si>
    <t>Deputy Prime Minister and Minister of Foreign Affairs @MBA_AlThani_  Meets Minister of Foreign Affairs of Paraguay
#MOFAQatar https://t.co/xJsTO0jvvR</t>
  </si>
  <si>
    <t>Pleased to meet HE Péter Szijjártó, Minister of Foreign Affairs &amp;amp; Trade of #Hungary, in a fruitful discussion on ways to strengthen bilateral relations between our two friendly countries &amp;amp; to support the exchange of experiences &amp;amp; cooperation between us in various fields. https://t.co/l1rvbINdB7</t>
  </si>
  <si>
    <t>مساعد وزير الخارجية للشؤون الإقليمية @Dr_Al_Khulaifi  يجتمع مع نائب وزير الخارجية التركي
#الخارجية_القطرية https://t.co/xfReWkZWH6</t>
  </si>
  <si>
    <t>Assistant Foreign Minister for Regional Affairs @Dr_Al_Khulaifi  Meets Turkish Deputy Foreign Minister
#MOFAQatar https://t.co/NObWWWg38A</t>
  </si>
  <si>
    <t>Viceprimer Ministro y Ministro de Relaciones Exteriores se reúne con Ministro de Relaciones Exteriores de paraguay
#MOFAQatar https://t.co/MVUAyeiirR</t>
  </si>
  <si>
    <t>سررت بلقاء سعادة السيد بيتر زيجارتو، وزير الخارجية والتجارة في #هنغاريا، وبحوار مثمر حول سبل تعزيز العلاقات الثنائية بين بلدينا الصديقين ودعم تبادل الخبرات والتعاون بيننا في شتى المجالات. https://t.co/JOPbJTV2OP</t>
  </si>
  <si>
    <t>نائب رئيس مجلس الوزراء وزير الخارجية @MBA_AlThani_  يجتمع مع وزير الخارجية والتجارة الهنغاري
#الخارجية_القطرية https://t.co/3zkgWfnP5P</t>
  </si>
  <si>
    <t>Viceprimer Ministro y Ministro de Relaciones Exteriores se reúne con el Ministro de Asuntos Exteriores y Europeos de Croacia
#MOFAQatar https://t.co/ENESNKOBNU</t>
  </si>
  <si>
    <t>Qatar Participates in 'Solidarity with Ukrainian People' Conference in Paris
#MOFAQatar https://t.co/iykHFPkC3j</t>
  </si>
  <si>
    <t>📽️نائب رئيس مجلس الوزراء وزير الخارجية @MBA_AlThani_  يجتمع مع حاكم ولاية أوكلاهوما الأمريكية
#الخارجية_القطرية https://t.co/urPItNDb6C</t>
  </si>
  <si>
    <t>Deputy Prime Minister and Minister of Foreign Affairs @MBA_AlThani_  Meets Governor of US State of Oklahoma
#MOFAQatar https://t.co/fNgGe8rmZT</t>
  </si>
  <si>
    <t>Pleased to meet HE @GovStitt the Governor of the state of Oklahoma in the United States of America, to discuss ways to enhance joint work between us in various fields. Looking forward to strengthening cooperation between us to serve the aspirations of our two friendly people. https://t.co/cZSFbmqRkq</t>
  </si>
  <si>
    <t>Doha Named Arab Tourism Capital for 2023
🔗To learn more : https://t.co/t7T93l8vLp
#MOFAQatar https://t.co/mZ1rdq9Oc9</t>
  </si>
  <si>
    <t>سررت بلقاء سعادة السيد @GovStitt حاكم ولاية أوكلاهوما بالولايات المتحدة الأمريكية، لنقاش سبل تعزيز العمل المشترك بيننا في شتى المجالات. متطلع لتعزيز التعاون بيننا لخدمة طموحات شعبينا الصديقين. https://t.co/ztSAnCL5nF</t>
  </si>
  <si>
    <t>دولة قطر تشارك بمؤتمر "متضامنون مع الشعب الأوكراني" في باريس
🔗 لقراءة المزيد : https://t.co/VuMmhuPrH1
#الخارجية_القطرية https://t.co/FH6nPnIr9x</t>
  </si>
  <si>
    <t>نائب رئيس مجلس الوزراء وزير الخارجية @MBA_AlThani_  يجتمع مع حاكم ولاية أوكلاهوما الأمريكية
#الخارجية_القطرية https://t.co/MrkCkq3rmS</t>
  </si>
  <si>
    <t>Pleased to meet HE @grlicradman Minister of Foreign &amp;amp; European Affairs of #Croatia, alongside his participation in the #WorldCup activities, to discuss strengthening our relations in various fields, wishing success to the teams qualified for the semi-finals of the tournament. https://t.co/nYFNMaCEba</t>
  </si>
  <si>
    <t>Lusail Boulevard accommodates the gathering of diverse cultures and people who join together in peace through the celebration of life in #Qatar.
#VisiontoReality
#NowisAll https://t.co/iw3qmoIaqa</t>
  </si>
  <si>
    <t>سعدت بالترحيب بسعادة السيد @grlicradman وزير الخارجية والشؤون الأوروبية في جمهورية #كرواتيا، على هامش مشاركته في فعاليات #كأس_العالم_قطر_2022 ، لنقاش سبل تعزيز العلاقات الثنائية بيننا في شتى المجالات، متمنياً التوفيق لجميع المنتخبات المتأهلة لنصف النهائي للبطولة. https://t.co/QiTsB28O5q</t>
  </si>
  <si>
    <t>نائب رئيس مجلس الوزراء وزير الخارجية @MBA_AlThani_ يجتمع مع وزير الخارجية والشؤون الأوروبية الكرواتي
#الخارجية_القطرية https://t.co/J7F8oWxbkz</t>
  </si>
  <si>
    <t>الأمين العام لوزارة الخارجية يجتمع مع نظيره القبرصي
#الخارجية_القطرية https://t.co/kw20eKOyj8</t>
  </si>
  <si>
    <t>Deputy Prime Minister and Minister of Foreign Affairs @MBA_AlThani_  Meets Croatian Minister of Foreign and European Affairs
#MOFAQatar https://t.co/EvcW3v0Ji3</t>
  </si>
  <si>
    <t>We 🇶🇦 remain committed to pushing forward the Gender parity Agenda at all levels of the society &amp;amp; organizations for a more equal, inclusive, peaceful &amp;amp; fair world.
@MofaQatar_EN</t>
  </si>
  <si>
    <t>#GenderEquality &amp;amp; #WomenEmpowerment remain 🔑 priorities for #Qatar 🇶🇦 &amp;amp; we value UNSG @antonioguterres initiatives against sexual harassment, gender-based violence, #WomenRights &amp;amp; for achieving parity at the top of @UN, as well as ED @unwomenchief  for their support to this GoF.</t>
  </si>
  <si>
    <t>Delighted to co-chair the GoF on Gender Parity meeting to mark 5th Anniversary of #GenderParity Strategy alongside Amb @claverGatete of @RwandaUN &amp;amp; in presence of UNSG @antonioguterres &amp;amp; @unwomenchief, to engage w/ MS on progress made &amp;amp; ongoing initiatives.
📸@UN_Women/ RyanBrown https://t.co/jTkFxIcJaD</t>
  </si>
  <si>
    <t>اختيار الدوحة عاصمة للسياحة العربية للعام 2023
🔗 لقراءة المزيد : https://t.co/io1xposJv5
#الخارجية_القطرية https://t.co/xNLZRp60x6</t>
  </si>
  <si>
    <t>Secretary-General of Ministry of Foreign Affairs Meets Cypriot Counterpart
#MOFAQatar https://t.co/WLXSvAnyhg</t>
  </si>
  <si>
    <t>🎥| نائب رئيس مجلس الوزراء وزير الخارجية @MBA_AlThani_ يجتمع مع وزير الخارجية والشؤون الأوروبية الكرواتي
#الخارجية_القطرية https://t.co/EXYUpBbIKT</t>
  </si>
  <si>
    <t>نائب رئيس مجلس الوزراء وزير الخارجية @MBA_AlThani_ في حديث لـ صحيفة واشنطن بوست: 
" بطولة كأس العالم FIFA قطر 2022 هي الأكثر شمولاً " 
#الخارجية_القطرية https://t.co/lH2USBfPDA</t>
  </si>
  <si>
    <t>In an interview with The Washington Post, Deputy Prime Minister and Minister of Foreign Affairs @MBA_AlThani_ :
"The FIFA World Cup Qatar 2022 is the most inclusive World Cup"
#MOFAQatar https://t.co/mrB04OO0gT</t>
  </si>
  <si>
    <t>En una entrevista con The Washington Post, Viceprimer Ministro y Ministro de Relaciones Exteriores @MBA_AlThani_ :
"La Copa Mundial de la FIFA Qatar 2022 es el torneo más inclusivo"
#MOFAQatar https://t.co/X4ECgCjwyI</t>
  </si>
  <si>
    <t>Día Internacional contra la Corrupción
#MOFAQatar https://t.co/yu0TL13dAd</t>
  </si>
  <si>
    <t>Discurso del H.E. Dr. Turki Abdulla Zaid Al-Mahmoud Director del Departamento de Derechos Humanos por la ocasión del Día Internacional de los Derechos Humanos
#HumanRightsDay
#MOFAQatar https://t.co/6gdQ3aRAJe</t>
  </si>
  <si>
    <t>Al-Kuwari: La experiencia acumulada de los equipos anfitriones de los huéspedes del Estado  es motivo de orgullo para el Ministerio de Relaciones Exteriores 
#MOFAQatar 
#Qatar2022 https://t.co/QyT3SP4n86</t>
  </si>
  <si>
    <t>Asistente del Ministro de Relaciones Exteriores se reúne con los enviados de Australia y Canadá en Afganistán y con la enviada especial de los Estados Unidos para Asuntos de las mujeres afganas y los derechos humanos
#MOFAQatar https://t.co/ezqFMwgMJ8</t>
  </si>
  <si>
    <t>Asistente del Ministro de Relaciones Exteriores se reúne con el Enviado Especial del Secretario General de la OIC y Viceministro de Relaciones Exteriores de Azerbaiyán
#MOFAQatar https://t.co/6h6qq5Gy0r</t>
  </si>
  <si>
    <t>Viceprimer Ministro y Ministro de Relaciones Exteriores participa en el evento "El poder de la innovación en un mundo post-COVID-19"
#MOFAQatar https://t.co/iqiWvPm5BL</t>
  </si>
  <si>
    <t>#MOFAQatar https://t.co/Gm7dXMoUDA</t>
  </si>
  <si>
    <t>Permanent Delegation of Qatar in New York Organizes Football Matches at UN Headquarters to Celebrate World Cup
🔗To learn more : https://t.co/bhTqIi23Wk
#MOFAQatar https://t.co/3gRJHsx6Av</t>
  </si>
  <si>
    <t>I congratulate the friendly Kingdom of #Spain, on their Constitution Day, wishing them further progress &amp;amp; prosperity. We look forward to developing our distinguished relationship to serve the interests of our friendly people &amp;amp; achieve regional &amp;amp; international peace &amp;amp; stability.</t>
  </si>
  <si>
    <t>Qatar Affirms Keenness to Provide Various Types of Support to UN to Fulfill its Tasks and Mandate
🔗 To learn more: https://t.co/VwKTkkF3Xe
#MOFAQatar https://t.co/r2mylNMWWD</t>
  </si>
  <si>
    <t>Qatar Affirms Keenness to Support UN Efforts to Assist Refugees, Displaced
🔗 To learn more: https://t.co/vkuOb2kShA
#MOFAQatar https://t.co/b5EGsD8asm</t>
  </si>
  <si>
    <t>Qatar's Ambassador to Italy Elected Vice-President of Food and Agriculture Organization
#MOFAQatar https://t.co/Roe9NLUQgx</t>
  </si>
  <si>
    <t>Deputy Prime Minister and Minister of Foreign Affairs @MBA_AlThani_ Receives Phone Call from Irish Foreign and Defense Minister
#MOFAQatar https://t.co/W57djI5fkM</t>
  </si>
  <si>
    <t>President of Djibouti Receives Credentials of Qatar Ambassador
#MOFAQatar https://t.co/iDw31lQmmN</t>
  </si>
  <si>
    <t>The 6th edition of “HH Sheikh Tamim bin Hamad Al Thani’s International Anti-Corruption Excellence Award" reiterates our dedication to the principles of transparency, integrity &amp;amp; accountability, &amp;amp; reaffirms #Qatar’s commitment to support all efforts to combat corruption worldwide.</t>
  </si>
  <si>
    <t>Statement | Qatar Strongly Condemns the Israeli Occupation Forces’ Storming of the City of Jenin
#MOFAQatar https://t.co/5RZvjMQCM0</t>
  </si>
  <si>
    <t>Qatar Renews Commitment to Continue Providing Necessary Support to UNHCR's Activities, Programs
🔗To learn more: https://t.co/dNenLbr3Z0
#MOFAQatar https://t.co/vYJdLAPZ8s</t>
  </si>
  <si>
    <t>Participated in “The Power of Innovation in the Post-Covid World” with @BillGates, Co-chair of the Bill &amp;amp; Melinda Gates Foundation, which highlighted lessons learned from the pandemic, &amp;amp; the importance of investing in innovative healthcare to address cross-border health crises. https://t.co/xKlyjxip96</t>
  </si>
  <si>
    <t>سعدت بالمشاركة في حفل افتتاح فعالية "قوة الابتكار في عالم ما بعد كوفيد" مع @BillGates، الرئيس المشارك لمؤسسة بيل وميليندا غيتس، والذي سلط الضوء على الدروس المستفادة من جائحة كورونا، وأبرز أهمية الاستثمار في الرعاية الصحية المبتكرة لمعالجة الأزمات الصحية العابرة للحدود. https://t.co/vyjgdn5sAH</t>
  </si>
  <si>
    <t>The Permanent Mission of the State of #Qatar to the UN Office in #Geneva participated in the Executive Briefing by HE @AminaJMohammed, in which the role of #UN Geneva in achieving the #SDGs and other matters were discussed. https://t.co/5K9ibP3TdM</t>
  </si>
  <si>
    <t>📽️Deputy Prime Minister and Minister of Foreign Affairs @MBA_AlThani_  speech in "Power of Innovation in a Post-COVID-19 World" Event
#MOFAQatar https://t.co/K1OVHNKd9g</t>
  </si>
  <si>
    <t>شارك الوفد الدائم لدولة #قطر لدى مكتب الأمم المتحدة والمنظمات الدولية بجنيف في الإحاطة التنفيذية التي قدمتها سعادة @AminaJMohammed اليوم في قصر الأمم المتحدة، وتناقشنا معها حول دور مكتب الأمم المتحدة في جنيف في تنفيذ أهداف التنمية المستدامة ومواضيع أخرى. https://t.co/ShNpY2qdbG</t>
  </si>
  <si>
    <t>Deputy Prime Minister and Minister of Foreign Affairs @MBA_AlThani_  Meets Co-Chair of Bill &amp;amp; Melinda Gates Foundation
#MOFAQatar https://t.co/LQzuGAGMYm</t>
  </si>
  <si>
    <t>نائب رئيس مجلس الوزراء وزير الخارجية @MBA_AlThani_  يشارك في فعالية “قوة الابتكار في عالم ما بعد كوفيد 19 “
🔗لقراءة المزيد : https://t.co/1TMh328Off
#الخارجية_القطرية https://t.co/QafTGETI07</t>
  </si>
  <si>
    <t>Viceprimer Ministro y Ministro de Relaciones Exteriores se reúne con Copresidente de la Fundación Bill y Melinda Gates
#MOFAQatar https://t.co/9r4seYkO8U</t>
  </si>
  <si>
    <t>Deputy Prime Minister and Minister of Foreign Affairs @MBA_AlThani_  Participates in "Power of Innovation in a Post-COVID-19 World" Event
🔗To learn more : https://t.co/EIW3wVhebQ
#MOFAQatar https://t.co/z7mruXcl9c</t>
  </si>
  <si>
    <t>نائب رئيس مجلس الوزراء وزير الخارجية @MBA_AlThani_  يجتمع مع الرئيس المشارك لمؤسسة بيل وميليندا غيتس
#الخارجية_القطرية https://t.co/ByUCEooL94</t>
  </si>
  <si>
    <t>في كلمة أمام المؤتمر الدولي لتعليم المرأة الأفغانية
مساعد وزير الخارجية @Lolwah_Alkhater : دولة قطر ملتزمة بالتنمية والازدهار في أفغانستان
#الخارجية_القطرية https://t.co/Cpcrl0QomP</t>
  </si>
  <si>
    <t>كما حظيت السياسة الخارجية لدولة قطر في الوساطات لحل النزاعات والعمل الانساني والتنموي وتمكين الدول النامية بتقدير المجتمع الدولي، فان تنظيم #كاس_العالم_FIFA حظي بتقدير أممي واعجاب دولي لتميزٌ استثنائي لدولة🇶🇦في استثمار ⚽️في تعزيز أهداف التنمية المستدامة والتعليم والسلام دولياً. https://t.co/DHBx84RzEl</t>
  </si>
  <si>
    <t>En un discurso ante la Conferencia Internacional para la Educación de las Mujeres Afganas
Asistente del Ministro de Relaciones Exteriores @Lolwah_Alkhater : El Estado de Qatar está comprometido con el desarrollo y la prosperidad en Afganistán
#MOFAQatar https://t.co/183yFPH3rJ</t>
  </si>
  <si>
    <t>QatarMissionEU</t>
  </si>
  <si>
    <t>https://t.co/mdxmvl8EOF</t>
  </si>
  <si>
    <t>البيان الختامي للمؤتمر الدولي لتعليم المرأة الأفغانية
#الخارجية_القطرية https://t.co/X8idVw89ie</t>
  </si>
  <si>
    <t>THE BALI MESSAGE OF THE INTERNATIONAL CONFERENCE ON AFGHAN WOMEN’S EDUCATION
#MOFAQatar https://t.co/8CErPUQFeU</t>
  </si>
  <si>
    <t>https://t.co/wLgYFvT0NP</t>
  </si>
  <si>
    <t>Al-Kuwari: The cumulative experience gained by the working teams who oversee hosting the State's guests constitutes a source of pride for the Ministry of Foreign Affairs 
#MOFAQatar 
#Qatar2022 https://t.co/3abmDBnb5z</t>
  </si>
  <si>
    <t>Qatar, Indonesia Organize International Conference on Afghan Women's Education
🔗To learn more: https://t.co/wy3MuHERu0
#MOFAQatar https://t.co/GEbNqXjskP</t>
  </si>
  <si>
    <t>In a Statement at the International Conference on Afghan Women’s Education
Assistant Foreign Minister @Lolwah_Alkhater : The State of Qatar is committed to the development and prosperity in Afghanistan
#MOFAQatar https://t.co/coZ5490tog</t>
  </si>
  <si>
    <t>يحتضن سوق واقف جماهير بطولة كأس العالم قطر 2022 بأجوائه التراثية المميزة، حيث تحول إلى مقصد هام لكل زوار دولة #قطر خلال البطولة.
#حلمنا_واقع
#عالوعد https://t.co/zDkIq8wAYs</t>
  </si>
  <si>
    <t>Through its splendid and culturally-rich atmosphere, Souq Waqif has become a destination for @FIFAWorldCup Qatar 2022 fans and visitors during the major sporting event.
#VisiontoReality
#NowisAll https://t.co/z9hGGvmMqR</t>
  </si>
  <si>
    <t>سمو الأمير المفدى يجري اتصالا هاتفيا مع أخيه جلالة الملك محمد السادس ملك المملكة المغربية الشقيقة، هنأه خلاله بفوز المنتخب المغربي لكرة القدم وصعوده للدور نصف النهائي في بطولة كأس العالم FIFA قطر 2022. https://t.co/mdIwzV615I</t>
  </si>
  <si>
    <t>في المؤتمر الصحفي مع وزيرة الخارجية الأندونيسية سألت الصحفيين في أندونيسيا 🇮🇩 إذا ما كانوا يتابعون #قطر2022 وعن الفريق الذي يشجعون فكانت الإجابة الأندونيسية: المغرب 🇲🇦🇲🇦🇲🇦
بالتوفيق لأسود الأطلس اليوم 😃👏🏻
#FIFAWorldCup https://t.co/Fy3b6L7m14</t>
  </si>
  <si>
    <t>#الأمم_المتحدة تختار #قطر و #إيرلندا لتيسير مفاوضات الإعلان السياسي لمؤتمر قمة أهداف التنمية المستدامة
#قنا 
https://t.co/MyGX8nvO2X https://t.co/ZuyuapGBFc</t>
  </si>
  <si>
    <t>HH the Amir Receives Written Message from King of Jordan
#MOFAQatar https://t.co/aIXc2ezEjk</t>
  </si>
  <si>
    <t>HH the Amir Receives Written Message from President of Korea
#MOFAQatar https://t.co/7m2jia0dhn</t>
  </si>
  <si>
    <t>International Anti-Corruption Day
#MOFAQatar https://t.co/9jvxTtvyv9</t>
  </si>
  <si>
    <t>Assistant Foreign Minister @Lolwah_Alkhater  Meets Officials on Sidelines of International Conference on Afghan Women's Education
#MOFAQatar https://t.co/JJHREDN7ok</t>
  </si>
  <si>
    <t>Assistant Foreign Minister @Lolwah_Alkhater  Meets Special Envoy of OIC Secretary General, Deputy Foreign Minister of Azerbaijan
#MOFAQatar https://t.co/oeJsQznYUL</t>
  </si>
  <si>
    <t>Assistant Foreign Minister @Lolwah_Alkhater  Meets Envoys of Australia, Canada to Afghanistan and US Special Envoy for Afghan Women and Human Rights
#MOFAQatar https://t.co/UiE6cmFuZp</t>
  </si>
  <si>
    <t>Remarks by H.E. Dr. Turki Abdulla Zaid Al-Mahmoud 
Director of Human Rights Department on the occasion of #HumanRightsDay 
#MOFAQatar https://t.co/FPEEnDM5hw</t>
  </si>
  <si>
    <t>Minister of State for Foreign Affairs Meets UK Minister of State for Middle East Affairs
#MOFAQatar https://t.co/wl4h2XHaCp</t>
  </si>
  <si>
    <t>PCOC Executive Director: Qatar Keen on Providing Exceptional Experience for World Cup Guests
🔗To learn more : https://t.co/3TlxwS4yC0
#MOFAQatar 
#Qatar2022 https://t.co/P7ZFZgekIE</t>
  </si>
  <si>
    <t>الوفد الدائم لدولة قطر بنيويورك ينظم مباريات لكرة القدم في مقر الأمم المتحدة احتفالاً بكأس العالم
🔗لقراءة المزيد : https://t.co/HvdTxC7AwP
#الخارجية_القطرية https://t.co/YQqhlFXYx9</t>
  </si>
  <si>
    <t>دولة قطر تؤكد حرصها على دعم جهود الأمم المتحدة ووكالاتها لمساعدة اللاجئين والنازحين
🔗لقراءة المزيد: https://t.co/D4D9zUxGtn
#الخارجية_القطرية https://t.co/2Zb1CmN2uj</t>
  </si>
  <si>
    <t>انتخاب سفير دولة قطر لدى إيطاليا نائباً لرئيس مجلس منظمة الأغذية والزراعة للأمم المتحدة
#الخارجية_القطرية https://t.co/vSFBUeekjU</t>
  </si>
  <si>
    <t>دولة قطر تؤكد حرصها على تقديم مختلف أنواع الدعم لمنظمة الأمم المتحدة للوفاء بمهامها وولايتها
🔗لقراءة المزيد: https://t.co/aVQZ8zncVP
#الخارجية_القطرية https://t.co/xfA0L3w772</t>
  </si>
  <si>
    <t>نائب رئيس مجلس الوزراء وزير الخارجية @MBA_AlThani_ يتلقى اتصالاً هاتفياً من وزير الخارجية والدفاع الإيرلندي
#الخارجية_القطرية https://t.co/zxV6EuJzc0</t>
  </si>
  <si>
    <t>سمو الأمير المفدى يحضر حفل جائزة "سمو الشيخ تميم بن حمد آل ثاني الدولية للتميز في مكافحة الفساد" بفندق شيراتون الدوحة، ويزيح الستار عن النسخة السادسة من نصب الجائزة، وذلك في حديقة الدفنة. https://t.co/k0SVRlix62 https://t.co/JUg6Ito6Qj</t>
  </si>
  <si>
    <t>أهنئ الفائزين بجائزة التميز في مكافحة الفساد، وأرحب بهم في الدوحة التي يقام فيها حفل الجائزة للمرة الأولى. وكلي ثقة بأن الفائزين بالجائزة سيضاعفون جهودهم في مكافحة الفساد، الآفة التي تعيق التنمية والتطور وتضر بالمصلحة العامة. https://t.co/fK2m3NVPrc</t>
  </si>
  <si>
    <t>تأتي النسخة السادسة من جائزة "سمو الشيخ تميم بن حمد آل ثاني الدولية للتميز في مكافحة الفساد" تكريساً لمبدأ الشفافية والنزاهة والمساءلة، و تأكيداً لالتزام دولة #قطر بدعم جهود مكافحة الفساد عالمياً، وتكريماً وتشجيعاً لكل من ساهم من أشخاص أو مؤسسات في محاربة هذه الظاهرة عالمياً.</t>
  </si>
  <si>
    <t>بيان| قطر تدين بشدة اقتحام قوات الاحتلال الإسرائيلي مدينة جنين
#الخارجية_القطرية https://t.co/9JlweUM2RE</t>
  </si>
  <si>
    <t>سمو الأمير المفدى يترأس وفد دولة قطر للمشاركة في اجتماع مجلس التعاون لدول الخليج العربية الـ٤٣ على مستوى القمة، وقمة الرياض الخليجية الصينية للتعاون والتنمية، وقمة الرياض العربية الصينية للتعاون والتنمية، التي ستنعقد يوم غد الجمعة في مدينة الرياض. https://t.co/i2168pNgaO</t>
  </si>
  <si>
    <t>دولة قطر تجدد التزامها بمواصلة تقديم الدعم اللازم لأنشطة وبرامج المفوضية السامية لشؤون اللاجئين
🔗 لقراءة المزيد : https://t.co/V1HQAVl1nE
#الخارجية_القطرية https://t.co/Z8Rv6Fw8q9</t>
  </si>
  <si>
    <t>سمو الأمير يتلقى رسالة خطية من ملك الأردن
#الخارجية_القطرية https://t.co/WlW4Dy5DsU</t>
  </si>
  <si>
    <t>سمو الأمير يتلقى رسالة خطية من رئيس كوريا
#الخارجية_القطرية https://t.co/SJtUS5Msm5</t>
  </si>
  <si>
    <t>اليوم الدولي لمكافحة الفساد 
#الخارجية_القطرية https://t.co/8bWFsPwsrt</t>
  </si>
  <si>
    <t>سمو الأمير المفدى يغادر أرض الوطن متوجها إلى المملكة العربية السعودية الشقيقة للمشاركة في اجتماع مجلس التعاون لدول الخليج العربية الـ٤٣ على مستوى القمة، وقمة الرياض الخليجية الصينية للتعاون والتنمية، وقمة الرياض العربية الصينية للتعاون والتنمية. https://t.co/Ja27l3WndU</t>
  </si>
  <si>
    <t>سمو الأمير المفدى يصل مدينة الرياض، للمشاركة في اجتماع مجلس التعاون لدول الخليج العربية الـ43 على مستوى القمة، وقمة الرياض الخليجية الصينية للتعاون والتنمية، وقمة الرياض العربية الصينية للتعاون والتنمية. https://t.co/VU7iW0djwZ https://t.co/Uel6DyrIue</t>
  </si>
  <si>
    <t>سمو الأمير المفدى وفخامة الرئيس شي جين بينغ رئيس جمهورية الصين الشعبية الصديقة يعقدان جلسة مباحثات رسمية، وذلك على هامش انعقاد قمة الرياض الخليجية الصينية للتعاون والتنمية، وقمة الرياض العربية الصينية للتعاون والتنمية في مدينة الرياض. https://t.co/qHzNGQtEcV https://t.co/IMmMtZpSsX</t>
  </si>
  <si>
    <t>سمو الأمير المفدى يشارك في قمة مجلس التعاون لدول الخليج العربية الـ43، التي عقدت في مركز الملك عبدالعزيز الدولي للمؤتمرات بمدينة الرياض. https://t.co/UtiIrUk1ie https://t.co/pUsY5FWNCt</t>
  </si>
  <si>
    <t>سمو الأمير المفدى يشارك في قمة الرياض الخليجية الصينية للتعاون والتنمية، وذلك في مركز الملك عبدالعزيز الدولي للمؤتمرات بمدينة الرياض. https://t.co/UMcXAiAqbd https://t.co/Ub2PVZ41yy</t>
  </si>
  <si>
    <t>سمو الأمير المفدى يغادر مدينة الرياض بعد ترؤسه وفد دولة قطر في قمة مجلس التعاون لدول الخليج العربية الـ43، وقمة الرياض الخليجية الصينية للتعاون والتنمية. https://t.co/ZAgz3tdVe0</t>
  </si>
  <si>
    <t>أشكر أخي خادم الحرمين الشريفين وسمو ولي عهده الأمير محمد بن سلمان على حفاوة الاستقبال وكرم الضيافة، وأهنئهم على نجاح قمم الرياض الثلاث التي جمعت العرب مع أصدقائهم الصينيين لتعزيز العلاقات التاريخية بين الجانبين بما يحقق مصلحتهما المشتركة ويدعم الأمن والسلام في منطقتنا والعالم. https://t.co/PUZiHs3GbV</t>
  </si>
  <si>
    <t>مساعد وزير الخارجية @Lolwah_Alkhater  تجتمع مع عدد من المسؤولين على هامش المؤتمر الدولي لتعليم المرأة الأفغانية
#الخارجية_القطرية https://t.co/99o3ORT34P</t>
  </si>
  <si>
    <t>مساعد وزير الخارجية @Lolwah_Alkhater  تجتمع مع مبعوثي أستراليا وكندا لأفغانستان والمبعوث الخاص الأمريكي لشؤون المرأة الأفغانية وحقوق الإنسان
#الخارجية_القطرية https://t.co/e3aajzHhLH</t>
  </si>
  <si>
    <t>مساعد وزير الخارجية @Lolwah_Alkhater  تجتمع مع المبعوث الخاص للأمين العام لمنظمة التعاون الإسلامي ونائب وزير الخارجية في أذربيجان
#الخارجية_القطرية https://t.co/LjGbJN5AaU</t>
  </si>
  <si>
    <t>سعدت بمباحثاتنا مع الرئيس الصيني شي جين بينغ في الرياض اليوم والتي تربطنا به وبالصين الصديقة علاقات متميزة يسودها الاحترام المتبادل والعمل المشترك في كافة مجالات التنمية وبما يخدم طموح شعبينا من تطور وازدهار. https://t.co/t36GMjNuHl</t>
  </si>
  <si>
    <t>من كلمة سعادة د. تركي بن عبدالله زيد آل محمود مدير إدارة حقوق الإنسان، بمناسبة ⁧#يوم_حقوق_الإنسان
#الخارجية_القطرية https://t.co/ehBpdPUpnM</t>
  </si>
  <si>
    <t>وزير الدولة للشؤون الخارجية يجتمع مع وزير الدولة لشؤون الشرق الأوسط البريطاني
#الخارجية_القطرية https://t.co/4fJ9edMOGp</t>
  </si>
  <si>
    <t>المدير التنفيذي للجنة الدائمة لتنظيم المؤتمرات : قطر حرصت على تقديم تجربة استثنائية لضيوف المونديال
🔗لقراءة المزيد : https://t.co/IMfUrAqidm
#الخارجية_القطرية
#قطر2022 https://t.co/XkahrSgZf6</t>
  </si>
  <si>
    <t>الكواري: الخبرات التراكمية للفرق القائمة على استضافة ضيوف الدولة مصدر اعتزاز لوزارة الخارجية 
#الخارجية_القطرية
#قطر2022 https://t.co/7ajTARiTW0</t>
  </si>
  <si>
    <t>Great honor to have been assigned by @UN_PGA🇺🇳 to facilitate &amp;amp; lead consultations on the Political Declaration on #SDGs during #UNGA77, alongside Amb. Fergal Mythen @IrelandAmbUN, PR @irishmissionun🇮🇪.
Look forward to the constructive dialogues for the achievement of #Agenda2030 https://t.co/Vk0hI5UAhE</t>
  </si>
  <si>
    <t>Qatar Participates in 154th Preparatory Ministerial Meeting of GCC Supreme Council
#MOFAQatar
@MBA_AlThani_ https://t.co/HyQcEKmM3d</t>
  </si>
  <si>
    <t>UN Chooses Qatar, Ireland to Facilitate Consultations on SDG Summit's Political Declaration
🔗To learn more : https://t.co/opd13haAAg
#MOFAQatar https://t.co/6gwJT22Q7z</t>
  </si>
  <si>
    <t>Pleased to participate today in the 154th preparatory ministerial meeting of the Gulf Cooperation Council in #Riyadh, in preparation for the summit of their Majesties &amp;amp; Highnesses, which will be held on Friday. https://t.co/QRVmyyeMCq</t>
  </si>
  <si>
    <t>قطر تؤكد مواصلة سياستها المُستندة لروح التعاون والمبادرة وتقديم المساعدات الإنمائية والإغاثية 
🔗لقراءة المزيد : https://t.co/pQos5k19vv
#الخارجية_القطرية https://t.co/Dfs33e23Zz</t>
  </si>
  <si>
    <t>سعدت بالمشاركة اليوم في الاجتماع الوزاري التحضيري ال(154) لمجلس التعاون الخليجي في #الرياض، في إطار الإعداد لقمة أصحاب الجلالة والسمو القادة يوم الجمعة. https://t.co/CsnW2XKW4j</t>
  </si>
  <si>
    <t>🎥| دولة قطر تشارك في اجتماع المجلس الوزاري التحضيري الـ 154 للمجلس الأعلى لمجلس التعاون لدول الخليج العربية
#الخارجية_القطرية 
@MBA_AlThani_ https://t.co/agdygtX77L</t>
  </si>
  <si>
    <t>الأمم المتحدة تختار قطر وإيرلندا لتيسير مفاوضات الإعلان السياسي لمؤتمر قمة أهداف التنمية المستدامة
🔗لقراءة المزيد : https://t.co/Qb00DpIB6z
#الخارجية_القطرية https://t.co/93gXLHbyFA</t>
  </si>
  <si>
    <t>دولة قطر تشارك في اجتماع المجلس الوزاري التحضيري الـ 154 للمجلس الأعلى لمجلس التعاون لدول الخليج العربية
#الخارجية_القطرية 
@MBA_AlThani_ https://t.co/H1q4Vb7kd6</t>
  </si>
  <si>
    <t>Statement : Qatar Welcomes Signing of Political Framework Agreement in Sudan
#MOFAQatar https://t.co/ODvLTNdl4T</t>
  </si>
  <si>
    <t>أرحب بأخي سمو الشيخ محمد بن زايد آل نهيان في الدوحة الذي اتاحت لنا زيارته التباحث حول سبل تعزيز العلاقات الأخوية بين بلدينا، وتبادل وجهات النظر حول القضايا الإقليمية والدولية ذات الاهتمام المشترك وفي مقدمتها سبل دعم الأمن والاستقرار في المنطقة. https://t.co/Lvifh22ojv</t>
  </si>
  <si>
    <t>Estado de Qatar acoge con beneplácito la firma del acuerdo marco político en Sudán
#MOFAQatar https://t.co/zzaEPQ6md3</t>
  </si>
  <si>
    <t>Minister of State for Foreign Affairs Meets President of European Parliament's Qatari-EU Friendship Group
#MOFAQatar https://t.co/Yi2KRQMRG6</t>
  </si>
  <si>
    <t>وزير الدولة للشؤون الخارجية يجتمع مع رئيس لجنة الصداقة القطرية الأوربية بالبرلمان الأوروبي
#الخارجية_القطرية https://t.co/BYxcCHlCqH</t>
  </si>
  <si>
    <t>بيان | دولة قطر ترحّب بالتوقيع على الاتفاق السياسي الإطاري في السودان
#الخارجية_القطرية https://t.co/iOiojdyfZk</t>
  </si>
  <si>
    <t>فيديو - استقبال سمو الأمير المفدى لرئيس دولة الإمارات العربية المتحدة الشقيقة. https://t.co/n1mmMQdiDT</t>
  </si>
  <si>
    <t>سمو الأمير المفدى يتقدم مودعي أخيه صاحب السمو الشيخ محمد بن زايد آل نهيان رئيس دولة الإمارات العربية المتحدة الشقيقة، لدى مغادرته مطار حمد الدولي بعد زيارة رسمية للبلاد. #قطر #الإمارات https://t.co/9cawkoZV5y</t>
  </si>
  <si>
    <t>Statement | Qatar Condemns Attempt to Assassinate Pakistan's Ambassador in Kabul
#MOFAQatar https://t.co/V7Gx57zwt9</t>
  </si>
  <si>
    <t>بيان | دولة قطر تدين محاولة اغتيال سفير باكستان في كابول
#الخارجية_القطرية https://t.co/1ChMAfZbn3</t>
  </si>
  <si>
    <t>Estado de Qatar condena el intento de asesinato del embajador de Pakistán en Kabul
#MOFAQatar https://t.co/aofg1JaESH</t>
  </si>
  <si>
    <t>دولة قطر تشجب وتستنكر محاولات تسييس أو "عنصرة" كرة القدم والرياضة
🔗 لقراءة المزيد: https://t.co/kKn2AObXjf
#الخارجية_القطرية https://t.co/ux9HJ10T7r</t>
  </si>
  <si>
    <t>(لئن شكرتم لأزيدنكم )
الحمدلله حمدا كثيرا طيبا مباركا  
نريد #قطر٢٠٢٢_فرحة_للجميع 
هذا هو الإرث الحقيقي الذي يمكث في الأرض إن شاء الله
بارك الله فيكم @QRCS @qcharity  @beINSPORTS 
فماذا عني وعنكَ وعنكِ، كل بما يستطيع؟ ⚽️😃 https://t.co/v3jZzRLZPP https://t.co/Zon3x6KpmC</t>
  </si>
  <si>
    <t>سمو الأمير المفدى يجري اتصالا هاتفيا بدولة السيد ريشي سوناك رئيس وزراء المملكة المتحدة الصديقة. https://t.co/RLFfGM2WDU</t>
  </si>
  <si>
    <t>أهنئ الشعب الإماراتي الشقيق والشيخ محمد بن زايد آل نهيان رئيس دولة الإمارات العربية المتحدة بمناسبة اليوم الوطني، داعياً الله تعالى لهم بدوام التقدم والتطور والرخاء.</t>
  </si>
  <si>
    <t>أهنئ دولة #الإمارات العربية المتحدة قيادة وشعباً بمناسبة ذكرى اليوم الوطني لبلادهم، متمنياً المزيد من التقدم والازدهار لشعبينا الشقيقين.</t>
  </si>
  <si>
    <t>Qatar Condemns and Denounces Football's Politicization, Racialization Attempts
🔗 To learn more: https://t.co/XMVW0OgMBX
#MOFAQatar https://t.co/BiWLtQiJRL</t>
  </si>
  <si>
    <t>وزير الدولة للشؤون الخارجية يجتمع مع وزيرة الخارجية والتكامل الإقليمي في غانا
#الخارجية_القطرية https://t.co/76Op2k5gDp</t>
  </si>
  <si>
    <t>Portavoz del Ministerio de Relaciones Exteriores @majedalansari : La decisión de la Comisión de Libertades del Parlamento Europeo elimina los obstáculos para completar los procedimientos para eximir a los ciudadanos de Qatar del visado "Schengen".
#MOFAQatar https://t.co/aQTRbyvJoM</t>
  </si>
  <si>
    <t>Spokesperson for the Ministry of Foreign Affairs @majedalansari : The approval of the Committee on Freedoms in the European Parliament removes obstacles to completing the procedures for exempting Qatari citizens from the "Schengen" visa 
#MOFAQatar https://t.co/pPMPVss2ur</t>
  </si>
  <si>
    <t>Spokesperson for Ministry of Foreign Affairs @majedalansari to QNA: LIBE’s Ratification in European Parliament Overcomes Obstacles of Exempting Qatar’s Citizens from Schengen Visa
To learn more: https://t.co/N20KGkl0Y9
#MOFAQatar https://t.co/4ALKs1U6IY</t>
  </si>
  <si>
    <t>المتحدث الرسمي لوزارة الخارجية @majedalansari : مصادقة لجنة الحريات في البرلمان الأوروبي تذلل العقبات أمام إعفاء مواطني قطر من تأشيرة شنغن
🔗لقراءة المزيد : https://t.co/lpKklYgNiM
#الخارجية_القطرية https://t.co/tSPz0S1UhS</t>
  </si>
  <si>
    <t>سمو الأمير المفدى يتلقى رسالة شفوية من أخيه جلالة الملك محمد السادس ملك المملكة المغربية الشقيقة، تتصل بالعلاقات الثنائية بين البلدين الشقيقين وأوجه تنميتها وتطويرها. https://t.co/rIdGVXZz6l https://t.co/QzlLWRyRYp</t>
  </si>
  <si>
    <t>المتحدث الرسمي لوزارة الخارجية @majedalansari  : مصادقة لجنة الحريات في البرلمان الأوروبي تذلل العقبات أمام إعفاء مواطني قطر من تأشيرة (شنغن) 
#الخارجية_القطرية https://t.co/4skzWN9byQ</t>
  </si>
  <si>
    <t>Committee on Civil Liberties in European Parliament Approves to Exempt Qatari Citizens from Schengen Visa
#MOFAQatar https://t.co/GrF4UD2dvD</t>
  </si>
  <si>
    <t>Qatar Participates in Official Ceremony of International Day of Solidarity with Palestinian People
#MOFAQatar https://t.co/WM9XqlIt6o</t>
  </si>
  <si>
    <t>دولة قطر تشارك في الاحتفال الرسمي لليوم العالمي للتضامن مع الشعب الفلسطيني 
#الخارجية_القطرية https://t.co/MTSpWcQLDq</t>
  </si>
  <si>
    <t>لجنة الحريات المدنية في البرلمان الأوروبي تصادق على إعفاء مواطني دولة قطر من تأشيرة الشنغن تمهيدا لاستكمال إجراءات الإعفاء 
#الخارجية_القطرية https://t.co/4LQD4cfUfR</t>
  </si>
  <si>
    <t>نرحب بهذا القرار الذي مر بأغلبية كبيرة، ومع قرار اللجنة والذي يمثل الخطوة الأخيرة في البرلمان الأوروبي تبدأ الآن المداولات ضمن اللجنة الثلاثية الممثلة لمجلس الاتحاد والمفوضية الأوروبية والبرلمان لصياغة نص الاتفاقية تمهيداً لتوقيعها. https://t.co/NRRVeizUCB</t>
  </si>
  <si>
    <t>قطر تجدد التأكيد على التزامها بالاستمرار في التضامن مع الشعب الفلسطيني الشقيق
🔗 لقراءة المزيد : https://t.co/QH6xK2aBfn
#الخارجية_القطرية https://t.co/gaMIuPVQEd</t>
  </si>
  <si>
    <t>قطر تدين بشدة تفجيراً استهدف مدرسة بأفغانستان
#الخارجية_القطرية https://t.co/FDb7pwd0rB</t>
  </si>
  <si>
    <t>Qatar Condemns Afghani School Bombing
#MOFAQatar https://t.co/lNpM5oNOZW</t>
  </si>
  <si>
    <t>“The 1st World Cup was 1966” the speaker has attended 15 #FIFAWorldCup  , he described #QatarWorldCup2022 :
“Out of all of them this has to rank right at the top, it’s as good if not better.. people are quick to criticize &amp;amp; slow to praise, Qatar deserve a lot of praise” https://t.co/1sfGplCOO5</t>
  </si>
  <si>
    <t>Conditions to enter the State of Qatar starting 2 December 2022 #MOIQatar https://t.co/huVI3TYR6U</t>
  </si>
  <si>
    <t>قام سعادة المبعوث الخاص لوزير الخارجية لمكافحة الإرهاب والوساطة في تسوية المنازعات بالمشاركة في اجتماع مجلس إدارة الصندوق العالمي لإشراك المجتمعات ومساعدتها على الصمود @theGCERF المنعقد في جنيف https://t.co/vV8TVFe8dC</t>
  </si>
  <si>
    <t>Qatar Affirms Keenness to Fulfill its Obligation as State Party of Biological Weapons Convention
🔗To learn more : https://t.co/eiLmWMBpgU
#MOFAQatar https://t.co/ezpzGp3r8Q</t>
  </si>
  <si>
    <t>سمو الأمير المفدى يعزي فخامة الرئيس شي جين بينغ، رئيس جمهورية الصين الشعبية، في وفاة الرئيس الأسبق جيانغ زيمين. https://t.co/GNqXeZitCA</t>
  </si>
  <si>
    <t>وزير الدولة للشؤون الخارجية يجتمع مع وزيرة الرياضة الهولندية
#الخارجية_القطرية https://t.co/2Wk3BfxjkV</t>
  </si>
  <si>
    <t>دولة قطر تؤكد حرصها على الوفاء بالتزاماتها كدولة طرف في اتفاقية حظر استحداث وإنتاج وتخزين الأسلحة البيولوجية 
🔗لقراءة المزيد : https://t.co/DsPX84fYi5
#الخارجية_القطرية https://t.co/qbr1TC3Jez</t>
  </si>
  <si>
    <t>Pleased to participate in the enriching conversation btwn the Circle of Women Ambassadors &amp;amp; @UN_PGA 🇺🇳 &amp;amp; to share recommendations &amp;amp; innovative approaches to further amplify the voices of #Women &amp;amp; #Girls.
Thank you PGA for your commitment to #GenderEquality
#16days #OrangeTheWorld https://t.co/eHMKymsO3q</t>
  </si>
  <si>
    <t>Estado de Qatar y UNRWA...Cooperación continua
#SolidarityWithPalestinianPeople
#MOFAQatar https://t.co/C952zpib98</t>
  </si>
  <si>
    <t>El proyecto del Estado de Qatar, “La Ciudad de Rawabi”, donde viven más de 20 mil personas, es un proyecto integrado que brinda a los residentes y visitantes de la ciudad todas sus necesidades.
#SolidarityWithPalestinianPeople
#MOFAQatar https://t.co/txYmNJpOFR</t>
  </si>
  <si>
    <t>Briefed the Asia-Pacific Group Ambassadorial level Meeting chaired by Amb. Joonkook Hwang,PR @ROK_Mission, on #Qatar’s Candidature to the Organizational Committee of the @UN Peacebuilding Commission. We are please to receive the endorsement for #Qatar’s Candidature by the Group. https://t.co/wkFmrhtoUG</t>
  </si>
  <si>
    <t>A lo largo de los años, el Estado de Qatar ha apoyado la resistencia del hermano pueblo palestino, frente a la ocupación israelí,en diverse sectores, con el fin de reducir el agravamiento de la situación humanitaria y las difíciles condiciones de vida en los territorios ocupados. https://t.co/YdkzP8ztNX</t>
  </si>
  <si>
    <t>Minister of State for Foreign Affairs Meets Dutch Sports Minister
#MOFAQatar https://t.co/tUDHAcabN2</t>
  </si>
  <si>
    <t>Through @QF, the State of #Qatar has made great efforts to ensure that the @FIFAWorldCup Qatar 2022 is accessible to everyone, including those with disabilities.
#VisiontoReality
#NowisAll https://t.co/L8exXWUYJ7</t>
  </si>
  <si>
    <t>Assistant Foreign Minister for Regional Affairs @Dr_Al_Khulaifi  Meets with Iran's Deputy Foreign Minister for Political Affairs
#MOFAQatar https://t.co/7eW0smxdSD</t>
  </si>
  <si>
    <t>مساعد وزير الخارجية للشؤون الإقليمية @Dr_Al_Khulaifi  يجتمع مع نائب وزير الخارجية للشؤون السياسية الإيراني
#الخارجية_القطرية https://t.co/cR7TVPgYYJ</t>
  </si>
  <si>
    <t>الموقف القطري تجاه عدالة القضية الفلسطينية ودعم الشعب الفلسطيني يمثل حجر زاوية في السياسة الخارجية القطرية.
حضور فلسطين شعبياً خلال كأس العالم عبر الأعلام والشارات والهتافات هو خير دليل على أن القضية حية في قلوب الجماهير العربية والمحبة للعدالة عبر العالم. https://t.co/rq4svPwKfT</t>
  </si>
  <si>
    <t>Esto es lo que #Qatar 2022 se trata en #humanidad común, entrenador de Brasil viendo un video que muestra a un extraño, sosteniendo la bandera Palestina🤍.
Disculpen ideólogos, la #Copa Mundial de Qatar 2022 no se trata de su política, sino del fútbol, ​​así #Hola hinchas⚽️😃 https://t.co/gJRqfKxYVS https://t.co/YdxylrCJOe</t>
  </si>
  <si>
    <t>#اليوم_الدولي_للتضامن_مع_الشعب_الفلسطيني
#الخارجية_القطرية https://t.co/t0Sb4K1PC4</t>
  </si>
  <si>
    <t>Qatar affirms its solidarity and full support for the brotherly Palestinian people and the restoration of all their legitimate rights. This is an affirmation of the State's position, which is consistent with international law and universal human values. https://t.co/ZLrsgKfcDr</t>
  </si>
  <si>
    <t>تؤكد دولة قطر تضامنها ودعمها الكامل لنضال الشعب الفلسطيني الشقيق وقضيته العادلة واستعادة كافة حقوق الفلسطينيين، وهذا تأكيد لموقف الدولة الثابت والذي يتفق مع أحكام القانون الدولي وما تمليه علينا القيم الإنسانية والضمائر الحية.
#اليوم_الدولي_للتضامن_مع_الشعب_الفلسطيني https://t.co/7uvqe0MKkr</t>
  </si>
  <si>
    <t>دولة قطر تشارك في الاحتفال باليوم العالمي للتضامن مع الشعب الفلسطيني
#اليوم_الدولي_للتضامن_مع_الشعب_الفلسطيني
#الخارجية_القطرية https://t.co/w8jNlE9CmW</t>
  </si>
  <si>
    <t>سمو الأمير المفدى يتلقى اتصالا هاتفيا من أخيه جلالة الملك محمد السادس ملك المملكة المغربية الشقيقة، هنأه خلاله بمناسبة انطلاق بطولة كأس العالم FIFA قطر 2022. https://t.co/mk5B7oiE4s</t>
  </si>
  <si>
    <t>دولة قطر والأونروا.. تعاون مستمر  
#اليوم_الدولي_للتضامن_مع_الشعب_الفلسطيني 
#الخارجية_القطرية https://t.co/4CX9Z69hw6</t>
  </si>
  <si>
    <t>دعمت دولة قطر عبر السنوات صمود الشعب الفلسطيني الشقيق، في مواجهة الاحتلال الإسرائيلي، في مختلف القطاعات وذلك للحد من تفاقم الوضع الإنساني والظروف المعيشية الصعبة في الأراضي المحتلة. 
#اليوم_الدولي_للتضامن_مع_الشعب_الفلسطيني 
#الخارجية_القطرية https://t.co/SCZlcHDzZk</t>
  </si>
  <si>
    <t>The State of Qatar and @UNRWA: Continuous Cooperation  
#SolidarityWithPalestinianPeople
#MOFAQatar https://t.co/zpwIUszHIu</t>
  </si>
  <si>
    <t>من أهم المشاريع التي نفذتها اللجنة القطرية لدعم قطاع الصحة، إنشاء مستشفى سمو الأمير الوالد الشيخ حمد بن خليفة آل ثاني للتأهيل والأطراف الصناعية، والذي يقدم خدمات التشخيص والتأهيل لذوي الاحتياجات الخاصة وذوي الإعاقة السمعية وزارعي القوقعة، وكذلك تصنيع وتركيب الأطراف الصناعية. https://t.co/En4wuqFGAc</t>
  </si>
  <si>
    <t>تواصل دولة قطر جهودها في دعم الشعب الفلسطيني، عبر مشروع دولة قطر "مدينة روابي" والتي يسكنها أكثر من 20 ألف شخص، وهو مشروع متكامل يؤمن لسكان المدينة وزوارها كافة احتياجاتهم.
#اليوم_الدولي_للتضامن_مع_الشعب_الفلسطيني
#الخارجية_القطرية https://t.co/a1mP8s8pJ8</t>
  </si>
  <si>
    <t>Over the years, Qatar has been supporting the steadfastness of the brotherly Palestinian people in the face of the Israeli occupation, by supporting in various sectors to limit the deterioration of the difficult living conditions in the occupied territories.
#MOFAQatar https://t.co/11edLAgH5y</t>
  </si>
  <si>
    <t>The State of Qatar continues to support the Palestinian people, through the project of the State of Qatar "Rawabi City", which is inhabited by more than 20 thousand people, and it is a project that provides the city's residents and visitors with all their needs.
#MOFAQatar https://t.co/ni7f4f1Xew</t>
  </si>
  <si>
    <t>#QNA_Video |
Brazil, Swiss fans support their teams outside 974 Stadium. #QNA
#WorldCupQatar2022 #QATAR2022 #FIFAWorldCup
#QNA_Sport https://t.co/6Ht8ENfUze</t>
  </si>
  <si>
    <t>Brazilian Fans Enjoying the World Cup Atmosphere at 974 Stadium. #QNA 
#QATAR2022    #FIFAWorldCup    
#Swizerland 0-0 #Brazil
#QNA_Sport https://t.co/7pBkRQDEJV</t>
  </si>
  <si>
    <t>Qatar Elected for Membership of Executive Council of OPCW
#MOFAQatar https://t.co/p00jDVyXA9</t>
  </si>
  <si>
    <t>Statement : Qatar Strongly Condemns Attack in Mogadishu
#MOFAQatar https://t.co/AzUPgQDi4p</t>
  </si>
  <si>
    <t>بيان| قطر تدين بشدة هجوماً في مقديشو
#الخارجية_القطرية https://t.co/7EWL31BDqh</t>
  </si>
  <si>
    <t>انتخاب دولة قطر لعضوية المجلس التنفيذي لمنظمة حظر الأسلحة الكيميائية
#الخارجية_القطرية https://t.co/m13ywg8sJh</t>
  </si>
  <si>
    <t>Deputy Prime Minister and Minister of Foreign Affairs @MBA_AlThani_ Meets Italian Defense Minister
#MOFAQatar https://t.co/DQfqdxUIii</t>
  </si>
  <si>
    <t>🎥| نائب رئيس مجلس الوزراء وزير الخارجية @MBA_AlThani_ يجتمع مع وزير الدفاع الإيطالي
#الخارجية_القطرية https://t.co/fXshfydBwe</t>
  </si>
  <si>
    <t>الأمين العام لوزارة الخارجية يجتمع مع المدير العام للوكالة الدولية للطاقة الذرية
#الخارجية_القطرية https://t.co/JbR8AimvIq</t>
  </si>
  <si>
    <t>نائب رئيس مجلس الوزراء وزير الخارجية @MBA_AlThani_ يجتمع مع وزير الدفاع الإيطالي
#الخارجية_القطرية https://t.co/ecSqXjTKXE</t>
  </si>
  <si>
    <t>Secretary-General of Ministry of Foreign Affairs Meets IAEA Director-General
#MOFAQatar https://t.co/QwvcvUxNc3</t>
  </si>
  <si>
    <t>Pleased to meet HE @SenatorMenendez Chairman of the US Senate’s Foreign Relations Committee, to discuss ways to strengthen ties between #Qatar &amp;amp; the #US. We have a deep friendship &amp;amp; close partnership, &amp;amp; we look forward to developing our relations further in various fields. https://t.co/zTV08sC52F</t>
  </si>
  <si>
    <t>سفارة دولة قطر لدى بلجيكا تحتفل بانطلاقة بطولة كأس العالم فيفا قطر ٢٠٢٢
#الخارجية_القطرية https://t.co/YD5ZbzHQkD</t>
  </si>
  <si>
    <t>سررت بلقاء سعادة السيد @SenatorMenendez رئيس لجنة العلاقات الخارجية في مجلس الشيوخ الأمريكي، لنقاش سبل تعزيز العلاقات بين #قطر و #امريكا، تجمعنا صداقة عميقة وشراكة وثيقة بيننا والتي نتطلع ان نعمل من خلالها على تطوير علاقاتنا في شتى المجالات. https://t.co/GN2L6J82AZ</t>
  </si>
  <si>
    <t>Deputy Prime Minister and Minister of Foreign Affairs @MBA_AlThani_ Meets Chairman of US Senate Foreign Relations Committee
#MOFAQatar https://t.co/C4ZCVPvIUJ</t>
  </si>
  <si>
    <t>Pleased to meet my brother Dr. @AymanHsafadi , Deputy Prime Minister &amp;amp; Minister of Foreign Affairs of the Kingdom of #Jordan, to discuss ways to develop bilateral relations in various fields. We also touched on the latest regional developments &amp;amp; various issues of common interest. https://t.co/O0rX8QBLHj</t>
  </si>
  <si>
    <t>نائب رئيس مجلس الوزراء وزير الخارجية @MBA_AlThani_  يجتمع مع نظيره الأردني
#الخارجية_القطرية https://t.co/1bPeQQOpvM</t>
  </si>
  <si>
    <t>سررت بلقاء أخي الدكتور @AymanHsafadi نائب رئيس الوزراء ووزير الخارجية في مملكة #الأردن الشقيقة، اليوم في #الدوحة، وبنقاش مثمر حول سبل تطوير علاقتنا الثنائية في شتى المجالات، كما تطرقنا الى اخر مستجدات الأوضاع في المنطقة وعدد من الموضوعات ذات الاهتمام المشترك. https://t.co/B62zVltEaS</t>
  </si>
  <si>
    <t>Estado de Qatar anuncia su contribución de  20 millones de dólares en apoyo a un programa humanitario para ayudar a los países africanos
#MOFAQatar https://t.co/gHBnSmE8TP</t>
  </si>
  <si>
    <t>Deputy Prime Minister and Minister of Foreign Affairs @MBA_AlThani_ Meets Jordanian Counterpart
#MOFAQatar https://t.co/Kuyw5vpJRF</t>
  </si>
  <si>
    <t>سمو الأمير المفدى يلتقي مع فخامة الرئيس جورج ويا رئيس جمهورية ليبيريا، الذي يزور البلاد لحضور جانب من مباريات بطولة كأس العالم FIFA قطر 2022، وذلك في استاد الثمامة. https://t.co/i9lcOZkFKz https://t.co/2ynlwJHYyc</t>
  </si>
  <si>
    <t>دولة قطر تعلن عن مساهمتها بمبلغ 20 مليون دولار دعماً لبرنامج إنساني لمساعدة البلدان الأفريقية
#الخارجية_القطرية https://t.co/qa6GnTLNPE</t>
  </si>
  <si>
    <t>🎥 | نائب رئيس مجلس الوزراء وزير الخارجية @MBA_AlThani_ يجتمع مع رئيس لجنة العلاقات الخارجية في مجلس الشيوخ الأمريكي
#الخارجية_القطرية https://t.co/GmrJdj1ydY</t>
  </si>
  <si>
    <t>The State of Qatar announces its contribution of $20 million in support of a humanitarian programme to help African countries
#MOFAQatar https://t.co/k9qSA8lJbZ</t>
  </si>
  <si>
    <t>Spokesperson for Ministry of Foreign Affairs @majedalansari : Qatar at Forefront of Countries Seeking to Achieve Food Security Globally
🔗To learn more: https://t.co/wZkq90MqWf
#MOFAQatar https://t.co/flL6Tk9dsE</t>
  </si>
  <si>
    <t>H.E. @MBA_AlThani_ : The escalation of challenges facing global food security and the stability of energy supplies for millions of ppl call for unprecedented international attention,continuous cooperation and a clear arrangement of priorities with the humanitarian aspect on top. https://t.co/RjdZlMx80A</t>
  </si>
  <si>
    <t>سعادة الشيخ @MBA_AlThani_ : إن تصاعد  التحديات التي تواجه الأمن الغذائي العالمي واستقرار إمدادات الطاقة لملايين الأشخاص حول العالم جرَّاء الحرب الدائرة في أوكرانيا، يستدعي اهتماماً دولياً غير مسبوق وتعاوناً مستمراً وترتيباً واضحاً للأولويات يكون على رأسه الجانب الإنساني. https://t.co/bMCTo2BQjJ</t>
  </si>
  <si>
    <t>دولة قطر تعلن عن مساهمتها بمبلغ 20 مليون دولار دعما لبرنامج إنساني لمساعدة البلدان الأفريقية
🔗لقراءة المزيد: https://t.co/qGZn1yGg93
#الخارجية_القطرية https://t.co/JhpzAQcELe</t>
  </si>
  <si>
    <t>سعادة الشيخ @MBA_AlThani_ : نُرَحِّب بمبادرة أوكرانيا لإطلاق البرنامج الإنساني “Grain from Ukraine” كمبادرة لمساعدة البلدان الأفريقية للحصول على الصارات الغذائية الأوكرانية. ويُسعِدُنا أن نُعلن عن مساهمة دولة قطر في البرنامج بمبلغ وقدره 20 مليون دولار أمريكي.
#الخارجية_القطرية https://t.co/2lxV4nJ1Nl</t>
  </si>
  <si>
    <t>شاركت اليوم في إطلاق البرنامج الإنساني "الحبوب من أوكرانيا" وأعلنت عن مساهمة دولة قطر المالية فيها لدعم الجهود الإنسانية في تحقيق الأمن الغذائي إبتداءً بالدول والمجتمعات الأكثر تأثراً بالأزمات، إيمانًا منا بأن الحصول على الغذاء الكافي هو حق إنساني أساسي لا يجوز أن يتأثر بالنزاعات https://t.co/4yyFE1avCl</t>
  </si>
  <si>
    <t>إعلان دولة قطر اليوم على لسان سعادة @MBA_AlThani_ مساهمتها بمبلغ ٢٠ مليون دولار في البرنامج الذي سيساهم في تخفيف معاناة العديد من المجتمعات من نقص إمدادات الغذاء هو دلالة على المكانة التي توليها الدولة للجانب الإنساني من مواجهة تحديات الاستقرار حول العالم. https://t.co/VQdKYIMms8</t>
  </si>
  <si>
    <t>المتحدث الرسمي لوزارة الخارجية @majedalansari : دولة قطر في مقدمة الدول التي تسعى لتحقيق الأمن الغذائي عالميا
🔗لقراءة المزيد: https://t.co/MCKFR2wOrS
#الخارجية_القطرية https://t.co/ScWj2JN4O0</t>
  </si>
  <si>
    <t>Participated in the launch of the humanitarian program "Grains from Ukraine" &amp;amp; announced #Qatar's contribution to support humanitarian efforts to achieve food security, stemming from our belief that access to adequate food is a basic human right that can’t be affected by conflict https://t.co/nySkZjqHDU</t>
  </si>
  <si>
    <t>Qatar Contributes $20 Million for Humanitarian Program to Help African Countries
🔗To learn more: https://t.co/qdh4h0ih2A
#MOFAQatar 
@MBA_AlThani_ https://t.co/nwXt76Vu0Z</t>
  </si>
  <si>
    <t>H.E.  @MBA_AlThani_ we welcome Ukraine's initiative to launch the “Grain from Ukraine” humanitarian program as an initiative to help African countries obtain Ukrainian food exports. We are pleased to announce Qatar's contribution to the programme with an amount of $20 million. https://t.co/1n62vG8iRl</t>
  </si>
  <si>
    <t>Assistant Foreign Minister @Lolwah_Alkhater Meets Deputy Prime Minister of Bosnia and Herzegovina
#MOFAQatar https://t.co/edyMwtnv86</t>
  </si>
  <si>
    <t>Viceprimer Ministro y Ministro de Relaciones Exteriores @MBA_AlThani_ se reúne con la segunda vicepresidenta de costa rica
#MOFAQatar https://t.co/Z1Tap6G4vI</t>
  </si>
  <si>
    <t>Deputy Prime Minister and Minister of Foreign Affairs @MBA_AlThani_ Meets Belgian Minister of Foreign Affairs
#MOFAQatar https://t.co/zUHsQHTOVK</t>
  </si>
  <si>
    <t>Deputy Prime Minister and Minister of Foreign Affairs @MBA_AlThani_ Meets Second Vice President of Costa Rica
#MOFAQatar https://t.co/Q0Ki1PNfZ3</t>
  </si>
  <si>
    <t>🎥 | نائب رئيس مجلس الوزراء وزير الخارجية يجتمع مع وزيرة خارجية بلجيكا 
#الخارجية_القطرية https://t.co/Z0KlbgLaol</t>
  </si>
  <si>
    <t>مساعد وزير الخارجية @Lolwah_Alkhater تجتمع مع نائبة رئيس مجلس الوزراء بالبوسنة والهرسك
#الخارجية_القطرية https://t.co/yPxZwoezNN</t>
  </si>
  <si>
    <t>نائب رئيس مجلس الوزراء وزير الخارجية @MBA_AlThani_  يجتمع مع وزيرة خارجية بلجيكا 
#الخارجية_القطرية https://t.co/9Uf5HD71hj</t>
  </si>
  <si>
    <t>نائب رئيس مجلس الوزراء وزير الخارجية @MBA_AlThani_ يجتمع مع النائبة الثانية لرئيس كوستاريكا 
#الخارجية_القطرية https://t.co/GymqYpCyIf</t>
  </si>
  <si>
    <t>🎥 | نائب رئيس مجلس الوزراء وزير الخارجية يجتمع مع النائبة الثانية لرئيس كوستاريكا 
#الخارجية_القطرية https://t.co/7aT25dDMP1</t>
  </si>
  <si>
    <t>التقيت اليوم بسعادة السيدة ماري مونييفي انهيرمويير، النائبة الثانية لرئيس جمهورية #كوستاريكا ووزيرة الرياضة، لنقاش سبل تطوير تعاوننا المشترك في شتى المجالات، كما تطرقنا الى تطلعاتنا لمباريات اليوم، متمنياً للجميع التوفيق والاستمتاع في الفعاليات القادمة. #كأس_العالم_قطر_2022 https://t.co/fhqTHftqOy</t>
  </si>
  <si>
    <t>Met with HE Mary Munive Angermuller, Second Vice President of #CostaRica &amp;amp; Sports Minister, to discuss developing our joint cooperation in various fields. We also touched on our aspirations for today's #WorldCup matches, wishing everyone success &amp;amp; enjoyment in the upcoming events https://t.co/qMA5iLoaN7</t>
  </si>
  <si>
    <t>سررت بلقاء سعادة السيدة @hadjalahbib وزيرة الخارجية والشؤون الأوروبية والتجارة الخارجية والمؤسسات الثقافية الاتحادية بمملكة #بلجيكا، لنقاش سبل تعزيز علاقاتنا الثنائية في شتى المجالات، وذلك في إطار مشاركتها لحضور فعاليات #كأس_العالم_قطر_2022 . تمنياتي بالتوفيق لجميع المشاركين. https://t.co/MJjdLFeJHX</t>
  </si>
  <si>
    <t>Pleased to meet HE @hadjalahbib Belgian Minister of Foreign Affairs, European Affairs, Foreign Trade &amp;amp; Federal Cultural Institutions, to discuss strengthening bilateral relations, on the sidelines of her attendance in the #WorldCup activities. Wishing success to all participants. https://t.co/F9MtcqmZCm</t>
  </si>
  <si>
    <t>#MOFAQatar https://t.co/Bx8zlrx1S2</t>
  </si>
  <si>
    <t>#الخارجية_القطرية https://t.co/YjuyqS5BYv</t>
  </si>
  <si>
    <t>#MOFAQatar https://t.co/cZjx28ykRw</t>
  </si>
  <si>
    <t>#الخارجية_القطرية https://t.co/bf6pD18SW2</t>
  </si>
  <si>
    <t>Viceprimer Ministro y Ministro de Relaciones Exteriores @MBA_AlThani_ : Qatar considera las relaciones con los Estados Unidos una de sus asociaciones estratégicas más importantes
 #MOFAQatar https://t.co/tSW6JqMZRL</t>
  </si>
  <si>
    <t>Qatar y Estados Unidos firman una carta de intenciones sobre el legado de la Copa del Mundo (2022 - 2026)
#MOFAQatar 
@MBA_AlThani_ https://t.co/93IgNesuDp</t>
  </si>
  <si>
    <t>وزير الخارجية الأمريكي @SecBlinken: التعاون بين الولايات المتحدة وقطر أعمق من أي وقت مضى
#الخارجية_القطرية https://t.co/0Hl6iTSHkB</t>
  </si>
  <si>
    <t>نائب رئيس مجلس الوزراء وزير الخارجية @MBA_AlThani_: قطر تعتبر العلاقات مع الولايات المتحدة من أهم الشراكات الاستراتيجية لديها
#الخارجية_القطرية https://t.co/Sd8VYXjGii</t>
  </si>
  <si>
    <t>ضمن الحوار الاستراتيجي بين البلدين في دورته الخامسة
قطر والولايات المتحدة توقعان على خطاب نوايا بشأن إرث كأس العالم (٢٠٢٢- ٢٠٢٦)
#الخارجية_القطرية https://t.co/h7WhucRp3M</t>
  </si>
  <si>
    <t>Secretario de Estado de los Estados Unidos @SecBlinken : La cooperación entre los Estados Unidos y Qatar es más profunda que nunca
#MOFAQatar https://t.co/7AzE6z0jvk</t>
  </si>
  <si>
    <t>As part of the strategic dialogue between the two countries in its fifth session
Qatar and the United States sign a Letter of Intent on the legacy of the World Cup (2022 - 2026)
#MOFAQatar https://t.co/rC54xPFlxT</t>
  </si>
  <si>
    <t>Deputy Prime Minister and Minister of Foreign Affairs @MBA_AlThani_: Qatar considers relations with the United States as one of its most important strategic partnerships.
#MOFAQatar https://t.co/vAsmSeHkKQ</t>
  </si>
  <si>
    <t>U.S. Secretary of State @SecBlinken: The cooperation between the United States and Qatar is deeper than ever
#MOFAQatar https://t.co/xhTjwGEd5x</t>
  </si>
  <si>
    <t>Deputy Prime Minister and Minister of Foreign Affairs @MBA_AlThani_ : Qatar Sees Relations with US as One of Its Major Strategic Partnerships
🔗To learn more: https://t.co/uj11TmQEGS
#MOFAQatar https://t.co/X5cH5NGage</t>
  </si>
  <si>
    <t>Qatar Participates in 9th United Nations Alliance of Civilizations Global Forum in Morocco
🔗To learn more: https://t.co/VXj9VUdHCd
#MOFAQatar https://t.co/F3DYgVcSF3</t>
  </si>
  <si>
    <t>Qatar, US Sign Letter of Intent on World Cup Legacy
#MOFAQatar 
@MBA_AlThani_ https://t.co/qW2QTbZQvW</t>
  </si>
  <si>
    <t>🎥| نائب رئيس مجلس الوزراء وزير الخارجية @MBA_AlThani_ يجتمع مع وزير الخارجية الأمريكي
#الخارجية_القطرية https://t.co/tyqv8AMGQW</t>
  </si>
  <si>
    <t>Assistant Foreign Minister @Lolwah_Alkhater Meets Australian Minister for Sport
#MOFAQatar https://t.co/FMJ1bgsIpL</t>
  </si>
  <si>
    <t>قطر تشارك في المنتدى العالمي التاسع لمنظمة الأمم المتحدة لتحالف الحضارات بالمغرب
🔗لقراءة المزيد: https://t.co/G0rDwVUHs9
#الخارجية_القطرية https://t.co/l2094Xlkai</t>
  </si>
  <si>
    <t>#QNA_Video |
The Fifth Session of Qatar-US National Strategic Dialogue. #QNA 
#Qatar #USA https://t.co/v7ttAKtZAe</t>
  </si>
  <si>
    <t>مساعد وزير الخارجية @Lolwah_Alkhater تجتمع مع وزيرة الرياضة الأسترالية
#الخارجية_القطرية https://t.co/IWFQP3rBzT</t>
  </si>
  <si>
    <t>افتتحت اليوم مع صديقي @SecBlinken الحوار القطري - الأمريكي الاستراتيجي الخامس، اكتسب هذا الحوار طابعاً خاصاً لاقترانه بنهائيات #كأس_العالم وأتمنى للمنتخب القطري والأمريكي وجميع المنتخبات المشاركة التوفيق. https://t.co/A4lTJvdBWl</t>
  </si>
  <si>
    <t>Today, I launched with my friend @SecBlinken the fifth U.S.- Qatar strategic dialogue. This years’ dialogue is unique as it coincides with the #WorldCup2022. I wish the Qatari and American teams and all participating teams success during their matches. https://t.co/NZmAJpbmLL</t>
  </si>
  <si>
    <t>Deputy Prime Minister and Minister of Foreign Affairs @MBA_AlThani_ Meets US Secretary of State
#MOFAQatar https://t.co/JQ3u10Pebr</t>
  </si>
  <si>
    <t>نائب رئيس مجلس الوزراء وزير الخارجية @MBA_AlThani_ يجتمع مع وزير الخارجية الأمريكي
#الخارجية_القطرية https://t.co/jhcbiTpXlN</t>
  </si>
  <si>
    <t>قطر والولايات المتحدة توقعان على خطاب نوايا بشأن إرث كأس العالم (٢٠٢٢- ٢٠٢٦)
#الخارجية_القطرية 
@MBA_AlThani_ https://t.co/aIjtgw9Nce</t>
  </si>
  <si>
    <t>نائب رئيس مجلس الوزراء وزير الخارجية @MBA_AlThani_ : قطر تعتبر العلاقات مع الولايات المتحدة من أهم الشراكات الاستراتيجية لديها
🔗لقراءة المزيد: https://t.co/phtc9qFwi5
#الخارجية_القطرية https://t.co/JJp9oHP0QR</t>
  </si>
  <si>
    <t>لقطات من المؤتمر الصحفي المشترك لسعادة الشيخ محمد بن عبد الرحمن آل ثاني، نائب رئيس مجلس الوزراء وزير الخارجية @MBA_AlThani_ ، وسعادة السيد أنتوني بلينكن وزير الخارجية بالولايات المتحدة الأمريكية @SecBlinken ، بمناسبة افتتاح الحوار الاستراتيجي القطري الأمريكي الخامس. https://t.co/JY07qR13Ut</t>
  </si>
  <si>
    <t>HE @SecBlinken in Doha: We meet at what is a high point of the five decade long diplomatic relationship between our countries on every issue that matters to our nations. 
Our collaboration, fair to say, is deeper and our people are the better off for it.
#MOFAQatar https://t.co/SfufAKS2vy</t>
  </si>
  <si>
    <t>HE @SecBlinken in Doha: 
We're partnering in the region and beyond to enhance stability, to reduce tensions, to end conflicts. 
Qatar has provided economic assistance to the Palestinian people, helped pay the salaries of security forces in Lebanon, and brokered peace in Chad. https://t.co/2OMVmHsXGa</t>
  </si>
  <si>
    <t>HE @SecBlinken in Doha: 
We're also deepening economic ties from civil aviation to renewable energy. Qatari and American businesses, Innovators are creating new opportunities for people in both of our countries. 
#MOFAQatar https://t.co/rGWiSIOQ1F</t>
  </si>
  <si>
    <t>نائب رئيس مجلس الوزراء وزير الخارجية @MBA_AlThani_ :
الكثير يعتقد بأن السبب الرئيسي للإصلاحات التي حدثت هي كأس العالم ،ولكن نحن نرى أن كأس العالم فقط محفز لهذا الشيء ،وهي رؤية سمو الأمير لتحول دولة قطر ومواكبتها للمتغيرات التي تحدث في العالم حولنا، وهي عملية مستمرة وغير منقطعة. https://t.co/VsdTx1qJuS</t>
  </si>
  <si>
    <t>نبارك للأخضر تألقه اليوم وهذا الفوز التاريخي في مباراة #السعوديه_الارجنتين في أول فوز للعرب في كأس العرب، وبالتوفيق لتونس وبقية الأشقاء.
#Qatar2022 
🇸🇦🇸🇦🇸🇦🇸🇦🇸🇦</t>
  </si>
  <si>
    <t>Live | The joint press conference of HE @MBA_AlThani_, and HE @SecBlinken, on the occasion of the opening of the Fifth US-Qatar Strategic Dialogue. 
#MOFAQatar https://t.co/UWac7qJYrR</t>
  </si>
  <si>
    <t>سمو الأمير المفدى يستقبل سعادة أنتوني بلينكن وزير الخارجية بالولايات المتحدة الأمريكية الصديقة، وذلك في استاد أحمد بن علي. https://t.co/pIBRGO3Wct https://t.co/kGLQoQtjcU</t>
  </si>
  <si>
    <t>أهنئ جمهورية #لبنان الشقيقة بمناسبة ذكرى يوم الاستقلال، سائلاً المولى عز وجل أن يديم عليها نعمة الأمن والاستقرار. نتطلع لتطوير علاقتنا الأخوية بما يخدم مصالح شعبينا الشقيقين.</t>
  </si>
  <si>
    <t>يبدأ المؤتمر حوالي الساعة 12:50 ظهراً بتوقيت #الدوحة https://t.co/3xetgitnQs</t>
  </si>
  <si>
    <t>بث مباشر | المؤتمر الصحفي المشترك لسعادة نائب رئيس مجلس الوزراء وزير الخارجية و سعادة وزير الخارجية الأمريكي بمناسبة افتتاح الحوار الاستراتيجي القطري الأمريكي الخامس
#الخارجية_القطرية https://t.co/hNPGOfXx29</t>
  </si>
  <si>
    <t>نائب رئيس مجلس الوزراء وزير الخارجية @MBA_AlThani_ : 
كانت لنا فرصة اليوم لإقامة الجولة الخامسة من الحوار الاستراتيجي القطري الأمريكي والذي نعتبره منصة هامة في تعزيز العلاقات الثنائية بين بلدينا التي تتمتع بأسس قوية وصلبة وشراكة متعددة الأوجه.
#الخارجية_القطرية https://t.co/0BiQjHd7mU</t>
  </si>
  <si>
    <t>نائب رئيس مجلس الوزراء وزير الخارجية @MBA_AlThani_ :
نتطلع في قطر لتعزيز الشراكة مع الولايات المتحدة، ولأن يكون هناك دائما حوار مفتوح وعلاقة مبنية على الثقة المتبادلة والشفافية.
وأثمن التعاون الذي أبدته الولايات المتحدة بمؤسساتها المختلفة لدعم إقامة بطولة كأس العالم في قطر. https://t.co/YvlATNXFiK</t>
  </si>
  <si>
    <t>نائب رئيس مجلس الوزراء وزير الخارجية @MBA_AlThani_ : 
السواد الأعظم من  جمهور كرة القدم ، عندما أتى إلى الدوحة تفاجأ بالإعداد الناجح لكأس العالم وبالشعب القطري المضياف الذي يرحب بالجميع، ونستطيع أن نرى الفرحة في عيون الناس لاستضافة هذا الحدث الكبير.
#الخارجية_القطرية 
#قطر2022 https://t.co/jwc2rdtQj7</t>
  </si>
  <si>
    <t>البث المباشر للمؤتمر الصحفي المشترك لسعادة @MBA_AlThani_ نائب رئيس مجلس الوزراء وزير الخارجية، وسعادة السيد @SecBlinken وزير الخارجية بالولايات المتحدة الأمريكية، بمناسبة افتتاح الحوار الاستراتيجي القطري الأمريكي الخامس
🔗 https://t.co/F7Ihc7rMfX
#الخارجية_القطرية https://t.co/q6xO8tdj9a</t>
  </si>
  <si>
    <t>Live streaming of the joint press conference of HE @MBA_AlThani_, and HE @SecBlinken, on the occasion of the opening of the Fifth US-Qatar Strategic Dialogue at 12:50pm.
🔗 https://t.co/fXTE4IVgBr
#MOFAQatar https://t.co/IiT4hQLmvE</t>
  </si>
  <si>
    <t>دولة قطر تشارك بمنتدى التعاون بين كوريا الجنوبية والشرق الأوسط
🔗 لقراءة المزيد: https://t.co/GMQkbusk0i
#الخارجية_القطرية https://t.co/gmZo6Vmzjp</t>
  </si>
  <si>
    <t>Qatar Takes Part in Korea-Middle East Cooperation Forum
🔗 To learn more: https://t.co/fu023oPdXf
#MOFAQatar https://t.co/Fdh1k6zZLk</t>
  </si>
  <si>
    <t>سمو الأمير المفدى يتلقى اتصالا هاتفيا من أخيه صاحب السمو الشيخ محمد بن زايد آل نهيان رئيس دولة الإمارات العربية المتحدة الشقيقة، هنأه خلاله بمناسبة نجاح افتتاح بطولة كأس العالم FIFA قطر 2022. https://t.co/jAXFGFMIiw</t>
  </si>
  <si>
    <t>HE @MBA_AlThani_ and HE @SecBlinken will inaugurate tomorrow morning the 5th strategic dialogue between the 2 countries which started in 2018. The program begins with a bilateral meeting between the 2 ministers then an expanded working meeting followed by a joint press conference</t>
  </si>
  <si>
    <t>Regularity of the strategic dialogue shows the 2 friendly countries’ keenness 2 enhance strategic partnership &amp;amp; coordination in various regional &amp;amp; international issues.
The American guest’s visit also includes attending his country’s 1st matches in the #QatarWorldCup_2022 tonight</t>
  </si>
  <si>
    <t>يعكس انتظام انعقاد الحوار الاستراتيجي حرص البلدين الصديقين على تعزيز الشراكة الاستراتيجية بينهما والتنسيق في مختلف الملفات الإقليمية والدولية. 
كما تتضمن زيارة الضيف الأمريكي حضور أولى مباريات منتخب بلاده في #كأس_العالم_قطر_2022 الليلة.</t>
  </si>
  <si>
    <t>Qatar and the United States of America... half a century of cooperation, friendship and fruitful partnership
#MOFAQatar https://t.co/VUKzeiNxE0</t>
  </si>
  <si>
    <t>Fifth Session of Qatar-U.S. Strategic Dialogue to Begin in Doha Tomorrow
#MOFAQatar https://t.co/WR7aQ44sok</t>
  </si>
  <si>
    <t>Zambia Exempts Qatar's Citizens from Entry Visas
#MOFAQatar https://t.co/Apf5tnpatg</t>
  </si>
  <si>
    <t>قطر والولايات المتحدة الأمريكية.. نصف قرن من التعاون والصداقة والشراكة المثمرة
#الخارجية_القطرية https://t.co/mERkdokkrQ</t>
  </si>
  <si>
    <t>يفتتح سعادة @MBA_AlThani_ وسعادة @SecBlinken صباح الغد خامس الحوارات الاستراتيجية بين البلدين والتي بدأت عام ٢٠١٨، يبدأ البرنامج بلقاء ثنائي بين الوزيرين ثم اجتماع عمل موسع متبوعاً بمؤتمر صحفي مشترك. https://t.co/RVGNbfQm0u</t>
  </si>
  <si>
    <t>Looking forward to host my friend @SecBlinken in #Doha tomorrow, for the opening of the 5th session of the Qatar-US Strategic Dialogue. The dialogue provides a pivotal framework for initiatives to enhance our strategic relations in various fields, to achieve our common interests.</t>
  </si>
  <si>
    <t>Pleased to meet HE @JamesCleverly Foreign Minister of the United Kingdom, to discuss ways to strengthen bilateral relations, alongside his participation in the #WorldCup2022 activities. We look forward to enjoying today's match between England &amp;amp; Iran, wishing success to everyone. https://t.co/9bdH92E2OL</t>
  </si>
  <si>
    <t>سعدت بلقاء سعادة السيد @JamesCleverly، وزير الخارجية بالمملكة المتحدة حيث ناقشنا سبل تعزيز علاقاتنا الثنائية وذلك في إطار مشاركته في فعاليات  #كأس_العالم_قطر_2022 ، ونتطلع للاستمتاع بمباراة اليوم بين انجلترا وايران، متمنياً التوفيق للجميع. https://t.co/9dY7a2D2Vh</t>
  </si>
  <si>
    <t>الحوار الاستراتيجي القطري الأمريكي في دورته الخامسة يبدأ في الدوحة غداً
🔗لقراءة المزيد: https://t.co/wCIWGqZLHY
#الخارجية_القطرية https://t.co/LXEMzrHqc2</t>
  </si>
  <si>
    <t>أتطلع لاستضافة صديقي @SecBlinken في #الدوحة غداً، لافتتاح الدورة الخامسة من الحوار الاستراتيجي القطري - الأمريكي. يوفر الحوار إطاراً محورياً لمبادرات تعزيز التعاون المشترك بيننا في شتى المجالات، وهي فرصة لتطوير علاقاتنا الاستراتيجية والارتقاء بها تحقيقاً لمصالحنا المشتركة.</t>
  </si>
  <si>
    <t>الحوار الاستراتيجي القطري - الأمريكي في دورته الخامسة يبدأ في الدوحة غداً
#الخارجية_القطرية https://t.co/WtIWKOumim</t>
  </si>
  <si>
    <t>Fifth Session of Qatar-U.S. Strategic Dialogue to Begin in Doha Tomorrow
🔗To learn more: https://t.co/3HPemFR2Oo
#MOFAQatar https://t.co/E6AXTDvZH5</t>
  </si>
  <si>
    <t>من فلسطين ومن مناطق المشجعين احتفل الأشقاء الفلسطينيون معنا ومع الوطن العربي والعالم بافتتاح كأس العالم #قطر2022 🇶🇦🇵🇸
#قطر٢٠٢٢_فرحة_للجميع https://t.co/1l5RLRRgKv https://t.co/CX9eGEwCgr</t>
  </si>
  <si>
    <t>"وجعلناكم شعوباً وقبائل لتعارفوا" 
بهذه الرسالة الربانية انطلقت نهائيات كأس العالم لأول مرة من العالمين العربي والإسلامي، لتكون محطة للتواصل الحضاري ولاستعراض ثقافتنا وموروثنا ومنجزاتنا. 
هنيئاً لكل من عمل بإخلاص وجد خلال السنوات الماضية على هذه الانطلاقة المبهرة.
#FIFAWorldCup</t>
  </si>
  <si>
    <t>سمو الأمير المفدى يفتتح بطولة كأس العالم FIFA قطر 2022 في استاد البيت. #قطر2022 https://t.co/vi4DeXuH2n https://t.co/OEqisL33Yf</t>
  </si>
  <si>
    <t>بعد جهدٍ متواصل وعمل دؤوب دام 12 عامًا نشهد اليوم بكل اعتزاز انطلاق بطولة كأس العالم FIFA قطر 2022. نرحب بضيوفنا من كافة أنحاء العالم، مع تمنياتنا بالتوفيق لجميع المنتخبات المُشاركة وللجماهير بقضاء أوقاتٍ ممتعة. #قطر2022 https://t.co/qmkcYqZhIc</t>
  </si>
  <si>
    <t>https://t.co/8uEMDXtYoq</t>
  </si>
  <si>
    <t>https://t.co/uubEl1bnsx</t>
  </si>
  <si>
    <t>سمو الأمير المفدى يقيم حفل استقبال لأصحاب الجلالة والفخامة والسمو قادة الدول الشقيقة والصديقة، ورؤساء الوفود المشاركين في افتتاح بطولة كأس العالم قطر 2022، في استاد البيت. #قطر2022  
https://t.co/2AUcCh6yHn https://t.co/HF06iRCdkq</t>
  </si>
  <si>
    <t>سمو نائب الأمير يتقدم مستقبلي فخامة الرئيس عبدالفتاح السيسي رئيس جمهورية مصر العربية الشقيقة، لدى وصوله اليوم إلى الدوحة لحضور حفل افتتاح بطولة كأس العالم FIFA قطر 2022، في استاد البيت. #قطر2022 https://t.co/4q0qsO0G6u https://t.co/Gfn1QQb2nG</t>
  </si>
  <si>
    <t>سمو نائب الأمير يتقدم مستقبلي سمو الشيخ مشعل الأحمد الجابر الصباح ممثل سمو أمير دولة الكويت الشقيقة ولي العهد، لدى وصوله اليوم إلى الدوحة لحضور حفل افتتاح بطولة كأس العالم FIFA قطر 2022، في استاد البيت. #قطر2022  https://t.co/j1NBlB3veb https://t.co/HnlY58Ahct</t>
  </si>
  <si>
    <t>شرفني اليوم سعادة الشيخ/ خليفة الحارثي @KhalifaAlharthy ، وكيل وزارة الخارجية للشؤون الدبلوماسية في سلطنة عمان الشقيقة، بزيارته الدوحة لحضور افتتاح بطولة كأس العالم فيفا قطر 2022، كما تم التباحث في سبل تعزيز آفاق التعاون الثنائي 🇴🇲🇶🇦 https://t.co/Brw0JgEKiJ</t>
  </si>
  <si>
    <t>سعدت بالترحيب بسعادة السيد @MargSchinas نائب رئيس المفوضية الأوروبية، الذي ناقشت معه سبل تعزيز العلاقات الثنائية بين دولة #قطر و @EU_Commission، كما بحثنا آليات تعزيز التعاون بيننا خاصة في المجال الأمني و الاجتماعي والثقافي. متطلعاً لجهودنا المشتركة في هذا الصدد. https://t.co/0bJ0xN2av4</t>
  </si>
  <si>
    <t>📽️نائب رئيس مجلس الوزراء وزير الخارجية @MBA_AlThani_  يجتمع مع نائب رئيسة المفوضية الأوروبية
#الخارجية_القطرية
#قطر2022 https://t.co/2JWuchYIHQ</t>
  </si>
  <si>
    <t>سمو الأمير المفدى يشارك في القمة التنفيذية للاتحاد الدولي لكرة القدم (الفيفا) ، ويلقي كلمة بهذه المناسبة، وذلك بفندق فيرمونت الدوحة. #قطر2022 https://t.co/opX7jCFO7S https://t.co/s1chbxSl4K</t>
  </si>
  <si>
    <t>Qatar Asserts Modern Technology's Unprecedented Usefulness in Countering Terrorism, Its Financing
🔗To learn more: https://t.co/wCuyDvU6go
#MOFAQatar https://t.co/mmVCsxMFAA</t>
  </si>
  <si>
    <t>نائب رئيس مجلس الوزراء وزير الخارجية @MBA_AlThani_ يجتمع مع نائب رئيسة المفوضية الأوروبية
#الخارجية_القطرية
#قطر2022 https://t.co/ay3EMR3j0g</t>
  </si>
  <si>
    <t>Pleased to welcome HE @MargSchinas Vice-President of the @EU_Commission, to discuss ways to strengthen bilateral relations &amp;amp; mechanisms to enhance cooperation between us, especially in the security, social, &amp;amp; cultural fields. Looking forward to our joint efforts in this regard. https://t.co/BpnP9p7fbj</t>
  </si>
  <si>
    <t>Deputy Prime Minister and Minister of Foreign Affairs @MBA_AlThani_  Meets Vice-President of European Commission
#MOFAQatar https://t.co/YM1pbsReJx</t>
  </si>
  <si>
    <t>Foreign Minister's Special Envoy Meets US Deputy Assistant Secretary of Treasury
#MOFAQatar https://t.co/ydKJnNbWOG</t>
  </si>
  <si>
    <t>Foreign Minister's Special Envoy Meets FATF President
#MOFAQatar https://t.co/vkhMvYCjBN</t>
  </si>
  <si>
    <t>Foreign Minister's Special Envoy Meets Indian Officials
#MOFAQatar https://t.co/N7mBgrQuPi</t>
  </si>
  <si>
    <t>اللجنة الثالثة للجمعية العامة للأمم المتحدة تعتمد قراراً ساهمت دولة قطر بتيسير المفاوضات حوله
🔗لقراءة المزيد : https://t.co/mFec5W98Zm
#الخارجية_القطرية https://t.co/SL6wMvaFBn</t>
  </si>
  <si>
    <t>سمو الأمير المفدى يفتتح مساء غد الأحد بطولة كأس العالم FIFA قطر 2022 بحضور عدد من أصحاب الجلالة والفخامة والسمو والسعادة رؤساء الدول ورؤساء وفود الدول الشقيقة والصديقة، وذلك في استاد البيت. #قطر2022  
https://t.co/g17SsKTKru</t>
  </si>
  <si>
    <t>roadto2022en</t>
  </si>
  <si>
    <t>🌏 𝟯𝟮 𝘁𝗲𝗮𝗺𝘀
⚽ 𝟲𝟰 𝗺𝗮𝘁𝗰𝗵𝗲𝘀
🏟️ 𝟴 𝘀𝘁𝗮𝗱𝗶𝘂𝗺𝘀
𝟭 𝗱𝗮𝘆 𝗮𝘄𝗮𝘆 𝗳𝗿𝗼𝗺 𝘁𝗵𝗲 𝗙𝗜𝗙𝗔 𝗪𝗼𝗿𝗹𝗱 𝗖𝘂𝗽 𝗤𝗮𝘁𝗮𝗿 𝟮𝟬𝟮𝟮 https://t.co/PMoPZ7IErP</t>
  </si>
  <si>
    <t>دولة قطر تؤكد أن التقنيات الحديثة تتيح إمكانيات غير مسبوقة لتعزيز فعالية التدابير المتخذة لمكافحة الإرهاب وتمويله
🔗 لقراءة المزيد : https://t.co/5vWjCce4Ye
#الخارجية_القطرية https://t.co/7Agt2d1Pzd</t>
  </si>
  <si>
    <t>المبعوث الخاص لوزير الخارجية يجتمع مع مسؤولين هنديين
#الخارجية_القطرية https://t.co/JbJA4LzImP</t>
  </si>
  <si>
    <t>المبعوث الخاص لوزير الخارجية يجتمع مع نائب مساعد وزير الخزانة الأمريكي
#الخارجية_القطرية https://t.co/snG7y2Cfbe</t>
  </si>
  <si>
    <t>Qatar Facilitates Negotiations of Resolution Adopted by 3rd Committee of UN General Assembly
🔗To learn more : https://t.co/rDApTKCyES
#MOFAQatar https://t.co/CE2fgXhyUs</t>
  </si>
  <si>
    <t>المبعوث الخاص لوزير الخارجية يجتمع مع رئيس مجموعة العمل المالي "فاتف"
#الخارجية_القطرية https://t.co/ns0YIPVLep</t>
  </si>
  <si>
    <t>Great Arab Support for Qatar’s Hosting of the World Cup and Condemnation of Malicious Campaigns
#MOFAQatar 
#Qatar2022 https://t.co/XXTATH47rN</t>
  </si>
  <si>
    <t>دعم عربي كبير لاستضافة قطر لبطولة كأس العالم وتنديد بالحملات المغرضة
#الخارجية_القطرية
#قطر2022 https://t.co/pUuOIY2X7E</t>
  </si>
  <si>
    <t>Gran apoyo árabe a Qatar por organizar el Mundial y condena de las campañas maliciosas
#MOFAQatar 
#Qatar2022 https://t.co/nvXTgfbFav</t>
  </si>
  <si>
    <t>دعم عربي كبير لاستضافة قطر لبطولة كأس العالم وتنديد بالحملات المغرضة
🔗لقراءة المزيد : https://t.co/TMzLUG5XIT
#الخارجية_القطرية 
#قطر2022 https://t.co/oK8Zo38vwr</t>
  </si>
  <si>
    <t>HE @Lolwah_Alkhater:
We hope that these fan zones will be a shining moment of hope for refugees &amp;amp; displaced persons to share with them the joy of the #Qatar2022, especially in the occupied Palestine, where our brothers suffer from the daily crimes of the Israeli occupation. https://t.co/SEVXbBoOHX</t>
  </si>
  <si>
    <t>HE @Lolwah_Alkhater:
People in our region were wronged as they became victims of successive crises, armed &amp;amp; severe conflicts, growing escalation of Islamophobic rhetoric &amp;amp; vicious campaigns based on double standards.
#MOFAQatar 
#Qatar2022 https://t.co/QPzhz3pNmx</t>
  </si>
  <si>
    <t>HE @Lolwah_Alkhater :
Qatar’s keenness to establish fan zones for the displaced &amp;amp; refugees in Palestine, Jordan, Sudan, Iraq, Lebanon, Yemen, Turkey &amp;amp; Bangladesh upon FIFA World Cup, translates our firm belief in the power of sports to cause positive social change.
#MOFAQatar https://t.co/KUO7bJxXTP</t>
  </si>
  <si>
    <t>نجدد التأكيد أن قطر تضع الوساطة والدبلوماسية الوقائية في صدارة أولويات سياستها الخارجية آملين أن تمثل مناطق المشجعين لأشقائنا اللاجئين بارقة أمل ولحظةً يختطفونها من عمر الزمن ليشاركونا ونشاركهم فرحة مونديال العرب والمسلمين والإنسانية #قطر٢٠٢٢_فرحة_للجميع 
https://t.co/q0kt4q1yeq https://t.co/1l5RLRQIUX</t>
  </si>
  <si>
    <t>مساعد وزير الخارجية @Lolwah_Alkhater : 
نأمل أن تمثل مناطق المشجعين لأشقائنا اللاجئين والنازحين بارقة أمل ولحظة يختطفون من عمر الزمن ليشاركوا وتشاركهم فرحة مونديال العرب #قطر2022، وأخص بالذكر هنا فلسطين المحتلة التي يعاني فيها الأشقاء من الجرائم اليومية للاحتلال الإسرائيلي. https://t.co/8uU1wKUYNA</t>
  </si>
  <si>
    <t>مساعد وزير الخارجية @Lolwah_Alkhater : لا بد من التأكيد على مسألة أن شعوب منطقتنا قد ظلمت حين أصبحت ضحية لأزمات متلاحقة ونزاعات مسلحة وصراعات طاحنة، وتصعيدٍ متزايدٍ لخطاب التخويف من الإسلام.
وحملات مغرضة قائمة على ازدواجية المعايير دفع ثمنها الأبرياء نزوحاً ولجوءاً ومعاناة قاسية. https://t.co/rCOWsXmY5H</t>
  </si>
  <si>
    <t>مساعد وزير الخارجية @Lolwah_Alkhater :
إن حرص دولة قطر على إقامة مناطق مشجعين للنازحين واللاجئين في فلسطين والأردن والسودان والعراق ولبنان واليمن وتركيا وبنغلاديش بمناسبة كأس العالم #قطر2022 ،يترجم إيماننا الراسخ بقدرة الرياضة على إحداث تغيير اجتماعي إيجابي يحفز التنمية المستدامة https://t.co/eRY9sdeJgx</t>
  </si>
  <si>
    <t>HH the Amir Receives Phone Call from Russian President. #QNA 
#Qatar 
#Russia 
https://t.co/VzgDNcteU2 https://t.co/WPxiBGZ8bQ</t>
  </si>
  <si>
    <t>سمو الأمير المفدى يتلقى اتصالا هاتفيا من فخامة الرئيس فلاديمير بوتين رئيس روسيا الاتحادية الصديقة. https://t.co/yoIPfyj3B6</t>
  </si>
  <si>
    <t>Pleased to talk with HE @JakeSullivan46, the U.S National Security Adviser, to discuss various regional &amp;amp; international issues, especially the Russia-Ukraine crisis, it’s repercussions, &amp;amp; ways towards a peaceful resolution. We also exchanged views on issues of common interest.</t>
  </si>
  <si>
    <t>Deputy Prime Minister and Minister of Foreign Affairs @MBA_AlThani_  Holds Telephone Call with US National Security Advisor
#MOFAQatar https://t.co/O8mPIS94bs</t>
  </si>
  <si>
    <t>سررت بمكالمة سعادة السيد @JakeSullivan46، مستشار الأمن القومي في الولايات المتحدة الأمريكية، حيث ناقشنا عدد من القضايا الإقليمية والدولية لا سيما تداعيات الأزمة بين روسيا وأوكرانيا وسبل حلها سلمياً، وتبادلنا الآراء حول عدد من القضايا ذات الاهتمام المشترك.</t>
  </si>
  <si>
    <t>Qatar Takes Part in Ministerial Preparatory Meeting of 18th Summit of La Francophonie in Tunisia
#MOFAQatar https://t.co/L3F3YIuXKJ</t>
  </si>
  <si>
    <t>Qatar Affirms Commitment to Afghanistan's Stability, Prosperity, and Peace
🔗To learn more : https://t.co/49a4mv29h4
#MOFAQatar https://t.co/as8z4uo8BH</t>
  </si>
  <si>
    <t>نائب رئيس مجلس الوزراء وزير الخارجية @MBA_AlThani_  يجري اتصالاً هاتفياً مع مستشار الأمن القومي الأمريكي 
#الخارجية_القطرية https://t.co/VK8KF8Zy27</t>
  </si>
  <si>
    <t>قطر تشارك في الاجتماع الوزاري للإعداد للقمة الـ “18" للفرنكوفونية بتونس
#الخارجية_القطرية https://t.co/b234UfH7vf</t>
  </si>
  <si>
    <t>سمو نائب الأمير يهنئ ملك المغرب بمناسبة ذكرى استقلال بلاده
#قنا 
https://t.co/Pxb5GHh0m1 https://t.co/sIpPBnE8mL</t>
  </si>
  <si>
    <t>HH the Amir sent a cable of congratulations to the Sultan of the sisterly Sultanate of Oman on the anniversary of his country's National Day. #QNA
https://t.co/N1gwU9fJoB https://t.co/SWH9qeaAJs</t>
  </si>
  <si>
    <t>قطر تؤكد التزامها باستقرار وازدهار وسلم أفغانستان
🔗 لقراءة المزيد : https://t.co/NQoMTEOSYp
#الخارجية_القطرية https://t.co/gSyxAXHbLW</t>
  </si>
  <si>
    <t>أطيب التهاني والتبريكات لمملكة #المغرب حكومةً وشعباً بمناسبة ذكرى يوم الاستقلال، متمنياً لهم المزيد من التقدم والازدهار. نتطلع لتطوير العلاقات بين بلدينا الشقيقين في المجالات كافة.</t>
  </si>
  <si>
    <t>أتقدم بخالص التهاني لسلطنة #عُمان الشقيقة بمناسبة ذكرى اليوم الوطني، متمنياً لها ولشعبها الشقيق دوام الأمن والتقدم والازدهار في ظل قيادتها الرشيدة. تجمعنا علاقات راسخة بين بلدينا والتي نتطلع لتنميتها لتحقيق تطلعات شعبينا الشقيقين.</t>
  </si>
  <si>
    <t>Deputy Prime Minister and Minister of Foreign Affairs @MBA_AlThani_ Receives Phone Call from Foreign Minister of Netherlands
#MOFAQatar https://t.co/Al9ezdNI85</t>
  </si>
  <si>
    <t>نائب رئيس مجلس الوزراء وزير الخارجية @MBA_AlThani_ يتلقى اتصالاً هاتفياً من وزير الخارجية البريطاني
#الخارجية_القطرية https://t.co/0qozMjyz04</t>
  </si>
  <si>
    <t>نائب رئيس مجلس الوزراء وزير الخارجية @MBA_AlThani_ يتلقى اتصالاً هاتفياً من وزير الخارجية الهولندي
#الخارجية_القطرية https://t.co/j35ozhYC1a</t>
  </si>
  <si>
    <t>Deputy Prime Minister and Minister of Foreign Affairs @MBA_AlThani_ Receives Phone Call from UK Foreign Secretary
#MOFAQatar https://t.co/ZQKTCZjcGe</t>
  </si>
  <si>
    <t>Qatar celebra la extensión del trato de exportación de granos a través del Mar Negro
#MOFAQatar https://t.co/Gijdqf29FF</t>
  </si>
  <si>
    <t>Statement | Qatar welcomes the extension of the agreement on grain exports through the Black Sea
#MOFAQatar https://t.co/atWAWNaj62</t>
  </si>
  <si>
    <t>بيان | قطر ترحب بتمديد اتفاق صادرات الحبوب عبر البحر الأسود 
#الخارجية_القطرية https://t.co/6ANavnLZE6</t>
  </si>
  <si>
    <t>✔️ 90+ incredible events &amp;amp; attractions
✔️ 8 epic destinations
✔️ Amazing experiences &amp;amp; new discoveries awaiting around every corner
#Qatar🇶🇦  is ready to create the social &amp;amp; cultural experience of a lifetime ⚽️
#Qatar2022 @roadto2022en 
🔗https://t.co/Co5Dw01iEo https://t.co/P4LKh8EP7V</t>
  </si>
  <si>
    <t>وزير الدولة للشؤون الخارجية يجتمع مع سفير كينيا
#الخارجية_القطرية https://t.co/r0amrxVFiz</t>
  </si>
  <si>
    <t>Minister of State for Foreign Affairs Meets Kenyan Ambassador
#MOFAQatar https://t.co/xReiZ6PICk</t>
  </si>
  <si>
    <t>#الخارجية_القطرية https://t.co/IU4rYQLoMU</t>
  </si>
  <si>
    <t>#MOFAQatar https://t.co/kG7EO6Acvv</t>
  </si>
  <si>
    <t>الأمين العام لوزارة الخارجية يجتمع مع سفير إيطاليا
#الخارجية_القطرية https://t.co/IBmKvxWPZN</t>
  </si>
  <si>
    <t>Secretary-General of Ministry of Foreign Affairs Meets Italian Ambassador
#MOFAQatar https://t.co/A1WmY8snQo</t>
  </si>
  <si>
    <t>Qatar Stresses Importance of Consolidating Efforts to make Middle East Free of Weapons of Mass Destruction
🔗To learn more: https://t.co/nvYkGiYrjd
#MOFAQatar https://t.co/H51qlQkB7F</t>
  </si>
  <si>
    <t>🎥| سمو الأمير @TamimBinHamad يتلقى رسالة خطية من رئيس الكونغو الديمقراطية
#الخارجية_القطرية 
@MBA_AlThani_ https://t.co/2jZZ8d0NB6</t>
  </si>
  <si>
    <t>دولة قطر تؤكد على أهمية تعزيز الجهود لجعل منطقة الشرق الأوسط خالية من أسلحة الدمار الشامل
🔗لقراءة المزيد: https://t.co/uH98LEKUl0
#الخارجية_القطرية https://t.co/5A6VeWsFzv</t>
  </si>
  <si>
    <t>سمو الأمير @TamimBinHamad يتلقى رسالة خطية من رئيس الكونغو الديمقراطية
#الخارجية_القطرية https://t.co/yhY7TJXwQo</t>
  </si>
  <si>
    <t>سمو الأمير  @TamimBinHamad يبعث رسالة خطية إلى رئيس المجلس الأوروبي
#الخارجية_القطرية https://t.co/h4CZTGKEAG</t>
  </si>
  <si>
    <t>HH the Amir @TamimBinHamad Receives Written Message from President of the Democratic Republic of Congo
#MOFAQatar https://t.co/ZmsXsV3dAk</t>
  </si>
  <si>
    <t>HH the Amir @TamimBinHamad Sends Written Message to President of European Council
#MOFAQatar https://t.co/MJkgvLxujm</t>
  </si>
  <si>
    <t>In an interview with @QatarNewsAgency, HE the Minister of Social Development and Family speaks about the key initiatives the Ministry will be implementing during the FIFA World Cup #Qatar 2022. https://t.co/Co5IQD4rCk</t>
  </si>
  <si>
    <t>#HamadPort Centre 🚢
The Centre includes an aquarium, featuring 17 basins of different sizes. It displays some 80 species of fishes and aquatic animals; 3063 in total. It will be playing a key role in promoting maritime culture and knowledge to its visitors.
#Qatar2022 🇶🇦 https://t.co/od5ef67ykb</t>
  </si>
  <si>
    <t>HE the Prime Minister and Minister of Interior’s inauguration of Al Maha Island in Lusail City adds yet another important tourist attraction to the State of #Qatar, with its highlight of recreational facilities and international restaurants. https://t.co/oxFXzqqN5O</t>
  </si>
  <si>
    <t>Qatar Participates in GCC Tourism Ministers Meeting in AlUla
🔗 To learn more : https://t.co/ZczckUdUPv
#MOFAQatar https://t.co/zqdsOAYMrY</t>
  </si>
  <si>
    <t>قطر تشارك في اجتماع لجنة وزراء السياحة لدول مجلس التعاون بمنطقة العُلا
🔗 لقراءة المزيد : https://t.co/k3x72NuQHE
#الخارجية_القطرية https://t.co/viOD4ZXnQi</t>
  </si>
  <si>
    <t>Embajada de #Qatar en #Brasil 🇧🇷 https://t.co/X8uEkaXCm9</t>
  </si>
  <si>
    <t>Deputy Prime Minister and Minister of Foreign Affairs @MBA_AlThani_ Receives Call from Iranian Foreign Minister
#MOFAQatar https://t.co/vlfF6YScYy</t>
  </si>
  <si>
    <t>Embassy of the State of #Qatar in #Brazil 🇧🇷 https://t.co/nEBBWmNw6l</t>
  </si>
  <si>
    <t>نائب رئيس مجلس الوزراء وزير الخارجية @MBA_AlThani_ يتلقى اتصالاً  هاتفياً من وزير الخارجية الإيراني
#الخارجية_القطرية https://t.co/tVc7oOEAux</t>
  </si>
  <si>
    <t>In my interview with @WIPO magazine, I stressed that sport is an integral part of our drive to strengthen brand 🇶🇦. It is also a powerful tool that can support international efforts to strengthen &amp;amp; renew diplomatic relations in times of crisis.
https://t.co/t8NvJOCkv0</t>
  </si>
  <si>
    <t>Desde Panamá, les damos a la bienvenida en la cuenta oficial del Ministerio de Relaciones Exteriores del Estado de Qatar en español
#Mofa_qatar
#panamá https://t.co/guXiPcMXwU</t>
  </si>
  <si>
    <t>HE Sheikh @KBKAlThani, Prime Minister and Minister of Interior, inaugurated the new @HIAQatar expansion. HE was briefed on the latest technology to ensure a smooth experience for travellers and visited new facilities which aim to expand capacity by 18 million visitors per year. https://t.co/96P8Zyua0m</t>
  </si>
  <si>
    <t>بقي 7 أيام على انطلاق كأس العالم FIFA قطر 2022!
تعرف على سرجيو بيريرا فيلهو وهو يشجع البرازيل في كأس العالم!
#قطر_للطاقة⁣ #قطر https://t.co/SvUcefCII5</t>
  </si>
  <si>
    <t>HH the Amir offers condolences to the President of the Republic of Turkey on the victims of the explosion that took place in #Istanbul, wishing the injured a speedy recovery. #QNA
https://t.co/M7p3ccFQL2 https://t.co/CXzkQj1gPn</t>
  </si>
  <si>
    <t>HH the Amir received a phone call from the President of the Democratic Republic of the Congo (DRC); during the phone call, they reviewed bilateral relationships between the two countries and ways to develop and enhance them. #QNA
https://t.co/FrsB4HVKsf https://t.co/Wag7CeeUi4</t>
  </si>
  <si>
    <t>#QNA_Infographic
#WorldCupQatar2022
President of Qatar-UK Friendship Association to QNA: Qatar Has Succeeded in Responding to Campaigns Unleashed Against the Country. #QNA #QATAR2022 https://t.co/ZKRl19SdRV</t>
  </si>
  <si>
    <t>الإعلان عن برنامج وطني للحفاظ على النظم البيئية الساحلية في قطر
#قنا 
https://t.co/yiK0xAUxhQ https://t.co/c3XXnPMbOb</t>
  </si>
  <si>
    <t>#Doha vous souhaite la bienvenue. https://t.co/333z70WFBf</t>
  </si>
  <si>
    <t>#WorldCupQatar2022
#QatarAirways and #MSC perform a stunning and innovative drone light show during the Naming Ceremony of the MSC World Europa, the first floating hotel to serve the FIFA World Cup Qatar 2022. #QNA #QATAR2022 https://t.co/r5WYZYSfAg</t>
  </si>
  <si>
    <t>Qatar condena enérgicamente la explosión en Estambul
#MOFAQatar https://t.co/HrDZQgafIH</t>
  </si>
  <si>
    <t>Statement | Qatar Strongly Condemns Bombing in Istanbul
#MOFAQatar https://t.co/Et4jsgbbmh</t>
  </si>
  <si>
    <t>بيان | قطر تدين بشدة تفجيراً في اسطنبول 
#الخارجية_القطرية https://t.co/OpeWsFnEgy</t>
  </si>
  <si>
    <t>KBKAlThani</t>
  </si>
  <si>
    <t>دشنا اليوم التوسعة الجديدة بمطار حمد الدولي الذي يحظى منذ سنوات بسمعة دولية في أحدث إضافة لجاهزية بلدنا لاستقبال جماهير 
#كأس_العالم_قطر_2022  .. واطلعنا على ما تضمنته من أنظمة تشغيل عالمية متطورة وصالات ومرافق ترفع طاقته الاستيعابية بدرجة كبيرة .. فأهلا وسهلا بضيوف قطر. https://t.co/8VRfnLqyoW</t>
  </si>
  <si>
    <t>@MBA_AlThani_ 
#MOFAQatar 
#Qatar2022 https://t.co/n612un6fcD</t>
  </si>
  <si>
    <t>Qatar Stresses Importance of Support From International Community, Donors to UNRWA
🔗To learn more: https://t.co/7v5yWyGdBY
#MOFAQatar https://t.co/p7cyGookcn</t>
  </si>
  <si>
    <t>alkass_digital</t>
  </si>
  <si>
    <t>🆕Bring the World Cup to you! ⚽️Catch all the action via Al-Kass Sports Channels. #AlKass_Sports
#WorldcupQatar2022 #Qatar2022 
https://t.co/7bPmYj36WG</t>
  </si>
  <si>
    <t>سعادة السيد حسن بن عبدالله الغانم رئيس #مجلس_الشورى، يجتمع مع سفيري جمهورية قرغيزيا وجمهورية فنلندا، حيث تم خلال الاجتماعين استعراض علاقات التعاون القائمة بين دولة قطر وكل من قرغيزيا و فنلندا وسبل تعزيزها خصوصاً في مجالات العمل البرلماني. https://t.co/7N3gBvyb8U</t>
  </si>
  <si>
    <t>#قنا_فيديو | 
#مونديال_قطر_2022.. 
القهوة العربية .. رمز لحسن الضيافة في المجالس القطرية والخليجية 
#قنا_رياضي 
#كأس_العالم_قطر_2022
#قطر_2022 https://t.co/vDx0KCtIfO</t>
  </si>
  <si>
    <t>#قنا_إنفوجرافيك | 
#مونديال_قطر_2022.. 
القهوة العربية ..عنوان الكرم القطري
#قنا_رياضي 
#كأس_العالم_قطر_2022
#قطر_2022 https://t.co/D7DQLbBOWl</t>
  </si>
  <si>
    <t>#QNA_Video |
#WorldCupQatar2022
Arabic Coffee… A symbol of hospitality in the Qatari and Gulf Majlis. #QNA
#QATAR2022
#QNA_Sport https://t.co/ZFlohwuV8y</t>
  </si>
  <si>
    <t>#WorldCupQatar2022
Qatar 2022/ Arabic Coffee Highlights Qatari Generosity. #QNA
#QATAR2022
#QNA_Sport
https://t.co/2OfIS9LSul https://t.co/TwPDVChvfz</t>
  </si>
  <si>
    <t>#QNA_Infographic |
#WorldCupQatar2022
Qatar 2022/ Arabic Coffee Highlights Qatari Generosity. #QNA
#QATAR2022
#QNA_Sport https://t.co/anxXocaM0v</t>
  </si>
  <si>
    <t>International calls to make the experience of #Qatar as a  guiding light for organizing the upcoming World Cups. #QNA
#WorldCupQatar2022
#QNA_Sport
#Qatar2022 https://t.co/XqmRUPuXd5</t>
  </si>
  <si>
    <t>#مونديال_قطر_2022.. 
القهوة العربية ..عنوان الكرم القطري
#قنا_رياضي 
#كأس_العالم_قطر_2022
#قطر_2022
https://t.co/oQk76V4krS https://t.co/RiRr0neAI1</t>
  </si>
  <si>
    <t>Qatar Calls on International Community to End Occupation and Put Pressure on Israel to Engage in Peace Process
🔗 To learn more : https://t.co/wFBFe1tGb3
#MOFAQatar https://t.co/O4B2Rv03ac</t>
  </si>
  <si>
    <t>Be ready for a @FIFAWorldCup like no other.
With this first #WorldCup in the Middle East, #Qatar 🇶🇦 is setting an unprecedented stage for the teams, the players &amp;amp; the fans. @roadto2022 @roadto2022news @FIFAWorldCup 
Discover more about #Qatar2022 ⚽️:
🔗https://t.co/eRTDqCqsIy https://t.co/jV0YUWs10P</t>
  </si>
  <si>
    <t>قطر تدعو المجتمع الدولي لإنهاء الاحتلال والضغط على إسرائيل للانخراط في عملية السلام
🔗 لقراءة المزيد: 
https://t.co/OtMi795eJW
#الخارجية_القطرية https://t.co/iGiMX9m8wi</t>
  </si>
  <si>
    <t>Qatar afirma su apoyo al Programa Global de la ONU para Combatir las Amenazas Terroristas contra Objetivos Vulnerables
#MOFAQatar https://t.co/k3QUS2eJug</t>
  </si>
  <si>
    <t>Qardaş Azərbaycan Re­spublikasına​ Konsti­tusiya Günü münasibə­tilə ən səmimi təbri­klərimizi çatdıraraq ona davamlı inkişaf və çiçəklənmə diləy­irik. İki qardaş xal­qın mənafelərinə xid­mət edən möhkəm əlaq­ələrimizin daha da inkişafını səbirsizli­klə gözləyirik.</t>
  </si>
  <si>
    <t>I congratulate the Republic of #Azerbaijan on the occasion of their Constitution Day, wishing them continued progress &amp;amp; prosperity. We look forward to developing our close relationship to serve the interests of our two brotherly people.</t>
  </si>
  <si>
    <t>قطر تؤكد دعمها لبرنامج الأمم المتحدة العالمي لمكافحة التهديدات الإرهابية ضد الأهداف الضعيفة
🔗 لقراءة المزيد : https://t.co/1SNnTjwKb8
#الخارجية_القطرية https://t.co/BEbX7IY77x</t>
  </si>
  <si>
    <t>Qatar Reiterates Support for UN Global Program on Countering Terrorist Threats against Vulnerable Targets
🔗 To learn more: https://t.co/xpwJmezsQu
#MOFAQatar https://t.co/6ODxZssd90</t>
  </si>
  <si>
    <t>أحر التهاني الى جمهورية #أذربيجان الشقيقة بمناسبة يوم الدستور، متمنياً لهم دوام التقدم والازدهار. نتطلع لتطوير علاقتنا الوطيدة بما يخدم مصالح شعبينا الشقيقين.</t>
  </si>
  <si>
    <t>بينما نقترب من موعد بدء كأس العالم لكرة القدم @roadto2022 تمتعوا بالهندسة المعمارية المذهلة لملاعب كأس العالم المستوحاة من تراث وثقافة #قطر
📺https://t.co/UiVbeH7v4a https://t.co/RotwV6yPFm</t>
  </si>
  <si>
    <t>As we are few days away from #Qatar2022, discover the 2nd episode of La'eeb from the mascot verse &amp;amp; immerse yourself in the mind-blowing architecture of the #QatarStadiums inspired by the heritage &amp;amp; culture of #Qatar
#NowIsAll #SeeYouInQatar
📺https://t.co/UiVbeH7v4a https://t.co/h8z03Ef9b1</t>
  </si>
  <si>
    <t>Delighted to receive Dr. @Aynabat_Atayeva, Head @UN_OCT Intl Hub on Behavioural Insights to #CounterTerrorism in #Doha.
I expressed satisfaction for the successful last #UNOCTDohaHub briefing to MS at #UNHQ &amp;amp; renewed our🇶🇦 commitment to  contribute to 🌎 efforts to end #Terrorism https://t.co/N86leDHE2Y</t>
  </si>
  <si>
    <t>QFA_EN</t>
  </si>
  <si>
    <t>The announcement we were waiting for ⏳😍
Introducing.. Felix Sanchez’s Qatar national team squad for the 2022 World Cup 🏆
These are our heroes. And now, it's our TIME 💪🇶🇦
#AllForAlAnnabi
#ForTheLoveOfQatar https://t.co/0ahwdE6L9p</t>
  </si>
  <si>
    <t>اللحظة المرتقبة لدى الجميع⏳😍!
نقدم لك اختياريات المدرب فيليكس سانشيز لقائمة #العنابي لبطولة كأس العالم 2022🏆.
لاعبي منتخبنا الوطني نؤمن بكم وبقدراتكم .. كل التوفيق لكم 👏🇶🇦
#كلنا_العنابي
#العنابي_أقوى_بتشجعيكم https://t.co/Hg4BlsSwTD</t>
  </si>
  <si>
    <t>Our 🇶🇦 national team squad for the #2022WorldCup
A team to be proud of 💪 
#AllForAlAnnabi 💪 
#ForTheLoveOfQatar https://t.co/VvP0qyWJZD</t>
  </si>
  <si>
    <t>Qatar Renews its Firm Commitment to Work with UN to Provide Assistance to Afghanistan
🔗 To learn more: https://t.co/kPmrlXLBKf
#MOFAQatar https://t.co/r4Kknl2IQo</t>
  </si>
  <si>
    <t>En una entrevista con el periódico francés "Le Monde"
Viceprimer Ministro y Ministro de Relaciones Exteriores @MBA_AlThani_ : El pueblo qatarí es hospitalario... y el mundo entero es bienvenido en nuestro país
#MOFAQatar
#Qatar2022
@lemondefr https://t.co/NgaaZnoLBZ</t>
  </si>
  <si>
    <t>Acaba de llegar al Estado de Qatar, el punto de encuentro de los eventos deportivos internacionales. Está en uno de los países más seguros según los indicadores de paz a nivel mundial. 
Bienvenido a Qatar: protección y seguridad.
#MOIQatar #Qatar2022 https://t.co/LmSv5Qs85f</t>
  </si>
  <si>
    <t>بوصولك إلى دولة قطر حاضنة الحدث الرياضي؛ بطولة كأس العالم FIFA قطر 2022™، فأنت على موعد مع تجربة فريدة، حماسية وآمنة، في دولة من أكثر الدول أمانا، وستجد رجال الأمن في خدمتك #الداخلية_قطر #قطر_2022 https://t.co/yhy8n1oK07</t>
  </si>
  <si>
    <t>دولة قطر تجدد التزامها الثابت بالعمل مع بعثة الأمم المتحدة لتقديم المساعدة لأفغانستان
🔗 لقراءة المزيد: https://t.co/HYR1PeqCwT
#الخارجية_القطرية https://t.co/CGT3q3iR4r</t>
  </si>
  <si>
    <t>#QNA_Infographic 
With international recognition… Qatar an ideal working environment.
#WorldCupQatar2022 
#Qatar2022
#QNA https://t.co/t0GHn12Ra6</t>
  </si>
  <si>
    <t>https://t.co/EIcbN4AjaI</t>
  </si>
  <si>
    <t>https://t.co/aGl8KODOSo</t>
  </si>
  <si>
    <t>I congratulate the friendly Republic of #Poland on the occasion of their Independence Day, wishing them continued stability &amp;amp; security. We look forward to developing our relations across all fields to serve the interests of our two friendly people.</t>
  </si>
  <si>
    <t>Z okazji #ŚwiętoNiepodległości Rzeczypospolitej Polskiej mam zaszczyt złożyć najserdeczniejsze gratulacje, życząc dalszego bezpieczeństwa i stabilności. Oczekujemy na rozwój naszych relacji na szerszych poziomach, aby służyć interesom naszych zaprzyjaźnionych narodów.</t>
  </si>
  <si>
    <t>أهنئ جمهورية #بولندا الصديقة بمناسبة ذكرى يوم الاستقلال، متمنياً لهم دوام الأمن والاستقرار. نتطلع لتطوير آفاق علاقاتنا إلى مستويات أوسع وعلى كافة الأصعدة بما يخدم مصالح شعبينا الصديقين.</t>
  </si>
  <si>
    <t>الممثل الخاص للأمين العام للأمم المتحدة يجتمع مع سفير دولة قطر
#الخارجية_القطرية https://t.co/yvQs8b5gNW</t>
  </si>
  <si>
    <t>Special Representative of UN Secretary-General in Libya Meets Qatar Ambassador
#MOFAQatar https://t.co/FOOMtfsBXn</t>
  </si>
  <si>
    <t>خلال اجتماع #UNGA حول الوضع في # أفغانستان ، شددت على جهود دولة # قطر لإحلال السلام في المنطقة من خلال الدبلوماسية الوقائية والوساطة ، و # تمكين المرأة و # التعليم للجميع.
https://t.co/nLKmcxKRNz https://t.co/QOhjQHTzjL</t>
  </si>
  <si>
    <t>🔟 Days until #Qatar2022⚽️ &amp;amp; the opening match at Al Bayt Stadium, which received:
✅5⭐️ for its design &amp;amp; construction from the Global #Sustainability Assessment System (GSAS)
✅Class A rating for its #Construction process
✅Seasonal #EnergyEfficiency Ratio Compliance certificate https://t.co/V16aYCCvXj</t>
  </si>
  <si>
    <t>دولة قطر تشارك في الدورة الـ 121 للمجلس الدائم للفرنكوفونية
#الخارجية_القطرية https://t.co/CrdyS2RRQn</t>
  </si>
  <si>
    <t>Qatar Takes Part in 121th Session of Permanent Council of Francophonie
🔗To learn more : https://t.co/1JXtC0RFM1
#MOFAQatar https://t.co/VzaDYdwR3s</t>
  </si>
  <si>
    <t>Always a pleasure to engage w/ @raad_zeid, president of @ipinst, &amp;amp; to explore innovative ways to further strengthen the efficient partnership between #Qatar 🇶🇦 &amp;amp; #IPI https://t.co/tsYFNONp1k</t>
  </si>
  <si>
    <t>مساعد وزير الخارجية @Lolwah_Alkhater تجتمع مع السفير الفرنسي 
#الخارجية_القطرية https://t.co/leWfm45HeF</t>
  </si>
  <si>
    <t>Assistant Foreign Minister @Lolwah_Alkhater Meets French Ambassador
#MOFAQatar https://t.co/k1viyMeLcZ</t>
  </si>
  <si>
    <t>Deputy Prime Minister and Minister of Foreign Affairs @MBA_AlThani_ Confirms Qatar's Keenness to Cooperate with International Partners in Curbing Climate Change Challenges
🔗To learn more: https://t.co/8TpstYLTrc
#MOFAQatar
#Qatar2022 https://t.co/Wpoxhqo6Pc</t>
  </si>
  <si>
    <t>The Arab Group at UNESCO praises Qatar's efforts to host the World Cup
#MOFAQatar
#Qatar2022 https://t.co/x8px4bokNK</t>
  </si>
  <si>
    <t>المجموعة العربية لدى "اليونسكو" تشيد بجهود قطر لاستضافة كأس العالم 
#الخارجية_القطرية 
 #قطر2022 https://t.co/Rke2GCNgxA</t>
  </si>
  <si>
    <t>نائب رئيس مجلس الوزراء وزير الخارجية @MBA_AlThani_ يؤكد حرص قطر على التعاون مع شركائها الدوليين في التصدي لتحديات تغير المناخ
🔗لقراءة الخبر كاملاً: https://t.co/uEfiGFPWmw
#الخارجية_القطرية https://t.co/0Xr9Rd8l5U</t>
  </si>
  <si>
    <t>El Grupo Árabe de la " UNESCO" elogia los esfuerzos de Qatar para albergar la Copa Mundial
@QatarAtUNESCO
#MOFAQatar
#Qatar2022 https://t.co/UGZMhALPd7</t>
  </si>
  <si>
    <t>قبل #قطر_٢٠٢٢، تبني دولة #قطر إرثًا دائمًا.
لقد أطلقنا @GA4good و #Goal22 للاستفادة من قوة ⚽️ في الحث على التغيير الاجتماعي وكسر الحواجز ووصول الرياضة للجميع وتعزيز اندماج الشباب في المجتمع حول العالم🌎
https://t.co/aHGgulEWFc</t>
  </si>
  <si>
    <t>Pleased to attend the Climate Summit, to affirm #Qatar's keenness on international cooperation to address the challenges &amp;amp; repercussions of climate change. Sincere thanks to #Egypt for hosting, &amp;amp; we look forward to more cooperation to secure a sustainable future for all. #COP27</t>
  </si>
  <si>
    <t>In 2016, in cooperation w/ @UNODC, we launched the Global Program for the Implementation of the #DohaDeclaration, which was generously funded by #Qatar by $49 million &amp;amp; focused on youth crime prevention through sports. Over 1.55 million youth 🌏 benefited from this program.</t>
  </si>
  <si>
    <t>As Co-Chair of the GoF of Sport for Devpt &amp;amp; Peace, I was delighted to speak before the the consultative Mtg "Strengthening the role of Sport in Youth crime Prevention" w/ @Monaco_ONU @UNODC @iocmedia &amp;amp; discuss contributions of sport in building peaceful communities. https://t.co/p1F7PS3gMP</t>
  </si>
  <si>
    <t>سعدت بالمشاركة في قمة المناخ في شرم الشيخ، لتأكيد حرص دولة #قطر على أهمية التعاون مع شركائنا الدوليين في التصدي لتحديات تغير المناخ وتداعياته على العالم. خالص الشكر لمصر الشقيقة لاستضافة القمة، ونتطلع لمزيد من التعاون في تأمين مستقبل مستدام لعالمنا. #COP27</t>
  </si>
  <si>
    <t>مشاركة سعادة رئيس اللجنة الوطنية لحقوق الإنسان في أعمال الندوة الإقليمية حول "إسهام التنمية في التمتّع بجميع حقوق الإنسان في البلدان الناطقة باللغة العربية".#حقوق_الإنسان_قطر https://t.co/wJwOeXe35H</t>
  </si>
  <si>
    <t>The State of #Qatar participated in the 39th meeting of Their Highnesses and Excellencies the Ministers of Interior of the Cooperation Council for the Arab States of the Gulf, which took place in the Saudi capital, Riyadh. #QNA https://t.co/50hnMpPtyw https://t.co/aXl68XBKvF</t>
  </si>
  <si>
    <t>#قطر تشارك في اجتماع وزراء الداخلية بدول مجلس التعاون في العاصمة السعودية الرياض
#قنا
https://t.co/bn7GsdM1y4 https://t.co/xlsbRv7C6F</t>
  </si>
  <si>
    <t>QF</t>
  </si>
  <si>
    <t>After their participation in #FIFArabCup Qatar 2021™, a team from the Audiovisual Translation program at @HBKU is set to provide live audio description for the opening and closing ceremonies of FIFA #WorldCup #Qatar2022™ in both Arabic and English. https://t.co/5LVbJyNADM</t>
  </si>
  <si>
    <t>These services will not be limited to the #WorldCup, but will constitute a lasting legacy for the future, as we build the expertise of audiovisual translation students, who can contribute to providing accessibility to all live events.
Read more: https://t.co/VBfvJZEubS https://t.co/M1eiWG9t5k</t>
  </si>
  <si>
    <t>@MBA_AlThani_ 
#الخارجية_القطرية
#قطر2022 https://t.co/ZVQmhKde1M</t>
  </si>
  <si>
    <t>@MBA_AlThani_ 
#الخارجية_القطرية
#قطر2022 https://t.co/OSYu2rz2ST</t>
  </si>
  <si>
    <t>سمو نائب الأمير يعزي خادم الحرمين الشريفين الملك سلمان بن عبدالعزيز آل سعود ملك المملكة العربية السعودية الشقيقة، بوفاة والدة صاحب السمو الملكي الأمير متعب بن عبدالله بن عبدالعزيز آل سعود. https://t.co/tqr6bpkvSE</t>
  </si>
  <si>
    <t>سمو الأمير المفدى يعزي أخاه خادم الحرمين الشريفين الملك سلمان بن عبدالعزيز آل سعود ملك المملكة العربية السعودية الشقيقة، بوفاة والدة صاحب السمو الملكي الأمير متعب بن عبدالله بن عبدالعزيز آل سعود. https://t.co/VTKbN813Cd</t>
  </si>
  <si>
    <t>دولة قطر تشدد على أهمية دعم المجتمع الدولي والجهات المانحة للأونروا
🔗لقراءة المزيد: https://t.co/CqGKWrn2HT
#الخارجية_القطرية https://t.co/rVr56KM5Wi</t>
  </si>
  <si>
    <t>https://t.co/AFQlrSG3tm</t>
  </si>
  <si>
    <t>وحدة الدفاع ضد أسلحة الدمار الشامل تجري المسح الأمني لملاعب بطولة كأس العالم FIFA قطر 2022
#WorldCup
#FIFAWorldCup
#WorldCup2022
#Roadto2022
#FIFAWorldCupQatar2022 
#Qatar2022
#قطر_2022 https://t.co/xeOfJlA6Fr</t>
  </si>
  <si>
    <t>USAmbQatar</t>
  </si>
  <si>
    <t>تخرج ملازم ثاني / خالد الكربي من أصعب دورة من @USArmy: مدرسة الحارس. إنه ثاني قطري في التاريخ ينضم إلى هذه النخبة من المجتمع ويشرفني أن أحتفل بإنجازه. تهانينا للملازم ثاني / خالد الكربي! #قطر_أمريكا https://t.co/f6YRYPrBeQ</t>
  </si>
  <si>
    <t>Deputy Prime Minister and Minister of State for Defense Holds Phone Call With Italian Defense Minister. #QNA 
https://t.co/Jr8pIgwZ5f https://t.co/GLHQndlvqd</t>
  </si>
  <si>
    <t>HE Prime Minister and Minister of Interior Sends Congratulations to Cambodian Counterpart on the anniversary of his country's Independence Day. #QNA 
https://t.co/nMfQXiXs9i https://t.co/6rW1nwHnLd</t>
  </si>
  <si>
    <t>HH the Amir Sends Congratulations to King of Cambodia on the anniversary of his country's Independence Day. #QNA
https://t.co/JkbTrwmZys https://t.co/P9D2Ja3KpS</t>
  </si>
  <si>
    <t>Second Lieutenant Khalid al-Korbi recently graduated from the @USArmy’s toughest course – Ranger School. He is the 2nd Qatari in history to join this elite community &amp;amp; I’m honored to celebrate his achievement. Congratulations 2LT al-Korbi! #USQatar50 #SafirDavisfiDoha https://t.co/SFpdiUB7sD</t>
  </si>
  <si>
    <t>@MBA_AlThani_ 
#الخارجية_القطرية 
#قطر2022 https://t.co/wCYYJjOfSx</t>
  </si>
  <si>
    <t>@MBA_AlThani_ 
#الخارجية_القطرية
#قطر2022 https://t.co/TZJr7n5h1Q</t>
  </si>
  <si>
    <t>Glad to meet w/ @UNLazzarini, Commissioner General, @UNRWA 🇺🇳 &amp;amp; to exchange on the importance of promoting international solidarity &amp;amp; assistance to #PalestineRefugees.
I conveyed #Qatar 🇶🇦 commitment to pursue its strong support to the work of UNRWA. @MofaQatar_EN https://t.co/Vr6kwfXZtE</t>
  </si>
  <si>
    <t>Congratulations to Kassem Al Darwish, Commercial Attaché at @QatarMission_Ge to @WTO , for his selection as a Vice-Chair of the @UNCTAD’s Investment, Enterprise &amp;amp; Development Commission.
Another step to supporting Qatar's investment policies according to its #Vision2030Qatar https://t.co/7PFYTTILNY</t>
  </si>
  <si>
    <t>The rest of my conversation with @Insideqataroffl is on Instagram: https://t.co/UoAMkuXzSZ https://t.co/mFkPxi4Oym</t>
  </si>
  <si>
    <t>سمو الأمير الوالد يفتتح مستشفى عائشة بنت حمد العطية التابع لمؤسسة حمد الطبية، بمنطقة تنبك. https://t.co/9iarPDjdXn https://t.co/FZ0KsoNAUf</t>
  </si>
  <si>
    <t>Merchandise bearing generic football terms, country names or national flags may be sold, provided they do not conflict with the intellectual property rights of FIFA.
#MOCIQATAR</t>
  </si>
  <si>
    <t>#Football ⚽️is a universal sport w/ the power to bridge the gaps among people &amp;amp; nations. As stressed by HE @MBA_AlThani_ Qatar 🇶🇦 is proud to welcome the world for this exceptional #WorldCup2022 in the ME that will leave a lasting legacy of development, prosperity &amp;amp; inclusivity. https://t.co/An4df0FqrJ</t>
  </si>
  <si>
    <t>Assistant Foreign Minister for Regional Affairs @Dr_Al_Khulaifi  Meets Japan's Assistant Foreign Minister
🔗To learn more : https://t.co/FrMW9KKDHs
#MOFAQatar https://t.co/OE2HMNAu8Q</t>
  </si>
  <si>
    <t>كرة القدم هي رياضة عالمية تتمتع بالقدرة على سد الفجوات بين والشعوب والأمم.
تفخر دولة #قطر 🇶🇦 بالترحيب بالعالم في حدث #كأس_العالم_2022 الاستثنائي الذي سيترك إرثًا دائمًا في التنمية والازدهار.
#قطر 2022 https://t.co/kBSbJAzVhl</t>
  </si>
  <si>
    <t>مساعد وزير الخارجية للشؤون الإقليمية @Dr_Al_Khulaifi  يجتمع مع مساعد وزير الخارجية الياباني 
#الخارجية_القطرية https://t.co/CcetGCcmqL</t>
  </si>
  <si>
    <t>وزير الخارجية الياباني يجتمع مع مساعد وزير الخارجية للشؤون الإقليمية 
#الخارجية_القطرية https://t.co/VubiS9ZzKH</t>
  </si>
  <si>
    <t>Pleasure to welcome Ambassador Akan Rakhmetullin @AmbKazUN, new PR @KazakhstanUN.
I look forward to working w/ him &amp;amp; further enhance the bilateral relations between our 🇰🇿 🇶🇦 countries here @UN.
@MofaQatar_EN https://t.co/i0IGu5HcCI</t>
  </si>
  <si>
    <t>نبارك للأخ/قاسم الدرويش، الملحق التجاري ب @QatarMission_Ge لدى منظمة التجارة العالمية @WTO ، إختياره لمنصب نائب رئيس لجنة الاستثمار والمشاريع والتنمية في الأونكتاد @UNCTAD 
خطوة اضافية لتطوير سياسات دولة قطر الاستثمارية في سبيل تحقيق أهدافها التنموية وفقاً لرؤية #قطر٢٠٣٠ الوطنية. https://t.co/bzwQJM5jfo</t>
  </si>
  <si>
    <t>Japanese Foreign Minister Meets Assistant Foreign Minister for Regional Affairs
#MOFAQatar https://t.co/zJe1kY8QOh</t>
  </si>
  <si>
    <t>@MBA_AlThani_ 
#MOFAQatar 
#Qatar2022 https://t.co/s2ZFYufIH4</t>
  </si>
  <si>
    <t>@MBA_AlThani_ 
#MOFAQatar 
#Qatar2022 https://t.co/YpL9ruXm5y</t>
  </si>
  <si>
    <t>@MBA_AlThani_ 
#MOFAQatar 
#Qatar2022 https://t.co/rtQ4Npaljy</t>
  </si>
  <si>
    <t>@MBA_AlThani_ 
#MOFAQatar 
#Qatar2022 https://t.co/8JD1tl261L</t>
  </si>
  <si>
    <t>Ministro de Relaciones Exteriores @MBA_AlThani_ en una entrevista con el periódico Frankfurter:Qatar siempre ha estado abierto a la crítica constructiva de su legislación y hemos abierto nuestras puertas a las ONG y las organizaciones internacionales de derechos humanos. https://t.co/8Pwghx8IA9</t>
  </si>
  <si>
    <t>@MBA_AlThani_ 
#الخارجية_القطرية
#قطر2022 https://t.co/P5zfxXeFev</t>
  </si>
  <si>
    <t>DrTedros</t>
  </si>
  <si>
    <t>Thank you @QatarPR_Geneva Ambassador Hend Al-Muftah, for a good discussion on @WHO-🇶🇦 collaboration to promote healthy lives &amp;amp; #COVID19 control. We also spoke about ongoing joint efforts to make the @FIFAWorldCup healthy &amp;amp; safe &amp;amp; use it as a beacon to promote health globally. https://t.co/vsS9DBJDkB https://t.co/pAzngZYOvx</t>
  </si>
  <si>
    <t>سمو الأمير المفدى يتسلم في مكتبه بالديوان الأميري أوراق اعتماد خمسة سفراء جدد لدى الدولة، فقد تسلم سموه أوراق اعتماد كل من سفير الولايات المتحدة المكسيكية، وسفير جمهورية مالاوي، وسفير مملكة الدنمارك. https://t.co/k38FxoBBTX</t>
  </si>
  <si>
    <t>كما تسلم سمو الأمير أوراق اعتماد كل من سفير جمهورية زيمبابوي، وسفير جمهورية اتحاد ميانمار. https://t.co/sevMeH3vSf https://t.co/SndnGiZHav</t>
  </si>
  <si>
    <t>سمو الأمير المفدى يمنح سعادة سيد أحسن رضا شاه سفير جمهورية باكستان الإسلامية، وسام الوجبة تقديرا لدوره في المساهمة في تعزيز العلاقات الثنائية بين البلدين، وذلك خلال استقبال سموه له في الديوان الأميري بمناسبة انتهاء فترة عمله في البلاد. https://t.co/19dPE3J758 https://t.co/kqn4ElJ4Ma</t>
  </si>
  <si>
    <t>سعادة الشيخ محمد بن عبدالرحمن آل ثاني
نائب رئيس مجلس الوزراء وزير الخارجية @MBA_AlThani_ في مقابلة مع صحيفة فرانكفورتر: لطالما كانت قطر منفتحة على النقد البناء لقوانين العمل الخاصة بالعمالة. لقد فتحنا أبوابنا للمنظمات غير الحكومية والمنظمات الدولية لحقوق الإنسان
#الخارجية_القطرية https://t.co/7cglIly6em</t>
  </si>
  <si>
    <t>@MBA_AlThani_ #MOFAQatar 
#Qatar2022 https://t.co/c8ofj4v4hi</t>
  </si>
  <si>
    <t>@MBA_AlThani_ #MOFAQatar 
#Qatar2022 https://t.co/aE5gd3MnSf</t>
  </si>
  <si>
    <t>EmbaMexQatar</t>
  </si>
  <si>
    <t>🇲🇽🤝🇶🇦
@SRE_mx @MOFAQatar_ES @AmiriDiwan https://t.co/zyRltYcEHi</t>
  </si>
  <si>
    <t>HE @MBA_AlThani_ in an interview with @SkyNews : The numbers of the fatality in Qatar is published and classified.
When we are reporting that the death that relates to the World Cup are 6500 is untrue.
#MOFAQatar 
#Qatar2022 https://t.co/gGZIhEQ1hS</t>
  </si>
  <si>
    <t>HE @MBA_AlThani_ in an interview with @SkyNews :Sports should not never be politicized. 
What kind of message they are sending for their own public if they are just criticizing &amp;amp; preaching from a distance? 
#MOFAQatar 
#Qatar2022 https://t.co/n8hBvcuQ01</t>
  </si>
  <si>
    <t>HE @MBA_AlThani_ , in an interview with "The Frankfurter Allgemeine" : Qatar has always been open to constructive criticism of its foreign labor laws or its system. 
We have opened our doors to NGO's and international human rights organizations.
#MOFAQatar 
#Qatar2022 https://t.co/byL7M3CPdX</t>
  </si>
  <si>
    <t>@MBA_AlThani_ #MOFAQatar 
#Qatar2022 https://t.co/W3X8wcMai8</t>
  </si>
  <si>
    <t>Infographic | In an interview with @lemondefr 
His Excellency, Deputy Prime Minister and Minister of Foreign Affairs @MBA_AlThani_ : The Qatari people are very welcoming and the entire world is welcome in our country
#MOFAQatar
#Qatar2022 https://t.co/NZ9VMgrB1j</t>
  </si>
  <si>
    <t>Major General Nasser Saeed Al-Hajri, Vice-Chairman of
the National Counter-Terrorism Committee @MOI_QatarEn applauded the vital #Qatar-@UN_OCT efforts to #counterterrorism, &amp;amp; expressed 🇶🇦 confidence on the holistic capability of #UNOCTDohaHub to #FightTerrorism.
@MofaQatar_EN https://t.co/LikVfdJpdu</t>
  </si>
  <si>
    <t>Pleased to co-host w/ USG Voronkov @UN_OCT the #UNOCTDohaHub Briefing to MS. As host country, main financial supporter &amp;amp; partner of the Hub, 🇶🇦 will sustain its support &amp;amp; contribute to 🌎 efforts to counter the scourge of terrorism &amp;amp; violent extremism.
🔗https://t.co/SzBQdOwyQk https://t.co/in930DVyYR</t>
  </si>
  <si>
    <t>@MBA_AlThani_ #MOFAQatar 
#Qatar2022 https://t.co/OVvblqzfUp</t>
  </si>
  <si>
    <t>@MBA_AlThani_ #MOFAQatar 
#Qatar2022 https://t.co/FaizUhvsqp</t>
  </si>
  <si>
    <t>سعدت بمقابلة @DrTedros وتبادل الحديث حول عدداً من المواضيع ذات الاهتمام المشترك بالصحة العامة وسبل تعزيز التعاون مع @WHO عبر مكتب المنظمة في قطر، وايضا متابعة تنفيذ اتفاقية كأس عالم صحي ٢٠٢٢ وخلق إرث للرياضة والصحة. https://t.co/VV8JuWdfg3</t>
  </si>
  <si>
    <t>Very pleased to meet @DrTedros emphasising🇶🇦 partnership with @WHO 
We look forward to continuously supporting &amp;amp; working together via #WHO office in🇶🇦in different health agendas,particularly the program of Healthy #FIFA #World_cup_Qatar_2023 to create a legacy for sport &amp;amp; health. https://t.co/OI9qsapoys</t>
  </si>
  <si>
    <t>Marsalqatar</t>
  </si>
  <si>
    <t>📸| المنظمة العالمية للبرلمانيين ضد الفساد و الأمم المتحدة⁩ 🇺🇳 توقعان اتفاقية تعاون
بهدف إطلاق المبادرة العالمية لتدريب البرلمانيين للعمل ضد الفساد، والتي تسعى لترسيخ مبادئ العدل والحُكم الرشيد من خلال بناء القدرات
@DRAliBinFetais | @QatarPR_Geneva
#مرسال_قطر | #قطر 🇶🇦 https://t.co/cqxYaYUZFi</t>
  </si>
  <si>
    <t>Special Envoy of Minister of Foreign Affairs Meets Special Representative of UN Secretary-General for Afghanistan
#MOFAQatar https://t.co/x9BPTd89G4</t>
  </si>
  <si>
    <t>Read HE Sheikh @MBA_AlThani_ interview with @SkyNews. The full interview airs tomorrow.
🔗 https://t.co/jc86aKt0rg
#MOFAQatar</t>
  </si>
  <si>
    <t>Qatar Afirma la importancia y la necesidad de proteger a los periodistas en zonas de conflicto y guerra
#MOFAQatar https://t.co/RnUiwauh4q</t>
  </si>
  <si>
    <t>المبعوث الخاص لوزير الخارجية يجتمع مع ممثلة الأمين العام للأمم المتحدة لدى أفغانستان
#الخارجية_القطرية https://t.co/XSdpoNkTMd</t>
  </si>
  <si>
    <t>1/At the Vienna conference on protecting journalists I emphasized Qatar’s position on the safety of journalists specially in conflict zones. While around 600 journalists around the world were killed in the past decade, more than 45 Palestinian Journalists got killed since 2000. https://t.co/ve0lRicFGf https://t.co/qZdy79ihZb</t>
  </si>
  <si>
    <t>2/ I also had the honour of reciting a message from the family of the late Palestinian American journalist #ShireenAbuAkleh to the Int. community to hold the Israeli Occupation accountable. 
The conference marked the Int. Day of Ending Impunity for Crimes against Journalists. https://t.co/ZltNfzNC49 https://t.co/KjmQIKvFs7</t>
  </si>
  <si>
    <t>كما تسلم سمو الأمير أوراق اعتماد سفير كل من جمهورية الكونغو الديمقراطية، وجمهورية البرتغال، والجمهورية الإيطالية. https://t.co/bAp3G1i7Po https://t.co/1OFJOrlzPd</t>
  </si>
  <si>
    <t>Empowered women empower communities. I had the pleasure of meeting with phenomenal members of the @QBWA this weekend. These leaders are active in many fields including cyber security, hospitality, and even training for large scale events! #SafirDavisfiDoha https://t.co/dyzXDDFmZP</t>
  </si>
  <si>
    <t>تمكين المرأة يساهم في تمكين المجتمعات. سعدت بلقاء العضوات الرائعات في رابطة سيدات الأعمال القطريات @QBWA في نهاية هذا الأسبوع. ينشط هؤلاء القادة في العديد من المجالات بما في ذلك الأمن السيبراني وقطاع الضيافة وحتى التدريب على الفعاليات الكبرى! https://t.co/97by5wWmuZ</t>
  </si>
  <si>
    <t>وزير الدولة للشؤون الخارجية يتسلم نسخة من أوراق اعتماد سفيري #زيمبابوي واتحاد #ميانمار
#قنا #قطر
https://t.co/gdoZhBFZls https://t.co/anmcwqpFO3</t>
  </si>
  <si>
    <t>QatarEmb_Bern</t>
  </si>
  <si>
    <t>Did you know that Al Kharsaah Solar Power Plant, located west of the capital Doha and home to more than 1.8 million solar panels, is one of the largest solar power plants in the world. It will provide up to 10% of Qatar’s energy supply. 
#Sustainability #ClimateChange #COP27 https://t.co/kvHst1VoVA</t>
  </si>
  <si>
    <t>وزير الدولة للشؤون الخارجية يتسلم نسخة من أوراق اعتماد سفيري زيمبابوي واتحاد ميانمار 
#الخارجية_القطرية https://t.co/uPR9qnwhpK</t>
  </si>
  <si>
    <t>Minister of State for Foreign Affairs Receives Credentials of Ambassadors of Zimbabwe, Myanmar
#MOFAQatar https://t.co/Zhhw9YK0dA</t>
  </si>
  <si>
    <t>سمو الأمير المفدى يتسلم في مكتبه بالديوان الأميري، أوراق اعتماد ستة سفراء جدد لدى الدولة، فقد تسلم سموه أوراق اعتماد سفير كل من جمهورية فنزويلا البوليفارية، وجمهورية مولدوفا، وكندا. https://t.co/4L1GCp7cQU</t>
  </si>
  <si>
    <t>سمو الأمير يتلقى رسالة خطية من رئيس الوزراء الباكستاني
#الخارجية_القطرية https://t.co/UJ1quamYRk</t>
  </si>
  <si>
    <t>Statement | Qatar Strongly Condemns Attack on Somalia Military Base
#MOFAQatar https://t.co/SCLMY2l0Kv</t>
  </si>
  <si>
    <t>بيان | قطر تدين بشدة هجوماً على قاعدة عسكرية بالصومال
#الخارجية_القطرية https://t.co/cCaQ0pkhZ1</t>
  </si>
  <si>
    <t>HH the Amir Receives Written Message from Prime Minister of Pakistan
#MOFAQatar https://t.co/hyZa77yz1t</t>
  </si>
  <si>
    <t>Qatar Renews Support for Special Committee on UN Charter and on Strengthening of Role of Organization
🔗To learn more: https://t.co/LTNItZdGPw
#MOFAQatar https://t.co/0hHLEsEcMr</t>
  </si>
  <si>
    <t>#قنا_إنفوجرافيك
وزير المواصلات لـ #قنا:
محطات ومواقع ومستودعات ومواقف.. وإنجازات أخرى تم تدشينها ضمن استعدادات الدولة لاستضافة كأس العالم
#كأس_العالم_قطر2022 
#قطر2022 https://t.co/M2lJZ7tsez</t>
  </si>
  <si>
    <t>#QNA_Infographic
Minister of Transport to #QNA: Stations, locations, warehouses, parking lots, and other achievements that were inaugurated as part of the country's preparations to host the World Cup.
  #WorldCupQatar2022 #Qatar2022 https://t.co/nvzuA1i4JH</t>
  </si>
  <si>
    <t>HH the Amir receives credentials of Ambassador of the Bolivarian Republic of Venezuela, Ambassador of the Republic of Moldova and Ambassador of Canada. #QNA https://t.co/TggUSIGgNp https://t.co/SnxZ6ekPgb</t>
  </si>
  <si>
    <t>HH the Amir receives credentials of Ambassador of the Democratic Republic of the Congo, Ambassador of the Portuguese Republic, and Ambassador of the Italian Republic. #QNA https://t.co/2v9WMfZxJX</t>
  </si>
  <si>
    <t>#FIFA President: The eight stadiums for the #WorldCup were built to the highest standards to ensure easy access and viewing without difficulties., and the tournament will be the best version ever.#QNA 
#Qatar_2022 
#QNA_Sport https://t.co/nVhuNwQkfS</t>
  </si>
  <si>
    <t>MofaQatar_FR</t>
  </si>
  <si>
    <t>Dans une interview avec le journal français “ Le Monde”    
Le vice-Premier ministre et ministre des Affaires étrangères @MBA_AlThani_ : le peuple qatari est très accueillant, et le monde entier est le bienvenu dans notre pays
#MOFAQatar
#Qatar2022
@lemondefr https://t.co/wGT616eLOj</t>
  </si>
  <si>
    <t>Qatar Affirms Importance of Protecting Journalists in Conflict Zones
🔗To learn more: https://t.co/wzcuNU1N72
#MOFAQatar https://t.co/9ooaeQ01JK</t>
  </si>
  <si>
    <t>دولة قطر تؤكد على أهمية وضرورة حماية الصحفيين في مناطق النزاعات والحروب
🔗لقراءة المزيد: https://t.co/BeoS2A7flo
#الخارجية_القطرية https://t.co/SVjo25NBLR</t>
  </si>
  <si>
    <t>As part of its efforts to combat corruption and promote the rule of law, the State of Qatar, represented by H.E.@DRAliBinFetais, has signed today an agreement with @UNITAR to train more than 1,000 parliamentarians worldwide. https://t.co/WSC4FxYSfO</t>
  </si>
  <si>
    <t>دولة قطر تجدد دعمها لجهود اللجنة الخاصة المعنية بميثاق الأمم المتحدة وتعزيز دور المنظمة الدولية
🔗لقراءة المزيد: https://t.co/ZeQsAIygsD
#الخارجية_القطرية https://t.co/1HlxMURwoA</t>
  </si>
  <si>
    <t>سعادة الدكتور علي بن فطيس المري رئيس المنظمة العالمية للبرلمانيين ضد الفساد، يوقع اتفاقية تعاون مع سعادة السيد نيكيل سيث الأمين العام المساعد للأمم المتحدة المدير التنفيذي لمعهد الأمم المتحدة للبحث والتدريب في جنيف، لإطلاق المبادرة العالمية لتدريب البرلمانيين للعمل ضد الفساد. https://t.co/BxVJOXFmKq</t>
  </si>
  <si>
    <t>إنفوجراف | في حديث لصحيفة" لوموند "الفرنسية
نائب رئيس مجلس الوزراء وزير الخارجية @MBA_AlThani_ : الشعب القطري مضياف .. والعالم بأسره مرحب به في بلدنا
#الخارجية_القطرية 
#قطر2022 https://t.co/n2TB5YhiFC</t>
  </si>
  <si>
    <t>#الخارجية_القطرية 
#قطر2022 https://t.co/Xaqz18vECh</t>
  </si>
  <si>
    <t>#الخارجية_القطرية 
#قطر2022 https://t.co/kyKSjVXaug</t>
  </si>
  <si>
    <t>#MOFAQatar
#Qatar2022 https://t.co/CyEiMyyzpw</t>
  </si>
  <si>
    <t>To read HE @MBA_AlThani_ Deputy Prime Minister and Minister of Foreign Affairs interview with @lemondefr
🔗 https://t.co/1OedoEnVAU
#MOFAQatar
#Qatar2022</t>
  </si>
  <si>
    <t>#MOFAQatar
#Qatar2022 https://t.co/ibXhOWZ3n3</t>
  </si>
  <si>
    <t>لقراءة مقابلة سعادة الشيخ محمد بن عبدالرحمن آل ثاني نائب رئيس مجلس الوزراء وزير الخارجية @MBA_AlThani_ ، مع صحيفة "لوموند"
🔗 https://t.co/Of5UfbvfGs
#الخارجيةـالقطرية
#قطر2022</t>
  </si>
  <si>
    <t>Son Excellence Cheikh Mohammed bin Abdulrahman Al Thani vice-Premier ministre et ministre des Affaires étrangères @MBA_AlThani_ , dans une interview avec le journal "Le Monde"
#MOFAQatar
#Qatar2022 https://t.co/cgb37Ho0FF</t>
  </si>
  <si>
    <t>سعادة الشيخ محمد بن عبدالرحمن آل ثاني
 نائب رئيس مجلس الوزراء وزير الخارجية @MBA_AlThani_ ، في لقاء مع صحيفة "لوموند" 
#الخارجية_القطرية 
#قطر2022 https://t.co/hTQYJLNA5K</t>
  </si>
  <si>
    <t>HE @MBA_AlThani_ Deputy Prime Minister and Minister of Foreign Affairs, in an interview with @lemondefr 
#MOFAQatar
#Qatar2022 https://t.co/HEsiBBoRhC</t>
  </si>
  <si>
    <t>AliBinSamikh</t>
  </si>
  <si>
    <t>Glad to meet with the new @UNHumanRights Chief, HE @volker_turk today, in #Geneva and to have a fruitful discussion with him on the promising prospects for strengthening our bilateral cooperation while advancing our commitment to promote human rights.
#MOLQTR https://t.co/yGWqulDEo3</t>
  </si>
  <si>
    <t>I delivered 🇶🇦 Statement during the #UNSC Debate on the situation in the Middle East incl. the #Palestine Question, stressing the urgency of a two State solution in accordance w/ the relevant @UN Security Council resolutions &amp;amp; the Arab Peace Initiative. 
🔗https://t.co/vOjy5oQV7q https://t.co/BY797LOGxR</t>
  </si>
  <si>
    <t>Qatar’s Permanent Mission Holds Session on International Hub on Behavioral Insights to Counter Terrorism’s Programme
🔗To learn more: https://t.co/mzpEs2Z2ge
#MOFAQatar https://t.co/b7ot9JdSvc</t>
  </si>
  <si>
    <t>Lors d'une visite passionnante au musée @321QOSM , j'ai découvert la riche histoire du sport et des Jeux olympiques.
Ce musée présente les valeurs universelles olympiques et l'acceptation des différentes cultures dans notre capitale 🇶🇦 du #sport. https://t.co/Z13DJSNTDE</t>
  </si>
  <si>
    <t>Qatar Stresses Importance of Protecting Journalists Worldwide
🔗To learn more: https://t.co/rodvdLYTht
#MOFAQatar https://t.co/BNRH9LfIJj</t>
  </si>
  <si>
    <t>On this Intl Day to End Impunity for Crimes vs #Journalists, we 🇶🇦 remember @AJEnglish correspondent in 🇵🇸 Shireen Abu Akleh, &amp;amp; all the journalists &amp;amp; media workers killed on duty.
We must all commit to #ProtectJournalists &amp;amp; safeguard the right to access #Information.</t>
  </si>
  <si>
    <t>الوفد الدائم لدولة قطر ينظم جلسة إحاطة تفاعلية حول برنامج مركز الدوحة الدولي للرؤى السلوكية لمكافحة الإرهاب
🔗لقراءة المزيد: https://t.co/25dqr97apq
#الخارجية_القطرية https://t.co/9GJyhCY7Eb</t>
  </si>
  <si>
    <t>Honored to be invited to the concert dedicated to the centennial of the great composer Fikrat Amirov 🇦🇿..
Thanks my brother @elmanabdullayev for this great musical concert. https://t.co/7qux2xKH7R</t>
  </si>
  <si>
    <t>Qatar condena enérgicamente el intento de asesinato del Ex Primer Ministro Pakistaní
#MOFAQatar https://t.co/3G3HbsdnyT</t>
  </si>
  <si>
    <t>Pleasure to participate in the 1st Advisory Board @UN_PGA 🇺🇳 Mtg on #GenderEquality.
Welcomed PGA’s leadership on achieving gender equality &amp;amp; empowerment of all women and girls .looking forward to serving on the Board during #UNGA77 #SDG5 https://t.co/vATq6jdBQY</t>
  </si>
  <si>
    <t>Statement | Qatar Strongly Condemns Attempted Assassination of Former Pakistani Prime Minister
#MOFAQatar https://t.co/q4zsu18O8k</t>
  </si>
  <si>
    <t>بيان| قطر تدين بشدة محاولة اغتيال رئيس الوزراء الباكستاني السابق
#الخارجية_القطرية https://t.co/HjWpKMYbxy</t>
  </si>
  <si>
    <t>QatarLabour_GE</t>
  </si>
  <si>
    <t>Aujourd'hui, SE @AliBinSamikh a rencontré @GilbertFHoungbo DG @ilo, Ils ont discuté des moyens de renforcer la coop existante entre #Qatar &amp;amp; ILO en s'appuyant sur les réalisations &amp;amp; progrès réalisés dans le cadre du programme de coop technique au cours des 4 dernières années. https://t.co/PAv6JHI5o5</t>
  </si>
  <si>
    <t>Today, HE @AliBinSamikh met with @GilbertFHoungbo Director-General of @ilo, where they discussed ways to enhance the existing cooperation between #Qatar &amp;amp; the ILO building on the achievements &amp;amp; progress made under the technical cooperation programme during the past 4 years. https://t.co/bNZrYVEIIk</t>
  </si>
  <si>
    <t>During #UNMediaSeminar on Peace in the Middle East #Qatar emphasized that int’l community’s failure to conduct an indpdent, transparent &amp;amp; int’l invstigtion into killing of #ShereenAbuAkleh would enable perpetrators to escape punishment &amp;amp; repeat their crimes also worldwide https://t.co/4V4cqOlWUF</t>
  </si>
  <si>
    <t>خلال ندوة الأمم المتحدة للإعلام حول السلام في الشرق الأوسط، أكد الوفد الدائم أن فشل المجتمع الدولي في إجراء تحقيق دولي مستقل وشفاف في مقتل #شيرينابوعاقلة سيمكن الجناة من الإفلات من العقاب ويدفع بهم إلى تكرار جرائمهم ليس فقط في فلسطين وإنما في العالم أجمع https://t.co/Su3ZZbWQuz</t>
  </si>
  <si>
    <t>دولة قطر تشدد على ضرورة حماية الصحفيين حول العالم
🔗لقراءة المزيد: https://t.co/xXWxl2K2w1
#الخارجية_القطرية https://t.co/77C1M6YAy4</t>
  </si>
  <si>
    <t>We are delighted to announce that fans without tickets can enter the State of Qatar after the conclusion of the FIFA World Cup Qatar 2022 Group Stage - starting from 2 Dec 2022 - to enjoy the unique atmosphere here with teams and fans in the country. https://t.co/cIoNdO767T</t>
  </si>
  <si>
    <t>.@ILOQatar published the annual report 2022 about #Qatar s' key achievements in the implementation of the joint programme with ILO in line with the objectives set out in Qatar’s National Vision 2030. https://t.co/Plwj9bjNTN</t>
  </si>
  <si>
    <t>سعدت بزيارتي لمتحف @321QOSM اكتشفت محتواه الثري لتاريخ الرياضة والألعاب الأولمبية. 
هو أكثر من مجرد متحف، فهو يمثل مرجع عالمي لتقديم القيم العالمية والإنسانية للرياضة لترسيخ قبول الثقافات المختلفة في عاصمة 🇶🇦🇶🇦 الرياضة العالمية . @Qatar_Museums https://t.co/HGSkdU0YtD</t>
  </si>
  <si>
    <t>Statement | Qatar Welcomes Russia's Rejoining Grain Export Deal
#MOFAQatar https://t.co/u1XAfKNjz4</t>
  </si>
  <si>
    <t>In an exciting visit to @321QOSM museum, I came across the rich history of Sports and the Olympics. 
More than a museum, as it showcases the global values of humanity in sports &amp;amp; the acceptance of different cultures in the capital of sports.@Qatar_Museums https://t.co/ioLbxz9ic2</t>
  </si>
  <si>
    <t>Foreign Minister's Special Envoy Meets Indian Ambassador
#MOFAQatar https://t.co/P4ZUzJGkry</t>
  </si>
  <si>
    <t>Qatar acoge con beneplácito regreso de Rusia al acuerdo de exportación de granos
#MOFAQatar https://t.co/ZSkWNkrNn6</t>
  </si>
  <si>
    <t>Statement | Qatar Welcomes Ethiopian Government, Tigray People's Liberation Front Agreement on Cessation of Hostilities
#MOFAQatar https://t.co/cUd1pmWQCc</t>
  </si>
  <si>
    <t>المبعوث الخاص لوزير الخارجية يجتمع مع السفير الهندي
#الخارجية_القطرية https://t.co/xYvEtoWE77</t>
  </si>
  <si>
    <t>.@ILOQatar a publié le rapport annuel 2022 sur les principales réalisations du #Qatar dans la mise en œuvre du programme conjoint avec l'OIT conformément aux objectifs définis dans la Vision nationale 2030 du Qatar. https://t.co/CAFajqcIWj</t>
  </si>
  <si>
    <t>Qatar acoge con beneplácito el acuerdo del Gobierno de Etiopía y del Frente de Liberación de Tigray de poner fin a las hostilidades
#MOFAQatar https://t.co/flwoT3PQ5V</t>
  </si>
  <si>
    <t>Los Líderes árabes anuncian su apoyo a Qatar para albergar la Copa Mundial
#MOFAQatar https://t.co/AaFH5H8hxL</t>
  </si>
  <si>
    <t>Arab leaders announce their support for Qatar to host the World Cup
#MOFAQatar https://t.co/fpNOqklwfq</t>
  </si>
  <si>
    <t>القادة العرب يعلنون مساندتهم لقطر في استضافة كأس العالم
#الخارجية_القطرية https://t.co/Mf82yMXiYX</t>
  </si>
  <si>
    <t>بيان : دولة قطر ترحّب بعودة روسيا لاتفاق صادرات الحبوب
#الخارجية_القطرية https://t.co/T5GWuRnEDF</t>
  </si>
  <si>
    <t>بيان : دولة قطر ترحّب باتفاق الحكومة الإثيوبية وجبهة تحرير تيغراي على وقف الأعمال العدائية
#الخارجية_القطرية https://t.co/eHP1JqQUMW</t>
  </si>
  <si>
    <t>Transforming our societies to be more equal &amp;amp; inclusive requires women’s meaningful involvement in decision-making. 
The UN has to lead by example.
It has to walk the talk.
Full remarks at the first meeting of the Advisory Board on #GenderEquality 🔗: https://t.co/xDA1CQWArA https://t.co/0jdzWPU1SB</t>
  </si>
  <si>
    <t>المتحدث الرسمي لوزارة الخارجية @majedalansari : مشاركة سمو الأمير في القمة العربية بالجزائر تعكس دعم دولة قطر الكامل للعمل العربي المشترك
🔗 لقراءة المزيد: https://t.co/0qUdm2QoRw
#الخارجية_القطرية https://t.co/tsZ6FQXjNY</t>
  </si>
  <si>
    <t>Pleased to meet HE Dr. Bathily @UNSMLibya today on the sidelines of the 31st Arab Summit. 
I affirmed the support of the State of Qatar to HE and our hope that the international efforts will achieve the aspirations of the brotherly Libyan people in prosperity &amp;amp; developments. https://t.co/rnWnBZDVrG</t>
  </si>
  <si>
    <t>H.E @QatarPR_Geneva also emphasized the importance of major sporting events in contributing to the rapprochement betw. peoples &amp;amp; in accelerating the implementation of SDGs</t>
  </si>
  <si>
    <t>Spokesperson for Ministry of Foreign Affairs @majedalansari : HH the Amir's Participation in Arab Summit Reflects Qatar's Full Support to Joint Arab Action
🔗To learn more: https://t.co/s8VPnga9UV
#MOFAQatar https://t.co/x0BkrXQjKd</t>
  </si>
  <si>
    <t>دولة قطر تؤكد أن الأحداث الرياضية الكبرى تسهم في تسريع وتيرة التنمية المستدامة
🔗لقراءة المزيد: https://t.co/GMSP9Ew2GC
#الخارجية_القطرية https://t.co/MEsi3eKgqF</t>
  </si>
  <si>
    <t>Qatar Affirms Importance of Sporting Events in Enhancing Sustainable Development
🔗To learn more: https://t.co/8QJXBUDTfM
#MOFAQatar https://t.co/AhP4ycTlsk</t>
  </si>
  <si>
    <t>According to the @UNESCO
during 2006-2020, over 1,200 journalists have been killed around the world. 9 out of 10 journalists deaths, remain judicially unresolved.
Journalists should not be targets for violence &amp;amp; shall be protected to protect the truth.
 #MakeImpunityVisible https://t.co/sY4Qi0lS9a</t>
  </si>
  <si>
    <t>QFFD sent 4.7 tons of urgent medical aid to the Democratic Socialist Republic of Sri Lanka. This aid comes to support the health sector and to contribute to alleviating the burden in the health sector in Sri Lanka @QatarEmb_COL https://t.co/L8M5zoLEPh</t>
  </si>
  <si>
    <t>مساعد وزير الخارجية للشؤون الإقليمية @Dr_Al_Khulaifi  يجتمع مع الممثل الخاص للأمين العام للأمم المتحدة في ليبيا 
#الخارجية_القطرية https://t.co/uNbIzF7yuK</t>
  </si>
  <si>
    <t>Qatar Participates in Arab-Hellenic Economic Forum
#MOFAQatar https://t.co/ICzn2W6gVl</t>
  </si>
  <si>
    <t>المبعوث الخاص لوزير الخارجية يجتمع مع السفير الأمريكي
#الخارجية_القطرية https://t.co/oTb0gR7A3H</t>
  </si>
  <si>
    <t>Special Envoy of Minister of Foreign Affairs Meets US Ambassador
#MOFAQatar https://t.co/olBSncShma</t>
  </si>
  <si>
    <t>H.E Dr. Hend Al-Muftah, PR stressed at the 6th session of the #EMRTD, #Qatar vision to adopt a foreign policy based on strengthening int’l cooperation, including by supporting countries to achieve their legitimate aspirations for development &amp;amp; progress, especially LDCs https://t.co/209Vfn0Cbz</t>
  </si>
  <si>
    <t>المتحدث الرسمي لوزارة الخارجية @majedalansari في تصريح  لـ " قنا " : 
مشاركة سمو الأمير في القمة العربية بالجزائر تعكس دعم دولة قطر الكامل للعمل العربي المشترك
#الخارجية_القطرية https://t.co/NaZolee0iK</t>
  </si>
  <si>
    <t>Assistant Foreign Minister for Regional Affairs @Dr_Al_Khulaifi Meets Special Representative of the UN Secretary-General for Libya
#MOFAQatar https://t.co/eggLAcML6h</t>
  </si>
  <si>
    <t>لقد أنجزت دولة قطر الكثير من الاصلاحات والتشريعات لضمان حقوق العمالة بشكل مستدام، والتي اشادت بها المنظمات الدولية ذات الصلة والحكومات الاوروبية والامريكية واعتبرت التجربة ال🇶🇦نموذجا يمكن الاقتداء به. وبعيداً عن موجات الهجوم، ما زلنا نرحب بالنقد البناء الهادف للتطوير والاصلاح. https://t.co/NNA9Sb4kWt</t>
  </si>
  <si>
    <t>أهنئ أخي الرئيس @TebbouneAmadjid على نجاح القمة العربية الـ31، وأشكر أشقاءنا في الجزائر على حسن التنظيم وكرم الضيافة، متمنياً أن تدفع مخرجات القمة العمل العربي المشترك إلى آفاق أرحب تلبي طموحات شعوبنا العربية في التنمية والازدهار، وتدعم الأمن والسلام في المنطقة. https://t.co/1CMMxy6IM7</t>
  </si>
  <si>
    <t>دولة قطر تشارك في المنتدى الاقتصادي اليوناني – العربي 
#الخارجية_القطرية https://t.co/HmCHc05uSi</t>
  </si>
  <si>
    <t>The spokesperson of the Ministry of Foreign Affairs @majedalansari, in a statement to "QNA": The participation of His Highness, the Amir in the Arab Summit in Algeria reflects the full support of the State of Qatar for joint Arab action
#MOFAQatar https://t.co/kCQckA7d8M</t>
  </si>
  <si>
    <t>خلال بيانها أمام الدورة (6) لآلية الخبراء المعنية بالحق في التنمية، أكدت سعادة د. هند المفتاح، 
المندوب الدائم، حرص #قطر على تبني سياسة خارجية تقوم على تعزيز التعاون الدولي بما في ذلك عن طريق دعم الدول لتحقيق تطلعاتها المشروعة في التنمية والتقدم لاسيما الدول النامية والأقل نمواً https://t.co/on7imaOtsl</t>
  </si>
  <si>
    <t>HH the Amir sent a cable of congratulations to HE Luiz Inacio Lula da Silva on his election as President of the Federative Republic of Brazil, wishing him well and bilateral relations further development and growth. #QNA https://t.co/CQpkSZTDPC</t>
  </si>
  <si>
    <t>سمو الأمير يهنئ فخامة السيد لويس إيناسيو لولا دا سيلفا بمناسبة انتخابه رئيسا لجمهورية #البرازيل الاتحادية، متمنيا له التوفيق وللعلاقات بين البلدين المزيد من التطور والنماء
#قنا
#قطر https://t.co/DHugOx3gVU</t>
  </si>
  <si>
    <t>سمو نائب الأمير يهنئ فخامة السيد لويس إيناسيو لولا دا سيلفا بمناسبة انتخابه رئيسا لجمهورية البرازيل الاتحادية. https://t.co/JrSKgnIyFF</t>
  </si>
  <si>
    <t>HE Prime Minister and Minister of Interior sent a cable of congratulations to HE Luiz Inacio Lula da Silva on the occasion of his election as President of the Federative Republic of Brazil. #QNA https://t.co/E6zvxPwTtR</t>
  </si>
  <si>
    <t>سمو الأمير المفدى يهنئ فخامة السيد لويس إيناسيو لولا دا سيلفا بمناسبة انتخابه رئيسا لجمهورية البرازيل الاتحادية، متمنيا له التوفيق وللعلاقات بين البلدين المزيد من التطور والنماء. https://t.co/EFnwAnSd6M</t>
  </si>
  <si>
    <t>سمو الأمير المفدى يلتقي أخاه فخامة الرئيس الدكتور عبداللطيف رشيد رئيس جمهورية العراق الشقيقة، وذلك على هامش انعقاد القمة العربية الـ31، في المركز الدولي للمؤتمرات “عبداللطيف رحال” في الجزائر. https://t.co/pJ361Sh6yw https://t.co/c7HVFnvOEK</t>
  </si>
  <si>
    <t>سمو الأمير المفدى يلتقي دولة السيد نجيب ميقاتي رئيس الحكومة بالجمهورية اللبنانية الشقيقة، وذلك على هامش انعقاد القمة العربية الـ31 بالمركز الدولي للمؤتمرات “عبداللطيف رحال” في الجزائر. https://t.co/CwyLD9Y6RM https://t.co/deFNgNHBwf</t>
  </si>
  <si>
    <t>سمو الأمير المفدى يلتقي أخاه فخامة الفريق أول ركن عبدالفتاح البرهان رئيس مجلس السيادة الانتقالي بجمهورية السودان الشقيقة، وذلك على هامش انعقاد القمة العربية الـ31، بالمركز الدولي للمؤتمرات “عبداللطيف رحال” في الجزائر. https://t.co/RuFbqpkTrW https://t.co/fskW7e81aq</t>
  </si>
  <si>
    <t>HH the Amir met with Chairman of the Transitional Sovereignty Council of the Republic of the Sudan, on the sidelines of the 31st Arab Summit in #Algeria. #QNA
#Arab_Summit 
#Algeria_Summit https://t.co/RFIxAYPwgZ</t>
  </si>
  <si>
    <t>Assistant Foreign Minister @Lolwah_Alkhater Meets Australian Ambassador
#MOFAQatar https://t.co/CZFq1Q7vZy</t>
  </si>
  <si>
    <t>مساعد وزير الخارجية @Lolwah_Alkhater تجتمع مع السفير الأسترالي
#الخارجية_القطرية https://t.co/YLtiJzZ1eI</t>
  </si>
  <si>
    <t>سمو الأمير المفدى يشارك مع إخوانه أصحاب الفخامة والسمو في الجلسة الافتتاحية للقمة العربية الـ31 بالمركز الدولي للمؤتمرات “عبداللطيف رحال” في الجزائر. https://t.co/Ffpl9MDPD4 https://t.co/dsBnc4qWlc</t>
  </si>
  <si>
    <t>A pleasure to host a Welcome Dinner in honor of Ambassador Hwang Joonkook, the new PR of @ROK_Mission 🇰🇷, alongside other esteemed Ambassadors.
I look forward to working w/ him on shared priorities @UN &amp;amp; to strengthening the good relations between our countries. https://t.co/WGEU5AqzXf</t>
  </si>
  <si>
    <t>سمو الأمير المفدى وأخوه فخامة الرئيس الجزائري يشهدان إطلاق مشروع المستشفى "الجزائري القطري الألماني"، وافتتاح مشروع مصنع الحديد والصلب للشركة الجزائرية القطرية للصلب، وذلك في المركز الدولي للمؤتمرات "عبداللطيف رحال" في الجزائر. https://t.co/BL35nXyrHm https://t.co/e0PAPO5OaO</t>
  </si>
  <si>
    <t>سمو الأمير المفدى يصل الجزائر للمشاركة في القمة العربية الـ31، وفي مقدمة مستقبلي سموه، أخوه فخامة الرئيس عبدالمجيد تبون رئيس الجمهورية الجزائرية الديمقراطية الشعبية الشقيقة. https://t.co/bP5CVTqfeT https://t.co/vXQVbVZMz6</t>
  </si>
  <si>
    <t>The Center includes an aquarium, a marine museum, a multipurpose hall with interactive screens, an auditorium, 3D interactive simulators, a landscaped area, in addition to the administration and service facilities.
#HamadPort
#Qatar 🇶🇦 https://t.co/eNH4baCT3e</t>
  </si>
  <si>
    <t>#HamadPort Visitor Center Opens Soon
↘️
The Hamad Port Visitor Center will open soon as all construction works are now complete. The uniquely-designed building will be visitors' information hub, featuring Qatar's marine history and milestones. https://t.co/ISPRu6SkIo</t>
  </si>
  <si>
    <t>MOLQTR</t>
  </si>
  <si>
    <t>ILO monitors Qatar's Labour reforms .. 
#molqtr
  @ilo @ILOQatar https://t.co/ntQA7IOBNO</t>
  </si>
  <si>
    <t>دولة قطر تجدد التأكيد على أن حل الدولتين هو الحل الأمثل لتسوية القضية الفلسطينية
🔗 لقراءة المزيد: https://t.co/ldYonsWpfg
#الخارجية_القطرية https://t.co/koboXEpCLf</t>
  </si>
  <si>
    <t>منظمة العمل الدولية ترصد إصلاحات قطر العمالية .. 
#وزارة_العمل 
@ilo @ILOQatar https://t.co/s8aQg5Z5B6</t>
  </si>
  <si>
    <t>HH the Amir left Doha heading to #Algiers in the People's Democratic Republic of Algeria. #QNA https://t.co/mYo5oVl5kd</t>
  </si>
  <si>
    <t>Remarks by H.E. Mr\ Abdulaziz Ali AlNaama Ambassador of the State of Qatar to the People’s Democratic Republic of Algeria on its National Day 
🇩🇿🇶🇦
#Qatar_Algeria
#MOFAQatar
@Algeria_MFA
@QatarEmbAlgeria https://t.co/lh9K06bIqI</t>
  </si>
  <si>
    <t>كلمة سعادة السيد/ عبدالعزيز بن علي النعمة سفير دولة قطر لدى الجمهورية الجزائرية الديمقراطية الشعبية الشقيقة ، بمناسبة ذكرى اليوم الوطني 
🇩🇿🇶🇦
#قطر_الجزائر
#الخارجية_القطرية
@Algeria_MFA
@QatarEmbAlgeria https://t.co/YTLUyVTByj</t>
  </si>
  <si>
    <t>دولة قطر تشارك في الاجتماع الثالث لفريق عمل الأمن الإقليمي بالرياض
#الخارجية_القطرية https://t.co/HXVb4j0ljr</t>
  </si>
  <si>
    <t>The State of Qatar Reiterates that Best Settlement for Palestinian Issues is a Two-State Solution
🔗To learn more: https://t.co/NyZ76X39AQ
#MOFAQatar https://t.co/o6FVIz9htF</t>
  </si>
  <si>
    <t>We welcome the #ILO’s  report 2022 highlighting the key achievements and the significant progress made in the implementation of the joint programme with #Qatar.
Great thanks to the shared efforts between @MOLQTR &amp;amp; @ilo https://t.co/K2siPCHSKZ</t>
  </si>
  <si>
    <t>On the anniversary of its Revolution Day, #Algeria is hosting the 31st Arab Summit, where Arab leaders will meet once again in affirmation of joint Arab efforts. Sincerest wishes for progress, prosperity &amp;amp; success to all Arabs &amp;amp; to our brothers in Algeria in hosting this summit.</t>
  </si>
  <si>
    <t>نهنئ الجمهورية الجزائرية الديمقراطية الشعبية الشقيقة بمناسبة ذكرى اليوم الوطني
🇩🇿🇶🇦
#قطر_الجزائر
#الخارجية_القطرية 
@QatarEmbAlgeria https://t.co/GF6Aog3KHr</t>
  </si>
  <si>
    <t>We Congratulate the People’s Democratic Republic of Algeria on its National Day
🇩🇿🇶🇦
#Qatar_Algeria
#MOFAQatar
@QatarEmbAlgeria https://t.co/TIbknQjpMr</t>
  </si>
  <si>
    <t>تستضيف #الجزائر في ذكرى يوم ثورتها، الدورة العادية ال31 للقمة العربية والتي سيجتمع فيها قادة العرب من جديد تأكيداً على تعزيز العمل العربي المشترك. أطيب التمنيات بالتقدم والازدهار والتوفيق في استضافة القمة لأشقائنا في الجزائر وللعرب جميعاً.</t>
  </si>
  <si>
    <t>Assistant Foreign Minister for Regional Affairs @Dr_Al_Khulaifi Meets Russian Envoy to Middle East Peace Process
#MOFAQatar https://t.co/kER4jE0yLj</t>
  </si>
  <si>
    <t>قطر للطاقة تعلن عن اكتشاف نفطي في حقل سيبيا بالبرازيل
#قنا 
https://t.co/jGTcaXsDzV https://t.co/OoYYmhSA2h</t>
  </si>
  <si>
    <t>📽️نائب رئيس مجلس الوزراء وزير الخارجية @MBA_AlThani_
يجتمع مع نائب رئيس البرلمان الأوروبي
#الخارجية_القطرية https://t.co/9w4mqQdeMh</t>
  </si>
  <si>
    <t>سمو الأمير المفدى يترأس وفد دولة قطر للمشاركة في القمة العربية الـ31، والتي ستعقد يوم غد الثلاثاء، بمدينة الجزائر عاصمة الجمهورية الجزائرية الديمقراطية الشعبية الشقيقة. https://t.co/7Yg3jitTR7</t>
  </si>
  <si>
    <t>سعدت بحضور افتتاح مركز الخدمات القنصلية في @DECCQatar والتعرف على جاهزيتها لاستقبال الجماهير القادمة من كافة أنحاء العالم. سيقدم فريق القنصلية في السفارة الأمريكية إرشادات للأمريكيين خلال كأس العالم. شكر خاص لـ @roadto2022 على هذه المبادرة. https://t.co/6rmZD0HbqG</t>
  </si>
  <si>
    <t>Parte de la exposición "Safar", organizada por el Museo de Arte Islámico @MIAQatar en asociación con el Ministerio de Relaciones Exteriores para resaltar las experiencias de los refugiados afganos después de su evacuación el año pasado. 
#MOFAQatar https://t.co/aHa1hmxguA</t>
  </si>
  <si>
    <t>Deputy Prime Minister and Minister of Foreign Affairs @MBA_AlThani_  Meets Vice-President of European Parliament
#MOFAQatar https://t.co/qdXk1brtdM</t>
  </si>
  <si>
    <t>مساعد وزير الخارجية للشؤون الإقليمية @Dr_Al_Khulaifi يجتمع مع المبعوث الروسي لعملية السلام في الشرق الأوسط
#الخارجية_القطرية https://t.co/AdezJPQoJi</t>
  </si>
  <si>
    <t>Pleased to meet HE @EvaKaili, Vice President of the European Parliament, to discuss ways to enhance &amp;amp; develop our relations. I affirmed during the meeting the strength of our relations with the union’s various branches &amp;amp; our aspirations for further development in all fields. https://t.co/BDJOI8z28P</t>
  </si>
  <si>
    <t>صورة لمدينة #الدوحة، تجسد التنمية والتطور العمراني بالحفاظ على التراث الثقافي والماضي الملهم، الذي يقود الحاضر والمستقبل إلى التقدم. https://t.co/fWbia1kFcS</t>
  </si>
  <si>
    <t>نائب رئيس مجلس الوزراء وزير الخارجية @MBA_AlThani_  يجتمع مع نائب رئيس البرلمان الأوروبي
#الخارجية_القطرية https://t.co/PoVkAQiClP</t>
  </si>
  <si>
    <t>سررت اليوم باستقبال سعادة السيدة @EvaKaili، نائبة رئيس البرلمان الأوروبي، حيث تباحثنا في سبل تعزيز وتطوير العلاقات الثنائية بين دولة #قطر والاتحاد الأوروبي. أكدت خلال الاجتماع على متانة علاقاتنا مع مؤسسات الاتحاد بمختلف أذرعها وتطلعنا إلى تعزيزها في كافة المجالات. https://t.co/57pffwkNd7</t>
  </si>
  <si>
    <t>Part of "Safar" exhibition, organised by the Museum of Islamic Art @MIAQatar in partnership with the Ministry of Foreign Affairs to highlight the experiences of Afghan refugees after their evacuation last year. The exhibition is on view until Jan. 24 at the MIA Park.
#MOFAQatar https://t.co/o9CIpg6lmF</t>
  </si>
  <si>
    <t>جانب من معرض "سفر"، الذي ينظمه متحف الفن الإسلامي @MIAQatar بالشراكة مع وزارة الخارجية لتسليط الضوء على تجارب اللاجئين الأفغان بعد إجلائهم العام الماضي، ويستمر حتى 24 يناير المقبل بحديقة متحف الفن الإسلامي.
#الخارجية_القطرية https://t.co/Apx4q9hwPU</t>
  </si>
  <si>
    <t>President of Somalia Meets Qatari Ambassador
#MOFAQatar https://t.co/GY8QshoBhr</t>
  </si>
  <si>
    <t>FIFA World Cup Qatar 2022: SC Launches First International Consular Services Centre
🔗 To learn more: https://t.co/95gkWcYU8E
#MOFAQatar https://t.co/BFnavELcsA</t>
  </si>
  <si>
    <t>FIFA World Cup Qatar 2022: Transportation Arrangements in Central Doha in November and December Announced. #QNA 
#FIFAWorldCup
#Qatar2022 
https://t.co/YSZn9K0dkx https://t.co/0luGt7tVDc</t>
  </si>
  <si>
    <t>رئيس الصومال يستقبل سفير دولة قطر 
#الخارجية_القطرية https://t.co/1gA8Yd2fN9</t>
  </si>
  <si>
    <t>Deputy Prime Minister and Minister of Foreign Affairs @MBA_AlThani_ Meets US Undersecretary of State for Management
#MOFAQatar https://t.co/uKHKNvJfWx</t>
  </si>
  <si>
    <t>اللجنة العليا للمشاريع والإرث تفتتح أول مركز للخدمات القنصلية في تاريخ كأس العالم
🔗لقراءة المزيد : https://t.co/K37fIbyDWI
#الخارجية_القطرية https://t.co/EPi6aelnPS</t>
  </si>
  <si>
    <t>🎥 | اللجنة العليا للمشاريع والإرث تفتتح أول مركز للخدمات القنصلية في تاريخ كأس العالم
#الخارجية_القطرية https://t.co/v4oIHUcFSW</t>
  </si>
  <si>
    <t>🎥 | نائب رئيس مجلس الوزراء وزير الخارجية @MBA_AlThani_ يجتمع مع مساعد وزير الخارجية الأمريكي لشؤون الإدارة 
#الخارجية_القطرية https://t.co/HCzf6Rxwto</t>
  </si>
  <si>
    <t>Avec bonheur et joie, les enfants 👧🏻🧒🏽 du #Qatar sont prêts à accueillir les amoureux du ballon rond ⚽️🏆. Notre culture 🇶🇦 est à l’honneur ici 🦅
أطفال قطر 🇶🇦 يستعدون بثقافتهم المحلية وعفويتهم لإستضافة ضيوف كأس العالم في قطر من جميع ثقافات العالم. https://t.co/UFNlM58rb4</t>
  </si>
  <si>
    <t>نائب رئيس مجلس الوزراء وزير الخارجية @MBA_AlThani_ يجتمع مع مساعد وزير الخارجية الأمريكي لشؤون الإدارة 
#الخارجية_القطرية https://t.co/RklH0yFLjw</t>
  </si>
  <si>
    <t>Qatar condena enérgicamente la Explosión en Mogadiscio
#MOFAQatar https://t.co/6fV1S0UHTr</t>
  </si>
  <si>
    <t>We Congratulate the Republic of Türkiye on its Republic Day
🇹🇷🇶🇦
#Qatar_Türkiye
#MOFAQatar 
@TC_DohaBE https://t.co/cFazXbh7Tm</t>
  </si>
  <si>
    <t>كلمة سعادة سعادة الشيخ/ محمد بن ناصر بن جاسم آل ثاني سفير دولة قطر لدى الجمهورية التركية ، بمناسبة ذكرى يوم الجمهورية
🇹🇷🇶🇦
#قطر_تركيا
#الخارجية_القطرية 
@TC_DohaBE https://t.co/I39IBdlpvT</t>
  </si>
  <si>
    <t>Remarks by H.E. Sheikh\ Mohammed bin Nasser bin Jassim Al-Thani Ambassador of the State of Qatar to the Republic of Türkiye on its Republic Day 
🇹🇷🇶🇦
#Qatar_Türkiye
#MOFAQatar 
@TC_DohaBE https://t.co/NtGQ1IwMN4</t>
  </si>
  <si>
    <t>أهنئ الأشقاء في الجمهورية التركية بمناسبة ذكرى يوم الجمهورية، سائلاً المولى عز وجل أن يديم عليها نعمة الأمن والاستقرار. الشراكة الاستراتيجية بين بلدينا في تقدم مستمر على أعلى المستويات ونتطلع لتعزيزها دائماً.</t>
  </si>
  <si>
    <t>I congratulate the brothers in the Republic of #Türkiye on their Republic Day, wishing them further stability &amp;amp; security. The strategic partnership between our two countries is in continuous progress at the highest levels, &amp;amp; we look forward to its ongoing development.</t>
  </si>
  <si>
    <t>Türkiye Cumhuriyeti'ndeki kardeşlerimizin Cumhuriyet Bayramı'nın yıl dönümünü kutlar, Cenab-ı Hakk'tan güvenlik ve istikrar nimetini daim kılmasını dilerim. İki ülke arasındaki stratejik ortaklık, en üst düzeyde devamlı ilerlemektedir ve bunu güçlendirmeyi arzuluyoruz.</t>
  </si>
  <si>
    <t>رئيس جمهورية ألبانيا يستقبل سفير دولة قطر
#الخارجية_القطرية https://t.co/tEkJiFH0CR</t>
  </si>
  <si>
    <t>قطر تشارك في اجتماع لجنة مكافحة الارهاب التابعة لمجلس الأمن حول مكافحة استخدام التكنولوجيات الجديدة والناشئة للأغراض الإرهابية بنيودلهي
🔗لقراءة المزيد : https://t.co/AcP1QlAT5V
#الخارجية_القطرية https://t.co/E32ufU6Fb3</t>
  </si>
  <si>
    <t>President of Albania Meets Qatar Ambassador
#MOFAQatar https://t.co/MobbGzIxTv</t>
  </si>
  <si>
    <t>Qatar Participates in International Meeting on Combating Use of New Technologies for Terrorist Purposes in New Delhi
🔗To learn more : https://t.co/1Ahrp7oGiq
#MOFAQatar https://t.co/FPxHfaVqh5</t>
  </si>
  <si>
    <t>وزير الدولة للشؤون الخارجية يجتمع مع وزير الشؤون الخارجية الجزائري 
#الخارجية_القطرية https://t.co/usrn7vdJK4</t>
  </si>
  <si>
    <t>وزير الدولة للشؤون الخارجية يجتمع مع وزير الشؤون الخارجية الموريتاني 
#الخارجية_القطرية https://t.co/qI58hhGmO9</t>
  </si>
  <si>
    <t>بيان : قطر تدين بشدة تفجيراً في مقديشو 
#الخارجية_القطرية https://t.co/FHltjbsAGn</t>
  </si>
  <si>
    <t>Minister of State for Foreign Affairs Meets Algerian Minister of Foreign Affairs
#MOFAQatar https://t.co/1lKx7WrTWG</t>
  </si>
  <si>
    <t>Minister of State for Foreign Affairs Meets Mauritanian Foreign Minister
#MOFAQatar https://t.co/wKhC7QGRcr</t>
  </si>
  <si>
    <t>Statement : Qatar Strongly Condemns Bombing in Mogadishu
#MOFAQatar https://t.co/XWtw9S56Cp</t>
  </si>
  <si>
    <t>Ministerio de Relaciones Exteriores convoca al embajador alemán y en-trega una nota de protesta sobre los declaraciones de la ministra del Inte-rior sobre la organización de la Copa Mundial por parte de Qatar
#MOFAQatar https://t.co/Cy9gzJ1eNN</t>
  </si>
  <si>
    <t>Ministerio de Relaciones Exteriores convoca al embajador alemán y entrega una nota de protesta sobre los declaraciones de la ministra del Interior sobre la organización de la Copa Mundial por parte de Qatar
#MOFAQatar https://t.co/6ZU0xPEiat</t>
  </si>
  <si>
    <t>The Ministry of Foreign Affairs: the State of Qatar is determined to organize one of the best editions to showcase the regions civilization and heritage to the whole world. #QNA</t>
  </si>
  <si>
    <t>The Ministry of Foreign Affairs summons the German Ambassador over remarks made by the German Federal Minister of Interior on the State of Qatar’s hosting of the World Cup 2022. #QNA
https://t.co/u45DSugHQy https://t.co/MpXPP7UXFh</t>
  </si>
  <si>
    <t>EssaAlmalki</t>
  </si>
  <si>
    <t>I had the pleasure to submit my credential to H.E @JCS_ICAO in the Presence of H.E @SalvatoSciacchi I am looking forward to Continuing to work collaboratively and enhancing the relations between the State of Qatar and @icao #aviation #qatar #qatar2022 #qatarairways https://t.co/dXg3W3feL7</t>
  </si>
  <si>
    <t>Remarks made by the German Minister of Interior on Qatar's hosting of the World Cup are unacceptable and provocative of the people of Qatar.
 It is unacceptable for politicians to try to score points for domestic consumption at the expense of relations with other countries. https://t.co/sfvCiungSu</t>
  </si>
  <si>
    <t>Foreign Ministry Summons the German Ambassador
#MOFAQatar https://t.co/W0vQMkW9kB</t>
  </si>
  <si>
    <t>"تصريحات وزيرة الداخلية الألمانية بحق استضافة دولة قطر لكأس العالم مرفوضة ومستهجنة ومستفزة للشعب القطري.
 ليس مقبولاً تسجيل الساسة مواقف للاستهلاك المحلي على حساب علاقات بلدانهم مع الدول الأخرى." https://t.co/fdzDH5Or0w</t>
  </si>
  <si>
    <t>وزارة الخارجية تستدعي السفير الألماني وتسلمه مذكرة احتجاج بشأن تصريحات وزيرة الداخلية حول استضافة قطر لكأس العالم
#الخارجية_القطرية https://t.co/pq4ohxOFLS</t>
  </si>
  <si>
    <t>Qatar has strengthened its relations and cooperation with the European Union in diverse fields over the last three decades.
Inauguration of @QatarMissionEU will deepen the partnership especially in the fields of energy, trade, development and security. https://t.co/m45lgwGSjn</t>
  </si>
  <si>
    <t>موجز أخبار السفارات 🗓
#الخارجية_القطرية https://t.co/22F8J1YnzB</t>
  </si>
  <si>
    <t>Delighted to meet @EmineDzheppar discussing with great concern the current developments in the political conflict &amp;amp; reiterates 🇶🇦full readiness to contribute to any international &amp;amp; regional effort to find an immediate peaceful solution to this crisis.
Thanks to Yevhenia Filipenko https://t.co/BiqvbzWdBP</t>
  </si>
  <si>
    <t>https://t.co/ylOewQxkSU</t>
  </si>
  <si>
    <t>Minister of State for Foreign Affairs Inaugurates New Headquarters of Qatar's Mission to European Union and NATO in Brussels
🔗 To learn more: https://t.co/WLYVzpC8F8
#MOFAQatar https://t.co/oPbTMbeoiS</t>
  </si>
  <si>
    <t>Today we mark the #AudiovisualHeritage World Day by celebrating #Qatar🇶🇦 dedication to bolster arts &amp;amp; culture through the thorough work of @Qatar_Museums @NMOQatar showcasing authentic art, &amp;amp; highlighting its power to foster dialogue among generations.
🔗https://t.co/DSO7TPKYMJ</t>
  </si>
  <si>
    <t>Inauguration of the new headquarters of the State of Qatar Mission to the European Union and (NATO) in Brussels
#MOFAQatar https://t.co/6NhOyDSqKS</t>
  </si>
  <si>
    <t>Briefed the Chairs of the functional Commissions &amp;amp; expert bodies @UNECOSOC in my capacity as Chair of the Commission for Socio-Development on the preparations for the 61st Commission to hold from 6-16 Feb 2023 &amp;amp; stressed our commitment to reinforce the work of #UNECOSOC #HLPF https://t.co/4QRKM0cmfa</t>
  </si>
  <si>
    <t>Inauguración de la nueva sede de la Misión del Estado de Qatar ante UE y (OTAN) en Bruselas
#MOFAQatar https://t.co/peRV6ARieA</t>
  </si>
  <si>
    <t>افتتاح المقر الجديد لبعثة دولة قطر لدى الاتحاد الأوروبي و(الناتو) في بروكسل 
#الخارجية_القطرية https://t.co/RmhDqZFlxR</t>
  </si>
  <si>
    <t>https://t.co/sp8lNfuyNZ</t>
  </si>
  <si>
    <t>وزير الدولة للشؤون الخارجية يفتتح المقر الجديد لبعثة دولة قطر لدى الاتحاد الأوروبي و(الناتو) في بروكسل
🔗 لقراءة المزيد : https://t.co/F4u8g7anYB
#الخارجية_القطرية https://t.co/JZ8tv5bclT</t>
  </si>
  <si>
    <t>His Excellency Sheikh Mohammed bin Hamad bin Qassim Al Abdullah Al-Thani,  Minister of #MOCIQATAR , met today with Mr. Ville Skinnari, Minister for Development Cooperation and Foreign Trade of the Republic of Finland, and the accompanying delegation currently visiting #Qatar.</t>
  </si>
  <si>
    <t>التقى سعادة الشيخ محمد بن حمد بن قاسم آل ثاني وزير #التجارة_والصناعة، اليوم، سعادة السيد فيل سكيناري وزير التعاون التنموي والتجارة الخارجية في جمهورية فنلندا، والوفد المرافق له، الذي يزور #قطر حالياً. https://t.co/gKfnfKMhZv</t>
  </si>
  <si>
    <t>#MOCIQATAR, in cooperation with Qatar Development Bank, arranged a workshop to introduce the barcode office in Doha "GS1 Qatar" and the global barcode, within the context of supporting the national economy through the industrial and service sectors.</t>
  </si>
  <si>
    <t>نظمت وزارة #التجارة_والصناعة بالتعاون مع مكتب الترقيم القطري في بنك قطر للتنمية، ورشة "التعريف بمكتب الترقيم القطري والباركود العالمي"، وذلك في إطار دعم ومساندة الاقتصاد الوطني من خلال القطاعات الصناعية والخدمية. https://t.co/QncyBDtffI</t>
  </si>
  <si>
    <t>#MOCIQATAR announces the removal of restrictions that were imposed on commercial activities, where the usage of “Ehteraz” application is no longer required, starting from Tuesday, November 1, 2022.
 #YourSafetyIsMySafety https://t.co/5hM9DXOYzy</t>
  </si>
  <si>
    <t>@QatarMission_Ge
H.E. Dr. Hend Al-Muftah, PR, met today with H.E. Kadra Ahmed Hassan ambassador of #Djibouti, coordinator of the #WTO #LDC group. During the meeting, issues of mutual interest were discussed. https://t.co/sVqi7PeoRe</t>
  </si>
  <si>
    <t>قابلت سعادة د. هند المفتاح، المندوب الدائم، سعادة السيدة خضرة أحمد حسن، السفيرة والممثلة الدائمة لجيبوتي، ومنسقة مجموعة أقل البلدان نمواً بمنظمة التجارة العالمية، وتم خلال اللقاء مناقشة مواضيع ذات الاهتمام المشترك https://t.co/3RL3xeVDaK</t>
  </si>
  <si>
    <t>قابلت سعادة د. هند المفتاح، المندوب الدائم لدولة قطر بجنيف، الدكتور بدر جاموس، رئيس هيئة التفاوض السورية رفقة الوفد المرافق له. وتم خلال اللقاء مناقشة آخر التطورات التي تشهدها الأزمة السورية وسبل دعم الشعب السوري الشقيق https://t.co/rP9WeDUwWq</t>
  </si>
  <si>
    <t>Deputy Prime Minister and Minister of Foreign Affairs @MBA_AlThani_  Meets Czech Foreign Minister
#MOFAQatar https://t.co/j7tTi7EciS</t>
  </si>
  <si>
    <t>H.E. Dr. Hend Al-Muftah, PR, met today with Dr. Badr Jamous, Head of the Syrian Negotiation Commission, accompanied by his delegation. During the meeting latest developments in the Syrian crisis and ways to support the brotherly Syrian people were discussed. https://t.co/hQDFMmzbYv</t>
  </si>
  <si>
    <t>لعب سعادة السفير حسن حمزة دورا متميزا حتى في أصعب الظروف أثناء فترة عمله سفيرا لدولة قطر في الصومال الشقيق، أنتهز هذه الفرصة لأبارك له بهذا التكريم وأشكره عن نفسي وعن زملائي على جهوده الكبيرة. https://t.co/zhKjUodQyE</t>
  </si>
  <si>
    <t>📽️نائب رئيس مجلس الوزراء وزير الخارجية @MBA_AlThani_  يجتمع مع وزير الخارجية التشيكي
#الخارجية_القطرية https://t.co/zD0MKBqPGo</t>
  </si>
  <si>
    <t>qatar_icao</t>
  </si>
  <si>
    <t>حفل الاستقبال الذي أقامه الوفد الدائم لدولة قطر لدى منظمة (إيكاو) لوفود الدول الأعضاء في المنظمة / ٣ اكتوبر ٢٠٢٢
Qatar’s ICAO Permanent Mission Holds Reception for 
Delegations / 3 October 2022 https://t.co/nOyta5vt32</t>
  </si>
  <si>
    <t>لقاء مع الأخ سعادة الدكتور خالد السليطي مدير عام مؤسسة الحي الثقافي كتارا، لبحث التعاون المشترك بين كتارا ومنظمة اليونسكو.
@katara est un haut lieu de la culture et des arts dans la région où l’humain est mis au centre des réflexions https://t.co/t1hOJKDf3D</t>
  </si>
  <si>
    <t>As one of the key pillars of #QNV2030, the State of #Qatar places sustainability at the top of its priorities through its commitment to sustainable infrastructure and environmental development. https://t.co/42GVVbgnmR</t>
  </si>
  <si>
    <t>Assistant Foreign Minister @Lolwah_Alkhater  Meets Finland's Minister of Development Cooperation
#MOFAQatar https://t.co/GNallghyGW</t>
  </si>
  <si>
    <t>قطر تدعو إلى عدم استخدام الطاقة كسلاح في النزاعات 
🔗لقراءة المزيد : https://t.co/7HM8xRjVcl
#الخارجية_القطرية https://t.co/FGiFOQa3oy</t>
  </si>
  <si>
    <t>roadto2022es</t>
  </si>
  <si>
    <t>⏰ ¡No olvides de registrar tu Hayya Card para viajar a #Qatar2022! ⏰
🪪 Será tu permiso para ingresar al país, a los partidos y para viajar gratis en el transporte público. https://t.co/9NP9kSwCMU</t>
  </si>
  <si>
    <t>❗ Aviso importante sobre el servicio 𝗙𝗮𝗺𝗶𝗹𝘆 &amp;amp; 𝗙𝗿𝗶𝗲𝗻𝗱𝘀 ❗
#Qatar2022 https://t.co/6PwVncZn5N</t>
  </si>
  <si>
    <t>HH the Amir meets Ambassador of the People's Republic of Bangladesh on the occasion of the end of his tenure in the country. #QNA
https://t.co/djBOEKfIfw https://t.co/hHTWHr9P2x</t>
  </si>
  <si>
    <t>H.E. Minister Saad Sherida Al-Kaabi meets the Czech Minister of Foreign Affairs 
#Qatar https://t.co/YQHSJvYRGh</t>
  </si>
  <si>
    <t>#Qatar Embassy in #Baku 🇦🇿 https://t.co/VVVbei54L1</t>
  </si>
  <si>
    <t>#Qatar Embassy in #Kathmandu🇳🇵 https://t.co/OZosWVzakz</t>
  </si>
  <si>
    <t>Qatar's Embassies Continue Various Events to Promote FIFA World Cup Qatar 2022
🔗 To learn more: https://t.co/PBkNkZiXfW
#MOFAQatar https://t.co/zAHsGLdcfs</t>
  </si>
  <si>
    <t>مساعد وزير الخارجية للشؤون الإقليمية @Dr_Al_Khulaifi  يجتمع مع سفير منتدى شؤون التعاون الصيني العربي 
#الخارجية_القطرية https://t.co/gs8uiXxIvT</t>
  </si>
  <si>
    <t>رئيس فيتنام يستقبل سفير دولة قطر 
#الخارجية_القطرية https://t.co/Xyf1JVsJCW</t>
  </si>
  <si>
    <t>مساعد وزير الخارجية @Lolwah_Alkhater  تجتمع مع وزير التعاون التنموي الفنلندي
#الخارجية_القطرية https://t.co/1Ao5feeXsK</t>
  </si>
  <si>
    <t>Qatar Calls for Non-use of Energy as Weapon in Conflicts
🔗To learn more : https://t.co/Pju9qVg4nm
#MOFAQatar https://t.co/kTtDJNstBT</t>
  </si>
  <si>
    <t>نائب رئيس مجلس الوزراء وزير الخارجية @MBA_AlThani_  يجتمع مع وزير الخارجية التشيكي
#الخارجية_القطرية https://t.co/NRvjvPELUz</t>
  </si>
  <si>
    <t>Mogadishu University Awards Qatar Ambassador Honorary Doctorate
#MOFAQatar https://t.co/nw9AsDEjnW</t>
  </si>
  <si>
    <t>President of Vietnam Meets Ambassador of Qatar
#MOFAQatar https://t.co/7Hq7Af6pxi</t>
  </si>
  <si>
    <t>Deputy Prime Minister and Minister of Foreign Affairs Sends Written Message to Iranian FM
#MOFAQatar https://t.co/12Hyvog91y</t>
  </si>
  <si>
    <t>Vice-President of India Meets Qatar's Ambassador
#MOFAQatar https://t.co/nQlQ0uPlE8</t>
  </si>
  <si>
    <t>Assistant Foreign Minister for Regional Affairs @Dr_Al_Khulaifi  Meets Ambassador for China-Arab States Cooperation Forum Affairs
#MOFAQatar https://t.co/GxX2Cg0nuf</t>
  </si>
  <si>
    <t>Assistant Foreign Minister for Regional Affairs @Dr_Al_Khulaifi Meets with Iran's Deputy Foreign Minister for Political Affairs
#MOFAQatar https://t.co/MDOLM6X21u</t>
  </si>
  <si>
    <t>نائب رئيس الهند يستقبل سفير دولة قطر
#الخارجية_القطرية https://t.co/UsnVfBNTC1</t>
  </si>
  <si>
    <t>Assistant Foreign Minister for Regional Affairs @Dr_Al_Khulaifi Meets Iranian Deputy Foreign Minister
#MOFAQatar https://t.co/j8BJqQyTrF</t>
  </si>
  <si>
    <t>سمو الأمير المفدى يستقبل سعادة محمد جشيم الدين سفير جمهورية بنغلاديش الشعبية، بمناسبة انتهاء فترة عمله بالبلاد، وذلك في مكتبه بالديوان الأميري. https://t.co/U3DPFnW9lt https://t.co/w1aDjw1Eu8</t>
  </si>
  <si>
    <t>التقيت اليوم بسعادة السيد @JanLipavsky ، وزير الخارجية بجمهورية التشيك، خضنا حواراً مثمراً حول تعزيز العلاقات الثنائية بين بلدينا في شتى المجالات، وخاصة الاقتصادية والتجارية والاستثمارية. كما تطرقنا في اجتماعنا الى عدد من القضايا الدولية ذات الاهتمام المشترك. https://t.co/Xrba9To09d</t>
  </si>
  <si>
    <t>مدير إدارة حقوق الإنسان بوزارة الخارجية يجتمع مع مسؤول حقوق الإنسان بالخارجية الأفغانية
#الخارجية_القطرية https://t.co/FGHTvZcFrm</t>
  </si>
  <si>
    <t>Statement | Qatar Strongly Condemns Attacks in Iran
#MOFAQatar https://t.co/mU0P4XDDeq</t>
  </si>
  <si>
    <t>جامعة مقديشو تمنح الدكتوراه الفخرية لسفير دولة قطر
#الخارجية_القطرية https://t.co/SmRv6DSeP0</t>
  </si>
  <si>
    <t>En declaraciones a “QNA”Portavoz oficial del Ministerio de Relaciones Exteriores @majedalansari: El discurso del Emir ante el Consejo de la Shura es un plan de acción integrado para continuar la marcha de los logros
 #discurso_SuAlteza_Consejo_de_Shura
#Shura_Council
#MOFAQatar https://t.co/vR7fv1IuSf</t>
  </si>
  <si>
    <t>I met today with HE @JanLipavsky, Foreign Minister of the Czech Republic, to discuss ways to develop our bilateral relations in various fields, especially in economy, trade, &amp;amp; investment. We also discussed a number of international issues of common interest. https://t.co/0vTQZNho0E</t>
  </si>
  <si>
    <t>Embassy of the Czech Republic Inaugurates Premises in Qatar
#MOFAQatar https://t.co/NA4IlFyHsh</t>
  </si>
  <si>
    <t>بيان| قطر تدين بشدة هجوماً في إيران
#الخارجية_القطرية https://t.co/7xGUhqEwia</t>
  </si>
  <si>
    <t>مساعد وزير الخارجية للشؤون الإقليمية @Dr_Al_Khulaifi يجتمع مع نائب وزير الخارجية للشؤون الاقتصادية الإيراني
#الخارجية_القطرية https://t.co/byHR1feuii</t>
  </si>
  <si>
    <t>مساعد وزير الخارجية للشؤون الإقليمية @Dr_Al_Khulaifi يجتمع مع نائب وزير الخارجية للشؤون السياسية الإيراني
#الخارجية_القطرية https://t.co/B6fffgCJ6O</t>
  </si>
  <si>
    <t>🎥 | افتتاح مقر بعثة جمهورية التشيك في دولة قطر
#الخارجية_القطرية https://t.co/uifgJY217c</t>
  </si>
  <si>
    <t>سفارة #قطر لدى #أذربيجان 🇦🇿 https://t.co/jiCp6FSsi6</t>
  </si>
  <si>
    <t>سفارة #قطر لدى #النيبال  🇳🇵 https://t.co/GkwjQ37I5c</t>
  </si>
  <si>
    <t>سفارات قطر تواصل تنظيم فعاليات متنوعة للترويج لبطولة كأس العالم FIFA قطر 2022
🔗 لقراءة المزيد : https://t.co/IqMAvMRnmj
#الخارجية_القطرية https://t.co/Hyzh8FAQ8c</t>
  </si>
  <si>
    <t>رسالة من نائب رئيس مجلس الوزراء وزير الخارجية @MBA_AlThani_  لوزير الخارجية الإيراني
#الخارجية_القطرية https://t.co/txpvBGM00X</t>
  </si>
  <si>
    <t>افتتاح مقر بعثة جمهورية التشيك في دولة قطر
#الخارجية_القطرية https://t.co/NmRGTzJNww</t>
  </si>
  <si>
    <t>Speaker of Romanian Chamber of Deputies Meets Qatari Ambassador
#MOFAQatar https://t.co/3Zixv2JCGI</t>
  </si>
  <si>
    <t>We Congratulate the Republic of Austria on its National Day
🇦🇹🇶🇦
#Qatar_Austria
#MOFAQatar https://t.co/84hH0TSWvS</t>
  </si>
  <si>
    <t>رئيس مجلس النواب الروماني يجتمع مع سفير دولة قطر
#الخارجية_القطرية https://t.co/IH2N7223RH</t>
  </si>
  <si>
    <t>وزارة الخارجية تحتفل بيوم الأمم المتحدة 
#الخارجية_القطرية https://t.co/kJeO8w7QkM</t>
  </si>
  <si>
    <t>مساعد وزير الخارجية للشؤون الإقليمية @Dr_Al_Khulaifi : خطاب سمو الأمير أمام مجلس الشورى تضمن رؤى ثاقبة لكافة القضايا المحلية والإقليمية والدولية
#الخارجية_القطرية https://t.co/WmOCelNTJw</t>
  </si>
  <si>
    <t>نهنئ جمهورية النمسا الصديقة بمناسبة ذكرى اليوم الوطني
🇦🇹🇶🇦
#قطر_النمسا
#الخارجية_القطرية https://t.co/4wIMQkaWML</t>
  </si>
  <si>
    <t>رئيس الوزراء الصومالي يجتمع مع سفير دولة قطر
#الخارجية_القطرية https://t.co/QnH2Euyp30</t>
  </si>
  <si>
    <t>Qatar_Edu</t>
  </si>
  <si>
    <t>رحّبَ طلبة مجمع التربية السمعية بزيارة وفد دولي من فئة الصم،واطلع الوفد خلال زيارته على الخدمات المقدمة لذوي الإعاقة السمعية في المجمع،حيث أُتيحت الفرصةلمناقشة سبل تطوير وإدماج فئة الصم في المجتمع.
جاءت الزيارة برعاية وزارة الخارجية القطرية @MofaQatar_AR وبالتعاون مع  @Roadto2022 https://t.co/58bW1AhQmA</t>
  </si>
  <si>
    <t>سمو الأمير المفدى يتلقى اتصالًا هاتفيًا من أخيه فخامة الرئيس حسن شيخ محمود رئيس جمهورية الصومال الفيدرالية الشقيقة. https://t.co/j9JI3tbpzE</t>
  </si>
  <si>
    <t>The State of #Qatar has signed a contract for its official participation with a national pavilion in the World Expo 2025 Osaka Kansai, scheduled to be held from April 13 until October 13, 2025, in Osaka, Japan.
#MOCIQATAR</t>
  </si>
  <si>
    <t>وقعت دولة #قطر عقد المشاركة الرسمية بجناح وطني في المعرض  العالمي “إكسبو أوساكا 2025” الذي سيُعقد بمدينة أوساكا في اليابان خلال الفترة من 13 أبريل إلى 13 أكتوبر 2025.  
#التجارة_والصناعة https://t.co/PS65Vb82Af</t>
  </si>
  <si>
    <t>Earlier this week, I had a great and constructive meeting with the team of the @UNESCO Office in Doha 🇶🇦. The team plays a major role in implementing the UNESCOs goals in the region. https://t.co/PzzuRS43Wf</t>
  </si>
  <si>
    <t>HH affirmed #Qatar 🇶🇦 will continue to promote the sources of its strength &amp;amp; build its capabilities in areas such as journalism, higher education, knowledge production, investment, mediation &amp;amp; conflict prevention &amp;amp; hosting major international forums. #Shura_Council https://t.co/2JI27mdVRC</t>
  </si>
  <si>
    <t>HH the Amir’s speech in #Shura_Council today stressed #Qatar's keenness to adopt a balanced foreign policy that guarantees our national interests, stability of our regional environment, &amp;amp; support of brotherly &amp;amp; friendly peoples’ aspirations to development, stability &amp;amp; prosperity. https://t.co/1RXaxeZT3C</t>
  </si>
  <si>
    <t>Dans une déclaration à "QNA"
Le ministre adjoint des Affaires étrangères chargé des Affaires régionales : le discours de Son Altesse l'Émir devant le Conseil de la Choura était marqué par une vision perspicace sur toutes les questions locales, régionales et internationales https://t.co/EoJ7dSGR0W</t>
  </si>
  <si>
    <t>Infograph | Official Spokesperson of the Ministry of Foreign Affairs @majedalansari: The Amir's speech before the Shura Council is an integrated roadmap to continue the march of achievements
#MOFAQatar 
#Shura_Council https://t.co/YKbIFyDrQe</t>
  </si>
  <si>
    <t>Assistant Foreign Minister for Regional Affairs @Dr_Al_Khulaifi: His Highness, the Amir’s speech before the Shura Council included insights into all local, regional and international issues
#MOFAQatar
#Shura_Council https://t.co/KK5CbtuPhJ</t>
  </si>
  <si>
    <t>President of Ecuadorian National Assembly Meets Qatari Ambassador
#MOFAQatar https://t.co/s6DUJe8fwb</t>
  </si>
  <si>
    <t>Qatar Committee for Reconstruction of Gaza to Disburse Gaza October Grant Tomorrow
#MOFAQatar https://t.co/AFkV3sJTqs</t>
  </si>
  <si>
    <t>Somali Deputy Premier Meets Qatari Ambassador
#MOFAQatar https://t.co/fJzxSOBhEL</t>
  </si>
  <si>
    <t>Part of the celebration of the United Nations Day by the Ministry of Foreign Affairs in Flag Plaza, with the presence of representatives of the United Nations offices and agencies in Doha.
#UNDay
#MOFAQatar 
@UN https://t.co/YsEJi9XE2H</t>
  </si>
  <si>
    <t>جانب من احتفال وزارة الخارجية بيوم الأمم المتحدة في ساحة الأعلام ، بحضور ممثلين من مكاتب ووكالات الأمم المتحدة بالدوحة.
#يوم_الأمم_المتحدة
#الخارجية_القطرية https://t.co/kQuHoSr85N</t>
  </si>
  <si>
    <t>Ministry of Foreign Affairs Spokesperson @majedalansari : HH the Amir's Shura Council Address Before an Action Plan to Build on Achievements
#MOFAQatar https://t.co/50ZKxN4iKA</t>
  </si>
  <si>
    <t>نائب رئيس الوزراء الصومالي يجتمع مع سفير دولة قطر 
#الخارجية_القطرية https://t.co/SbXSbbygit</t>
  </si>
  <si>
    <t>مساعد وزير الخارجية للشؤون الإقليمية @Dr_Al_Khulaifi: خطاب سمو الأمير أمام مجلس الشورى تضمن رؤى ثاقبة لكافة القضايا المحلية والإقليمية والدولية
#الخارجية_القطرية 
#مجلس_الشورى https://t.co/VNT5fYL6J4</t>
  </si>
  <si>
    <t>رئيس البرلمان في الإكوادور يجتمع مع سفير دولة قطر 
#الخارجية_القطرية https://t.co/izlegggobE</t>
  </si>
  <si>
    <t>إنفوجراف |  المتحدث الرسمي لوزارة الخارجية @majedalansari : خطاب سمو الأمير أمام مجلس الشوري خطة عمل متكاملة لمواصلة مسيرة الإنجازات
#الخارجية_القطرية https://t.co/CLh4gyIyRf</t>
  </si>
  <si>
    <t>دولة قطر تؤكد أن التغير المناخي يعد من أكبر التحديات التي تواجه البشرية في عالمنا المعاصر
#الخارجية_القطرية https://t.co/9oXTFflRzN</t>
  </si>
  <si>
    <t>Somali Prime Minister Meets Qatari Ambassador
#MOFAQatar https://t.co/WoZxxiDgBs</t>
  </si>
  <si>
    <t>المتحدث الرسمي لوزارة الخارجية @majedalansari : خطاب سمو الأمير أمام مجلس الشورى خطة عمل متكاملة لمواصلة مسيرة الإنجازات
#الخارجية_القطرية https://t.co/wa42P7i45Q</t>
  </si>
  <si>
    <t>Dans une déclaration à "QNA"
Le porte-parole du ministère des Affaires étrangères @majedalansari : Le discours de Son Altesse l'Émir est un plan d'action exhaustif pour poursuivre la marche des progrès
#MOFAQatar https://t.co/CzX4K3f3HB</t>
  </si>
  <si>
    <t>Second Meeting of General Secretariat of Qatari-Saudi Coordination Council Convenes
#MOFAQatar https://t.co/imut5FQQ43</t>
  </si>
  <si>
    <t>الأمين العام لوزارة الخارجية يتسلم نسخة من أوراق اعتماد سفيري مالاوي والدنمارك
#الخارجية_القطرية https://t.co/edOdLz9gQ0</t>
  </si>
  <si>
    <t>Un plaisir de rencontrer l’étoile montante et cheffe de cuisine au 🇶🇦🇶🇦 Noof Al Marri, entrepreneure #qatarie et propriétaire du Desert Rose Cafe au @NMOQatar . De riches échanges sur son intérêt pour la gastronomie locale et la culture alimentaire. 
#Qatar2022
#WomeninBusiness https://t.co/1VeXVvvZob</t>
  </si>
  <si>
    <t>Secretary-General of Ministry of Foreign Affairs Receives Copies of Credentials of Ambassadors of Malawi, Denmark
#MOFAQatar https://t.co/Z6CYpCvJZV</t>
  </si>
  <si>
    <t>سمو الأمير يبعث رسالة خطية إلى رئيس بنغلاديش
#الخارجية_القطرية https://t.co/hY8kogxdc8</t>
  </si>
  <si>
    <t>Assistant FM for Regional Affairs @Dr_Al_Khulaifi : HH the Amir's Speech Included Insights into Local, Regional, International Issues
#MOFAQatar https://t.co/I89K5jmc1X</t>
  </si>
  <si>
    <t>State of Qatar Underscores Challenges Posed by Climate Change to Mankind
#MOFAQatar https://t.co/vcMbRdzjPy</t>
  </si>
  <si>
    <t>فيديو - سمو الأمير المفدى يفتتح دور الانعقاد السنوي الـ51 لمجلس الشورى. https://t.co/x8l8ZJpzMF</t>
  </si>
  <si>
    <t>البدء بصرف منحة دولة قطر للأسر المتعففة في غزة عن شهر أكتوبر غدا
#الخارجية_القطرية https://t.co/deFxntLwOV</t>
  </si>
  <si>
    <t>En discurso de Su Alteza ante el Consejo de la Shura
Su Alteza El Emir @TamimBinHamad: Qatar es un socio confiable en el apoyo  a la paz y la estabilidad
 #discurso_SuAlteza_Consejo_de_Shura
#Shura_Council
#MOFAQatar https://t.co/XOYIZva9Pz</t>
  </si>
  <si>
    <t>HH Amir Sends Written Message to Bangladesh President
#MOFAQatar https://t.co/CHaVMafHfF</t>
  </si>
  <si>
    <t>انعقاد الاجتماع الثاني للأمانة العامة لمجلس التنسيق القطري السعودي
#الخارجية_القطرية https://t.co/kEiEP2Sbt3</t>
  </si>
  <si>
    <t>During the opening of the 51st Session of the #Shura_Council 
HH stressed #Qatar 🇶🇦 attachment to the principles of #InternationalLaw which have made 🇶🇦 a reliable partner in peacemaking &amp;amp; intl support based on mutual understanding. 
#Shura_Council https://t.co/WKcoZu7A4L</t>
  </si>
  <si>
    <t>سمو الأمير المفدى رئيس المجلس الأعلى للشؤون الاقتصادية والاستثمار، يترأس الاجتماع الثالث للمجلس لعام 2022 والذي عقد بالديوان الأميري. https://t.co/9PInbXQYgT https://t.co/TTGq8hQWPJ</t>
  </si>
  <si>
    <t>سمو الأمير المفدى يهنئ دولة السيد ريشي سوناك، بمناسبة توليه منصب رئيس الوزراء بالمملكة المتحدة الصديقة، متمنيا له التوفيق وللعلاقات بين البلدين المزيد من التطور والنماء. https://t.co/KKFc449hxx</t>
  </si>
  <si>
    <t>سمو الأمير يهنئ دولة السيد ريشي سوناك بمناسبة توليه منصب رئيس الوزراء بـ #المملكة_المتحدة الصديقة
#قنا
https://t.co/0BjUHAU7PP https://t.co/H0cXb472l2</t>
  </si>
  <si>
    <t>Dans le discours de Son Altesse devant le Conseil de Choura
Son Altesse l'Émir: Qatar un partenaire fiable dans le rétablissement de la paix et le soutien à la stabilité
#MOFAQatar https://t.co/KbORdV159T</t>
  </si>
  <si>
    <t>Qatar Committee for the Reconstruction of Gaza announced that it will start tomorrow, in cooperation with the Qatar Fund for Development, the disbursement of the current October batch of cash assistance to needy families in the Gaza Strip.#QNA https://t.co/FAe4TddQay</t>
  </si>
  <si>
    <t>سمو الأمير يهنئ رئيس كازاخستان بمناسبة ذكرى يوم الجمهورية
#قنا 
https://t.co/ohu20GM3gn https://t.co/WkTk1Qduj0</t>
  </si>
  <si>
    <t>ممثل اليونسكو لدى دول الخليج و #اليمن يثمن إقامة بطولة#كأس_العالم في #قطر 
#قنا
https://t.co/FAvbdyhx1w https://t.co/UbuIYvoUTL</t>
  </si>
  <si>
    <t>#UNESCO Representative for Gulf States, Yemen Commends World Cup Hosting in Qatar. #QNA 
https://t.co/0TbkEjR2zU https://t.co/Z6bdnTTLJy</t>
  </si>
  <si>
    <t>MOPH Develops Skills of Doctors to Diagnose Autism Spectrum.#QNA 
https://t.co/Yza6IIuNsl https://t.co/WL0tlDpOx2</t>
  </si>
  <si>
    <t>HH the Amir sent on Tuesday a cable of condolences to the Custodian of the Two Holy Mosques King Salman bin Abdulaziz Al-Saud of the Kingdom of Saudi Arabia on the death of HRH Princess Aljawhara bint Mamdouh bin Abddurahman bin Saud bin Abdulaziz Al-Saud.#QNA https://t.co/x8dNaODUGl</t>
  </si>
  <si>
    <t>HH the Deputy Amir sent on Tuesday a cable of condolences to the Custodian of the Two Holy Mosques King Salman bin Abdulaziz Al-Saud of the Kingdom of Saudi Arabia on the death of HRH Princess Aljawhara bint Mamdouh bin Abddurahman bin Saud bin Abdulaziz Al-Saud.#QNA https://t.co/5iRmKIUHFU</t>
  </si>
  <si>
    <t>سعادة الدكتورة حمدة بنت حسن السليطي نائب رئيس #مجلس_الشورى، تؤكد أن تفضُل حضرة صاحب السمو الشيخ تميم بن حمد آل ثاني أمير البلاد المفدى بافتتاح دور الانعقاد الجديد للمجلس، يمثل دافعاً لبذل الجهود لتحقيق التنمية الشاملة للبلاد، وتحقيق آمال وتطلعات المواطنين. https://t.co/YJIWZAU64A</t>
  </si>
  <si>
    <t>HH addressed our balanced international positions, reiterating that #Qatar will spare no effort to stand by brotherly states and support them in all possible ways at the political, diplomatic and developmental levels, to achieve security, and stability.
#Shura_Council https://t.co/uGS3wqX6k3</t>
  </si>
  <si>
    <t>I was honored to meet Qatar's youth ambassadors on their graduation from the @MSYQatar al-Adaam program. Congratulations to these rising leaders for building bridges between Qatar and the world. #SafirDavisFiDoha https://t.co/LPBzQZ4hPT</t>
  </si>
  <si>
    <t>تشرفت بلقاء سفراء الشباب القطري خلال حفل التخرج من برنامج سفراء الأدعم التابع لوزارة الرياضة والشباب @MSYQatar. أهنئ قادة الشباب الصاعدين وأتمنى لهم التوفيق في بناء الجسور بين قطر والعالم. https://t.co/3hvwcIegL2</t>
  </si>
  <si>
    <t>During #Int’l Dialogue on #Migration, Qatar reaffirmed its domestic and Int’l obligations: It has established the @moecc_qatar, launched a national climate change plan, &amp;amp; created Global Dryland Alliance’s initiative, &amp;amp; provided assistance to LDCs to face climate change</t>
  </si>
  <si>
    <t>نهنئ جمهورية كازاخستان الصديقة بمناسبة ذكرى يوم الجمهورية
🇰🇿🇶🇦
#قطر_كازاخستان
#الخارجية_القطرية https://t.co/knNFtobZEK</t>
  </si>
  <si>
    <t>أكدت قطر في كلمتها خلال الحوار الدولي للهجرة على التزاماتها المحلية والدولية. محلياً، تم انشاء @moecc_qatar واطلاق خطة وطنية للتغير المناخي. دوليا، بادرت قطر بإنشاء التحالف العالمي للأراضي الجافة وقدمت الكثير من المساعدات للدول النامية والاقل نموا لمواجهة تداعيات التغير المناخي https://t.co/VPXZb0joHN</t>
  </si>
  <si>
    <t>سمو الأمير يتلقى رسالة خطية من الرئيس المصري
#الخارجية_القطرية https://t.co/mi6KQ0f4DL</t>
  </si>
  <si>
    <t>We Congratulate the Republic of Kazakhstan on its Republic Day
🇰🇿🇶🇦
#Qatar_Kazakhstan
#MOFAQatar https://t.co/Sf8Ze3hYq9</t>
  </si>
  <si>
    <t>HH the Amir Receives Written Message from Egyptian President
#MOFAQatar https://t.co/uGO8yCw1kF</t>
  </si>
  <si>
    <t>In His Highness speech before the Shura Council
HH The Amir @TamimBinHamad : Qatar is a reliable partner in peace making and stability support
#Shura_Council
#MOFAQatar https://t.co/M5cTscGeJj</t>
  </si>
  <si>
    <t>على الرغم من الحملات الممنهجة ضدها، استمرت دولة قطر في العمل بشكل دؤوب وصادق لخلق إرث حقيقي لبطولة كأس العالم على مستوى التشريعات والبنية التحتية والتنظيم، وسيرى العالم، كما أكد سموه في خطابه في #مجلس_الشورى ، هويتنا الحضارية خلال هذه البطولة. 🇶🇦 https://t.co/pzo66I6a1R</t>
  </si>
  <si>
    <t>كأس العالم ٢٠٢٢ هو كأس كل العرب وبحول الله وقوته سيرى العالم خلال أقل من شهر إمكانيات دولة قطر التنظيمية وسيرى هوية راسخة الجذور تمتد فروعها لتظلل الجميع ترحابا، ولا ينقص ذلك من أصالتها شيئا وهي التي تستند على الإرث الحضاري العربي الإسلامي العريق.
فمرحبا بالجميع في دوحة الجميع🇶🇦 https://t.co/urrFK9uOID</t>
  </si>
  <si>
    <t>FIFA World Cup Qatar 2022...SC Ambassadors Programme Manager Says Qatar an Example in Overcoming the Impossible. #QNA
https://t.co/Y5ejrkmJIT https://t.co/RxiDlZwIuf</t>
  </si>
  <si>
    <t>https://t.co/9jBsoyknLd</t>
  </si>
  <si>
    <t>#QNA_Infographic | https://t.co/NKahtbaFoz</t>
  </si>
  <si>
    <t>#QNA_Infographic |
Excerpts from the speech of HH the Amir at the inauguration of the Shura Council ordinary session.#QNA https://t.co/2QrrFYb1Jo</t>
  </si>
  <si>
    <t>أكد سموه في خطابه في #مجلس_الشورى على كون بطولة كأس العالم ٢٠٢٢ مناسبة وطنية وإنسانية كبرى، يرى فيها العالم الوجه الحضاري لدولة قطر والامكانيات المبهرة في التنظيم وحسن الضيافة. نتطلع إلى استضافة العالم بعد أسابيع قليلة. https://t.co/v2dk3eUyj2</t>
  </si>
  <si>
    <t>HH the Amir Sheikh @TamimBinHamad states that the comprehensive development of the country is the ultimate goal that the state is working to achieve. This came during his inauguration of the second session of the first legislative term of the Shura Council’s 51st annual session. https://t.co/kpqDwiAYr3</t>
  </si>
  <si>
    <t>أكد خطاب حضرة صاحب السمو الأمير في #مجلس_الشورى اليوم حرص دولة #قطر على انتهاج سياسة خارجية متوازنة، تضمن مصالحنا الوطنية واستقرار محيطنا الإقليمي، ودعم الشعوب الشقيقة والصديقة في تطلعاتها نحو التنمية والاستقرار والازدهار. https://t.co/1XLVuDGuJO</t>
  </si>
  <si>
    <t>ملك ماليزيا يستقبل سفير دولة قطر
#الخارجية_القطرية https://t.co/SJJGHBjGRa</t>
  </si>
  <si>
    <t>سمو الأمير المفدى يفتتح دور الانعقاد العادي الثاني من الفصل التشريعي الأول، الموافق لدور الانعقاد السنوي الـ51 لمجلس الشورى، بمقر المجلس، ويلقي خطابا بهذه المناسبة. https://t.co/ao6gbFHz74 https://t.co/WjihvQemG8</t>
  </si>
  <si>
    <t>HH stressed in his speech at the #Shura_Council that the 2022 World Cup is a major national &amp;amp; humanitarian occasion for the world to see Qatari society &amp;amp; its impressive capabilities in the areas of organization &amp;amp; hospitality. Looking forward to hosting the world in a few weeks. https://t.co/EauRxzExbC</t>
  </si>
  <si>
    <t>HH's speech at the #Shura_Council affirms that our foreign policy's dedication to the values of Qatari society, Arab &amp;amp; Islamic culture &amp;amp; commitment to dialogue &amp;amp; diplomacy - within the context of current global changes - has established Qatar as a reliable peacemaking partner. https://t.co/Iz0eGP1Xr6</t>
  </si>
  <si>
    <t>This #UNDay, #Qatar renews its conviction on #Multilateralism &amp;amp; its ability to solve the pressing issues 🌏 is facing.
🇶🇦 is proud to be a strong multifaceted @UN🇺🇳 partner &amp;amp; will continue to support &amp;amp; contribute to its work for a peaceful &amp;amp; inclusive world for all.
#UNDay2022 https://t.co/cgEYTC2lrY</t>
  </si>
  <si>
    <t>سمو الأمير المفدى يلتقي سعادة السيد حسن بن عبدالله الغانم رئيس مجلس الشورى وأصحاب السعادة الأعضاء بمناسبة افتتاح دور الانعقاد العادي الثاني من الفصل التشريعي الأول، الموافق لدور الانعقاد السنوي الـ51 للمجلس، وذلك بمقر المجلس. https://t.co/YNm0uaXlVU https://t.co/RAspp87MsK</t>
  </si>
  <si>
    <t>#DYK❓️
In the lead-up to #Qatar2022⚽️, 🇶🇦 established the Accessibility Forum for the most accessible @FIFAWorldCup ever held, from transport systems to cultural attractions, w/ Khalifa Intl Stadium as the first stadium-based sensory room for people w/ cognitive disabilities. https://t.co/SJjk1Z8DfW</t>
  </si>
  <si>
    <t>In celebrating the 30th anniversary of the #FOSS , it is time for small states SS to unite in order to support &amp;amp; strengthen the multilateral rules-based system. SS need to cooperate to protect their #SDGs, climate change &amp;amp; digitalisation. 
Thanks @BhatiaUmej  For your leadership https://t.co/2Pq8uwaT08</t>
  </si>
  <si>
    <t>سمو الأمير المفدى يزور معرض مجلس الشورى الذي يقام بالتزامن مع مرور 50 عاما على تأسيس المجلس، وبمناسبة افتتاح دور الانعقاد العادي الثاني من الفصل التشريعي الأول، الموافق لدور الانعقاد السنوي الـ51 للمجلس، وذلك بمقر المجلس. https://t.co/1paK6RzwJf https://t.co/DRirQk8YQ9</t>
  </si>
  <si>
    <t>في خطاب سموه أمام مجلس الشورى
سمو الأمير @TamimBinHamad : قطر شريك يعتد به في صناعة السلام ودعم الاستقرار
#مجلس_الشورى 
#الخارجية_القطرية https://t.co/R9V64Rnnqg</t>
  </si>
  <si>
    <t>تناول النطق السامي مواقفنا الدولية المتوازنة، مؤكداً سموه أن دولة #قطر لن تألو جهداً في الوقوف إلى جانب الأشقاء ودعمهم بكافة السبل والإمكانيات الممكنة على الأصعدة السياسية والدبلوماسية والتنموية، درءاً للنزاعات وتحقيقاً للأمن والاستقرار. 
#مجلس_الشورى https://t.co/Y6DBJWXQ3g</t>
  </si>
  <si>
    <t>استضافة🇶🇦 ل #كأس_العالم_2022 هو انجازا عربيا وليس قطريا وفرصة لاثبات ان دولة صغيرة مسلمةعربية متمكنة وقادرة على تنظيم فعاليات عالمية.
فلنكن كما قال سمو الأمير اليوم:
"لنواصل العمل كلٌ من موقعه لرفع اسم الوطن عاليا ولنفتح أذرعنا للترحيب بالجميع ليشهد العالم ضيافة القطريين وكرمهم" https://t.co/o8Y7oJ4yOf</t>
  </si>
  <si>
    <t>أبرزت اليوم في خطاب الشورى منجزات بلادنا الاقتصادية، وخططنا التنموية التي سيساهم إحكام التنظيم الحكومي وأنظمة العدالة في تحقيقها، كما نوهت بنهجنا في السياسة الخارجية القائم على تحقيق المصالح والسلام الدولي. وتظل استضافتنا لكأس العالم عنوانا يكتشف العالم من خلاله قطر والعرب. https://t.co/j90iEP8oHw</t>
  </si>
  <si>
    <t>يؤكد خطاب سمو الأمير المفدى أمام #مجلس_الشورى بأن ثبات سياستنا الخارجية على مبادئنا وقيمنا، التي نستمدها من مجتمعنا القطري وثقافتنا العربية والإسلامية، في ظل المتغيرات العالمية، والتزامنا بالحوار والدبلوماسية جعلوا من قطر علامة فارقة في صناعة السلام وشريك دولي يعتد به. https://t.co/TZsJZ34HCx</t>
  </si>
  <si>
    <t>مسؤولة أوروبية تجتمع مع المبعوث الخاص لوزير الخارجية لشؤون تغيّر المناخ والاستدامة
#الخارجية_القطرية https://t.co/iJKW4EH2J7</t>
  </si>
  <si>
    <t>أبرز ما جاء في خطاب سمو الأمير المفدى في افتتاح دور الانعقاد السنوي الـ51 لمجلس الشورى. https://t.co/xmM4AAySnx</t>
  </si>
  <si>
    <t>وزير الشؤون الخارجية والتعاون الدولي الصومالي يجتمع مع سفير دولة قطر
#الخارجية_القطرية https://t.co/gAethSirUl</t>
  </si>
  <si>
    <t>توقيع اتفاقية نقل المحكوم عليهم بعقوبة سالبة للحرية بين دولة #قطر ومملكة #إسبانيا
#قنا
https://t.co/nNRW5uKIQL https://t.co/WRvlCdpzJC</t>
  </si>
  <si>
    <t>Qatar and Spain Sign Agreement of Transfer of Persons Sentenced to Liberty Deprivation. #QNA
#Qatar #Spain
https://t.co/lVFhRapBM2 https://t.co/a9O1r2nkta</t>
  </si>
  <si>
    <t>QatarEmbassyUSA</t>
  </si>
  <si>
    <t>This #UnitedNationsDay, #Qatar would like to recognize the important work of @AmbAlyaAlThani As Qatar’s Permanent Representative to the @UN she is paving the way for women and Qataris alike to create a positive impact on the world.
Thank you to Her Excellency. https://t.co/gmRjmomdbm</t>
  </si>
  <si>
    <t>Qatar y las Naciones Unidas
#MOFAQatar
#UNDay https://t.co/fqNi0zcWMR</t>
  </si>
  <si>
    <t>El Estado de Qatar y UNRWA.. Cooperación continua
#MOFAQatar
#UNDay https://t.co/38fscpgDjM</t>
  </si>
  <si>
    <t>Minostro de Estado de Relaciones Exteriores recibe copia de las cartas credenciales del Embajador de México en el Estado de Qatar
#MOFA_QATAR https://t.co/HJm0wVuGvK</t>
  </si>
  <si>
    <t>Qatar y Las Naciones Unidas..Alianzas fructíferas
#MOFAQatar
#UNDay https://t.co/YN6CtFT32U</t>
  </si>
  <si>
    <t>Moved by the Safar exhibition at @MIAQatar: The United States thanks Qatar Museums for hosting this exhibition and expresses gratitude to our Qatari friends and partners for facilitating the safe transit of thousands of Afghans. #SafirDavisFiDoha https://t.co/1GRYI6xpu6</t>
  </si>
  <si>
    <t>Today, we celebrate with the international community the founding of the @UN. This year brought unprecedented global challenges, to remind us that the optimal way to confront such challenges is through preserving the international order &amp;amp; strengthening multilateral action. #UNDay</t>
  </si>
  <si>
    <t>نشارك المجتمع الدولي اليوم الاحتفال بذكرى تأسيس @UNarabic ، تأتي هذه المناسبة هذا العام في ظل تحديات عالمية غير مسبوقة لتذكرنا بأهمية الحفاظ على النظام الدولي وتعزيز العمل متعدد الأطراف كسبيل أمثل لمواجهة هذه التحديات. #UNDay</t>
  </si>
  <si>
    <t>https://t.co/az3L6hOItN</t>
  </si>
  <si>
    <t>https://t.co/m8Lk0XtaEs</t>
  </si>
  <si>
    <t>الإعلان عن شعار #اليوم_الوطني_القطري للدولة 🇶🇦 لهذا العام 2022 "وحدتنا مصدر قوتنا " يأتي تجسيداً لتلاحم الشعب بالقيادة. https://t.co/rtfrGyv7Ke</t>
  </si>
  <si>
    <t>En septiembre pasado, Qatar lanzó el evento "Scoring for the goals" para el desarrollo sostenible a través de @QatarAtUN, en marco de sus preparativos para albergar una versión sostenible de la Copa Mundial de la FIFA Qatar 2022.
#MOFAQatar
#UNDay https://t.co/yMBZ2AS8oH</t>
  </si>
  <si>
    <t>#قنا_إنفوجرافيك |
#تمرين_وطن.. جاهزية أمنية ومدنية لاستضافة الحدث العالمي بمشاركة محلية وعالمية
#قنا #كأس_العالم #قطر2022 https://t.co/VBOenHSzhM</t>
  </si>
  <si>
    <t>FranceauQatar</t>
  </si>
  <si>
    <t>Une superbe exposition qui revêt une signification particulière pour la #France et pour la relation 🇫🇷🇶🇦. 
La 🇫🇷 et le 🇶🇦 partagent une même préoccupation sur la situation des droits de l'Homme en #Afghanistan, en particulier ceux des femmes et des jeunes filles en 🇦🇫.
#FRQA50 https://t.co/VGLmPce9Uy</t>
  </si>
  <si>
    <t>#QNA_Infographic
#Watan_Exercise..Security and civil readiness to host the global event with local and international participation. #QNA #World_Cup #Qatar2022 https://t.co/ei4B12Hah6</t>
  </si>
  <si>
    <t>Secretary-General of Ministry of Foreign Affairs Meets Ambassadors of ASEAN Member States
#MOFAQatar https://t.co/kqIBN4phi3</t>
  </si>
  <si>
    <t>In September The State of Qatar launched at   @QatarAtUN the "Scoring for the goals" event for sustainable development, as part of its preparations to host a sustainable version of FIFA World Cup Qatar 2022.
#MOFAQatar 
#UNDay https://t.co/oVZW5jtVPu</t>
  </si>
  <si>
    <t>سمو الأمير المفدى يفتتح صباح يوم غد الثلاثاء دور الانعقاد العادي الثاني من الفصل التشريعي الأول، الموافق لدور الانعقاد السنوي الـ51 لمجلس الشورى. https://t.co/ofkNDgV10F</t>
  </si>
  <si>
    <t>Minister of State for Foreign Affairs Meets Ambassador of Ghana
#MOFAQatar https://t.co/hwoZgM4rYL</t>
  </si>
  <si>
    <t>دشنت دولة قطر في سبتمبر الماضي فعالية "لحظة التهديف" من أجل التنمية المستدامة من خلال @QatarAtUN ، وذلك في إطار استعداداتها لاستضافة نسخة مستدامة من بطولة كأس العالم FIFA قطر 2022.
#الخارجية_القطرية 
#يوم_الأمم_المتحدة https://t.co/zHCu4jo198</t>
  </si>
  <si>
    <t>سمو الأمير المفدى يصدر قرارات أميرية بالهياكل التنظيمية للوزارات. https://t.co/zkW3Af0qZo</t>
  </si>
  <si>
    <t>وزير الدولة للشؤون الخارجية يجتمع مع سفير غانا
#الخارجية_القطرية https://t.co/CBGRV45M9r</t>
  </si>
  <si>
    <t>H.E @MBA_AlThani_ : This great work, represented in the "Safar" exhibition, confirms the firm commitment of the State of Qatar to bilateral and multilateral work, especially in the humanitarian field at the global level.
#MOFAQatar https://t.co/UYR2L19ZIo</t>
  </si>
  <si>
    <t>His Highness Sheikh Tamim bin Hamad Al-Thani, Amir of Qatar The 77th United Nations General Assembly session
#MOFAQatar 
#UNDay https://t.co/4puBC3SiK0</t>
  </si>
  <si>
    <t>الأمين العام لوزارة الخارجية يجتمع مع سفراء الدول الأعضاء في رابطة (آسيان)
#الخارجية_القطرية https://t.co/twwTDPXPVJ</t>
  </si>
  <si>
    <t>H.E @MBA_AlThani_ : we reiterate the State of Qatar's commitment to its humanitarian responsibilities towards our brothers in Afghanistan, and our constant keenness and firm position on supporting the Afghan people and their right to live in dignity.
#MOFAQatar https://t.co/c1dOq3kRTi</t>
  </si>
  <si>
    <t>الخارجية السودانية تقيم حفلاً على شرف سفير دولة قطر
#الخارجية_القطرية https://t.co/46hpkCyK2g</t>
  </si>
  <si>
    <t>🎥 | كلمة سعادة نائب رئيس مجلس الوزراء وزير الخارجية@MBA_AlThani_ في حفل افتتاح معرض " سَفر"
🔗 https://t.co/w1UZ0MAvtl
#الخارجية_القطرية</t>
  </si>
  <si>
    <t>سعادة الشيخ @MBA_AlThani_ في حفل افتتاح معرض سفر: لا يخفى عليكم الدور الذي بذلته دولة قطر لإنجاح أكبر عملية إجلاء في تاريخ البشرية، إن هذا العمل الكبير الذي يجسده معرض سفر؛ يؤكد التزام دولة قطر الراسخ بالعمل الثنائي ومتعدد الأطراف خصوصاً في المجال الإنساني على مستوى العالم https://t.co/EVv0aH8IEQ</t>
  </si>
  <si>
    <t>🎥| Speech of His Excellency Deputy Prime Minister and Minister of Foreign Affairs  @MBA_AlThani_ at the opening ceremony of the "Safar" exhibition
🔗 https://t.co/FJ9xZs9in6
#MOFAQatar</t>
  </si>
  <si>
    <t>دولة قطر والأونروا.. تعاون مستمر
#الخارجية_القطرية 
#يوم_الأمم_المتحدة https://t.co/ghejoHzycu</t>
  </si>
  <si>
    <t>The State of Qatar and UNRWA: Continuous Cooperation
#MOFAQatar 
#UNDay https://t.co/3GG0vfYkTf</t>
  </si>
  <si>
    <t>من خطاب سمو الأمير المفدى في الجلسة الافتتاحية للجمعية العامة للأمم المتحدة الـ 77
#الخارجية_القطرية 
#يوم_الأمم_المتحدة https://t.co/fwTLRe1dff</t>
  </si>
  <si>
    <t>Qatar and the United Nations 
#MOFAQatar 
#UNDay https://t.co/xoWws3bdZU</t>
  </si>
  <si>
    <t>قطر والأمم المتحدة 
#الخارجية_القطرية 
#يوم_الأمم_المتحدة https://t.co/R0Y8yXmpub</t>
  </si>
  <si>
    <t>During a very critical &amp;amp; challenging time, we are looking, positively, equally &amp;amp; together, to build peace, stability &amp;amp; prosperity.
As the upcoming generations are approaching, in order to ensure that no one is left behind, let’s unite. 
 #UnitedNationsDay https://t.co/Nrsw5TslF1</t>
  </si>
  <si>
    <t>Qatar condena enérgicamente la explosión en Kismayo, Somalia
#MOFAQatar https://t.co/uBKalAQgZl</t>
  </si>
  <si>
    <t>سمو الأمير المفدى يستقبل السيد جيمي دايمون رئيس مجلس الإدارة والرئيس التنفيذي لبنك جي بي مورغان تشيس آند كو  والوفد المرافق، للسلام على سموه بمناسبة زيارته للبلاد، وذلك بمكتبه في الديوان الأميري. https://t.co/TNZhPN32ya https://t.co/WjkhXUkvNS</t>
  </si>
  <si>
    <t>Qatar and the United Nations.. Fruitful partnerships
#MOFAQatar 
#UNDay https://t.co/S1XKfzZtJX</t>
  </si>
  <si>
    <t>قطر والأمم المتحدة.. شراكات مثمرة
#الخارجية_القطرية 
#يوم_الأمم_المتحدة https://t.co/5I7Nl0o6d1</t>
  </si>
  <si>
    <t>تقديرا وعرفانا لمقام حضرة صاحب السمو أمير البلاد المفدى لما أولاه سموه من اهتمام في ترسيخ تقاليد الشورى بالبلاد أعلن #مجلس_الشورى عن تسمية قاعته الرئيسية باسم " قاعة تميم بن حمد" مثمنا دعم ومساندة سموه له</t>
  </si>
  <si>
    <t>جانب من افتتاح سعادة نائب رئيس مجلس الوزراء وزير الخارجية @MBA_AlThani_  معرض "سَفر " لتسليط الضوء على تجارب اللاجئين الأفغان
#الخارجية_القطرية https://t.co/Ll1js7bWK0</t>
  </si>
  <si>
    <t>HH the Amir meets Chief Executive Officer of Shell plc and his accompanying delegation, who called on HH the Amir to greet him on the occasion of the end of his tenure. #QNA
https://t.co/Sw9SLmtdPK https://t.co/DVz5kdaXks</t>
  </si>
  <si>
    <t>HH the Amir sent Sunday a cable of congratulations to President of  China on the occasion of his reelection as General Secretary of the Ruling Communist Party for third term, wishing him success and the relations between the two countries continued development and growth. #QNA https://t.co/69CclNjrLs</t>
  </si>
  <si>
    <t>بطلنا العالمي ناصر العطية يتوج بلقب النسخة الأولى من بطولة العالم للراليات الصحراوية "رالي-ريد" 2022 
كفو يالأدعم 🇶🇦 كفو يالأسطورة 🦸🏻‍♂️
Team Qatar Star Nasser Al-Attiyah wins the inaugural edition of World Rally-Raid Championship 2022
.
#WeAreTeamQatar 🇶🇦 https://t.co/rtT78Tva0I</t>
  </si>
  <si>
    <t>📽️نائب رئيس مجلس الوزراء وزير الخارجية @MBA_AlThani_  يفتتح معرض "سَفر " لتسليط الضوء على تجارب اللاجئين الأفغان
#الخارجية_القطرية https://t.co/b5Bu7fhiEF</t>
  </si>
  <si>
    <t>Part of Deputy Prime Minister and Minister of Foreign Affairs @MBA_AlThani_  inauguration of Exhibition Highlighting Experiences of Afghan Refugees
#MOFAQatar https://t.co/ZPbmRYMCtC</t>
  </si>
  <si>
    <t>Deputy Prime Minister and Minister of Foreign Affairs @MBA_AlThani_  Unveils Exhibition Highlighting Experiences of Afghan Refugees
🔗To learn more : https://t.co/6BBr21Ta8P
#MOFAQatar https://t.co/YmTnXFE0R4</t>
  </si>
  <si>
    <t>نائب رئيس مجلس الوزراء وزير الخارجية @MBA_AlThani_  يفتتح معرض "سَفر " لتسليط الضوء على تجارب اللاجئين الأفغان 
🔗لقراءة المزيد : https://t.co/7x3H6Udjro
#الخارجية_القطرية https://t.co/kkK3roWxYu</t>
  </si>
  <si>
    <t>سمو الأمير يبعث رسالة خطية إلى رئيس جمهورية كينيا
#الخارجية_القطرية https://t.co/pCiIYXnyOh</t>
  </si>
  <si>
    <t>Minister of Foreign Affairs of Tajikistan Meets Qatari Ambassador
#MOFAQatar https://t.co/uGyziE1zG8</t>
  </si>
  <si>
    <t>HH the Amir Sends Written Message to President of Kenya
#MOFAQatar https://t.co/wUJAG7qVBe</t>
  </si>
  <si>
    <t>وزير الدولة للشؤون الخارجية يتسلم نسخ من أوراق اعتماد خمسة سفراء
#الخارجية_القطرية https://t.co/GeulWe5F51</t>
  </si>
  <si>
    <t>Minister of State for Foreign Affairs Receives Copies of Credentials of Five Ambassadors
#MOFAQatar https://t.co/2EFVYY583v</t>
  </si>
  <si>
    <t>وزير خارجية طاجيكستان يجتمع مع سفير دولة قطر
#الخارجية_القطرية https://t.co/OF8gwbs8eM</t>
  </si>
  <si>
    <t>سعدت بحضور حفل افتتاح معرض "سَفر" الذي يقام بالتعاون بين @MofaQatar_AR و @Qatar_Museums ليسلط الضوء على تجارب إجلاء أشقائنا الأفغان في عام 2021. نتقدم بخالص الشكر والتقدير لشركائنا على جهودهم في هذا النجاح، ونتمنى للشعب الأفغاني تحقيق آماله المشروعة للتقدم والازدهار. https://t.co/dONPyrLhjZ</t>
  </si>
  <si>
    <t>بيان : قطر تدين بشدّة تفجيراً في مدينة كيسمايو بالصومال
#الخارجية_القطرية https://t.co/s2tks9qegu</t>
  </si>
  <si>
    <t>El Embajador designado de 🇲🇽en 🇶🇦 @ordorica_g
presentó copia de estilo de sus Cartas Credenciales al Secretario de Estado Sultan b. Saad Al-Muraikhi, de @MOFAQatar_ES
Positivo encuentro en el que coincidieron en seguir fortaleciendo la amistad y cooperación entre ambos países. https://t.co/1jMDpbxqob</t>
  </si>
  <si>
    <t>سعادة نائب رئيس مجلس الوزراء وزير الخارجية @MBA_AlThani_ في حفل افتتاح معرض سفر: نجدد التأكيد على التزام دولة قطر بمسؤولياتها الإنسانية تجاه أشقائنا في أفغانستان، وحرصنا الدائم وموقفنا الثابت من دعم الشعب الأفغاني وحقه في العيش بكرامة، وتحقيق المصالحة والتعايش بين جميع أطيافه. https://t.co/LV2KxSIChP</t>
  </si>
  <si>
    <t>Statement : Qatar Strongly Condemns Blast in Somalia's Kismayo
#MOFAQatar https://t.co/WAp8mRsZmM</t>
  </si>
  <si>
    <t>Qatar condena enérgicamente el ataque al puerto petrolero de Al-Dhaba en Yemen
#MOFAQatar https://t.co/EG06zSwdxx</t>
  </si>
  <si>
    <t>Pleased to attend the opening of #Safar, co-organized by @MofaQatar_EN &amp;amp; @Qatar_Museums, to shed light on the evacuations of the Afghan people in 2021. We thank our partners for their efforts in this success &amp;amp; hope the Afghan people realize their desire for progress &amp;amp; prosperity. https://t.co/lWzXBAWH7D</t>
  </si>
  <si>
    <t>سمو الأمير المفدى يستقبل بمكتبه في الديوان الأميري، السيد بن فان بيردن الرئيس التنفيذي لمجموعة "شل بي إل سي" والوفد المرافق، وذلك للسلام على سموه بمناسبة انتهاء فترة عمله. https://t.co/yInNIfleLw https://t.co/NxiYakYgMt</t>
  </si>
  <si>
    <t>Statement | Qatar Calls on Avoiding Escalation in Chad and Overcoming Differences Through Dialogue
#MOFAQatar https://t.co/kt3SNrYExn</t>
  </si>
  <si>
    <t>30 يوم ⌛️ https://t.co/SemSjgIxHF</t>
  </si>
  <si>
    <t>UN_STFA</t>
  </si>
  <si>
    <t>Happy 1 year anniversary #STFA!
Thanks 🇩🇪🇸🇪🇳🇴🇺🇳🇶🇦🇹🇷🇱🇺🇨🇿🇮🇸 for your continued &amp;amp; generous support!
@UNDPaf @UNODC @unwomenafghan @UNMAS @UNHabitatAfg @UNHCRAfg @FAOAfghanistan @ILOAfghanistan @IOMAfghanistan @UNCTAD @UNOPS @UNFPAAfg @WHOAfghanistan @ITCnews @UNIDO @UNESCO @UNCDF https://t.co/haUrwWjMql</t>
  </si>
  <si>
    <t>بيان | قطر تدعو لتجنب التصعيد في تشاد وتجاوز الخلافات بالحوار
#الخارجية_القطرية https://t.co/QJMQmKY5HG</t>
  </si>
  <si>
    <t>QatarTelevision</t>
  </si>
  <si>
    <t>حضرة صاحب السمو الشيخ تميم بن حمد آل ثاني أمير البلاد المفدى : أشعر بالفخر والسعادة من الآن، حتى اللحظة التي سيرى العالم بأننا في قطر كما وعدنا، سنقدم نسخة مونديالية استثنائية في وطننا العربي 
#تلفزيون_قطر https://t.co/USgdNcqGVd</t>
  </si>
  <si>
    <t>Chairman of Transitional Sovereignty Council in Sudan Meets Qatar Ambassador
#MOFAQatar https://t.co/fFjwLRdlNV</t>
  </si>
  <si>
    <t>نائب رئيس مجلس السيادة الانتقالي السوداني يجتمع مع سفير دولة قطر
#الخارجية_القطرية https://t.co/rSvlJi5DKB</t>
  </si>
  <si>
    <t>رئيس مجلس السيادة السوداني يستقبل سفير دولة قطر
#الخارجية_القطرية https://t.co/Zf5UFafUW6</t>
  </si>
  <si>
    <t>📽️نائب رئيس مجلس الوزراء وزير الخارجية @MBA_AlThani_  يجتمع مع مساعد وزير الخارجية الأمريكي لشؤون الشرق الأدنى
#الخارجية_القطرية https://t.co/CFKyjpd7vH</t>
  </si>
  <si>
    <t>MOT Participates in School Exhibition on FIFA Tournament 
#FIFAWorldCup #Qatar2022 https://t.co/ANPS81hPlo</t>
  </si>
  <si>
    <t>مساعد وزير الخارجية للشؤون الإقليمية @Dr_Al_Khulaifi يجتمع مع نائب مساعد وزير الخارجية الأمريكي لشؤون الشرق الأدنى
#الخارجية_القطرية https://t.co/ov6P3AbWG5</t>
  </si>
  <si>
    <t>دولة قطر تؤكد أنها حققت إنجازات كبيرة في مجال إعمال الحق في التعليم
🔗 لقراءة المزيد: https://t.co/RkyVss6ZuL
#الخارجية_القطرية https://t.co/84vv18kyoa</t>
  </si>
  <si>
    <t>Qatar Affirms Great Achievements in Implementing Right to Education
🔗 To learn more: https://t.co/6KtdafEsul
#MOFAQatar https://t.co/JBRpvyJCDw</t>
  </si>
  <si>
    <t>سمو الأمير المفدى يفتتح مبنى معسكر قوة "لخويا"، ويشهد عرضًا لجاهزية قوة أمن بطولة كأس العالم FIFA قطر 2022. https://t.co/iHLXW9dqY8</t>
  </si>
  <si>
    <t>Assistant Foreign Minister for Regional Affairs @Dr_Al_Khulaifi Meets with US Deputy Assistant Secretary of State for Near Eastern Affairs
#MOFAQatar https://t.co/55KyRe2ZMo</t>
  </si>
  <si>
    <t>⏳1 month to go until #Qatar2022 ⚽️
The @FIFAWorldCup in 🇶🇦 will be a great opportunity to welcome &amp;amp; connect w/ billions of people🌎, showcasing our unique identity &amp;amp; culture &amp;amp; building new bridges of understanding &amp;amp; sustainable legacy for the #SDGs &amp;amp; Qatar National Vision 2030. https://t.co/ggVL7Or5GH</t>
  </si>
  <si>
    <t>Pleased to meet HE @SafiraLeaf, the U.S. Assistant Secretary of State for Near Eastern Affairs, to discuss the continuous development of our strategic bilateral relations. We also had the opportunity to discuss &amp;amp; exchange views on the latest regional &amp;amp; international developments. https://t.co/Zo6OMqyKvZ</t>
  </si>
  <si>
    <t>Vice-President of Sudan Transitional Sovereignty Council Meets Qatar's Ambassador
#MOFAQatar https://t.co/SJ0x64wh6P</t>
  </si>
  <si>
    <t>Comandante en Jefe de @Fuerza_aerea_uy 
 se reúne con el Encargado de Negocios de Qatar
#MOFA_QATAR https://t.co/rmjCw3AOKN</t>
  </si>
  <si>
    <t>نائب رئيس مجلس الوزراء وزير الخارجية @MBA_AlThani_  يجتمع مع مساعد وزير الخارجية الأمريكي لشؤون الشرق الأدنى
#الخارجية_القطرية https://t.co/qDzEJN0PTR</t>
  </si>
  <si>
    <t>كما أطلق سموه إشارة بدء تمرين "وطن" الذي ينظم بمشاركة جميع الجهات العسكرية والمدنية والتنظيمية وعدد من قوات الدول الشقيقة والصديقة، وذلك في إطار الإعداد والتحضير لاستضافة بطولة كأس العالم FIFA قطر 2022. https://t.co/E1NSKHV9tc https://t.co/JtCF3UShA1</t>
  </si>
  <si>
    <t>Delighted to meet with HE Amb Ulugbek LAPASOV, PR of @KazakhPM_UNOG 
We had very good discussions regarding our bilateral strategic relations &amp;amp; looking forward to working together in enhancing the multilateral cooperations at @UNGeneva https://t.co/XnoLqa5lJo</t>
  </si>
  <si>
    <t>⏳ شهر واحد حتى #قطر 2022 ⚽️
سيكون كأس العالم لكرة القدم FIFAWorldCup@ فرصة فريدة للترحيب والتواصل مع ملايين الأشخاص حول العالم، وإبراز هويتنا وثقافتنا الفريدة وبناء جسور لفهم أهداف التنمية المستدامة ورؤية قطر الوطنية 2030. https://t.co/cUcvUobmjB</t>
  </si>
  <si>
    <t>افتتحنا اليوم المبنى الجديد لمعسكر قوة لخويا في منطقة الدحيل، ووقفنا على آخر تجهيزات فرقنا الأمنية المكلفة مع نظيراتها من الدول الشقيقة والصديقة بمهام التأمين الداخلي لبطولة كأس العالم وضيوف قطر. سعيد بما رأيت من جاهزية واستعداد، وأتمنى لهم التوفيق في مهامهم. https://t.co/jcYN2gvpcy</t>
  </si>
  <si>
    <t>Deputy Prime Minister and Minister of Foreign Affairs @MBA_AlThani_  Meets US Assistant Secretary of State for Near Eastern Affairs
#MOFAQatar https://t.co/Z2k5v5Sqm8</t>
  </si>
  <si>
    <t>سررت اليوم بلقاء سعادة السيدة @SafiraLeaf، مساعدة وزير الخارجية الأمريكي لشؤون الشرق الأدنى، حيث ناقشنا التطور المستمر للعلاقات الثنائية الاستراتيجية بين بلدينا، كما مثل اللقاء فرصة لنا لمناقشة اهم التطورات على الساحتين الإقليمية والدولية وتبادل الآراء حولها. https://t.co/6JIwfsdxm6</t>
  </si>
  <si>
    <t>President of the Republic of Suriname Receives Credentials of Qatar's Ambassador. #QNA
https://t.co/laeYytNWcP https://t.co/NoU2csnKA6</t>
  </si>
  <si>
    <t>سعدت اليوم بلقاء سعادة @SafiraLeaf في الدوحة، حيث استعرضنا سبل تعزيز العلاقة والشراكة القوية التي تحظى بها الدولة 🇶🇦 مع الولايات المتحدة الأمريكية 🇺🇸 في مختلف المجالات، كما تطرقنا إلى آخر التطورات على المستويين الثنائي والإقليمي. https://t.co/uuMfJsh5Rn</t>
  </si>
  <si>
    <t>Delighted to meet HE @SafiraLeaf in Doha. We discussed the strong bilateral relationship &amp;amp; strategic partnership between our two countries 🇶🇦 🇺🇸 and our ongoing close coordination on numerous files on both bilateral and regional levels. https://t.co/jUiYPPv0Pv</t>
  </si>
  <si>
    <t>مساعد وزير الخارجية للشؤون الإقليمية @Dr_Al_Khulaifi يجتمع مع مساعد وزير الخارجية الأمريكي لشؤون الشرق الأدنى
#الخارجية_القطرية https://t.co/C0w0TIPwoQ</t>
  </si>
  <si>
    <t>رئيس جمهورية سورينام يتسلم أوراق اعتماد سفير دولة قطر
#الخارجية_القطرية https://t.co/3RW2gAU4Sb</t>
  </si>
  <si>
    <t>Assistant Foreign Minister for Regional Affairs @Dr_Al_Khulaifi Meets With US Assistant Secretary of State for Near Eastern Affairs
#MOFAQatar https://t.co/0Z3QtjVlj6</t>
  </si>
  <si>
    <t>President of the Republic of Suriname Receives Credentials of Qatar's Ambassador
#MOFAQatar https://t.co/dWMotIEmDa</t>
  </si>
  <si>
    <t>Qatar acoge con beneplácito que Australia da marcha atrás el reconocimiento de Jerusalén como capital de Israel
#MOFA_QATAR https://t.co/mh10OggvaW</t>
  </si>
  <si>
    <t>أقل من شهر واحد وسنشهد جميعاً افتتاح بطولة #كأس_العالم_2022 باذن الله.
نرحب بالجميع للاستمتاع بتجربة لن تُنسى ⚽️. 
#كأس_العالم_قطر_2022 مجرد البداية
#حياكم_في_قطر https://t.co/aXRl2P1Yuo</t>
  </si>
  <si>
    <t>Less than a month before the #FIFA2022Qatar. We proudly welcome everyone to experience this unforgettable event ⚽️! 
The #WorldCup is just the beginning.
#welcometoQatar https://t.co/7DYKuX8vNS</t>
  </si>
  <si>
    <t>وزير خارجية بليز يمنح القائم بالأعمال القطري "مفتاح الصداقة" تقديرا لجهوده في تقوية أواصر الصداقة بين البلدين
#الخارجية_القطرية https://t.co/phOWNEbk4r</t>
  </si>
  <si>
    <t>HH the Amir held a telephone conversation with HE Prime Minister-designate of the Republic of Iraq Mohammed Shia Al Sudani, congratulating him on his assignment as the head of the next Iraqi government, wishing him success in his role. #QNA https://t.co/qdKjOOHwlV</t>
  </si>
  <si>
    <t>سمو الأمير المفدى يجري اتصالاً هاتفياً مع دولة السيد محمد شياع السوداني رئيس مجلس الوزراء المكلف بجمهورية العراق الشقيقة، هنأه خلاله بتكليفه برئاسة الحكومة العراقية المقبلة، متمنيًا له التوفيق والنجاح في أداء عمله. https://t.co/U1GcuWRSDD</t>
  </si>
  <si>
    <t>Qatar Partakes in #IMF and World Bank Group Meetings.. 
#Qatar
#MOFQATAR 
#IMFMeetings 
@QCBQATAR https://t.co/XtXGr3m1Qs</t>
  </si>
  <si>
    <t>Tanzanian Parliament Speaker Meets Qatar's Ambassador
#MOFAQatar https://t.co/xwNmZXg94b</t>
  </si>
  <si>
    <t>Indian Minister of State for External Affairs Meets Qatar's Ambassador
#MOFAQatar https://t.co/GPAgCPRUKm</t>
  </si>
  <si>
    <t>QatarEmb_London</t>
  </si>
  <si>
    <t>The joint #QatarUK Typhoon @12Sqn will provide security during the @FIFAWorldCup and ensure #Qatar2022 runs successfully. https://t.co/FXACSE6FUN</t>
  </si>
  <si>
    <t>للمرة الأولى بالشرق الأوسط.. الجمهور على موعد مع الباندا #سهيل و #ثريا بالخور قبيل انطلاق المونديال
#قنا
https://t.co/f1sbHbhICm https://t.co/gFbC5NDN0b</t>
  </si>
  <si>
    <t>In a statement before #WTO General Council, the delegation of the State of Qatar affirmed that sport contributes to promoting international trade, achieving sustainable economic development goals and social inclusion, and international trade helps develop sport at various levels.</t>
  </si>
  <si>
    <t>QatarEmb_Madrid</t>
  </si>
  <si>
    <t>Por iniciativa de Su Excelencia el Embajador Abdalla Al-Hamar, y en coordinación con el @jpedrerol , presentador del programa, los estadios del Mundial de Qatar 2022 se presentaron en el famoso programa deportivo @elchiringuitotv .
https://t.co/DMJLzGgPF8</t>
  </si>
  <si>
    <t>سمو الأمير المفدى يجري اتصالاً هاتفياً مع أخيه فخامة الرئيس الدكتور عبداللطيف رشيد رئيس جمهورية العراق الشقيقة، هنأه خلاله بانتخابه رئيسًا لجمهورية العراق، متمنيًا لفخامته التوفيق والسداد. https://t.co/mfttdlYdg9</t>
  </si>
  <si>
    <t>HH the Amir received a written message from President of Angola ,pertaining to bilateral relations and ways to develop and enhance them. Minister of State for Foreign Affairs received message during his meeting with Ambassador of Angola. #QNA https://t.co/ENWr1jhvdm https://t.co/7YUnifeWqY</t>
  </si>
  <si>
    <t>#QNA_Infographic 
Minister of Environment and Climate Change to #QNA : all air quality monitoring stations across various areas in the country show that pollution rates are lower than normal or within normal limits.#QNA https://t.co/armQaOIlSY</t>
  </si>
  <si>
    <t>Minister of Environment and Climate Change to #QNA: Air quality in #Qatar is "Very Excellent". #QNA https://t.co/TidiWNVQNC https://t.co/AmUTMRLErT</t>
  </si>
  <si>
    <t>HH the Amir holds a phone call with #Iraqi President. #QNA https://t.co/4bpQUSWcDp https://t.co/gFYdnlrGde</t>
  </si>
  <si>
    <t>State of Qatar Participates in INTERPOL General Assembly Meeting. #QNA
https://t.co/bFqaOcbA1T https://t.co/PnkV8i2mjc</t>
  </si>
  <si>
    <t>Qatar Stresses Importance of Ensuring Palestinian People Enjoy Their Full Rights, Sovereignty over Occupied Lands
🔗To learn more: https://t.co/7fGBzDNsql
#MOFAQatar https://t.co/dN7Kr73foT</t>
  </si>
  <si>
    <t>سمو الأمير يتلقى رسالة من رئيس أنغولا
#الخارجية_القطرية https://t.co/O4v4aNxL8g</t>
  </si>
  <si>
    <t>دولة قطر توقع مذكرة تعاون مع مجموعة الأزمات الدولية 
#الخارجية_القطرية https://t.co/h7KuQchUwf</t>
  </si>
  <si>
    <t>Qatar believes that education access for refugees is not only a #humanright  but a fundamental force building bridges for their social, economic and environmental transformation &amp;amp;  sustainable development, which is accomplished through @EAA_Foundation partnership with @Refugees https://t.co/YZwKInc9Fs</t>
  </si>
  <si>
    <t>HH the Amir Receives Message from Angola President
#MOFAQatar https://t.co/nmtXlxJP5j</t>
  </si>
  <si>
    <t>وزير الدولة للشؤون الخارجية الهندي يجتمع مع سفير دولة قطر
#الخارجية_القطرية https://t.co/QU6yXnFoas</t>
  </si>
  <si>
    <t>أكد وفد دولة قطر في بيانه أمام المجلس العام ل#WTO أن الرياضة تساهم في تعزيز التجارة الدولية وتحقيق أهداف التنمية الاقتصادية المستدامة والإدماج الاجتماعي، كما تساعد التجارة الدولية في تطوير الرياضة على مختلف الأصعدة، وهما عاملان أساسيان في تعزيز السلام والعيش المشترك بين كل الناس. https://t.co/9pkT5arsua</t>
  </si>
  <si>
    <t>Qatar Signs MOC with International Crisis Group
#MOFAQatar https://t.co/JCmRltqHlF</t>
  </si>
  <si>
    <t>رئيسة البرلمان التنزاني تجتمع  مع سفير دولة قطر 
#الخارجية_القطرية https://t.co/93MdQHbHd7</t>
  </si>
  <si>
    <t>Tajikistan President Meets Foreign Minister's Special Envoy
#MOFAQatar https://t.co/AsjApiUICh</t>
  </si>
  <si>
    <t>دولة قطر تجدد الدعوة إلي ضرورة تمتع الشعب الفلسطيني بكامل حقوقه وسيادته على الأرض الفلسطينية المحتلة
🔗لقراءة المزيد: https://t.co/cTJIa9WFN7
#الخارجية_القطرية https://t.co/jenvApFG5R</t>
  </si>
  <si>
    <t>Statement | Qatar Welcomes Australia's Reversing of Decision Recognizing Jerusalem as Capital of Israel
#MOFAQatar https://t.co/UfcMwkelAL</t>
  </si>
  <si>
    <t>بيان| قطر ترحب بتراجع أستراليا عن الاعتراف بالقدس عاصمة لإسرائيل
#الخارجية_القطرية https://t.co/RvWZlDBTwP</t>
  </si>
  <si>
    <t>HH the Amir during his visit to Al Kharsa'a Primary and Preparatory School for Boys. #QNA 
https://t.co/tlnYKScSyg https://t.co/8QsrdijL2o</t>
  </si>
  <si>
    <t>Qatar Debate organized 3rd U.S. Universities Arabic Debating Championship, Stanford University. #QNA
https://t.co/HeCv1loo9H https://t.co/FeSy89LLj4</t>
  </si>
  <si>
    <t>#قنا_انفوجرافيك | 
مستودع حافلات لوسيل .. الأكبر عالميا للحافلات الكهربائية
#قنا https://t.co/o2sdSSaZRe</t>
  </si>
  <si>
    <t>Iran's Vice President for Economic Affairs Confirms Provision of Investment Opportunities for Qataris in Industrial and Commercial Sectors. #QNA
https://t.co/eoqcoi82Mu https://t.co/0KZyTYoW6y</t>
  </si>
  <si>
    <t>Ministry of Education Reviews Importance of Role of Good Values, Morals in Facing Behavioral Challenges Among Children and Youth. #QNA https://t.co/6UL9M6KUsp</t>
  </si>
  <si>
    <t>#QNA_Infographic | Founder and Chairman of the Friends of Environment Center Dr. Saif Ali Al Hajari: The project comes as part of the country's efforts to preserve energy and the environment. #QNA #Economy https://t.co/mppYnI4crX</t>
  </si>
  <si>
    <t>#QNA_Infographic | 
Lusail Bus Depot ... world's largest electric bus depot. #QNA https://t.co/Ei9n77ON20</t>
  </si>
  <si>
    <t>دولة #قطر تشارك في مؤتمر رفيع حول التعاون في أمن وإدارة الحدود الدولية والإقليمية لمكافحة الإرهاب ومنع حركة الإرهابيين
#قنا
https://t.co/ExSr3Rhhiz https://t.co/yKtPBzjTVt</t>
  </si>
  <si>
    <t>سمو الأمير خلال زيارته مدرسة الخرسعة الابتدائية الإعدادية للبنين
https://t.co/3tTyuYGvW1 https://t.co/37XQwVuoYQ</t>
  </si>
  <si>
    <t>▶️ #Lusail_Bus_Depot is inaugurated in the context of Ministry’s effort of providing an integrated and sustainable public transit network
▶️ It has a special zone for Bus Rapid Transit (BRT) e-buses that will contribute to supporting fan transportation during #FIFAWorldCup https://t.co/CkVdJ8adb9</t>
  </si>
  <si>
    <t>مدير إدارة الشؤون الفنية بالوزارة: الهدف من تنفيذ مشاريع برنامج البنية التحتية للحافلات هو الارتقاء بمستوى خدمات النقل العام في #قطر طبقا لأعلى المواصفات والتكنولوجيا العالمية، وللتكامل مع وسائل النقل العام الأخرى كمترو الدوحة وترام لوسيل لخدمة جماهير البطولة المرتقبة وما بعدها https://t.co/uqUVUnBvyH</t>
  </si>
  <si>
    <t>◀️ اتقدم بالشكر لجميع القائمين على تطوير برنامج البنية التحتية للنقل العام في #قطر 🇶🇦 الذي يدعم تنفيذ استراتيجية التحول للمركبات الكهربائية المعدة من الوزارة بالتعاون مع الجهات المعنية لوضع دولة قطر في مصاف أكثر الدول تقدماً في مجال منظومات النقل العام وخدمات النقل الصديقة للبيئة https://t.co/zR8RIwvcOF</t>
  </si>
  <si>
    <t>▶️ I thank all those in charge of developing the Program, which backs the rollout of the strategy of transitioning to EVs that MOT developed in conjunction with the bodies concerned, aiming to position #Qatar 🇶🇦 among top advanced countries in terms of public transit systems https://t.co/QY8vNJP4mq</t>
  </si>
  <si>
    <t>Minister of Transport:
▶️ #Lusail_Bus_Depot is the first in the Middle East relying on solar energy, and this is in line with Qatar's National Environment and Climate Change Strategy (QNE) goals, and helps achieve the leadership’s vision as well as #QNV2030 goals https://t.co/x6KuJ5diFf</t>
  </si>
  <si>
    <t>Minister Inaugurates #Lusail_Bus_Depot 
World’s largest e-Bus Depot 🚌⚡️🍃
#FIFAWorldCup 🏆 #Qatar2022
#Qatar 🇶🇦 https://t.co/6NC8QXBn0z</t>
  </si>
  <si>
    <t>رئيس طاجيكستان يستقبل المبعوث الخاص لوزير الخارجية
#قنا
https://t.co/K4bLh49nfT https://t.co/ubvP02qsbJ</t>
  </si>
  <si>
    <t>Qatar Participates in High-Level Conference on "International and Regional Border Security to Counter Terrorism and Prevent the Movement of Terrorists". #QNA
https://t.co/6z2S60TEiN https://t.co/19AWgg8JL6</t>
  </si>
  <si>
    <t>Minister of Commerce, Iran's Vice President for Economic Affairs Inaugurate QI International Trade Fair for Iranian Products. #QNA
https://t.co/G0XwAPWyyz https://t.co/TKD8XxrVRq</t>
  </si>
  <si>
    <t>#قنا_انفوجرافيك | 
المندوب الدائم لدولة #قطر لدى إيكاو لـ #قنا: فوزنا بعضوية مجلس المنظمة يعكس إسهامات الدولة القيمة وجهودها المبذولة  في قطاع الطيران المدني https://t.co/RFXdsrPHxH</t>
  </si>
  <si>
    <t>#QNA_Infographic | 
Qatar's ICAO Permanent Representative: ICAO Council Win Reflects Efforts to Develop Civil Aviation. #QNA
https://t.co/DD8tow3e9o https://t.co/eJdSl4yArh</t>
  </si>
  <si>
    <t>أشادت سعادة المندوب الدائم في كلمتها أمام مجلس التجارة والتنمية للأونكتاد بالمساعدة التقنية للشعب الفلسطيني عن طريق دعم سـياسـات التنمية الاقتصادية في مواجهة الآثار السلبية للاحتلال الإسرائيلي، ودعت لتوفير الموارد الكافية للوفاء بولاية الأونكتاد وقرارات الجمعية العامة ذات الصلة. https://t.co/XsUNNAcaCh</t>
  </si>
  <si>
    <t>QatarEmb_SLV</t>
  </si>
  <si>
    <t>En una Misión Oficial a Belice, el Encargado de Negocios H. Sr. Tariq Al-Othman, recibió ayer, por parte del Ministro de RREE de Belice, el Excmo. Sr. Eamon Courtenay, la “llave de la amistad”, en reconocimiento a su ardua labor diplomática🇶🇦🤝🇧🇿@MFABelize @MOFAQatar_ES https://t.co/A9emY33G78</t>
  </si>
  <si>
    <t>Qatar Participates in Conference on Tolerance Peace and Sustainable Development in Arab World. #QNA
https://t.co/LfOqIQJ2ds https://t.co/8jl8GdmSX6</t>
  </si>
  <si>
    <t>#Qatar's ICAO Permanent Representative: #ICAO Council win reflects efforts to develop civil aviation. #QNA https://t.co/Y89Qe7I4kg https://t.co/ewZWIGl1Lj</t>
  </si>
  <si>
    <t>بافتتاح محطة الخرسعة للطاقة الشمسية تحت رعاية سمو الأمير المفدى، تدخل قطر عصرا جديدا في مجال إنتاج الطاقة وتواكب أحدث التوجهات العالمية في هذا المجال مستخدمة تقنيات متطورة ومبتكرة .. محطة الخرسعة إنجاز وطني رائد ذو مردود تنموي هام لبلدنا وشعبنا وأثارٍ بيئية إيجابية محليا وعالميا. https://t.co/FFSxqWrVke</t>
  </si>
  <si>
    <t>FIFA World Cup Qatar 2022: Gianni Infantino: Qatar Fulfilled its Promises, Fully Ready for World Cup. #QNA
#Qatar2022
#FIFAWorldCup
https://t.co/9wEeJmC0Ht https://t.co/3lgDYg3eMl</t>
  </si>
  <si>
    <t>#Qatar Partakes in World Health Summit 2022.#QNA 
https://t.co/soJlCdsXvb https://t.co/cnYAL0YGb1</t>
  </si>
  <si>
    <t>Minister of Transport inaugurates the largest electric bus depot in Lusail. #QNA  https://t.co/1Yv5K0gNMO https://t.co/bAW6t2paXq</t>
  </si>
  <si>
    <t>HH the Amir inaugurates Al Kharsaah Solar Power Plant. #QNA https://t.co/SWOyXzBJkU https://t.co/uiDQ6sH17C</t>
  </si>
  <si>
    <t>HH the Amir inaugurates Al Kharsaah Solar Power Plant in Al Kharsaah. #QNA https://t.co/kNen0n5YJX</t>
  </si>
  <si>
    <t>His Highness Sheikh Tamim bin Hamad Al Thani, Amir of the State of Qatar, inaugurates Al-Kharsaah Solar Power Plant - the first in Qatar and one of the largest in terms of size and capacity in the region, with a total capacity of 800 megawatts (MW).
#QatarEnergy #Qatar https://t.co/AGlDtGs4qc</t>
  </si>
  <si>
    <t>سمو الأمير المفدى يزور مدرسة الخرسعة الابتدائية الإعدادية للبنين. https://t.co/e9r6WL8Gnq https://t.co/fdGTziWxh7</t>
  </si>
  <si>
    <t>HH The Amir meets the Chairman and CEO of #Total, on the sidelines of the inauguration ceremony of  Al Kharsaah Solar Power Plant.#QNA https://t.co/kXp6HDq7HF</t>
  </si>
  <si>
    <t>Qatar Increases Solar Power Plants Investments to QR 4 Billion to Diversify Production.#QNA https://t.co/BSvYM1na2O https://t.co/KJsoK73Bez</t>
  </si>
  <si>
    <t>Qatar Participates in High-Level Conference on "International and Regional Border Security to Counter Terrorism and Prevent the Movement of Terrorists"
🔗To learn more : https://t.co/6tDdftrVrD
#MOFAQatar https://t.co/XCfSA1XjIg</t>
  </si>
  <si>
    <t>Qatar's Embassy Participates in Farewell Ceremony for "Pandas" Gifted by China to Qatar
🔗To learn more : https://t.co/1cnLWxmnMs
#MOFAQatar https://t.co/D1qRPGJloc</t>
  </si>
  <si>
    <t>Assistant Foreign Minister @Lolwah_Alkhater  Meets UNRWA Delegation
#MOFAQatar https://t.co/gNmJXhdOtI</t>
  </si>
  <si>
    <t>مساعد وزير الخارجية @Lolwah_Alkhater  تجتمع مع وفد من (الأونروا)
#الخارجية_القطرية https://t.co/Kguq9Pq2f8</t>
  </si>
  <si>
    <t>Assistant Foreign Minister @Lolwah_Alkhater  Meets Ambassadors of Kuwait, Sudan, Rwanda
#MOFAQatar https://t.co/bg8SWd5OWu</t>
  </si>
  <si>
    <t>مساعد وزير الخارجية @Lolwah_Alkhater  تجتمع مع سفراء الكويت والسودان ورواندا
#الخارجية_القطرية https://t.co/thJ6Zhtr0c</t>
  </si>
  <si>
    <t>أهنئ أخي معالي الشيخ سالم عبدالله الجابر الصباح على تعيينه وزيراً للخارجية في #الكويت الشقيقة، متمنياً له التوفيق والنجاح في مهامه، وللعلاقات الأخوية بين بلدينا الشقيقين المزيد من التطور، وللشعبين الشقيقين دوام الإزدهار والرخاء.</t>
  </si>
  <si>
    <t>قطر تشارك بمؤتمر رفيع حول التعاون في أمن وإدارة الحدود الدولية والإقليمية لمكافحة الإرهاب ومنع حركة الإرهابيين
🔗لقراءة المزيد : https://t.co/xtmRHGTO1F
#الخارجية_القطرية https://t.co/xoQBCIPb4l</t>
  </si>
  <si>
    <t>سمو الأمير المفدى يستقبل السيد باتريك بويانيه رئيس مجلس الإدارة والرئيس التنفيذي لشركة توتال الفرنسية والوفد المرافق، وذلك على هامش حفل افتتاح محطة الخرسعة للطاقة الشمسية. https://t.co/YwF6kmp4AM https://t.co/wetb3If468</t>
  </si>
  <si>
    <t>سفارة دولة قطر تشارك في حفل توديع باندا مهداة من الصين لقطر
🔗لقراءة المزيد : https://t.co/RFIZZPMHt5
#الخارجية_القطرية https://t.co/waTJ7gWvmG</t>
  </si>
  <si>
    <t>افتتحنا اليوم محطة الخرسعة للطاقة الشمسية، الأولى من نوعها في البلاد، والتي ستُسهم في توليد ما يعادل عُشر الطاقة المستخدمة في الشبكة الوطنية للكهرباء في أوقات الذروة من مصدرٍ مستدام وصديقٍ للبيئة، وضمن خططنا نحو تقليل انبعاثات الكربون وآثار التغيّر المُناخي. https://t.co/soAgQ4dpqn</t>
  </si>
  <si>
    <t>مساعد الرئيس الإيراني للشؤون الاقتصادية يجتمع مع سفير دولة قطر 
#الخارجية_القطرية https://t.co/rOLEiwIG7x</t>
  </si>
  <si>
    <t>سمو الأمير المفدى يفتتح محطة الخرسعة للطاقة الشمسية في منطقة الخرسعة. https://t.co/KiMm14qMLS https://t.co/gXc6n5Ip58</t>
  </si>
  <si>
    <t>رئيس طاجيكستان يستقبل المبعوث الخاص لوزير الخارجية
#الخارجية_القطرية https://t.co/VhzqjgYcQj</t>
  </si>
  <si>
    <t>الأمين العام لاتحاد مجالس الدول الأعضاء في منظمة التعاون الإسلامي يهنئ دولة قطر لاستضافة بطولة كأس العالم، ويشيد بجهودها في هذا الجانب مؤكداً أنها تعد تشريفاً لدول الاتحاد.
https://t.co/A7zkSBazzR https://t.co/CwjsmeuNHe</t>
  </si>
  <si>
    <t>HH the Amir received a phone call from President of the Dominican Republic. They discussed the relations of cooperation between the two countries and ways of enhancing and developing them. #QNA https://t.co/hHBEK7qwya</t>
  </si>
  <si>
    <t>.@MOLQTR in partnership with @MOPHQatar &amp;amp; @QRCS, in cooperation with @ILOQatar, launched a joint awareness campaign on "OSH to Maintain a Safe Work Environment", to enhance &amp;amp; raise the joint awareness before &amp;amp; during the World Cup among employers &amp;amp; workers. https://t.co/yP8lkfCLFr</t>
  </si>
  <si>
    <t>سمو الأمير المفدى يتلقى اتصالاً هاتفياً من فخامة الرئيس لويس رودولفو أبي نادر، رئيس جمهورية الدومينيكان. https://t.co/eDeEyySaok</t>
  </si>
  <si>
    <t>🏆  LIVE: FIFA World Cup Qatar 2022 pre-tournament update
With one month to go until #Qatar2022, @FIFAWorldCup holds a press conference to share the latest updates on the tournament. https://t.co/zHlnMN5Pvd</t>
  </si>
  <si>
    <t>Le Qatar croit dans le rôle vital de l'Office #UNRWA et réaffirme sa position permanente aux côtés du peuple palestinien jusqu'à ce que tous ses droits légitimes soient rétablis.
#MOFAQatar 
@Qatar_fund https://t.co/HL9oCCOGRJ</t>
  </si>
  <si>
    <t>H.E. Dr Hend Al-Muftah, PR, met with HE Ignacio Sánchez, Amb. of #Spain to the Conference on #Disarmament. They discussed the role of 🇶🇦 in strengthening &amp;amp; protecting civilians from humanitarian consequences arising from the use of explosive weapons in populated conflict areas</t>
  </si>
  <si>
    <t>اجتمعت سعادة د. هند المفتاح، المندوب الدائم، مع سعادة السفير الاسباني لنزع السلاح السيد/ايغناسيو سانشيز حيث ناقشا دور قطر في حماية المدنيين من العواقب الانسانية الناتجة عن استخدام المتفجرات/الالغام في مناطق النزاع المكتظة بالسكان وتطلعا للمزيد من التعاون الانساني في هذا المجال https://t.co/dG1I0AJF2E</t>
  </si>
  <si>
    <t>Deputy Prime Minister and Minister of Foreign Affairs @MBA_AlThani_ : Qatar, Turkey Agree to Keep Enhancing Bilateral Relations
🔗To learn more: https://t.co/OqgMbbw537
#MOFAQatar https://t.co/YZu0eFm9OM</t>
  </si>
  <si>
    <t>The Executive Committee of the Asian Football Confederation selected the Qatar Football Association as the host for the AFC Asian Cup 2023, cementing the State of #Qatar's position as a global sports capital. https://t.co/Vi3vytVWUP</t>
  </si>
  <si>
    <t>We will be hosts once again!
Hello Asia.. Welcome to Qatar 🇶🇦🌍 
#AsianCup2023 https://t.co/788PYAa04F</t>
  </si>
  <si>
    <t>His Excellency Sheikh Hamad bin Khalifa bin Ahmed Al Thani, President of the Qatar Football Association, receives the host certificate for the #AsianCup2023 from H.E. Sheikh Salman bin Ibrahim Al Khalifa, President of the AFC
https://t.co/gdHTHGDCPb</t>
  </si>
  <si>
    <t>afcasiancup</t>
  </si>
  <si>
    <t>✨ 𝐎𝐅𝐅𝐈𝐂𝐈𝐀𝐋 ✨ 
♦️ AFC Executive Committee confirms 🇶🇦 Qatar as #AsianCup2023 host!
♦️ 🇮🇳 India and 🇸🇦 Saudi Arabia shortlisted for #AsianCup2027
READ: https://t.co/5g4kjwNruD https://t.co/79lfuZn5SW</t>
  </si>
  <si>
    <t>✅ 𝐂𝐎𝐍𝐅𝐈𝐑𝐌𝐄𝐃 ✅
#AsianCup2023 will be played in 🇶🇦 Qatar! https://t.co/Et4SWySng1</t>
  </si>
  <si>
    <t>Good to be back in Qatar with Assistant Foreign Minister @Lolwah_Alkhater  to discuss Afghanistan and the UK-Qatar partnership. Together 🇬🇧 and 🇶🇦 have supported millions of Afghans, and will continue to do so in the future. https://t.co/XQDRDPLAxx</t>
  </si>
  <si>
    <t>H.E. Dr Hend Al-Muftah, PR, met with HE Ignacio Sánchez, Amb. of #Spain to the Conference on #Disarmament. They discussed the role of 🇶🇦 in strengthening &amp;amp; protecting civilians from humanitarian consequences arising from the use of explosive weapons in populated conflict areas.</t>
  </si>
  <si>
    <t>#FIFA President reiterates that the State of #Qatar will present the best version of the #World_Cup in history. #QNA_Sports #Qatar2022 https://t.co/2PShwnrip0</t>
  </si>
  <si>
    <t>The State of Qatar believes in the vital role of #UNRWA, and affirms its permanent support for the brotherly Palestinian people until they regain all of their legitimate rights.
#MOFAQatar 
@qatar_fund https://t.co/JdRRehArkE</t>
  </si>
  <si>
    <t>El Estado de Qatar cree en el papel vital de #UNRWA y afirma su apoyo permanente al pueblo palestino hermano hasta que recupere todos sus derechos legítimos. 
#MOFAQatar 
@qatar_fund https://t.co/zUBLVMc0Ey</t>
  </si>
  <si>
    <t>تؤمن دولة قطر بالدور الحيوي لمنظمة #الأونروا لإغاثة وتشغيل اللاجئين الفلسطينين، وتؤكد وقوفها الدائم بجانب الشعب الفلسطيني الشقيق حتى يسترد كافة حقوقه المشروعة.
#الخارجية_القطرية 
@qatar_fund https://t.co/yPJC9R9wZo</t>
  </si>
  <si>
    <t>Sudanese Acting Foreign Minister Meets Qatar's Ambassador
#MOFAQatar https://t.co/JMm0XfHqlR</t>
  </si>
  <si>
    <t>سمو الأمير المفدى يستقبل سعادة الدكتور محسن رضائي مساعد رئيس الجمهورية الإسلامية الإيرانية للشؤون الاقتصادية، والوفد المرافق، وذلك في مكتبه بالديوان الأميري. https://t.co/2yC5lYdKyn https://t.co/gwZP1sMuTr</t>
  </si>
  <si>
    <t>وزير الخارجية المكلف بجمهورية السودان يجتمع مع سفير دولة قطر
#الخارجية_القطرية https://t.co/GoR6HIwjHH</t>
  </si>
  <si>
    <t>يسعدُ القلبُ ويبتهجُ بلُقيا أصحاب البصائر المليئة بالحُب والنقاءْ.. حيثُ شرّفَني اليوم، قُدومُ أبنائي وبناتي من منتسبي مركز النور للمكفوفين، الذين أكرموني بزيارتهم وإهدائي وُرودًا مُزهِرة؛ كما هي قُلوبُهُم.
في #اليوم_العالمي_للعصا_البيضاء أقول لهم: كل عامٍ وحياتنا أجمل بوجودكم. https://t.co/CD3NCClY8t https://t.co/fGAkt7VqCW</t>
  </si>
  <si>
    <t>I participated last week in the 5th meeting of the #UNGA 5th Committee this week &amp;amp; extended 🇶🇦 appreciation to UNSG @antonioguterres  for presenting the proposed programme budget for 2023 during a time of great challenges  &amp;amp; crisis. https://t.co/INvEfgG81s</t>
  </si>
  <si>
    <t>#Qatar🇶🇦 values its strong partnership w/ @UN🇺🇳 &amp;amp; stays committed to pursuing its support to various #UN organizations &amp;amp; agencies as an active partner in the intl community towards 🌎 peace, security, sustainable devpt, counter-terrorism &amp;amp; other common challenges.</t>
  </si>
  <si>
    <t>🇶🇦 remains at the forefront of Member States meeting their financial obligations in full &amp;amp; on time for the @UN regular budget, &amp;amp; will dedicate all efforts towards ensuring that adequate &amp;amp; predictable resources are made available to advance the essential work of the organization.</t>
  </si>
  <si>
    <t>Glad to join 🇹🇷 &amp;amp; 🇧🇪 in co-Chairing the GoF of #LDCs to ensure full &amp;amp; timely implementation of the ambitious #DPoA.
🇶🇦 is proud to host the 2nd part of #LDC5, a 🔑opportunity to generate political momentum, global commitments &amp;amp; partnerships for transformative change in the LDCs. https://t.co/NhyqoveX0E</t>
  </si>
  <si>
    <t>Commercial Bank Wins "Best Bank in Qatar" Award at Global Finance's World Best Banks Awards Ceremony. #QNA
https://t.co/pS71ZZbdic https://t.co/2Y7qcElkM5</t>
  </si>
  <si>
    <t>Assistant Foreign Minister @Lolwah_Alkhater Meets UK Minister of State for Middle East
#MOFAQatar https://t.co/0HBvrg951R</t>
  </si>
  <si>
    <t>مساعد وزير الخارجية @Lolwah_Alkhater تجتمع مع وزير الدولة لشؤون الشرق الأوسط البريطاني
#الخارجية_القطرية https://t.co/nXcE3BwzuV</t>
  </si>
  <si>
    <t>La ministre adjointe des Affaires étrangères @Lolwah_Alkhater rencontre des diplomates Français
#MOFAQatar 
@FranceauQatar https://t.co/op2iuiYm7W</t>
  </si>
  <si>
    <t>مساعد وزير الخارجية @Lolwah_Alkhater  تجتمع مع دبلوماسيين فرنسيين
#الخارجية_القطرية https://t.co/KVFHFcalhE</t>
  </si>
  <si>
    <t>سمو الأمير المفدى يصدر المرسوم رقم (47) لسنة 2022 بدعوة مجلس الشورى لدور الانعقاد العادي الثاني، وذلك يوم الثلاثاء ٢٩ ربيع الأول عام 1444 هـ، الموافق ٢٥ أكتوبر عام 2022 م. https://t.co/Nnq2taepxD</t>
  </si>
  <si>
    <t>Assistant Foreign Minister @Lolwah_Alkhater Meets French Diplomats
#MOFAQatar https://t.co/j1eHjD1Nk6</t>
  </si>
  <si>
    <t>سمو الأمير المفدى يصدر المرسوم رقم (47) لسنة 2022 بدعوة #مجلس_الشورى لدور الانعقاد العادي الثاني، وذلك يوم الثلاثاء ٢٩ ربيع الأول عام 1444 هـ، الموافق ٢٥ أكتوبر عام 2022 م.
https://t.co/6f4osWOVjo https://t.co/Tzq8xpT1m7</t>
  </si>
  <si>
    <t>وزير الدولة للشؤون الخارجية يجتمع مع نائب وزير خارجية تركمانستان 
#الخارجية_القطرية https://t.co/5rrIotsCmb</t>
  </si>
  <si>
    <t>سمو الأمير المفدى يصدر قرارات بتعيين سفراء جدد في كل من جمهورية جيبوتي، وتركمانستان، وجمهورية الصومال الفيدرالية، وجمهورية الدومينيكان. https://t.co/Ygk24adVS0</t>
  </si>
  <si>
    <t>Secretary General of Ministry of Foreign Affairs Meets Saudi Ambassador
#MOFAQatar https://t.co/Q8Uz2BL13M</t>
  </si>
  <si>
    <t>الرئيس الفلبيني يستقبل سفير دولة قطر 
#الخارجية_القطرية https://t.co/Vq59Lbm2cR</t>
  </si>
  <si>
    <t>President of Philippines Meets Ambassador of Qatar
#MOFAQatar https://t.co/EQ27mb0BMQ</t>
  </si>
  <si>
    <t>الأمين العام لوزارة الخارجية يجتمع مع السفير السعودي
#الخارجية_القطرية https://t.co/8SKaJI6cJU</t>
  </si>
  <si>
    <t>Minister of State for Foreign Affairs Meets Deputy Minister of Foreign Affairs of Turkmenistan
#MOFAQatar https://t.co/rkJfPLEaB5</t>
  </si>
  <si>
    <t>موجز أخبار السفارات 🗓
#الخارجية_القطرية https://t.co/uMo6HGJxBi</t>
  </si>
  <si>
    <t>Assistant Foreign Minister Meets French Diplomats. #QNA
#Qatar #France
https://t.co/eFS2DrLFix https://t.co/zCQzlupYbJ</t>
  </si>
  <si>
    <t>qatarimo</t>
  </si>
  <si>
    <t>Bringing together over 1000 participants, the event discussed many issues relative to maritime shipping, topped with protecting the marine environment. This biennial gathering has emerged as one of the world’s most significant shipping platforms since its first edition in 1989.</t>
  </si>
  <si>
    <t>@MOTQatar participated in the Maritime Cyprus 2022 Conference, which ran on Oct. 9-12, attended by several government officials representing the maritime industry from around the world, in addition to CEOs of several global shipping companies. https://t.co/ZYvtoPlrix</t>
  </si>
  <si>
    <t>دولة #قطر تشارك في أعمال الجلسة العامة لصندوق النقد الدولي ومجموعة البنك الدولي
#قنا
https://t.co/JgCCKHto2Y https://t.co/kqWD5iEUli</t>
  </si>
  <si>
    <t>الشيخة هند توقع وثيقة العهد القطري لتعزيز أصوات الشباب في العالم
#قنا
https://t.co/IqbEkObqGd https://t.co/pybHw5qAV9</t>
  </si>
  <si>
    <t>HE Minister of State for #Energy Affairs met in #Washington DC with HE Secretary of Energy of the United States.
#QNA
#Economy
#US https://t.co/sTLiz0DoK5</t>
  </si>
  <si>
    <t>The Ministry of Public #Health organized a national workshop on Health Research Ethics. #QNA
#Qatar
https://t.co/hWuVIxUTqk https://t.co/gHLY38jtq3</t>
  </si>
  <si>
    <t>Association of Secretaries General of Arab Parliaments and the Inter-Parliamentary Union signed a memorandum of understanding , with the aim of cooperation, coordination and direct communication between the Association and the Union.  #QNA https://t.co/qoRdT5V9VB</t>
  </si>
  <si>
    <t>Qatar Chamber reviews with Sudanese officials the cooperation relations between both countries in economic and commercial fields. #QNA
#Economy https://t.co/dB5vWSYkv8</t>
  </si>
  <si>
    <t>The State of #Qatar took part in the plenary session of the International Monetary Fund (IMF) and the World Bank Group (WBG) held in DAR Constitution Hall in #Washington DC. #QNA https://t.co/lNiPjq4XGL</t>
  </si>
  <si>
    <t>#Qatar stresses the need for international cooperation to meet the development challenges for the countries in special situations. #QNA
#UN https://t.co/GtMeXGMU1t</t>
  </si>
  <si>
    <t>NHRC Chairperson Meets UN Secretary General in New York. #QNA
#Qatar #United_Nations
https://t.co/tOD7riQz3F https://t.co/JcfBvHr78B</t>
  </si>
  <si>
    <t>#Qatar Partakes in Meeting of Finance Ministers, Central Bank Governors, Heads of Regional Financial Institutions of MENAP. #QNA
https://t.co/ivIX96acA7 https://t.co/OucNL00FkT</t>
  </si>
  <si>
    <t>قطر تؤكد أن مواجهة التحديات الإنمائية بالبلدان التي تواجه أوضاعاً خاصة تتطلب تعزيز التعاون الدولي
🔗لقراءة المزيد: https://t.co/IX3hJtM3Ye
#الخارجية_القطرية https://t.co/9xhLUlr0mk</t>
  </si>
  <si>
    <t>Qatar Expresses Support for UN Efforts to Solve Moroccan Sahara Problem by Peaceful Means
🔗To learn more: https://t.co/Ofh6c39ONJ
#MOFAQatar https://t.co/VeNG9kBnDI</t>
  </si>
  <si>
    <t>سمو الأمير المفدى يعزي أخاه فخامة الرئيس رجب طيب أردوغان رئيس الجمهورية التركية الشقيقة، في ضحايا انفجار منجم للمعادن بولاية بارطن شمالي تركيا، متمنيا سموه الشفاء العاجل للمصابين. https://t.co/ClVnehKg4a</t>
  </si>
  <si>
    <t>Qatar Stresses Need for International Cooperation to Meet Development Challenges for Countries in Special Situations
🔗To learn more: https://t.co/IvOrSLd3Zp
#MOFAQatar https://t.co/ZtGXF9HbET</t>
  </si>
  <si>
    <t>RomaniaUN_NY</t>
  </si>
  <si>
    <t>🇷🇴- 🇶🇦 cooperation in New York. 
@QatarAtUN https://t.co/ZXe8sP4CuX</t>
  </si>
  <si>
    <t>سعادة السيدة مريم بنت عبد الله العطية رئيس اللجنة الوطنية لحقوق الإنسان؛رئيس التحالف العالمي للمؤسسات الوطنية لحقوق الإنسان تجتمع مع سعادة السيد أنطونيو غوتيريش الأمين العام للأمم المتحدة.#حقوق_الإنسان_قطر 
#الأمم_المتحدة 
#حقوق_الإنسان https://t.co/OhI4dl0x1A</t>
  </si>
  <si>
    <t>سمو الأمير المفدى وأخوه فخامة الرئيس رجب طيب أردوغان رئيس الجمهورية التركية الشقيقة يشهدان التوقيع على عدد من الاتفاقيات ومذكرات التفاهم بين البلدين، وذلك في قصر "دولما بهتشه" في إسطنبول. #قطر #تركيا https://t.co/s6NACKAo78 https://t.co/ltXrPV7APd</t>
  </si>
  <si>
    <t>ترأست اليوم مع أخي فخامة الرئيس @RTErdogan اجتماع الدورة الثامنة للجنة الاستراتيجية العليا القطرية التركية، والتي تُعبّر بانتظام دوراتها والاتفاقيات ومذكرات التفاهم التي تُوقع خلالها، عن مستوى التعاون الاستراتيجي بين بلدينا الشقيقين. مرتاحون لما تحقق ونتطلع للمزيد. https://t.co/frfwYpasZa</t>
  </si>
  <si>
    <t>Durante una conferencia de prensa conjunta con el Ministro de Relaciones Exteriores de Turquía Viceprimer Ministro y Ministro de Relaciones Exteriores @MBA_AlThani_ : El derecho internacional es indivisible, como se aplica a Ucrania, se aplica a la ocupación en Palestina https://t.co/8KE5t5c3e3</t>
  </si>
  <si>
    <t>Minister of Foreign Affairs and International Cooperation of Mali Meets Qatar's Ambassador
#MOFAQatar https://t.co/423zRiBVL7</t>
  </si>
  <si>
    <t>Lors d'une conférence de presse conjointe avec le ministre Turc des Affaires étrangères 
Le vice-Premier ministre et ministre des Affaires étrangères : Le droit international est indivisible, il doit s'appliquer à l'occupation en Palestine et en Ukraine de la même manière https://t.co/mndfnRpCAW</t>
  </si>
  <si>
    <t>MauMassari</t>
  </si>
  <si>
    <t>Thank you @AmbAlyaAlThani for the excellent meeting. Italy highly appreciates the role of Qatar in promoting multilateralism, global stability and prosperity https://t.co/r9L1vqT1FN</t>
  </si>
  <si>
    <t>HE Dr. Abdullah bin Abdulaziz bin Turki Al-Subaie, Minister of Municipality, and his work team discuss the Ministry's preparations and efforts before and during the FIFA World Cup Qatar 2022. https://t.co/TDwGuQCSlt</t>
  </si>
  <si>
    <t>HH the Amir expressed his thanks and appreciation to HE the Turkish President for the generous hospitality he received and the accompanying delegation, stressing that these meetings strengthen the relations of cooperation between the two countries. #QNA #Qatar #Turkey https://t.co/WCVsXQHC7B</t>
  </si>
  <si>
    <t>HH the Amir Expresses Satisfaction with the Level of Strategic Cooperation Between Qatar and Turkey. #QNA #Qatar #Turkey
https://t.co/FwB9JYcbHj https://t.co/jGMzObybrG</t>
  </si>
  <si>
    <t>Infographic | During a joint press conference with the Turkish Foreign Minister
Deputy Prime Minister and Minister of Foreign Affairs @MBA_AlThani_ : International law is indivisible. As it applies to Ukraine, it also applies to the occupation in Palestine
#MOFAQatar https://t.co/g4REdTHZU0</t>
  </si>
  <si>
    <t>سمو الأمير المفدى وأخوه فخامة الرئيس رجب طيب أردوغان رئيس الجمهورية التركية الشقيقة يترأسان اجتماع الدورة الثامنة للجنة الاستراتيجية العليا القطرية التركية، في قصر "دولما بهتشه" في إسطنبول. #قطر #تركيا https://t.co/NoeIqwXpeq https://t.co/4o3SNzMsR6</t>
  </si>
  <si>
    <t>Shura Council Participates in Meeting of IPU Permanent Committee on United Nations Affairs. #QNA https://t.co/mIDOJjZiX6</t>
  </si>
  <si>
    <t>إنفوجراف| خلال مؤتمر صحفي مشترك مع وزير الخارجية التركي
نائب رئيس مجلس الوزراء وزير الخارجية @MBA_AlThani_ : القانون الدولي الذي لا يتجزأ مثل ما ينطبق على أوكرانيا ينطبق على الاحتلال في فلسطين
#الخارجية_القطرية https://t.co/okiDXcGKwj</t>
  </si>
  <si>
    <t>🎥| Ministerial Meeting of Qatari-Turkish Supreme Strategic Committee Takes Place in Istanbul
🇶🇦🇹🇷
#MOFAQatar 
@MBA_AlThani_ 
@MevlutCavusoglu https://t.co/8ols9qjUBk</t>
  </si>
  <si>
    <t>H.E @MBA_AlThani_ : We stress the firm position of Qatar regarding respect for the sovereignty of states and the indivisible international law. As it applies to Ukraine, it also applies to the occupation in Palestine and other issues.
#MOFAQatar https://t.co/BOGqwn7Jc0</t>
  </si>
  <si>
    <t>HE Ali bin Ahmed Al Kuwari met with @TreasuryDepSec 
#Qatar
#MOFQATAR 
#IMFMeetings
@USTreasury https://t.co/KfhedbRfFi</t>
  </si>
  <si>
    <t>دولة قطر تعرب عن دعمها لجهود الأمم المتحدة لحل مشكلة الصحراء المغربية بالوسائل السلمية
🔗لقراءة المزيد؛ https://t.co/uQTYGy0JQ2
#الخارجية_القطرية https://t.co/Yy5G06SaaT</t>
  </si>
  <si>
    <t>وزير الشؤون الخارجية والتعاون الدولي بجمهورية مالي يجتمع مع سفير دولة قطر
#الخارجية_القطرية https://t.co/sOiRY9hgCw</t>
  </si>
  <si>
    <t>سمو الأمير المفدى يلتقي أخاه فخامة الرئيس رجب طيب أردوغان رئيس الجمهورية التركية الشقيقة، في قصر "دولما بهتشه" في إسطنبول. #قطر #تركيا https://t.co/fw4Js20muj https://t.co/12PzQJISEP</t>
  </si>
  <si>
    <t>Ministry of Foreign Affairs Spokesperson @majedalansari Highlights to QNA Qatar and Turkey's Coordination to De-Escalate Tensions around the World
🔗To learn more: https://t.co/pbqHfZdyZ8
#MOFAQatar https://t.co/cBoX2RAlEO</t>
  </si>
  <si>
    <t>Deputy PM &amp;amp; Minister of Foreign Affairs @MBA_AlThani_ : Qatar and Turkey welcome Declaration of Algeria signed by various Palestinian factions. We hope these positive steps and results will contribute 2 ending the state of division that greatly affected the Palestinian cause. https://t.co/PXdwG7IzsU</t>
  </si>
  <si>
    <t>نائب رئيس #مجلس_الشورى تجتمع على هامش أعمال الجمعية العامة للاتحاد البرلماني الدولي مع رئيس برلمان البحر الأبيض المتوسط ونائب رئيس الجمعية البرلمانية لمنظمة الأمن والتعاون في أوروبا وكبير المستشارين بالاتحاد البرلماني الدولي حيث استعرضت الاجتماعات سبل تعزيز التعاون وزيادة التنسيق https://t.co/llJtcJZFYO</t>
  </si>
  <si>
    <t>#مجلس_الشورى يشارك في اجتماع اللجنةُ الدائمة لشؤون الأمم المتحدة، الذي عقد ضمن أعمال الجمعية العامة الـ 145 للاتحاد البرلماني الدولي في رواندا. حيث مثل المجلس سعادة الدكتورة حمدة بنت حسن السليطي نائب رئيس مجلس الشورى، عضو اللجنة.
https://t.co/B9zKJERVjy https://t.co/cGpszaZi2m</t>
  </si>
  <si>
    <t>Ministry of Foreign Affairs Spokesperson Highlights to QNA Qatar and Turkey's coordination to de-escalate tensions around the world. #QNA
#Qatar_Turkey https://t.co/cIfXJvbbs8</t>
  </si>
  <si>
    <t>H.E @MBA_AlThani_ : We commend Turkey’s role in stabilizing food markets &amp;amp; diplomatic efforts to solve Russia-Ukraine crisis. We affirm Qatar’s position regarding this crisis, reject violation of state sovereignty &amp;amp; support diplomatic efforts to end the war ASAP
#MOFAQatar https://t.co/xhLlQz5Ebu</t>
  </si>
  <si>
    <t>H.E @MBA_AlThani_ : The results of today’s talks were productive. We agreed 2 enhance bilateral relations &amp;amp; work on constant development, in economic, investment &amp;amp; commercial fields,  &amp;amp; 2 enhance cultural &amp;amp; humanitarian relations between our peoples
🇶🇦🇹🇷
#MoFaQatar https://t.co/4rpoXifXgz</t>
  </si>
  <si>
    <t>🎥| المؤتمر الصحفي المشترك لسعادة نائب رئيس مجلس الوزراء وزير الخارجية مع نظيره التركي
🔗 https://t.co/aJcDJpIJrf
#الخارجية_القطرية</t>
  </si>
  <si>
    <t>المتحدث الرسمي لوزارة الخارجية @majedalansari لـ/قنا/: تنسيق مستمر ودائم بين قطر وتركيا لتخفيف التصعيد في أكثر من إقليم حول العالم
🔗لقراءة المزيد: https://t.co/65Wj1YxBgU
#الخارجية_القطرية https://t.co/PsLWbnogG1</t>
  </si>
  <si>
    <t>#الأمم_المتحدة تجدد ولاية الدكتور علي بن فطيس المري لمنصب المحامي الخاص لمكافحة الفساد
#قنا
https://t.co/zGfX1XMRs1 https://t.co/tIpLpVhnwS</t>
  </si>
  <si>
    <t>HH the Amir sent a cable of congratulation to President Dr. Abdul Latif Rashid, on occasion of his election and taking the constitutional oath as President of Republic of Iraq, wishing him success &amp;amp; relations between two countries further development. #QNA
https://t.co/f8IVrWir6g https://t.co/AmnrJlqnCB</t>
  </si>
  <si>
    <t>Minister of Commerce and Economy to QNA: Qatari-Turkish ties at the desired integrated partnership level. #QNA
#Qatar_Turkey
#Economy https://t.co/yevkc1Cqik</t>
  </si>
  <si>
    <t>نائب رئيس مجلس الوزراء وزير الخارجية @MBA_AlThani_: ترحب دولة قطر وتركيا بإعلان الجزائر الذي تم التوقيع عليه من قبل الفصائل الفلسطينية المختلفة، ونتمنى أن تكون هذه النتائج والخطوات الإيجابية  تسهم في إنهاء حالة الانقسام التي أثرت بشكل كبير على القضية الفلسطينية
#الخارجية_القطرية https://t.co/TVBy1Dn328</t>
  </si>
  <si>
    <t>نائب رئيس مجلس الوزراء وزير الخارجية @MBA_AlThani_ : كانت نتائج المباحثات اليوم بناءة، كما تم الاتفاق على تعزيز العلاقات الثنائية والتطوير المستمر خصوصاً في القطاعات الاقتصادية والاستثمارية والتجارية، وتعزيز العلاقات الثقافية والإنسانية بين شعبي البلدين 
🇹🇷🇶🇦
#الخارجية_القطرية https://t.co/uScafDiJXW</t>
  </si>
  <si>
    <t>سعادة الشيخ @MBA_AlThani_: نشيد بالدور الذي تلعبه تركيا الشقيقة في تحقيق الاستقرار لأسواق الأغذية، والجهود الدبلوماسية لحل الأزمة الروسية-الأوكرانية، ونؤكد موقف دولة قطر الثابت حيال هذه الأزمة، ونرفض انتهاك سيادة الدول وندعم كافة الجهود الدبلوماسية لإنهاء الحرب في أسرع وقت ممكن https://t.co/0Drrraeas5</t>
  </si>
  <si>
    <t>المتحدث الرسمي لوزارة الخارجية @majedalansari : نتائج الزيارات واجتماعات اللجنة الاستراتيجية العليا تعكس عمق العلاقات بين قطر وتركيا
🇶🇦🇹🇷
#الخارجية_القطرية https://t.co/vAAe1d8NYK</t>
  </si>
  <si>
    <t>Spokesperson of the Ministry of Foreign Affairs @majedalansari : The results of the visits and the meetings of the Higher strategic committee reflect the depth of the relations between the state of Qatar and Turkey
🇶🇦🇹🇷
#MOFAQatar https://t.co/PFwSBrobgf</t>
  </si>
  <si>
    <t>🎥| انعقاد الاجتماع الوزاري للجنة الاستراتيجية العليا القطرية - التركية في اسطنبول
🇶🇦🇹🇷
#الخارجية_القطرية 
@MBA_AlThani_ 
@MevlutCavusoglu https://t.co/8scFFgjjaY</t>
  </si>
  <si>
    <t>Qatar Calls for International Community to Unite to Support Least Developed Countries
🔗To learn more: https://t.co/apkNG7JoB6
#MOFAQatar https://t.co/VEEqGjl5Kk</t>
  </si>
  <si>
    <t>مساعد وزير الخارجية @Lolwah_Alkhater تجتمع مع رئيس مجلس الأمناء بالصناديق الإنسانية لمنظمة التعاون الإسلامي
#الخارجية_القطرية https://t.co/AXRiibfEGj</t>
  </si>
  <si>
    <t>وقوفنا مع مبادئ القانون الدولي قيمة ثابتة في سياستنا الخارجية لا انتقائية فيها، وسعادة @MBA_AlThani_ يذكر المجتمع الدولي هنا أن إنهاء الاحتلال في فلسطين هو بنفس درجة الأهمية ويخضع للقانون ذاته. https://t.co/Op4NaxI3dq</t>
  </si>
  <si>
    <t>Qatar's Ambassador Meets Acting Head of the United Nations Support Mission in Libya
#MOFAQatar https://t.co/S4RyYhd1ry</t>
  </si>
  <si>
    <t>انعقاد الاجتماع الوزاري للجنة الاستراتيجية العليا القطرية - التركية في اسطنبول
🇶🇦🇹🇷
#الخارجية_القطرية https://t.co/FhpcB8V6Iw</t>
  </si>
  <si>
    <t>دولة قطر تدعو إلى تكاتف المجتمع الدولي لدعم البلدان الأقل نموا
🔗لقراءة المزيد: https://t.co/FZYAWlsP3I
#الخارجية_القطرية https://t.co/xD5aR1ycrT</t>
  </si>
  <si>
    <t>Qatar Welcomes Signing of Declaration of Algiers by Palestinian Factions
#MOFAQatar https://t.co/0hMGVGGIWR</t>
  </si>
  <si>
    <t>Pleasure receiving the new PR of @RomaniaUN_NY, Amb. @CornelFeruta. 
I congratulated him for #Romania election at the @UN_HRC .looking forward to working with him &amp;amp; enhancing the bilateral relations between our 🇶🇦🇷🇴countries @UN.
@MofaQatar_EN https://t.co/aUGDUyW8KR</t>
  </si>
  <si>
    <t>سفير دولة قطر يجتمع مع القائم بأعمال رئيس بعثة الأمم المتحدة للدعم في ليبيا
#الخارجية_القطرية https://t.co/bo4OCMSWv0</t>
  </si>
  <si>
    <t>استمتعت بالحوار الهادف والمثمر مع السيد/انتونيو فوترينو، المدير العام للمنظمة الدولية للهجرة @UNmigration 
وحديث حول سبل التعاون الاستراتيجي المشترك بين دولة قطر والمنظمة في تعزيز الجهود لحماية حقوق المهاجرين مع الاشارة الى حرص دولة قطر وجهودها في الاغاثة الانسانية للمهاجرين. https://t.co/HZ5rOXRsUb</t>
  </si>
  <si>
    <t>Very interesting discussions with Mr. Antonio Vitorino, the DG of the @UNmigration about our strategic cooperations &amp;amp; enhancing our efforts in promoting migrants’ human rights &amp;amp; stressing Qatar’s humanitarian actions to migrants. https://t.co/DL5wAUzXp2</t>
  </si>
  <si>
    <t>بمناسبة الذكرى الأولى للأسبوع العالمي للرواية، تنظم الألكسو ووزارة الثقافة لجمهورية تونس الشقيقة والمؤسسة العامة للحي الثقافي "كتارا" حفل استقبال بهذه المناسبة وتوزيع جائزة كتارا للرواية العربية في اليونسكو بحضور سعادة د.خالد السليطي مدير عام المؤسسة العامة الحي الثقافي "كتارا" https://t.co/Nu2pnLHc9k</t>
  </si>
  <si>
    <t>Assistant Foreign Minister @Lolwah_Alkhater Meets Chairman of Board of Trustees of the Humanitarian Funds of OIC
#MOFAQatar https://t.co/TWpwDLa2o5</t>
  </si>
  <si>
    <t>I attended the ministerial meeting of the Qatari-Turkish Supreme Committee, to stress the importance of our brotherly relations &amp;amp; our common positions on regional &amp;amp; international issues. I thank my brother HE @MevlutCavusoglu, Foreign Minister of #Türkiye, for the warm welcome. https://t.co/VtfAbIRdUR</t>
  </si>
  <si>
    <t>سمو الأمير المفدى يهنئ أخاه فخامة الرئيس الدكتور عبد اللطيف رشيد، بمناسبة انتخابه وأدائه اليمين الدستورية رئيسًا لجمهورية العراق الشقيقة، متمنيًا له التوفيق وللعلاقات بين البلدين المزيد من التطور والنماء. https://t.co/jjTicwo9Ks</t>
  </si>
  <si>
    <t>Today, I met with PGA66 H.E. Mr. Nassir Abdulaziz Al-Nasser 🇶🇦, with whom I had the distinct honour of serving as Vice-President.
Great exchange of views on the role of the UN &amp;amp; the General Assembly in these challenging times. https://t.co/7vH6kh4LwH</t>
  </si>
  <si>
    <t>نائب رئيس مجلس الوزراء وزير الخارجية @MBA_AlThani_: نؤكد على موقف دولة قطر الثابت من احترام سيادة الدول والقانون الدولي الذي لا يتجزأ، ومثلما ينطبق على أوكرانيا ينطبق على الاحتلال في فلسطين والقضايا الأخرى
#الخارجية_القطرية https://t.co/HK3v4mG1Su</t>
  </si>
  <si>
    <t>Great to receive Amb. @MauMassari, PR @ItalyUN_NY 🇮🇹, to exchange views on the latest developments on a number of regional issues @UN .Proud of the strength of the bilateral relations between our countries 🇶🇦 🇮🇹 🇺🇳 
@MofaQatar_EN https://t.co/qm21ATBaQ9</t>
  </si>
  <si>
    <t>Ministerial Meeting of Qatari-Turkish Supreme Strategic Committee Takes Place in Istanbul
🇶🇦🇹🇷
#MOFAQatar https://t.co/8SkDHLFqP9</t>
  </si>
  <si>
    <t>حضرت اليوم الاجتماع الوزاري للجنة العليا القطرية التركية، الذي أكدت فيه على أهمية علاقاتنا الأخوية والمتميزة، وعلى التوافق بيننا في المواقف من القضايا الإقليمية والدولية. أشكر أخي سعادة السيد @MevlutCavusoglu، وزير خارجية #تركيا الشقيقة، على حسن الاستقبال وكرم الضيافة. https://t.co/pxTrgkl4Po</t>
  </si>
  <si>
    <t>نائب رئيس مجلس الوزراء وزير الخارجية @MBA_AlThani_ : قطر وتركيا اتفقتا على تطوير العلاقات الثنائية بشكل مستمر
🇶🇦🇹🇷
🔗لقراءة المزيد: https://t.co/qv5R2KtCwr
#الخارجية_القطرية https://t.co/hycujajyxM</t>
  </si>
  <si>
    <t>African Diplomatic Group Commends Qatar's Preparations to Host FIFA World Cup Qatar 2022
#MOFAQatar 
@majedalansari https://t.co/mTTblUtGS0</t>
  </si>
  <si>
    <t>دولة قطر ترحّب بتوقيع الفصائل الفلسطينية على إعلان الجزائر
#الخارجية_القطرية https://t.co/1B2aHdbfbh</t>
  </si>
  <si>
    <t>.@MOLQTR Office in Geneva chaired a coordination meeting with representatives of Arab Missions. The meeting discussed ways for further cooperation on labour issues to enhance the impact of Arab states &amp;amp; to better serve their common interest in the ILO.</t>
  </si>
  <si>
    <t>Education City Station is the First Metro Station in Doha to Receive Platinum GSAS Certification. #QNA
https://t.co/zJzyWYgnQP https://t.co/0yjMiYNN4d</t>
  </si>
  <si>
    <t>سعادة الدكتورة حمدة بنت حسن السليطي نائب رئيس #مجلس_الشورى، رئيس وفد مجلس الشورى في أعمال الجمعية العامة الـ145 للاتحاد البرلماني الدولي تجتمع مع نائب رئيس البرلمان التركي ونائب رئيس البرلمان الغامبى،  حيث استعرض الاجتماعين العلاقات الثنائية وسبل تعزيزها.
https://t.co/T28VEEK6OE https://t.co/dFtOtqo9L1</t>
  </si>
  <si>
    <t>سعادة الدكتور أحمد بن ناصر الفضالة أمين عام #مجلس_الشورى، رئيس جمعية الأمناء العامين للبرلمانات العربية، يترأس اجتماع الجمعية، الذي عقد على هامش أعمال الجمعية العامة الـ145 للاتحاد البرلماني الدولي.
https://t.co/bzsq6Z7351 https://t.co/8P2KNzHeII</t>
  </si>
  <si>
    <t>استلمت دولة #قطر رسميًا علم بطولة العالم للجودو- الدوحة 2023، لتصبح #الدوحة المدينة المستضيفة لواحدة من أكبر رياضات فنون القتال ممارسة على مستوى العالم. جاء ذلك بعد زيارة وفد من اللجنة المنظمة برئاسة السيد عيد المريخي للعاصمة الأوزبكية طقشند.
🥋🇶🇦 https://t.co/RnMCAg57lv</t>
  </si>
  <si>
    <t>The 2023 World #Judo Championships flag was handed over to the state of #Qatar, the next host country of the event at a momentous handover ceremony in Tashkent, Uzbekistan. https://t.co/I5mgUimUCt</t>
  </si>
  <si>
    <t>سعدت باستقبال المجموعة الأفريقية الدبلوماسية واستلام بيانها بشأن كأس العالم ٢٠٢٢، والذي يعبر عن إشادتها بتحضيرات #قطر للبطولة وثقتها في أنها ستشكل إرثا مستداماً ونوعياً  للإنسانية. 
نشكر المجموعة على بيانها، ونؤكد أن نسخة قطر من البطولة ستكون استثنائية وستوفر تجربة مميزة للجميع. https://t.co/s13J9clUXb</t>
  </si>
  <si>
    <t>سعادة السيد محمد بن مهدي الأحبابي عضو مجلس الشورى،رئيس اللجنة الدائمة للسلم والأمن الدوليين بالاتحاد البرلماني الدولي يشارك في اجتماع الهيئة التوجيهية "لجنة التسيير" للجمعية العامة للاتحاد البرلماني الدولي،ضمن أعمال الجمعية العامة الـ145 للاتحاد، المنعقدة حالياً في العاصمة كيغالي https://t.co/lChFpG3Ibw</t>
  </si>
  <si>
    <t>سمو الأمير المفدى يصل مدينة إسطنبول، في زيارة عمل إلى الجمهورية التركية الشقيقة، يترأس خلالها مع أخيه فخامة الرئيس رجب طيب أردوغان، اجتماع الدورة الثامنة للجنة الاستراتيجية العليا القطرية التركية. https://t.co/PLVSxifm1P</t>
  </si>
  <si>
    <t>#QNA_Infographic | Turkish Presidential Communications Director to #QNA: The President of the Republic of Turkey attaches special importance to strengthening relations with the State of #Qatar. #Qatar_Turkey https://t.co/8bw6QRf8IP</t>
  </si>
  <si>
    <t>Deputy Speaker of Shura Council: #Qatar adopted clear policies to enhance the status of women. #QNA https://t.co/R4EMfrHeCm https://t.co/yfkBUBRlRI</t>
  </si>
  <si>
    <t>المجموعة الدبلوماسية الإفريقية تشيد بالاستعدادات لاستضافة بطولة كأس العالم FIFA قطر 2022
#الخارجية_القطرية 
@majedalansari https://t.co/VVm3Vztenr</t>
  </si>
  <si>
    <t>H.E. Minister Saad Sherida Al-Kaabi meets Suriname’s Minister of Natural Resources
#Qatar https://t.co/PIVQnQMhxn</t>
  </si>
  <si>
    <t>GANHRI Launches Global Campaign to Remind with Human Rights Centrality, Universality. #QNA
https://t.co/BwD2Z7sILj https://t.co/I3ElerPxUo</t>
  </si>
  <si>
    <t>سعادة الوزير سعد بن شريده الكعبي يلتقي فخامة رئيس سورينام
#قطر https://t.co/92OaxzsUaR</t>
  </si>
  <si>
    <t>Turkish President: Turkey's aim is to stop bloodshed in the ongoing Russia-Ukraine war . #QNA 
#CICA
#CICASummit2022 https://t.co/qtiuEZrqT6</t>
  </si>
  <si>
    <t>Qatar condena enérgicamente el asalto de los colonos a la mezquita de Al-Aqsa
#MOFAQatar https://t.co/3k64iwkHlt</t>
  </si>
  <si>
    <t>مراسم استقبال رسمية لسمو الأمير المفدى في القصر الرئاسي "آق أوردا" بجمهورية كازاخستان الصديقة. #قطر #كازاخستان https://t.co/Dx28FLM9Rk https://t.co/Lo9eTr3xC7</t>
  </si>
  <si>
    <t>سمو الأمير المفدى وفخامة الرئيس قاسم جومارت توكاييف رئيس جمهورية كازاخستان الصديقة، يعقدان جلسة مباحثات رسمية، بالقصر الرئاسي "آق أوردا" في العاصمة أستانا. #قطر #كازاخستان https://t.co/n2pAlsPZ8j https://t.co/l0kmLnOflD</t>
  </si>
  <si>
    <t>سمو الأمير المفدى يعزي فخامة الرئيس نيكولاس مادورو رئيس جمهورية فنزويلا البوليفارية، في ضحايا الانهيارات الأرضيّة في مدينة لاس تيخيرياس، متمنيًا سموه الشفاء العاجل للمصابين. https://t.co/Qk8CFzhzmB</t>
  </si>
  <si>
    <t>دولة قطر تؤكد على الدور المحوري للتعليم لتحقيق أهداف التنمية المستدامة
🔗لقراءة المزيد: https://t.co/HmzogO6in0
#الخارجية_القطرية https://t.co/Qevd2B1t6t</t>
  </si>
  <si>
    <t>دولة قطر تجدد دعمها للجهود المبذولة لتعزيز الشراكة الدولية
🔗لقراءة المزيد: https://t.co/wBGx4QzMpQ
#الخارجية_القطرية https://t.co/jv4ElDjRFl</t>
  </si>
  <si>
    <t>قطر تجدد الالتزام بالجهود الرامية لتفعيل مبدأ سيادة القانون وتحقيق العدالة الدولية
🔗لقراءة المزيد: https://t.co/Wek3DlnGtx
#الخارجية_القطرية https://t.co/ze7WSKMuIY</t>
  </si>
  <si>
    <t>دولة قطر تشارك في أعمال المؤتمر العربي الألماني للطاقة
🔗لقراءة المزيد: https://t.co/emdYoevsyN
#الخارجية_القطرية https://t.co/VQVxasB1Yd</t>
  </si>
  <si>
    <t>بيان | قطر تدين بشدة اقتحام مستوطنين المسجد الأقصى المبارك
#الخارجية_القطرية https://t.co/kgZRz8cDwc</t>
  </si>
  <si>
    <t>رئيس البرلمان بجمهورية كوت ديفوار يجتمع مع سفير دولة قطر 
#الخارجية_القطرية https://t.co/C2XSPLXJAn</t>
  </si>
  <si>
    <t>President of National Assembly of Cote d'Ivoire Meets Qatar's Ambassador
#MOFAQatar https://t.co/U0qQEbqhJn</t>
  </si>
  <si>
    <t>Qatar Stresses Pivotal Role of Education to Achieve Sustainable Development Goals
🔗To learn more: https://t.co/bnS8V4eORt
#MOFAQatar https://t.co/MtNaZnQsQU</t>
  </si>
  <si>
    <t>Qatar Reaffirms Support to Concerted Efforts in Fostering International Partnership
🔗To learn more: https://t.co/lMzcKaWpmj
#MOFAQatar https://t.co/fOnQIpZDd1</t>
  </si>
  <si>
    <t>Qatar Renews its Commitment to Efforts to Activate Principle of Rule of Law and Achieve International Justice
🔗To learn more: https://t.co/yS1UBqPaL2
#MOFAQatar https://t.co/4cDursGXUB</t>
  </si>
  <si>
    <t>Qatar Participates in Arab-German Energy Forum 2022
🔗To learn more: https://t.co/eJxtKYkpFH
#MOFAQatar https://t.co/uFOrSUMikn</t>
  </si>
  <si>
    <t>Statement | Qatar Strongly Condemns Settlers' Storming of Al-Aqsa Mosque
#MOFAQatar https://t.co/XUGNQzDJNW</t>
  </si>
  <si>
    <t>#MOCIQATAR, in cooperation with the Office of the Technical Secretariat to combat harmful practices in international trade of the GCC States, organized a workshop on spreading awareness of the concepts of harmful practices in international trade, from 12-13 October 2022.</t>
  </si>
  <si>
    <t>نظمت وزارة #التجارة_والصناعة بالتعاون مع مكتب الأمانة الفنية لمكافحة الممارسات الضارة في التجارة الدولية لمجلس التعاون لدول الخليج العربية، ورشة عمل حول نشر الوعي بمفاهيم الممارسات الضارة في التجارة الدولية، وذلك خلال الفترة من 12 - 13 أكتوبر 2022. https://t.co/XpUfiKs1KL</t>
  </si>
  <si>
    <t>Amb_AlKuwari</t>
  </si>
  <si>
    <t>كل منا يمكنه المساهمة في إنجاح كأس العالم قطر 2022 ، 
بالعمل 
بالكلمة 
بالابتسامة 
بالهمسة 
بالإشارة 
بالنظرة 
قطر تستحق الأفضل . https://t.co/DzIThs7PV2</t>
  </si>
  <si>
    <t>QatarAtUNESCO</t>
  </si>
  <si>
    <t>The State of Qatar participates in the opening session of the 215th session of the Executive Board of UNESCO. Qatar affirmed its total commitment to support UNESCO's initiatives in achieving SDGs and the urgent need for multilateral cooperation to confront worldwide challenges. https://t.co/MMboiEb5jJ</t>
  </si>
  <si>
    <t>#قنا_فيديو |
السفير التركي: زيارة سمو الأمير إلى #تركيا تشكل فرصة مهمة لتعزيز العلاقات الأخوية المتميزة بين البلدين
#قنا
#قطر_تركيا https://t.co/Z0D4zSrFnx</t>
  </si>
  <si>
    <t>#H.E. Dr. Hend Al-Muftah, met with #Tajikistan’s Amb. H.E Jamshed Khamidov. Discussions covered ways of strengthening bilateral cooperation &amp;amp; Joint UN multilateral action on human rights, energy, health, education &amp;amp; climate change, looking forward to future mutual cooperation</t>
  </si>
  <si>
    <t>شكل الحدث رفيق المستوى بمناسبة اليوم العالمي لحماية التعليم من الهجمات بتاريخ ٩ سبتمبر الماضي منعطفًا هامًا لتعبئة الجهود الدولية لنقلها على أرض الواقع ولجعل العملية التعليمية تحت أليات فاعلة لحمايتها من أي هجوم على التعليم في جميع مناطق النزاع حول العالم. https://t.co/CTVTx5wt5H</t>
  </si>
  <si>
    <t>وتدعو دولة قطر منظمة اليونسكو الي بذل المزيد من الجهود لضمان تنفيذ التزامات وقرارات المنظمة المعنية بالمؤسسات التعليمية والتراث الثقافي في الأراضي الفلسطينية المحتلة.</t>
  </si>
  <si>
    <t>وتقود دولة قطر كأحد الدول الأبطال في التعليم، جهودًا دولية مع الشركاء الدوليين بهدف حشد الجهود والامكانيات لتحقيق اهداف خطط التعليم ٢٠٣٠، لإحلال التغيير اللازم لمواكبة التحولات المعاصرة.</t>
  </si>
  <si>
    <t>سعيد جدًا بمشاركتِي في هذه الفعالية الاستثنائية تحت قبة متحف الفن الاسلامي.
جزيل الشكر ل@miaqatar و @qatartelevision على التنظيم الرائع وأيضا للقرّاء المميزين لخوضهم هذا التحدي حول #الأمير_الصغير. فقد صنعتم التاريخ! 👏 https://t.co/8lm0bVl5XJ</t>
  </si>
  <si>
    <t>Qatar Calls for Protection of Education, Heritage in Conflict Areas at UNISCO (EB) Opening Session. #QNA https://t.co/Vm4x2OC0aA</t>
  </si>
  <si>
    <t>Qatar Renews its Commitment to Efforts to Activate Principle of Rule of Law and Achieve International Justice. #QNA
https://t.co/m8teG23Zcf https://t.co/A05T6Xbl4k</t>
  </si>
  <si>
    <t>HH the Amir to Participate in Sixth CICA Summit Thursday. #QNA #CICASummit2022
#CICA
https://t.co/FluUidRvKm https://t.co/YABjF0eMdM</t>
  </si>
  <si>
    <t>Qatar Participates in Arab-German Energy Forum 2022. #QNA https://t.co/eGapq0bvfF</t>
  </si>
  <si>
    <t>Cette diversité culturelle en un lieu renforce le principe de coexistence. L’UNESCO est un exemple vivant qui renforce cette idée. 
Bienvenue au Qatar 🇶🇦!</t>
  </si>
  <si>
    <t>Nous sommes à 40 jours du plus grand événement sportif du monde. Cet événement dépasse le football car il réunit toutes les nations du monde qui seront présentes avec leurs richesses culturelles. Elles vont coexister de près avec la culture arabe. https://t.co/qOKoK5XUAQ</t>
  </si>
  <si>
    <t>#QNA_Infographic | #Qatari Ambassador to #Turkey to #QNA: Holding this meeting on an ongoing basis has a symbolism and significance, as it confirms the commitment of the two parties to this annual date and its priority. #Qatar_Turkey https://t.co/2FenpNcQG0</t>
  </si>
  <si>
    <t>#QNA_Infographic | AIFC Governor to QNA: #Qatar is a significant political and economic ally of #Kazakhstan. #QNA https://t.co/4MJ4jmu3md https://t.co/PaeTJxRq70</t>
  </si>
  <si>
    <t>Shura Council Partakes in 210th Session of IPU's Governing Council. #QNA
https://t.co/WXXy5VDgSe https://t.co/H7ZiUPDRlB</t>
  </si>
  <si>
    <t>HH the Amir met President of Palestine, on the sidelines of the sixth summit of the Conference on Interaction and Confidence Building Measures in Asia (CICA), held in the Republic of Kazakhstan. 
#QNA 
#CICA
#CICASummit2022 https://t.co/L53gfLvqAD</t>
  </si>
  <si>
    <t>Qatar Stresses Importance of Adhering to Agreements, Treaties on Disarmament of Nuclear and Mass Destruction Weapons. #QNA 
#United_Nations
https://t.co/66qJijoCEg https://t.co/JP0RMurj4N</t>
  </si>
  <si>
    <t>HH the Amir participates in the sixth summit of the Conference on Interaction and Confidence Building Measures in Asia (CICA), held in the Independence Palace in Astana, capital of the Republic of Kazakhstan. 
#QNA 
#CICA
#CICASummit2022 https://t.co/HMX5JEtZIf</t>
  </si>
  <si>
    <t>HH the Amir left Astana after concluding a state visit to the Republic of #Kazakhstan and participating in the sixth summit of the Conference on Interaction and Confidence Building Measures in Asia (CICA), heading to Istanbul on a work visit to the Republic of Turkey. #QNA https://t.co/FVj7WKJyMw</t>
  </si>
  <si>
    <t>Russian President: Relations between #Russia and #Qatar are developing. We do everything in terms of sharing our experience in the preparations for the #World_Cup. I want to wish Qatar success in the organization of this major event. I am sure that it will be a success. #QNA https://t.co/0WEhAJyJwP</t>
  </si>
  <si>
    <t>الرئيس الروسي: العلاقات بين #روسيا و #قطر تتطور بشكل كبير.. ونتمنى لها النجاح في تنظيم بطولة #كأس_العالم 2022 ومستعدون لتقديم الدعم لها
#قنا https://t.co/z4WwZLAlQL</t>
  </si>
  <si>
    <t>سمو الأمير: #روسيا قدمت دعما كبيرا لـ #قطر بخصوص اللجنة المنظمة لـ #كأس_العالم.. والتنسيق سيستمر معها ونشكرها على ذلك
#قنا https://t.co/tcbaLYiBXE</t>
  </si>
  <si>
    <t>HH the Amir met President of the Islamic Republic of Iran , on the sidelines of the sixth summit of the Conference on Interaction and Confidence Building Measures in Asia (CICA), held in  Astana.#QNA 
#CICA #CICASummit2022 https://t.co/Aw38osiPuz</t>
  </si>
  <si>
    <t>Minister of State for Foreign Affairs meets #Jordan's Ambassador. #QNA #Qatar https://t.co/13K6wMbeTP https://t.co/UmskrRBHUA</t>
  </si>
  <si>
    <t>Minister of Communications and Information Technology meets Saudi counterpart. #QNA https://t.co/aVDvRWi7u7 https://t.co/qjR32I6loR</t>
  </si>
  <si>
    <t>#QNA_Infographic | Ambassador of Turkey in a statement to #QNA: #Qatar and #Turkey share a common destiny and there is a shared view on many regional and international issues of interest for the two countries. #Qatar_Turkey https://t.co/cxex49h3Ev https://t.co/EZeoYFrGTi</t>
  </si>
  <si>
    <t>#QNA_Infographic | Qatari-Turkish Supreme Strategic Committee. Seven sessions of comprehensive work. #QNA #Qatar_Turkey https://t.co/9JPHjbABTv https://t.co/BqFdZXThYF</t>
  </si>
  <si>
    <t>HH the Amir received a written message from the President of the #USA, pertaining to bilateral relations between the two countries and means of boosting and strengthening them, as well as issues of common concern. #QNA 
https://t.co/CO32u39hSf https://t.co/5uaup2uUaz</t>
  </si>
  <si>
    <t>كما سعدنا بمشاركتنا في القمة السادسة لمؤتمر التفاعل وإجراءات بناء الثقة في آسيا "سيكا" المنعقدة بأستانا، متمنين أن تكلل نتائجها بالنجاح لما فيه خير ومصلحة شعوب القارة الآسيوية. نشكر رئيس كازاخستان على حسن الاستقبال وكرم الضيافة. https://t.co/GyuUAqNxs2</t>
  </si>
  <si>
    <t>Le ministre adjoint des Affaires étrangères chargé des Affaires régionales rencontre une responsable Française
#MOFAQatar https://t.co/CxQxr5vupm</t>
  </si>
  <si>
    <t>سمو الأمير المفدى يلتقي فخامة الرئيس فلاديمير بوتين رئيس روسيا الاتحادية، وذلك على هامش انعقاد القمة السادسة لمؤتمر التفاعل وإجراءات بناء الثقة في آسيا "سيكا"، في العاصمة أستانا بجمهورية كازاخستان. https://t.co/2KCLcQUs4e https://t.co/6fhRJ2NAs1</t>
  </si>
  <si>
    <t>HH the Amir met with President of the #Russian Federation, on the sidelines of the sixth summit of the Conference on Interaction and Confidence Building Measures in Asia #SICA, held in the Republic of #Kazakhstan's capital Astana. #QNA #CICASummit2022 https://t.co/maHIMMziJP</t>
  </si>
  <si>
    <t>سمو الأمير المفدى يهنئ فخامة الرئيس ألكسندر فان دير بيلين بمناسبة إعادة انتخابه رئيسا لجمهورية النمسا لولاية ثانية. https://t.co/3nZUV6QdYk</t>
  </si>
  <si>
    <t>سمو الأمير المفدى يلتقي أخاه فخامة الرئيس محمود عباس رئيس دولة فلسطين الشقيقة، وذلك على هامش انعقاد القمة السادسة لمؤتمر التفاعل وإجراءات بناء الثقة في آسيا "سيكا"، في العاصمة أستانا بجمهورية كازاخستان. https://t.co/83CElGGR9M https://t.co/ja2zDZiUeq</t>
  </si>
  <si>
    <t>HH The Amir: #Russia provides great support to #Qatar regarding the organizing committee of the #WorldCup Qatar 2022 , and coordination will continue , and we thank Russia for that.#QNA https://t.co/DmFbanBOqp</t>
  </si>
  <si>
    <t>سمو الأمير المفدى يشارك في القمة السادسة لمؤتمر التفاعل وإجراءات بناء الثقة في آسيا "سيكا"، وذلك بقصر الاستقلال في العاصمة أستانا بجمهورية كازاخستان. https://t.co/8sQjxUmN2c https://t.co/uSbar913J1</t>
  </si>
  <si>
    <t>Qatar Stresses Importance of Adhering to Agreements, Treaties on Disarmament of Nuclear and Mass Destruction Weapons
🔗To learn more : https://t.co/NnJgqnCdNX
#MOFAQatar https://t.co/PYOhnPnePa</t>
  </si>
  <si>
    <t>سمو الأمير المفدى يغادر العاصمة أستانا بعد ختام زيارة دولة لجمهورية كازاخستان والمشاركة في القمة السادسة لمؤتمر التفاعل وإجراءات بناء الثقة في آسيا "سيكا"، متوجها إلى مدينة إسطنبول في زيارة عمل للجمهورية التركية. https://t.co/4wzKS2k6C5</t>
  </si>
  <si>
    <t>سعادة نائب رئيس #مجلس_الشورى تؤكد على تبني قطر لسياسات واضحة لتعزيز مكانة المرأة والعدالة الاجتماعية في كافة الميادين، وفق توجيهات سمو الأمير المفدى، وذلك في كلمتها أمام الجمعية العامة الـ145 للاتحاد البرلماني الدولي المنعقدة في رواندا، والتي ناقشت جهود المساواة بين الجنسين. https://t.co/brVdSObygk</t>
  </si>
  <si>
    <t>دولة قطر تؤكد على أهمية الالتزام باتفاقيات ومعاهدات نزع السلاح النووي وأسلحة الدمار الشامل
🔗لقراءة المزيد : https://t.co/gX5eEmhHzE
#الخارجية_القطرية https://t.co/QuuMxyO3Ki</t>
  </si>
  <si>
    <t>Minister of State for Foreign Affairs Meets Jordan's Ambassador
#MOFAQatar https://t.co/y5oK3Ed6ab</t>
  </si>
  <si>
    <t>سمو الأمير المفدى يلتقي فخامة الرئيس الدكتور إبراهيم رئيسي رئيس الجمهورية الإسلامية الإيرانية، وذلك على هامش انعقاد القمة السادسة لمؤتمر التفاعل وإجراءات بناء الثقة في آسيا "سيكا" في العاصمة أستانا بجمهورية كازاخستان. https://t.co/R6GHYB1XKQ https://t.co/gsFohJw1cq</t>
  </si>
  <si>
    <t>وزير الدولة للشؤون الخارجية يجتمع مع سفير الأردن
#الخارجية_القطرية https://t.co/t3fpWHly6F</t>
  </si>
  <si>
    <t>اجتمعت سعادة د. هند المفتاح، المندوب الدائم لدولة قطر مع سعادة السيد جمشيد خاميدوف المندوب الدائم لطاجكستان، حيث ناقشا سبل تعزيز التعاون الثنائي والعمل الأممي المشترك متعدد الاطراف في قضايا حقوق الانسان والطاقة والصحة والتعليم وتغير المناخ والتطلع الى التعاون المتبادل المستقبلي https://t.co/GJFlLItp8l</t>
  </si>
  <si>
    <t>Assistant Foreign Minister for Regional Affairs @Dr_Al_Khulaifi Meets French Official
#MOFAQatar https://t.co/pDGFdljwj8</t>
  </si>
  <si>
    <t>مساعد وزير الخارجية للشؤون الإقليمية @Dr_Al_Khulaifi يجتمع مع مسؤولة فرنسية
#الخارجية_القطرية https://t.co/zpkldfZYRQ</t>
  </si>
  <si>
    <t>#FIFAWorldCup #Qatar2022/ Minister of Communications and Information Technology of Saudi Arabia Visits Al Bayt Stadium. #QNA #World_Cup_2022 
https://t.co/sCXOpbJNxa https://t.co/hnmto2HnNz</t>
  </si>
  <si>
    <t>Shura Council Participates in meeting of IPU Committees' Meetings. #QNA https://t.co/EmSe4ZMh6B</t>
  </si>
  <si>
    <t>#QNA_Infographic | HH the Amir, a journey full of honors. #QNA https://t.co/DHYbwJPRj0 https://t.co/JFcMfmCto5 https://t.co/B2e6W2oBPJ</t>
  </si>
  <si>
    <t>#QNA_Video | Ambassador of Turkey to QNA: HH the Amir's visit to #Turkey is an important opportunity to strengthen relations and open new areas of cooperation. #QNA #Qatar_Turkey https://t.co/YmXCcrOmGS</t>
  </si>
  <si>
    <t>اختتمنا اليوم زيارتنا إلى جمهورية كازاخستان، والتي سعدنا خلالها بلقاء فخامة الرئيس @TokayevKZ وبالمباحثات معه حول سبل تطوير التعاون بين بلدينا الصديقين، وأبرز المستجدات الإقليمية والدولية. https://t.co/kwmFhNnCue</t>
  </si>
  <si>
    <t>أهنئ مملكة #إسبانيا الصديقة بمناسبة ذكرى اليوم الوطني، متمنياً لهم المزيد من التقدم والازدهار. نتطلع لتطوير علاقتنا المتميزة بما يخدم مصالح شعبينا الصديقين.</t>
  </si>
  <si>
    <t>سمو الأمير يبعث رسالة خطية إلى رئيسة جمهورية كوسوفو
#الخارجية_القطرية https://t.co/cvF9zUNP4q</t>
  </si>
  <si>
    <t>I congratulate the friendly Kingdom of #Spain on the occasion of their National Day, wishing them further progress &amp;amp; prosperity. We look forward to developing our distinguished relationship to serve the interests of our two friendly people.</t>
  </si>
  <si>
    <t>Delighted to meet with Mr Stéphane Berthet, Vice-Rector &amp;amp; Ms Noria Mezlef, Director of Int Relations at @UNIGEnews 
We had great discussions on developing bilateral relations in various fields, &amp;amp; enhancing our academic diplomacy cooperation in education and research. https://t.co/atWvi0mI64</t>
  </si>
  <si>
    <t>التصريحات الصحفية المشتركة لسمو الأمير المفدى وفخامة الرئيس قاسم جومارت توكاييف رئيس جمهورية كازاخستان الصديقة. #قطر #كازاخستان https://t.co/Vwb34kJrWU https://t.co/YNuOQAeKT6</t>
  </si>
  <si>
    <t>Felicito al Reino de #España por el día de la Hispanidad, deseándole futura prosperidad y progreso. Esperamos continuar reforzando nuestra distinguida relación para servir a los intereses de nuestros pueblos.</t>
  </si>
  <si>
    <t>HH the Amir Sends Written Message to President of Kosovo
#MOFAQatar https://t.co/HjFPNTpQKa</t>
  </si>
  <si>
    <t>مساعد وزير الخارجية للشؤون الإقليمية @Dr_Al_Khulaifi  يجتمع مع وفد مجلس اللوردات البريطاني 
#الخارجية_القطرية https://t.co/a79wn9j3VW</t>
  </si>
  <si>
    <t>سمو الأمير المفدى يُمنح وسام النسر الذهبي الكازاخستاني "ألتين قيران" من فخامة رئيس جمهورية كازاخستان الصديقة، تقديرًا لجهود سموه في تعميق أواصر العلاقات بين البلدين الصديقين، وذلك خلال المراسم التي أقيمت في القصر الرئاسي في العاصمة أستانا. #قطر #كازاخستان https://t.co/SitghrHtsI https://t.co/nvXBb33DZH</t>
  </si>
  <si>
    <t>جولة مشاورات سياسية بين دولة قطر وجمهورية أذربيجان
#الخارجية_القطرية https://t.co/FJGSxZcehH</t>
  </si>
  <si>
    <t>Qatar, Azerbaijan Hold Round of Political Talks
#MOFAQatar https://t.co/nr7QIv6vQH</t>
  </si>
  <si>
    <t>دولة قطر تترأس جلسة اللجنة الثالثة التابعة للجمعية العامة للأمم المتحدة
🔗لقراءة المزيد : https://t.co/KGlqTytHrv
#الخارجية_القطرية https://t.co/ws2G0VXVan</t>
  </si>
  <si>
    <t>سمو الأمير المفدى وفخامة الرئيس قاسم جومارت توكاييف رئيس جمهورية كازاخستان الصديقة يشهدان التوقيع على عدد من الاتفاقيات ومذكرات التفاهم بين البلدين، وذلك بالقصر الرئاسي "آق أوردا" في العاصمة أستانا. #قطر #كازاخستان https://t.co/LgUPLLDpa0 https://t.co/oQa6rMxnEd</t>
  </si>
  <si>
    <t>Assistant Foreign Minister for Regional Affairs @Dr_Al_Khulaifi  Meets UK House of Lords Delegation
#MOFAQatar https://t.co/uUnufcMIHm</t>
  </si>
  <si>
    <t>مساعد وزير الخارجية للشؤون الإقليمية @Dr_Al_Khulaifi  يجتمع مع السفير الفرنسي لدى اليمن
#الخارجية_القطرية https://t.co/SPkD5NKRDz</t>
  </si>
  <si>
    <t>Assistant Foreign Minister for Regional Affairs @Dr_Al_Khulaifi  Meets French Ambassador to Yemen
#MOFAQatar https://t.co/s2cvTeTppt</t>
  </si>
  <si>
    <t>President of Guyana Meets Minister of State for Energy Affairs. #QNA
https://t.co/al0Ov9xXQo https://t.co/2swCeRd9Hb</t>
  </si>
  <si>
    <t>FIFA has announced that it will distribute USD 209 million to the clubs whose players will participate in the #FIFAWorldCup #Qatar2022, as part of the club's profit distribution programme. #QNA #World_Cup_2022 https://t.co/AZ8rtNIYtV</t>
  </si>
  <si>
    <t>Shura Council Deputy Speaker Meets Parliamentary Delegations on Sidelines of IPU Meetings. #QNA
https://t.co/CznXzjf3un https://t.co/LnzjdSjeXD</t>
  </si>
  <si>
    <t>دولة قطر تجدد التزامها بدعم برامج مفوضية الأمم المتحدة لشؤون اللاجئين
🔗لقراءة المزيد: https://t.co/y08nqA3I1e
#الخارجية_القطرية https://t.co/u5U9NMF3Mp</t>
  </si>
  <si>
    <t>خلال النقاش العام في الدورة 73 #للجنة التنفيذية لبرنامج المفوض السامي للأمم المتحدة لشؤون اللاجئين دعت دولة #قطر المجتمع الدولي للعمل المشترك بعيداً عن أي منظور سياسي، والتصدي للأسباب الجذرية لحالات اللجوء والنزوح، وأكدت حرصها على تعزيز الشراكات لدعم قضايا اللاجئين https://t.co/W4tmL0kLzm</t>
  </si>
  <si>
    <t>Qatar Renews its Commitment to Support UNHCR Programs
🔗 To learn more: https://t.co/Bxz47ZCHOo
#MOFAQatar https://t.co/GrSvcJwpt5</t>
  </si>
  <si>
    <t>President of IPU Praises Qatar's Efforts to Host #FIFAWorldCup #Qatar2022. #QNA #World_Cup_2022
https://t.co/Wk57T2ok3n https://t.co/2BE0J9SpZk</t>
  </si>
  <si>
    <t>Lebanese Caretaker Prime Minister Meets Qatar Ambassador
#MOFAQatar https://t.co/ut7oS9b6Gp</t>
  </si>
  <si>
    <t>رئيس حكومة تصريف الأعمال اللبنانية يجتمع مع سفير دولة قطر
#الخارجية_القطرية https://t.co/V9kfsNQvpJ</t>
  </si>
  <si>
    <t>سمو الأمير لدى وصوله إلى العاصمة أستانا في زيارة دولة إلى جمهورية #كازاخستان الصديقة
#قنا
#قطر_كازاخستان 
https://t.co/mjtOgzi5Nm https://t.co/t6ZCrIHpCa</t>
  </si>
  <si>
    <t>رئيس الاتحاد البرلماني الدولي يثمن الجهود التي قامت بها دولة قطر لاستضافة بطولة كأس العالم ويشيد بقرار قطر بتفكيك  170 ألف مقعد ليتم منحها إلى الدول النامية ، ويلفت إلى أن هذه النسخة الخالية من انبعاثات الكربون تؤكد توجه قطر نحو تخفيف آثار التغير المناخي والحفاظ على البيئة. https://t.co/iu8CjfxplJ</t>
  </si>
  <si>
    <t>سعادة الدكتورة حمدة بنت حسن السليطي نائب رئيس #مجلس_الشورى تترأس وفد المجلس في افتتاح أعمال الجمعية العامة الـ145 للاتحاد البرلماني الدولي التي تستضيفها العاصمة الرواندية كيغالي على مدى خمسة أيام.
https://t.co/ZS0CTbZqlk https://t.co/eOhekAP5nI</t>
  </si>
  <si>
    <t>Gulf Cooperation Council and the European Union hold the political dialogue.
#QNA https://t.co/lpBlsk0rND</t>
  </si>
  <si>
    <t>Minister of Labor discusses cooperation relations in Labor field with the #European_Parliament
#QNA https://t.co/DVvsitCngQ</t>
  </si>
  <si>
    <t>At the #ExCom2022 stressing that having 100 million people displaced in the world,requires urgent &amp;amp; immediate collective actions, without any politicisation. 
Qatar &amp;amp; its humanitarian institutions have been supporting refugees &amp;amp; hosting countries in cooperation with @Refugees https://t.co/tb9cr1Bmed</t>
  </si>
  <si>
    <t>اتقدم بخالص التهنئة لكل من:
🇩🇿🇧🇩🇧🇪🇨🇱🇨🇷🇬🇪🇩🇪🇰🇬🇲🇻🇲🇦🇷🇴🇿🇦🇸🇩🇻🇳
والتي تم انتخابها اليوم لعضوية مجلس حقوق الانسان للفترة ٢٠٢٣-٢٠٢٥، ونتطلع للعمل المشترك والمثمر لتعزيز الدور الذي يضطلع به المجلس في تعزيز حقوق الانسان وحمايتها في جميع انحاء العالم.</t>
  </si>
  <si>
    <t>My sincere congratulations to the 14 elected countries for @UN_HRC for the term 2023-2025.
🇩🇿🇧🇩🇧🇪🇨🇱🇨🇷🇬🇪🇩🇪🇰🇬🇲🇻🇲🇦🇷🇴🇿🇦🇸🇩🇻🇳 and very much looking forward to our constructive collaborations in the promotion &amp;amp; protection of #HumanRights worldwide.</t>
  </si>
  <si>
    <t>During GD at the 73rd session of #UNHCR ExCom, #Qatar called on the international community to work jointly away from any political perspective, address root causes of refugee/displacement situations &amp;amp; stresses Qatar's desire to strengthen partnerships to support refugee issues</t>
  </si>
  <si>
    <t>#Qatar Affirms Relentless Efforts to Protect and Promote Children's Rights. #QNA #UN
https://t.co/gcwAoocC3n https://t.co/zx5Ynt1Vew</t>
  </si>
  <si>
    <t>HH the Amir arrives in Astana. #QNA #Kazakhastan #Qatar https://t.co/SXnXhbLTuW https://t.co/LaK63aAZwV</t>
  </si>
  <si>
    <t>QNL hosts lectures Wednesday on #Cuban and #Haitian thought leaders. #QNA https://t.co/8L5XcVtdfo https://t.co/g5YyuYJZA4</t>
  </si>
  <si>
    <t>سمو الأمير المفدى يصل العاصمة أستانا في زيارة دولة إلى جمهورية كازاخستان الصديقة، وفي مقدمة مستقبلي سموه، فخامة الرئيس قاسم جومارت توكاييف رئيس جمهورية كازاخستان. #قطر #كازاخستان https://t.co/AQAEmbcxK8 https://t.co/UyAQwPEtMp</t>
  </si>
  <si>
    <t>Deputy Prime Minister and Minister of Foreign Affairs receives a written message from the #Cuban Foreign Minister. #QNA https://t.co/1Nx4cn7ixP https://t.co/JeXnJYZOr4</t>
  </si>
  <si>
    <t>سمو الأمير يصل إلى العاصمة أستانا في زيارة دولة إلى جمهورية #كازاخستان الصديقة
#قنا
#قطر_كازاخستان https://t.co/XgfTS6QHwm</t>
  </si>
  <si>
    <t>HH the Amir left Doha heading to the Republic of #Kazakhstan. #QNA #Qatar_Kazakhstan
https://t.co/IhZtdcLre8 https://t.co/jTVgguXKsV</t>
  </si>
  <si>
    <t>Special Envoy of Minister of Foreign Affairs for Climate Change and Sustainability Participates in Panel Discussion on Global Climate Change in Berlin
🔗 To learn more: https://t.co/izVp3lz45b
#MOFAQatar https://t.co/FsZd5maqB3</t>
  </si>
  <si>
    <t>Vicepresidente de la República Bolivariana de Venezuela se reúne con el Embajador del Estado de Qatar
#MOFAQatar https://t.co/twqJfTPbSG</t>
  </si>
  <si>
    <t>Viceprimer Ministro y Ministro de Relaciones Exteriores @MBA_AlThani_ recibe una Carta escrita del Ministro de Relaciones Exteriores de Cuba
#MOFAQatar https://t.co/EGlbP5LqvI</t>
  </si>
  <si>
    <t>Qatar, Austria Hold Political Consultations Round
#MOFAQatar https://t.co/URm38T6f0l</t>
  </si>
  <si>
    <t>Deputy Prime Minister and Minister of Foreign Affairs @MBA_AlThani_ Receives Written Message from Cuban Foreign Minister
#MOFAQatar https://t.co/VeICz4bhQn</t>
  </si>
  <si>
    <t>نائب رئيس مجلس الوزراء وزير الخارجية @MBA_AlThani_  يتلقى رسالة خطية من وزير خارجية كوبا 
#الخارجية_القطرية https://t.co/8ujsTZyPij</t>
  </si>
  <si>
    <t>المبعوث الخاص لوزير الخارجية لشؤون تغيّر المناخ والاستدامة يشارك بحلقة نقاشية حول التغير المناخي العالمي في برلين
🔗لقراءة المزيد : https://t.co/uMPB1A69q7
#الخارجية_القطرية https://t.co/oDjo4O02Xo</t>
  </si>
  <si>
    <t>دولة قطر تؤكد أنها لن تدخر جهداً من أجل حماية وتعزيز حقوق الأطفال
🔗لقراءة المزيد : https://t.co/KSBY1ggixI
#الخارجية_القطرية https://t.co/HVXvby7OIJ</t>
  </si>
  <si>
    <t>رئيس مجلس الشعب الصومالي يجتمع مع سفير دولة قطر
#الخارجية_القطرية https://t.co/bhoYzJzIQI</t>
  </si>
  <si>
    <t>سمو الأمير المفدى يغادر أرض الوطن متوجهاً إلى جمهورية كازاخستان الصديقة. https://t.co/d9RaD9PJ1W</t>
  </si>
  <si>
    <t>نائبة رئيس جمهورية فنزويلا تجتمع مع سفير دولة قطر
#الخارجية_القطرية https://t.co/W3CisjB0i0</t>
  </si>
  <si>
    <t>جولة مشاورات سياسية بين دولة قطر وجمهورية النمسا
#الخارجية_القطرية https://t.co/PXfIuUEzmp</t>
  </si>
  <si>
    <t>Speaker of the House of the People of Somalia Meets Qatari Ambassador
#MOFAQatar https://t.co/Disd9CdqXc</t>
  </si>
  <si>
    <t>Qatar Affirms Relentless Efforts to Protect and Promote Children's Rights
🔗To learn more : https://t.co/WHwGQS9Tt3
#MOFAQatar https://t.co/az6yrTNBge</t>
  </si>
  <si>
    <t>Vice President of Venezuela Meets Ambassador of Qatar
#MOFAQatar https://t.co/4J65lVYQhO</t>
  </si>
  <si>
    <t>#QNA_Infographic |
#Qatar Continues to Receive Worldwide Acclaim for Its Labor Reforms. #QNA
https://t.co/6pVVZZotBB https://t.co/cskrtPjneS</t>
  </si>
  <si>
    <t>#Shura_Council Participates in Two Coordination Meetings on Sidelines of IPU Assembly. #QNA
#Qatar
https://t.co/Nb1Ydf2iKo https://t.co/7FrkIr1cKV</t>
  </si>
  <si>
    <t>Shura Council Deputy Speaker Meets IPU President. #QNA
https://t.co/8YfQuo3g8V https://t.co/ftvIjAdmMI</t>
  </si>
  <si>
    <t>Qatar 2022/ Six Cities to Host International FIFA Fan Festival Events during World Cup. #QNA
#Qatar2022
#FIFAWorldCup
https://t.co/erEJB1fDuH https://t.co/6xmfdonocg</t>
  </si>
  <si>
    <t>#مكتبة_قطر_الوطنية تفتتح معرضا للصور بمناسبة مرور 50 عاما على تأسيس العلاقات القطرية الفرنسية
#قنا
#قطر 
#فرنسا 
https://t.co/yCRxemf8ht https://t.co/i0v8hpDhk0</t>
  </si>
  <si>
    <t>نائب رئيس #مجلس_الشورى تجتمع مع رئيس الاتحاد البرلماني الدولي 
#قنا 
https://t.co/PqIdW0ugRp https://t.co/zBq2Nh7iRu</t>
  </si>
  <si>
    <t>Indonesian Trade Minister: Trade Volume between #Qatar and #Indonesia Rises 29% in H1 of 2022. #QNA
https://t.co/SW37B4WUUV https://t.co/CtEQvCj0Kj</t>
  </si>
  <si>
    <t>Assistant Foreign Minister @Lolwah_Alkhater Meets Deputy Foreign Minister in Afghan Caretaker Government
#MOFAQatar https://t.co/rrIlfmPD1b</t>
  </si>
  <si>
    <t>مساعد وزير الخارجية @Lolwah_Alkhater تجتمع مع نائب وزير الخارجية في حكومة تصريف الأعمال الأفغانية
#الخارجية_القطرية https://t.co/AEczSumSwA</t>
  </si>
  <si>
    <t>برنامج البنية التحتية لحافلات النقل العام 🚌 يفوز بجائزة أفضل تصميم صديق للبيئة 🍃 في #قطر 🇶🇦 وأفضل مشروع للنقل في قطر لعام 2022 https://t.co/v0Q3LrmkFd</t>
  </si>
  <si>
    <t>Public Bus Infrastructure Program  Wins Two Awards 🇶🇦🚌🍃 https://t.co/7ktJ3L8E1P</t>
  </si>
  <si>
    <t>WISHQatar</t>
  </si>
  <si>
    <t>التقت سعادة الشيخة هند بنت حمد آل ثاني، نائب رئيس مجلس إدارة @QF والرئيس التنفيذي للمؤسسة، خلال #مؤتمر_ويش_2022، بعدّاء المسافات الطويلة البريطاني @Mo_Farah  على @friendshipbench لسماع تجربته حول الصدمة النفسية التي تلقها بعد نقله من #مقديشو إلى #لندن عندما كان صبيًا. https://t.co/8nfrr70mqC</t>
  </si>
  <si>
    <t>At #WISHQatar2022 last week, H.E Sheikha Hind, vice chairperson and CEO of @QF, met British Olympian Sir @Mo_Farah (record-breaking long distance runner) on a @friendshipbench to hear his story about the trauma of being taken from #Mogadishu to #London as a young boy. https://t.co/SXCvC8fqsi</t>
  </si>
  <si>
    <t>Sharing a memorable moment that took place on Sept 17 2022 as we gathered @UN for the Landmark Launch of #Scoring4TheGoals by #Qatar 🇶🇦 in collaboration w/ @roadto2022en &amp;amp; @EAA to showcase the power of⚽️ in achieving the #SDGs 
#Qatar2022
🔗https://t.co/eL4bkDlxxW https://t.co/MyJqXTbSIP</t>
  </si>
  <si>
    <t>مشاركة للحظة لا تُنسى حدثت في 17 سبتمبر 2022، حيث تجمعنا @UN لإطلاق الحدث التاريخي #Scoring4TheGoals الذي نظمته دولة قطر 🇶🇦 بالتعاون مع @roadto2022en و @EAA من أجل عرض قوة كرة القدم في تحقيق أهداف التنمية المستدامة.
#قطر_2022 
الرابط:
https://t.co/eL4bkDlxxW https://t.co/AonNJh2fHL</t>
  </si>
  <si>
    <t>Qatar's Embassies Abroad Hold Various Events to Promote FIFA World Cup Qatar 2022
🔗 To learn more: https://t.co/GcnASaN0Az
#MOFAQatar https://t.co/F0NKolygRo</t>
  </si>
  <si>
    <t>Parte de las actividades de la Embajada del Estado de Qatar en la República de Filipinas para promocionar la Copa Mundial de la FIFA Qatar 2022
#MOFAQatar https://t.co/4oGFSchHQ1</t>
  </si>
  <si>
    <t>Parte de las actividades de la Embajada del Estado de Qatar en la República de Turquía para promocionar la Copa Mundial de la FIFA Qatar 2022
#MOFAQatar https://t.co/fRuMxZPgFj</t>
  </si>
  <si>
    <t>Las Embajadas de Qatar en el exterior organizan varios eventos para promocionar la Copa Mundial FIFAQatar 2022
#MOFAQatar https://t.co/jyY3lF1KKD</t>
  </si>
  <si>
    <t>Executive Director of the #Haya platform at the Supreme Committee for Delivery &amp;amp; Legacy Saeed Al-Kuwari announces the imminent issuance of "entry permits" to all #Haya_card holders who have final approvals. #QNA_Sports #World_Cup_FIFA_Qatar_2022 https://t.co/e8QGLNCnz3</t>
  </si>
  <si>
    <t>HE Sheikha Hind: "I'm proud that Qatar Foundation's global health initiative is among those helping shine a spotlight on mental health in such an innovative and practical way." #QNA #Qatar2022 https://t.co/Yp0lNwD4Lz</t>
  </si>
  <si>
    <t>Friendship Benches Initiative Launched to Promote Mental Health for Competitors in FIFA #World_Cup #Qatar 2022. #QNA
https://t.co/O9EhxH60zb https://t.co/2QHuHlAArt</t>
  </si>
  <si>
    <t>QNA_Sports</t>
  </si>
  <si>
    <t>السيد سعيد الكواري المدير التنفيذي لمنصة #هيّا باللجنة العليا للمشاريع والإرث يعلن عن قرب إصدار "تصاريح الدخول" لجميع حاملي #بطاقة_هيّا ممن لديهم موافقات نهائية
#قنا_رياضي
#كأس_العالم_FIFA_قطر_2022 https://t.co/zxVf0WevCp</t>
  </si>
  <si>
    <t>Join us in celebrating #StreetChildWorldCup Doha 2022 and the young teams representing 25 countries in the tournament at #EducationCity, playing to empower youth from all backgrounds.
@StreetChildUtd https://t.co/R63GM0DPax</t>
  </si>
  <si>
    <t>Minister of Commerce and Industry meets Minister of Trade of #Indonesia. #QNA #Qatar #Indonisia https://t.co/zxamXXc4o3 https://t.co/OXDn0fkfP1</t>
  </si>
  <si>
    <t>HH the Amir will head on Tuesday for #Astana on a state visit to the Republic of #Kazakhstan, where HH will participate in the sixth summit of the Conference on Interaction and Confidence Building Measures in Asia. #QNA #Qatar https://t.co/8Jxs6ZuK1R</t>
  </si>
  <si>
    <t>rababfh2016</t>
  </si>
  <si>
    <t>Thank you Amb @AmbAlyaAlThani for your personal &amp;amp; 🇶🇦’s strong support and commitment to the success of #LDC5. Look forward to continuing the momentum for the #RoadtoDoha. From #PotentialstoProsperity for the world’s most vulnerable. @QatarAtUN @UNOHRLLS https://t.co/43gVgkQuiX</t>
  </si>
  <si>
    <t>سمو الأمير المفدى يتوجه يوم غد الثلاثاء، إلى العاصمة آستانا في زيارة دولة إلى جمهورية كازاخستان الصديقة. كما سيشارك سموه في القمة السادسة لمؤتمر التفاعل وإجراءات بناء الثقة في آسيا "سيكا". https://t.co/OI3qJUnnMc</t>
  </si>
  <si>
    <t>Always a pleasure to meet w/ USG @rababfh2016 @UNHighRep for @UNOHRLLS 🇺🇳, &amp;amp; continue building the critical momentum around the forthcoming #LDC5 to be held in #Doha 🇶🇦 in March 2023.
#DPoA #UN4All https://t.co/83NQkDurGW</t>
  </si>
  <si>
    <t>Pleased to meet w/ Ms. Laura Olson, new PO &amp;amp; Head of the @IFRC_NYC at #UNNY .We discussed means to strengthen our engagement on issues related to climate change, food security and education. Very much look forward to working with her. @MofaQatar_EN https://t.co/jPCw3znBgC</t>
  </si>
  <si>
    <t>Pleased to receive Amb. @ManiratangaZph1, PR @BurundiOnu, for an exchange on the state of #Qatar 🇶🇦- #Burundi 🇧🇮 cooperation.
@MofaQatar_EN https://t.co/S3E9PezmOT</t>
  </si>
  <si>
    <t>HH the Amir holds a phone call with President of #Ukraine. #QNA https://t.co/VGYxJS5pCP https://t.co/WnTJusXJwc</t>
  </si>
  <si>
    <t>سمو الأمير يجري اتصالاً هاتفياً مع رئيس #أوكرانيا تم خلاله مناقشة آخر المستجدات على الساحة الأوكرانية
#قنا 
https://t.co/QT9PVJyCE2 https://t.co/RZYqqzvkwR</t>
  </si>
  <si>
    <t>QatarCons_bcn</t>
  </si>
  <si>
    <t>شارك سعادة القنصل العام في زيارة رسمية نظمت للقناصل المعتمدين في برشلونة الى مركز عمليات شبكة السكك الحديدية لكتالونيا ، نظمتها استشارية الخارجية بهدف التعريف بعمل المركز و المشاريع المستقبلية لتطوير شبكة النقل عبر السكك الحديدية في الاقليم. https://t.co/W6s2FBoPZW</t>
  </si>
  <si>
    <t>Su Excelencia el Cónsul General junto con otros cónsules acreditados en Barcelona, participó en una visita oficial al COR de  Rubí organizada por @exteriorscat, cuyo objetivo es  dar a conocer la labor del Centro y sus futuros proyectos para el  desarrollo de  @FGC https://t.co/DT6SDr1zqU</t>
  </si>
  <si>
    <t>Ministry of Labor: #Qatar Places the Rights of All Migrant Workers at the Heart of Its Socio-Economic Policies. #QNA https://t.co/rHH4Gi2zI1</t>
  </si>
  <si>
    <t>National Human Rights Committee Deputy Chairman Affirms #Qatar's Keenness on Protecting Migrant Workers during two meetings with two European human rights delegations. #QNA 
#Qatar2022
https://t.co/RKWV0xt0ol https://t.co/SZ7pB8N9Ys</t>
  </si>
  <si>
    <t>Qatar Foundation Unveils Range of Activities during FIFA World Cup Qatar 2022 under the theme "Football is for all of us." #QNA 
#Qatar2022
#FIFAWorldCup
https://t.co/8qq9RnesS1 https://t.co/TOZARsbL4A</t>
  </si>
  <si>
    <t>وكيل وزارة العمل المساعد يجتمع مع مبعوث المملكة المتحدة للهجرة
#قنا 
#قطر #المملكة_المتحدة 
https://t.co/W9oAHeGCCV https://t.co/OE6zWdfVFV</t>
  </si>
  <si>
    <t>Assistant Undersecretary of Ministry of Labor Meets UK Migration Envoy. #QNA
#Qatar
#United_Kingdom
https://t.co/1XfWvsdQhx https://t.co/lOmbKj8rAz</t>
  </si>
  <si>
    <t>FOXSoccer</t>
  </si>
  <si>
    <t>This holiday season, the @FIFAWorldCup will be the most wonderful time of the year 🙌🌎 https://t.co/YK6xUFm0RH</t>
  </si>
  <si>
    <t>يشارك #مجلس_الشورى في أعمال الجمعية العامة الـ145والدورة الـ210 للمجلس الحاكم للاتحاد البرلماني الدولي والاجتماعات التنسيقية المصاحبة التي ستعقد في العاصمة الرواندية كيغالي خلال الفترة من 10 لغاية 15من أكتوبر الجاري بوفد ترأسه سعادة الدكتورة حمدة بنت حسن السليطي نائب رئيس المجلس.</t>
  </si>
  <si>
    <t>Qatar acoge con beneplácito los progreso positivos en la demarcación de la frontera marítima libanesa
#MOFAQatar https://t.co/E88KGm1GhE</t>
  </si>
  <si>
    <t>📍 El Museo Nacional de Qatar, una obra de arte impactante por dentro como por fuera. 
Diseñado por Ateliers Jean Nouvel, representa la herencia de Qatar y su futuro 🇶🇦 https://t.co/wzkWARioEq</t>
  </si>
  <si>
    <t>¡No olvides de obtener tu Hayya Card para viajar a #Qatar2022! 🪪
Te sirve tanto la versión física como la digital. Visita https://t.co/tkkA9D9W9X o descarga la app. 📲 https://t.co/0XAMMBjh1f</t>
  </si>
  <si>
    <t>Desde Embajada de Qatar en Argentina, les damos a la bienvenida en la cuenta oficial del Ministerio de Relaciones Exteriores de Qatar en Español.
@qatarEmb_BA
#Qatar
#Argentina https://t.co/9gsBtR2qBa</t>
  </si>
  <si>
    <t>Ministro de Estado de Relaciones Exteriores recibe copia de credencial el Embajador de Venezuela
#MOFAQatar
#Venezuela https://t.co/wpZO5PqZpi</t>
  </si>
  <si>
    <t>القوات الجوية الأميرية تستقبل السرب المشترك 12 لطائرات التايفون
#قنا
https://t.co/eDQQW4VgyW https://t.co/1YIiDS7upg</t>
  </si>
  <si>
    <t>Qatar Amiri Air Force Receive 12 Squadron. #QNA 
https://t.co/XyS2KHU8dL https://t.co/D87L6LXuFO</t>
  </si>
  <si>
    <t>International Reports Confirm FIFA World Cup Qatar 2022 Will be Exceptional, Distinguished Edition. #QNA
#Qatar2022
#FIFAWorldCup
https://t.co/rt0swLqFuV https://t.co/YFIRHpaNhV</t>
  </si>
  <si>
    <t>The International Centre for Sport Security (ICSS) Strengthens Its Global Relations with New EU-Funded Partnership. #QNA 
#ICSS https://t.co/t64t2yCqr8</t>
  </si>
  <si>
    <t>Roadto2022Go</t>
  </si>
  <si>
    <t>تعرّفوا على آخر مستجدات رحلة المشجّعين خلال كأس العالم FIFA #قطر2022 
https://t.co/jAvVQAEsmT https://t.co/CCbbTf6aoo</t>
  </si>
  <si>
    <t>Everyone, including those under 18 years of age, must have a Hayya card applied for. 🇶🇦
Here’s how you may add dependents in the Hayya portal. 👇
For more information please visit: https://t.co/cMrFcK6743 https://t.co/LvyHFtQFpI</t>
  </si>
  <si>
    <t>It only takes two steps to sign up for a matchday Hayya card. Here’s how it works #Qatar2022 https://t.co/9UPo4v0ATN</t>
  </si>
  <si>
    <t>https://t.co/yx2SJ9pnbt</t>
  </si>
  <si>
    <t>All ticket holders, international and local, MUST hold a Hayya card to be permitted access into stadiums and use free transport during the FIFA World Cup #Qatar2022.
Without it, fans will not be able to enter the country.
Sign up with this link now:
https://t.co/pURAc2NrrG https://t.co/sA80503zzk</t>
  </si>
  <si>
    <t>Add Katara Cultural Village on your list of places to visit during the FIFA World Cup 📍
#Qatar2022 https://t.co/F4WR6wRpFc</t>
  </si>
  <si>
    <t>فــخــر 🇶🇦💪
#العنابي 👏 https://t.co/Y8LXbWheWW</t>
  </si>
  <si>
    <t>OUR PRIDE! 🇶🇦💪 
#AlAnnabi #AFCU17 https://t.co/4cbdOWIW7g</t>
  </si>
  <si>
    <t>Hamad Bin Khalifa University  (HBKU)  Inaugurates #UNESCO Chair on Environmental Law and Sustainable Development. #QNA
#Qatar
https://t.co/vpBluqIFbu https://t.co/e5VlUyT62n</t>
  </si>
  <si>
    <t>جامعة حمد بن خليفة تطلق رسميا كرسي #اليونسكو للقانون البيئي والتنمية المستدامة
#قنا
#قطر
https://t.co/0ktSwrqlZj https://t.co/QcKtxdFcxW</t>
  </si>
  <si>
    <t>H.E. Dr. Hend AL-Muftah, Permanent Representative of the State of #Qatar delivers a general comment before the vote on the draft resolution "Situation of human rights in the #Syrian Arab Republic" at the #HRC51</t>
  </si>
  <si>
    <t>سعادة المندوب الدائم د. هند المفتاح تقدم تعليقا عاما قبل التصويت على مشروع قرار "حالة حقوق الإنسان في الجمهورية العربية السورية" خلال الدورة 51 لمجلس حقوق الإنسان https://t.co/JybkptdtlC https://t.co/kasWhUFh0S</t>
  </si>
  <si>
    <t>H.E. Mr Sultan bin Rashid Al-Khater, Undersecretary of #MOCIQATAR, participated with the State of Qatar’s delegation in the 13th edition of the Turkish-Arab Economic Forum, held in Istanbul, Turkey.</t>
  </si>
  <si>
    <t>شارك سعادة السيد سلطان بن راشد الخاطر وكيل وزارة #التجارة_والصناعة، والوفد المرافق له، في أعمال الدورة الثالثة عشر للمنتدى الاقتصادي التركي العربي، الذي عُقد في مدينة إسطنبول التركية. https://t.co/DsU0MGZqKq</t>
  </si>
  <si>
    <t>H.E. Sheikh Mohammed bin Hamad bin Qassim Al-Thani, Minister of #MOCIQATAR, met with H.E. Mr. Jeenbek Kulubaev, Minister of Foreign Affairs of the Kyrgyz Republic, and the delegation currently visiting the country.</t>
  </si>
  <si>
    <t>Deputy Prime Minister and Minister of Foreign Affairs reviews with Minister of Foreign Affairs of the #Kyrgyz Republic bilateral cooperation relations between the two countries and ways to support and develop them. #QNA
https://t.co/nrcZM5LVZ3 https://t.co/9y14pgs0Mo</t>
  </si>
  <si>
    <t>Minister Meets with Kyrgyz FM 🇶🇦🇰🇬 https://t.co/YvKI94kIbT</t>
  </si>
  <si>
    <t>بطلنا راشد العذبة يتأهل رسمياً إلى أولمبياد #باريس2024 بتحقيقه المركز الثالث على العالم في بطولة العالم للرماية ( سكيت) في أوسيك بكرواتيا، كفو يالأدعم كفو يالعذبة 🇶🇦💪 #كلنا_الأدعم https://t.co/GEA0XoJXWq</t>
  </si>
  <si>
    <t>التقى سعادة الشيخ محمد بن حمد بن قاسم آل ثاني وزير #التجارة_والصناعة، سعادة السيد جنبيك قولوبايف وزير خارجية جمهورية قرغيزيا، والوفد المرافق الذي يزور البلاد حالياً. https://t.co/uDSeY007Mt</t>
  </si>
  <si>
    <t>La Plaza de las Banderas (Flag Plaza) fue inaugurada el pasado martes bajo el auspicio del Emir de Qatar, @TamimBinHamad 
La bandera de México ondea junto las de los 119 países que a la fecha tienen representación diplomática en Qatar. (1/2) 🧵 
@SRE_mx @MOFAQatar_ES https://t.co/0C2p6ktWFl</t>
  </si>
  <si>
    <t>Qatar Chairs Session of UN General Assembly Second Committee
🔗To learn more : https://t.co/CKGoqrmjdp
#MOFAQatar https://t.co/dycU4YLe8m</t>
  </si>
  <si>
    <t>دولة قطر تترأس أعمال جلسة اللجنة الثانية التابعة للجمعية العامة للأمم المتحدة
🔗لقراءة المزيد : https://t.co/meahvBRNca
#الخارجية_القطرية https://t.co/pqu8tx6YOx</t>
  </si>
  <si>
    <t>🎥| نائب رئيس مجلس الوزراء وزير الخارجية @MBA_AlThani_ يجتمع مع وزير خارجية قيرغيزيا
#الخارجية_القطرية https://t.co/1BHHUze9OS</t>
  </si>
  <si>
    <t>Pleased to meet HE Jeenbek Kulubaev, Foreign Minister of #Kyrgyzstan, to discuss developing bilateral relations in various fields, &amp;amp; cooperation in investment, development, &amp;amp; humanitarian projects in Kyrgyzstan, in addition to a number of international issues of common interest. https://t.co/svXv04Jw4x</t>
  </si>
  <si>
    <t>سررت بلقاء سعادة السيد جينبيك قولوبايف، وزير خارجية جمهورية #قيرغيزيا، وبحوار مثمر حول سبل تطوير علاقاتنا الثنائية في شتى المجالات، والتعاون في المشاريع الاستثمارية والتنموية والإنسانية في قيرغيزيا، بالإضافة إلى عدد من القضايا الدولية ذات الاهتمام المشترك. https://t.co/g7CeoZQQVz</t>
  </si>
  <si>
    <t>Deputy Prime Minister and Minister of Foreign Affairs @MBA_AlThani_ Meets Kyrgyz Foreign Minister
#MOFAQatar https://t.co/68GSVUNHkA</t>
  </si>
  <si>
    <t>نائب رئيس مجلس الوزراء وزير الخارجية @MBA_AlThani_ يجتمع مع وزير خارجية قيرغيزيا
#الخارجية_القطرية https://t.co/0AaceDnaLL</t>
  </si>
  <si>
    <t>Secretary-General of the Ministry of Foreign Affairs Meets Romanian Officials.
#QNA
#Qatar 
#Romania https://t.co/cTZOCly2D2</t>
  </si>
  <si>
    <t>Secretary-General of the Ministry of Foreign Affairs Meets Romanian Officials
#MOFAQatar https://t.co/ty6KlYiRk1</t>
  </si>
  <si>
    <t>الأمين العام لوزارة الخارجية يجتمع مع مسؤولين رومانيين 
#الخارجية_القطرية https://t.co/anIJNjjfIc</t>
  </si>
  <si>
    <t>The State of Qatar Reiterates Commitment to Partnership with International Community on Sustainable Development Agenda
🔗To learn more : https://t.co/qlafqTMSah
#MOFAQatar https://t.co/ZO8liIUdY3</t>
  </si>
  <si>
    <t>في سعي وزارة الخارجية  @MofaQatar_AR لمواصلة استثمارها في تكوين وتطوير رأسمالها البشري وبناء قدراتها الوطنية، سعدنا اليوم بتكريم نخبة من متدربي الوزارة والذين حضروا دورة اعمال #HRC51 مجلس حقوق الانسان.
الجازي الهدفة
امنه صلات 
منصور ال محمود 
فخورين بكم https://t.co/CNFhXWTVKv</t>
  </si>
  <si>
    <t>دولة قطر تؤكد التزامها بالعمل والشراكة مع المجتمع الدولي لتنفيذ خطة التنمية المستدامة 
🔗لقراءة المزيد : https://t.co/G5FfKFBSH6
#الخارجية_القطرية https://t.co/gnBDmGn33I</t>
  </si>
  <si>
    <t>The Permanent Mission of the State of #Qatar congratulates Ms. Noor Al-Malki Al-Jehani on winning membership of the Human Rights Council’s Advisory Committee for the period 2023-2025 in today's elections at the close of the HRC51st session held in Geneva</t>
  </si>
  <si>
    <t>يهنئ الوفد الدائم السيدة/ نور عبدالله المالكي الجهني، بفوزها بعضوية اللجنة الاستشارية التابعة لمجلس حقوق الانسان، للفترة ٢٠٢٣-٢٠٢٥، وذلك في الانتخابات التي جرت اليوم في ختام الدورة ٥١ لمجلس حقوق الانسان المنعقدة بجنيف https://t.co/ZC0j0PkJ1w</t>
  </si>
  <si>
    <t>HH the Amir Holds a phone call with the Palestinian President. #QNA https://t.co/AOo3urbKSx</t>
  </si>
  <si>
    <t>HH the Amir holds phone call with UK Prime Minister. The call dealt with reviewing bilateral relations and regional and international developments. #QNA https://t.co/Y0X6jPYxIq</t>
  </si>
  <si>
    <t>دولة #قطر تؤكد أن النهوض بوضع المرأة من أولويات سياستها
#قنا
https://t.co/NsoYLDHkbu https://t.co/ccSmUNgm7i</t>
  </si>
  <si>
    <t>Qatar affirms that the advancement of women is a priority of Its Policy. #QNA https://t.co/VeW6XMDFfF</t>
  </si>
  <si>
    <t>HH the Amir Sends Written Message to President of Turkmenistan
#MOFAQatar https://t.co/SHMg1smBOt</t>
  </si>
  <si>
    <t>سمو الأمير يبعث رسالة خطية إلى رئيس تركمانستان
#الخارجية_القطرية https://t.co/2RVusFskUb</t>
  </si>
  <si>
    <t>اللجنة العليا للمشاريع والإرث تنفي ما يجري تداوله مؤخرا على وسائل التواصل الاجتماعي بخصوص صدور منشور "قطر ترحب بكم" عن جهة رسمية كما أنه يتضمن معلومات غير دقيقة
#قنا_رياضي https://t.co/8upFzTYvOd</t>
  </si>
  <si>
    <t>https://t.co/HYlJxvlHuY</t>
  </si>
  <si>
    <t>سمو الأمير المفدى يتلقى اتصالًا هاتفيًا من دولة السيدة ليز تراس رئيسة الوزراء بالمملكة المتحدة الصديقة. https://t.co/EonP2QrFDK</t>
  </si>
  <si>
    <t>During the voting session on the  resolution entitled“Situation of Human Rights in the Russian Federation”,I affirmed Qatar’s belief in the importance of focusing on peaceful ways to settle international disputes through dialogue in the context of the crisis in Ukraine
#HRC51 https://t.co/VIrC2xwdT0</t>
  </si>
  <si>
    <t>سمو الأمير المفدى يتلقى اتصالاً هاتفياً من أخيه فخامة الرئيس محمود عباس رئيس دولة فلسطين الشقيقة. https://t.co/nVKKJF7DGT</t>
  </si>
  <si>
    <t>في البيان الذي ألقيته اليوم خلال جلسة التصويت على مشروع القرار المعنون حالة #حقوق_الانسان في #روسيا في الدورة #HRC51 @UN_HRC اشرت الى ان "دولة #قطر توكد على اهمية الجلوس على طاولة الحوار والتركيز على السبل السلميه لتسوية المنازعات الدولية في اطار الازمه الاوكرانية" https://t.co/qzUTqovwIr</t>
  </si>
  <si>
    <t>The Supreme Committee for Delivery &amp;amp; Legacy denies what is being circulated recently on social media regarding the issuance of the publication "Qatar Welcomes You" by an official body, and it also contains inaccurate information. #QNA https://t.co/mAJz6RZ9SZ</t>
  </si>
  <si>
    <t>Qatar Affirms that Advancement of Women is Priority of Its Policy
🔗To learn more : https://t.co/UgTjs0XdCp
#MOFAQatar https://t.co/OLdQYGABzP</t>
  </si>
  <si>
    <t>Delighted to host a welcome lunch in honor of new PRs
🇸🇩🇲🇰🇱🇨🇷🇼🇵🇹🇨🇬🇨🇷🇰🇼🇧🇩🇨🇱🇸🇿🇹🇩 🇮🇪
Very much looking forward to our constructive collaborations @UN
#Welcome
@MofaQatar_EN https://t.co/W8o9PhPQPs</t>
  </si>
  <si>
    <t>دولة قطر تؤكد أن النهوض بوضع المرأة من أولويات سياستها
🔗لقراءة المزيد : https://t.co/SoYppK9qcS
#الخارجية_القطرية https://t.co/lsiQN7mBmm</t>
  </si>
  <si>
    <t>Qatar, Romania Hold Political Consultations
🔗To learn more : https://t.co/WythJlOL5B
#MOFAQatar https://t.co/iRTYXWWafJ</t>
  </si>
  <si>
    <t>مشاورات سياسية بين دولة قطر ورومانيا
🔗لقراءة المزيد : https://t.co/VyOXHKk6Pw
#الخارجية_القطرية https://t.co/iEFKqYYxfn</t>
  </si>
  <si>
    <t>Les damos a la bienvenida en la cuenta oficial del Ministerio de Relaciones Exteriores de Qatar en Español.
@QatarVenezuela 
#Qatar
#Caracas
#Venezuela https://t.co/6v96zOqYBU</t>
  </si>
  <si>
    <t>Qatar condena enérgicamente el ataques contra una mezquita en Afganistán
#MOFAQatar https://t.co/cVOLKt7KVp</t>
  </si>
  <si>
    <t>Qatar Affirms that International Cooperation is Prerequisite for Achieving Universality Principle of Human Rights
🔗To learn more : https://t.co/YPpxryWW16
#MOFAQatar https://t.co/FkjXZvdSsC</t>
  </si>
  <si>
    <t>#QNA_Video
#FIFA_World_Cup_Qatar2022 Security Operations Commander: Qatari fans, citizens and residents, are the ones who will ensure the tournament's success and create the friendly atmosphere. #QNA
#QNA_Sports https://t.co/9HJIzhIhUX</t>
  </si>
  <si>
    <t>#قنا_فيديو |
قائد عمليات أمن بطولة #كأس_العالم FIFA #قطر2022 : الجمهور في #قطر من المواطنين والمقيمين هم بمثابة الصف الأول لتحقيق نجاح البطولة وتوفير الأجواء المناسبة لها 
#قنا_رياضي
https://t.co/lfeYiJSSTJ https://t.co/o6Q7OmuLcq</t>
  </si>
  <si>
    <t>سمو الأمير المفدى يحضر مأدبة العشاء التي أقامها فخامة الرئيس ميلوش زيمان رئيس جمهورية التشيك الصديقة، في المقر الرئاسي بقلعة براغ، تكريمًا لسموه والوفد المرافق. #قطر #التشيك https://t.co/PYWy4xwqKV https://t.co/NgY2feg0py</t>
  </si>
  <si>
    <t>#QNA_Infographic
#FIFA_World_Cup_Qatar2022 Security Operations Commander to #QNA: "To further increase our readiness, we have tested the security plans by implementing several simulations, in-office and on-the-ground". #QNA https://t.co/ND0iGKcCws</t>
  </si>
  <si>
    <t>Glad to meet H.E. Mr. Daffa-Alla Elhag Ali Osman Undersecretary of @MOFASudan. We discussed the ongoing #Qatar 🇶🇦-Sudan 🇸🇩 cooperation.
@MofaQatar_EN https://t.co/ZR9NJANMEt</t>
  </si>
  <si>
    <t>دولة قطر تؤكد أن التعاون الدولي متطلب أساسي لتحقيق مبدأ عالمية حقوق الإنسان  
🔗لقراءة المزيد : https://t.co/ivuB0eypV1
#الخارجية_القطرية https://t.co/gYoxiaRCeL</t>
  </si>
  <si>
    <t>HE Sheikh Khalifa bin Hamad Al Thani, Commander of Security Operations for the FIFA World Cup Qatar 2022, speaks with @QatarNewsAgency about preparations for securing the tournament. https://t.co/NoTkzKCGqV</t>
  </si>
  <si>
    <t>Pleased to welcome the newly appointed SRSG for #Libya &amp;amp; Head of @UNSMIL 🇺🇳, Mr. Abdoulaye Bathily.
I conveyed #Qatar 🇶🇦 readiness to support his mission towards peace &amp;amp; stability in Libya, &amp;amp; look forward to working w/ him.
@MofaQatar_EN https://t.co/mBYX4YweQF</t>
  </si>
  <si>
    <t>Deputy Prime Minister and Minister of Foreign Affairs @MBA_AlThani_  Receives Call from UK Foreign Secretary
#MOFAQatar https://t.co/vfHRLmDnCg</t>
  </si>
  <si>
    <t>Statement | Qatar Strongly Condemns Explosion Targeting Mosque in Afghanistan
#MOFAQatar https://t.co/jjMxOyDttr</t>
  </si>
  <si>
    <t>سُعدت بزيارتي الأولى لجمهورية التشيك، وبمباحثاتي اليوم مع رئيسها ميلوش زيمان ورئيس حكومتها بيتر فيالا، حول أوجه تطوير العلاقات الثنائية بين بلدينا في مختلف المجالات، وبنقاشنا لأبرز المستجدات الإقليمية والدولية. ولهما الشكر على حسن الاستقبال وكرم الضيافة. https://t.co/ALMzdaKkbH</t>
  </si>
  <si>
    <t>نائب رئيس مجلس الوزراء وزير الخارجية @MBA_AlThani_ يتلقى اتصالاً هاتفياً من وزير الخارجية البريطاني
#الخارجية_القطرية https://t.co/SwnrIpBgVR</t>
  </si>
  <si>
    <t>بيان | قطر تدين بشدة تفجيراً استهدف مسجداً بأفغانستان 
#الخارجية_القطرية https://t.co/tgfsOmKFYk</t>
  </si>
  <si>
    <t>Qatar Renews Its Support for Brotherly Somali People Building Institutional State and Rule of Law
🔗 To learn more: https://t.co/eUR7p1nywA
#MOFAQatar https://t.co/yna0P45A10</t>
  </si>
  <si>
    <t>#اليوم-الدولي_للمعلمين
المعلم له حق وواجب علينا أن نقدّره لأنه هو أحد الأعمدة الأساسية في بناء المجتمع وفي إنجاح العملية التعليمية بالكامل #حقوق_الإنسان_قطر https://t.co/kCYh5rmf99</t>
  </si>
  <si>
    <t>#International_Teachers'_Day
It is the teacher's right and our duty towards every  single on of them to  them appreciate because  teachers are one of the main pillars of building society and  making the entire educational process successful.#Qatar_human_rights https://t.co/zt5WWkOrY3</t>
  </si>
  <si>
    <t>I seize this opportunity to extend my sincere gratitude to HE the Minister of Transport and Qatar’s delegation for their efforts in achieving this important milestone 🇶🇦 
#ICAO41 
#AviationTogether</t>
  </si>
  <si>
    <t>The Embassy of the State of Qatar hosted an event to celebrate the @FIFAWorldCup with its guests and partners, including #FIFA’s @fatma_samoura , #ParlCH’s @larsguggisberg , Qatar’s Supreme Committee for Delivery &amp;amp; Legacy @roadto2022 and @qatarairways
See you in #Qatar2022 ! https://t.co/9zzRpMvhoq</t>
  </si>
  <si>
    <t>Grâce aux efforts de S.E. Al Mayassa Bint Hamad @almayassahamad , nous sommes ravis de voir le Musée d'art islamique @MIAQatar rouvrir ses portes pour accueillir les visiteurs et découvrir une riche civilisation, dans ce lieu où se rencontrent les cultures du monde. https://t.co/PXOw7jvOfO</t>
  </si>
  <si>
    <t>Qatar Renews Commitment to Work with UN in Counterterrorism
🔗To learn more : https://t.co/uwUN0NGBSL
#MOFAQatar https://t.co/yyPGdQjulo</t>
  </si>
  <si>
    <t>وأغتنم هذه الفرصة لأقدم خالص الشكر والتقدير لسعادة وزير المواصلات والفريق المرافق على هذا الإنجاز في تاريخ الطيران المدني القطري على الصعيد الدولي 🇶🇦
#ICAO41
#AviationTogether</t>
  </si>
  <si>
    <t>سمو الأمير المفدى ودولة السيد بيتر فيالا رئيس وزراء جمهورية التشيك الصديقة يبحثان العلاقات الثنائية وسبل تطويرها، وذلك بمقر رئاسة الوزراء في العاصمة براغ. #قطر #التشيك https://t.co/eLOs3vhFfj https://t.co/zZ7sB32thP</t>
  </si>
  <si>
    <t>سمو الأمير المفدى وفخامة الرئيس ميلوش زيمان رئيس جمهورية التشيك الصديقة، يعقدان جلسة مباحثات رسمية، ويشهدان التوقيع على إعلان مشترك واتفاقية، بالمقر الرئاسي بقلعة براغ في جمهورية التشيك. #قطر #التشيك  https://t.co/qHZ5b72MCb https://t.co/CS7KSNCunD</t>
  </si>
  <si>
    <t>During ID with the IE on the HR situation in #Somalia, #Qatar stresses its keenness to enable the Somali people to cope with difficulties. Many educational &amp;amp; health projects, youth employment, humanitarian response &amp;amp; enhancing counter-terrorism abilities have been implemented</t>
  </si>
  <si>
    <t>Such a pleasure to host a farewell reception in honor of a great #WomanLeader, colleague &amp;amp; friend, Amb. @AmbMudallali 🇱🇧.
I salute your perpetual commitment &amp;amp; great leadership on so many fronts during your amazing tenure as PR @LebanonUN
All my best wishes on your next endeavors https://t.co/pTpDEzLQlE</t>
  </si>
  <si>
    <t>دولة #قطر تجدد وقوفها إلى جانب الشعب الصومالي الشقيق لبناء دولة المؤسسات وحكم القانون
🔗لقراءة المزيد : https://t.co/L8F46fX7Am
#الخارجية_القطرية https://t.co/CrYOkmnyWK</t>
  </si>
  <si>
    <t>HH the Amir and  President of the Czech Republic held on Wednesday morning an official talks session at the presidential residence in Prague Castle in the Czech Republic.#QNA #Qatar_Czech 
https://t.co/db3VdiSZ0V https://t.co/y7nEJkB6Ph</t>
  </si>
  <si>
    <t>We are honored to have been elected to serve on the ICAO council, and remain thankful to the organization &amp;amp; our fellow member states for the trust you have placed in Qatar. 
We look forward to working with you all towards our shared goals in aviation. 
#AviationTogether https://t.co/jAZrVTTd6Z</t>
  </si>
  <si>
    <t>سمو الأمير: موقف دولة #قطر واضح الداعي دائما إلى الحوار  والدبلوماسية كوسيلة وحيدة لحل جميع الخلافات 
#قنا
#قطر_التشيك https://t.co/HwUsJpE1aH</t>
  </si>
  <si>
    <t>الوفد الدائم خلال الحوار التفاعلي مع الخبيرة المعنية بحالة حقوق الإنسان بالصومال يؤكد حرص دولة قطر على تقديم الدعم للشعب الصومالي لتمكينه من التصدي للمصاعب حيث تم تنفيذ العديد من المشاريع التعليمية والصحية وتوظيف الشباب وتقديم الاستجابة الإنسانية وتعزيز القدرات على مواجهة الإرهاب https://t.co/pSSzFJeepN</t>
  </si>
  <si>
    <t>H.E. Saad Sherida Al-Kaabi receives the Energy Intelligence “Energy Executive of the Year” award
#QatarEnergy #YourEnergyTransitionPartner⁣⁣ #Qatar https://t.co/VhVakKCPy9</t>
  </si>
  <si>
    <t>سعادة الوزير سعد بن شريده الكعبي يتسلم جائزة "شخصية العام التنفيذية في قطاع الطاقة" التي تقدمها إنرجي إنتليجنس
#قطر_للطاقة⁣ #قطر https://t.co/qDXtF7rY1u</t>
  </si>
  <si>
    <t>Desde Embajada de Qatar en Caracas, les damos a la bienvenida en la cuenta oficial del Ministerio de Relaciones Exteriores de Qatar en Español.
@QatarVenezuela 
#Qatar
#Caracas
#Venezuela https://t.co/4hcm3KNJn0</t>
  </si>
  <si>
    <t>paraguay otorga a Su Excelencia la Jequesa Alia Ahmed bin Saif Al Thani la Orden Nacional del Mérito
@AmbAlyaAlThani 
#MOFAQatar 
#Parguay https://t.co/FGcd0s27aa</t>
  </si>
  <si>
    <t>فوز دولة #قطر بعضوية مجلس منظمة الطيران المدني الدولي #إيكاو يمثل مرحلة جديدة في تعزيز مكانة الدولة في قطاع #الطيران_المدني عالميا.
#AviationTogether
#ICAO41 https://t.co/lKYx8TY6zR</t>
  </si>
  <si>
    <t>التصريحات الصحفية المشتركة لسمو الأمير المفدى وفخامة رئيس جمهورية التشيك. #قطر #التشيك https://t.co/TEZcJFa1ae https://t.co/t8d5D6Jmjj</t>
  </si>
  <si>
    <t>#QNA_Video
First Vice-Chair of European Parliament Committee on International Trade to #QNA: We hope that HH the Amir's visit would contribute to enhancing bilateral relations between the two countries as well as Qatar’s relations with the European Union. #Qatar_Czech https://t.co/qdv6Z4yhN6</t>
  </si>
  <si>
    <t>#QNA_Infographic
First Vice-Chair of European Parliament Committee on International Trade to #QNA: HH the Amir’s Visit to Czech Republic Enhances Bilateral Relations. #Qatar_Czech https://t.co/B339zVWpfk</t>
  </si>
  <si>
    <t>During a press conference with HH the Amir, the Czech President: We signed an economic agreement with the State of #Qatar to expand investments between the two countries. #QNA
#Qatar_Czech https://t.co/MR0raGYMPu</t>
  </si>
  <si>
    <t>HH the Amir: The State of Qatar's position is clear on dialogue and diplomacy as the only means to resolve all disputes. #QNA
#Qatar_Czech https://t.co/Oihtp3lu2Z</t>
  </si>
  <si>
    <t>Qatar Elected to ICAO Council #ICAOA41 ✈️🇶🇦🇺🇳
This ushers in a new era to further consolidate Qatar’s leading position in civil aviation worldwide
#AviationTogether https://t.co/UIdelftVbn</t>
  </si>
  <si>
    <t>#Ashghal Achieves 12 Million Man-Hours without Loss Time Injury in Flood Prevention Scheme (Phase 3). #QNA
https://t.co/iiP2xiy52q https://t.co/AeKm7S9tkL</t>
  </si>
  <si>
    <t>يأتي تكريم ومشاركة معالي رئيس الوزراء للمعلمات والمعلمين، بمناسبة #اليوم_العالمي_للمعلم ، من منطلق  اهتمام دولة قطر بالمعلم. 
للمعلم دور جوهري في العملية التنموية للأمم. 
كل التحية والتقدير لكل معلمة  ومعلم لدورهم في الارتقاء بالإنسان.@Qatar_Edu</t>
  </si>
  <si>
    <t>Pleasure to receive HE Ms. @otunbayeva, newly appointed SRSG for #Afghanistan . We very much look forward to working with her. Confirmed #Qatar strong commitment to support Her mission &amp;amp; @UNAMAnews mandate tasked with assisting the people of Afghanistan. @MofaQatar_EN https://t.co/j6Pwol0NeL</t>
  </si>
  <si>
    <t>افتتاح متحف الفن الإسلامي في حلته الجديدة وتدشين ساحة الأعلام
🔗 لقراءة المزيد: https://t.co/LLaiQtANmt
#الخارجية_القطرية https://t.co/doOm2VlSjJ</t>
  </si>
  <si>
    <t>لقطات من تدشين ساحة الأعلام بحضور سعادة نائب رئيس مجلس الوزراء وزير الخارجية @MBA_AlThani_ 
#الخارجية_القطرية https://t.co/pyEFWzXgZG</t>
  </si>
  <si>
    <t>🎥 | افتتاح متحف الفن الإسلامي في حلته الجديدة وتدشين ساحة الأعلام
#الخارجية_القطرية 
@MBA_AlThani_ 
@Qatar_Museums https://t.co/wZAva6Ihux</t>
  </si>
  <si>
    <t>دولة قطر تجدد التزامها بالتعاون مع الأمم المتحدة لمكافحة الإرهاب
🔗لقراءة المزيد: https://t.co/Tjqrd2mo9R
#الخارجية_القطرية https://t.co/ZTufAldwtB</t>
  </si>
  <si>
    <t>نائب رئيس جمهورية كوت ديفوار يجتمع مع سفير دولة قطر
#الخارجية_القطرية https://t.co/MuJmOuGfnU</t>
  </si>
  <si>
    <t>تولي دولة قطر أهمية خاصة للدور الذي تقوم به وكالات @UN المتخصصة. كما تؤكد دوماً استعدادها للمساهمة بشكل فاعل في أعمال منظمة @icao في مجال سلامة وأمن الطيران المدني الدولي. وإن انتخاب الدولة اليوم عضواً في مجلس المنظمة @qatar_icao لهو تعبير عن ثقة المجتمع الدولي للقيام بهذا الدور. https://t.co/pCpKomCq4W</t>
  </si>
  <si>
    <t>قطر تشارك في الندوة الدولية الثامنة لمنظمة التعاون الإسلامي حول حماية اللاجئين من منظور إسلامي بكوالالمبور
#الخارجية_القطرية https://t.co/YiZ9oaaiX9</t>
  </si>
  <si>
    <t>رئيس حكومة تصريف الأعمال اللبنانية يجتمع مع سفير دولة قطر
#الخارجية_القطرية https://t.co/jneBBYpqYR</t>
  </si>
  <si>
    <t>سمو نائب الأمير يستقبل في مكتبه بالديوان الأميري، سعادة أليساندرو برونس سفير جمهورية إيطاليا، وذلك للسلام على سموه بمناسبة انتهاء فترة عمله في البلاد. https://t.co/UUt3JnhiaJ https://t.co/HLAKJ46ZuT</t>
  </si>
  <si>
    <t>مراسم استقبال رسمية لسمو الأمير المفدى في المقر الرئاسي بقلعة براغ بجمهورية التشيك الصديقة. #قطر #التشيك https://t.co/u95NEiyN1p https://t.co/WNpz3iZK7l</t>
  </si>
  <si>
    <t>Museum of Islamic Art Re-opens
🔗 To learn more: https://t.co/ZNShioT5iw
#MOFAQatar https://t.co/kMUUrKJgv4</t>
  </si>
  <si>
    <t>The State of Qatar places particular importance on the proper and harmonious function of @UN specialized agencies. Qatar stands ready to further contribute to the @icao work in the sectors of aviation safety, security, efficiency and regularity, and environmental protection. https://t.co/Da2Qc7NKbZ</t>
  </si>
  <si>
    <t>Vice President of Cote d'Ivoire Meets Ambassador of Qatar
#MOFAQatar https://t.co/R1ejUi8SfF</t>
  </si>
  <si>
    <t>Qatar Participates in 8th OIC-IPHRC International Seminar
#MOFAQatar https://t.co/X6UAFDAFPS</t>
  </si>
  <si>
    <t>Lebanese Caretaker Prime Minister Meets Qatari Ambassador
#MOFAQatar https://t.co/e1t105JzFc</t>
  </si>
  <si>
    <t>Delighted to meet with HE Mr. Klaus Schwab, Founder and Executive Chairman of @wef 
Looking forward to reinforcing our relationships and advancing our common priorities https://t.co/EMgI8btlaT</t>
  </si>
  <si>
    <t>HH The Amir met the President of the United Republic of #Tanzania at the Amiri Diwan, on the occasion of her visit to the country to participate in the World Innovation Summit for Health (WISH 2022).#QNA #WISH https://t.co/6uIXOJuJdV</t>
  </si>
  <si>
    <t>Qatar Reaffirms Keenness to Live Up to Joint Responsibility, Multi-Lateral Action
🔗To learn more : https://t.co/kjN2QkrqLR
#MOFAQatar https://t.co/odYA8KIZgC</t>
  </si>
  <si>
    <t>دولة قطر تؤكد أن بطولة كأس العالم FIFA قطر 2022 ستشكل فرصة قيمة لتعزيز قيم الاحترام، والتنوع الثقافي، والتسامح، والاندماج الاجتماعي للجميع
🔗لقراءة المزيد : https://t.co/z4yKmgjgVr
#الخارجية_القطرية https://t.co/5mLGrwOO4A</t>
  </si>
  <si>
    <t>Minister of State for Foreign Affairs Receives Copy of Credentials of Ambassadors of Venezuela, Moldova
#MOFAQatar https://t.co/DQQQEyyU9E</t>
  </si>
  <si>
    <t>HH Sheikha Moza meets wife of President of #Sierra_Leone. #QNA https://t.co/b1orfbfrEf https://t.co/PpwBobPvC7</t>
  </si>
  <si>
    <t>سعادة الشيخ جوعان بن حمد آل ثاني يترأس وفد اللجنة الأولمبية القطرية المشارك في اجتماعات الدورة الـــ 41 للجمعية العمومية للمجلس الأولمبي الآسيوي 2022 التي عقدت اليوم في العاصمة الكمبودية بنوم بنه.
يتبع … https://t.co/6dQNAhExrP</t>
  </si>
  <si>
    <t>HH Sheikha Moza Attends Opening of #WISH2022.#QNA 
https://t.co/Nq6XP73mF2 https://t.co/M55T8YkmlL</t>
  </si>
  <si>
    <t>H.E Shiekh Joaan bin Hamad Al-Thani led QOC’s delegation which attended the 41st #Olympic Council of Asia (OCA) General Assembly held in Phnom Penh, #Cambodia on #Tuesday.👇🏻 https://t.co/QVQbQ3VSrz</t>
  </si>
  <si>
    <t>قائد قوات الشرطة العسكرية يلتقي ملحق الدفاع الكوري https://t.co/2vljdf1cOP</t>
  </si>
  <si>
    <t>خلال النقاش العام حول البند التاسع المعني بمكافحة العنصرية والتمييز العنصري، الدورة ٥١ لمجلس حقوق الانسان، دولة قطر تشدد على ضرورة استخدام تكنولوجيا المعلومات والاتصالات كوسيلة للإسهام في مكافحة العنصرية والتمييز العنصري، وتشجيع التسامح واحترام كرامة الانسان وتعزيز مبادئ المساواة https://t.co/Z3vQ019g7T</t>
  </si>
  <si>
    <t>Glad to receive Ms. @JanMBeagle, DG @IDLO at @QatarAtUN.
We discussed the importance of advancing the #RuleOfLaw &amp;amp; access to justice for all &amp;amp; how #Qatar can continue to work with @IDLO to pursue this goal. 
@MofaQatar_EN https://t.co/Tt4ppYZnOT</t>
  </si>
  <si>
    <t>دولة قطر تجدد التزامها بالمساهمة الفعالة في الجهود الدولية لتحقيق أهداف التنمية الشاملة والمستدامة
🔗لقراءة المزيد: https://t.co/JOhmwV6BBv
#الخارجية_القطرية https://t.co/v0dJrIR2T9</t>
  </si>
  <si>
    <t>سمو الأمير المفدى يستقبل فخامة الرئيسة سامية صولوحو حسن رئيسة جمهورية تنزانيا المتحدة بالديوان الأميري، وذلك بمناسبة زيارتها إلى البلاد للمشاركة في مؤتمر القمة العالمي للابتكار في الرعاية الصحية (ويش). https://t.co/c0PXuGMerf https://t.co/t5RKfJ0YhD</t>
  </si>
  <si>
    <t>سفير دولة قطر لدى فرنسا يفتتح ندوة رابطة كادران عن "الرحل الرقميين"
🔗لقراءة المزيد: https://t.co/vUa32Ll7Kq
#الخارجية_القطرية https://t.co/5JkF9M3VpO</t>
  </si>
  <si>
    <t>مشاورات سياسية بين دولة قطر وجمهورية بولندا 
#الخارجية_القطرية https://t.co/cgx05uVIzc</t>
  </si>
  <si>
    <t>دولة قطر تجدد حرصها على الالتزام بمبادئ المسؤولية المشتركة والعمل المتعدد الأطراف
🔗لقراءة المزيد : https://t.co/IFpveuJX9z
#الخارجية_القطرية https://t.co/el0w0H4DIj</t>
  </si>
  <si>
    <t>Deputy Prime Minister and Minister of Foreign Affairs @MBA_AlThani_ Meets with Minister of Foreign Affairs of Cyprus
#MOFAQatar https://t.co/60fyHyr9iw</t>
  </si>
  <si>
    <t>🎥 | Deputy Prime Minister and Minister of Foreign Affairs @MBA_AlThani_ Meets with Minister of Foreign Affairs of Cyprus
#MOFAQatar https://t.co/MF1eVdIsvU</t>
  </si>
  <si>
    <t>Assistant Foreign Minister @Lolwah_Alkhater Meets US Ambassador
#MOFAQatar https://t.co/P6KaSUaaYz</t>
  </si>
  <si>
    <t>Paraguay Awards HE Sheikha Alia Ahmed bin Saif Al-Thani National Order of Merit
#MOFAQatar https://t.co/nYXRHaVWPA</t>
  </si>
  <si>
    <t>Qatar Renews Commitment to Actively Contribute to International Efforts to Achieve Sustainable Development
🔗To learn more: https://t.co/1T5CuW4pHo
#MOFAQatar https://t.co/rYHzIrapqi</t>
  </si>
  <si>
    <t>Qatar, Poland Hold Political Consultations
#MOFAQatar https://t.co/OmYFdM8jH6</t>
  </si>
  <si>
    <t>وزير الدولة للشؤون الخارجية يتسلم نسخة من أوراق اعتماد سفيري فنزويلا ومولدوفا
#الخارجية_القطرية https://t.co/PLyJ1TuElt</t>
  </si>
  <si>
    <t>مساعد وزير الخارجية @Lolwah_Alkhater تجتمع مع سفير الولايات المتحدة الأمريكية
#الخارجية_القطرية https://t.co/Ajs2wH9BUk</t>
  </si>
  <si>
    <t>نائب رئيس مجلس الوزراء وزير الخارجية @MBA_AlThani_ يجتمع مع وزير خارجية قبرص
#الخارجية_القطرية https://t.co/a64Ta5qMrp</t>
  </si>
  <si>
    <t>سررت بلقاء سعادة السيد يوانيس كاسوليديس، وزير الشؤون الخارجية بجمهورية قبرص، اليوم في #الدوحة، لنقاش سبل تعزيز وتطوير التعاون الاقتصادي خاصة الاستثمار في مجالي السياحة والطاقة، بالإضافة إلى عدد من الموضوعات ذات الاهتمام المشترك. https://t.co/QPUuUSdgE1</t>
  </si>
  <si>
    <t>Pleased to meet HE Ioannis Kasoulides, Foreign Minister of Cyprus, today in #Doha, to discuss ways to enhance &amp;amp; develop economic cooperation, especially investment in the fields of tourism &amp;amp; energy, in addition to a number of issues of common interest. https://t.co/6wJLTnY3jo</t>
  </si>
  <si>
    <t>الباراغواي تمنح سعادة الشيخة علياء أحمد بن سيف آل ثاني وسام الاستحقاق الوطني
#الخارجية_القطرية https://t.co/ChYBjVV8OG</t>
  </si>
  <si>
    <t>نائب رئيس المجلس الرئاسي الليبي يجتمع مع سفير دولة قطر 
#الخارجية_القطرية https://t.co/3wwhkjx4AM</t>
  </si>
  <si>
    <t>Vice President of Libyan Presidential Council Meets Qatar Ambassador
#MOFAQatar https://t.co/R5kWmfpCZR</t>
  </si>
  <si>
    <t>رئيس جمهورية بوتسوانا يتسلم أوراق اعتماد سفير دولة قطر
#الخارجية_القطرية https://t.co/lqc3D11O0N</t>
  </si>
  <si>
    <t>UnderSecStateJ</t>
  </si>
  <si>
    <t>Qatar has been an invaluable partner on Afghanistan. I thanked Depty Prime Minister and Foreign Minister @MBA_AlThani_ for 🇶🇦’s ongoing cooperation. We also discussed our collaboration to combat trafficking in persons &amp;amp; support labor reforms before, during, &amp;amp; after the World Cup. https://t.co/uZoqRfzBdI</t>
  </si>
  <si>
    <t>President of Botswana Receives Credentials of Qatari Ambassador
#MOFAQatar https://t.co/hC4LUBR5YK</t>
  </si>
  <si>
    <t>Statement | Qatar Welcomes the Progress Made in Establishing Lebanon’s Maritime Borders 
#MOFAQatar https://t.co/iyZqxtSXor</t>
  </si>
  <si>
    <t>Remarks by H.E. Sheikh/ Abdullah Bin Mohammed Al Thani Ambassador of the State of Qatar to the Federal Republic of Germany on its Unity Day
🇩🇪🇶🇦
#Qatar_Germany
#MOFAQatar 
@GermanyDiplo
@GermanyinQatar
@QatarEmb_Berlin https://t.co/gzCVwsVZBT</t>
  </si>
  <si>
    <t>Statement : Qatar Stresses Necessity of Respecting Sovereignty, Territorial Integrity of Ukraine
#MOFAQatar https://t.co/DxwwSMXGLq</t>
  </si>
  <si>
    <t>Statement : Qatar Strongly Condemns Bombing in Somalia
#MOFAQatar https://t.co/oCugGPK92j</t>
  </si>
  <si>
    <t>بيان : قطر تدين بشدة تفجيراً في الصومال
#الخارجية_القطرية https://t.co/O8U34PRpbS</t>
  </si>
  <si>
    <t>بيان : دولة قطر تشدد على ضرورة احترام سيادة أوكرانيا وسلامة أراضيها
#الخارجية_القطرية https://t.co/BCjkaAdoHA</t>
  </si>
  <si>
    <t>سمو الأمير المفدى يعزي فخامة الرئيس جو بايدن رئيس الولايات المتحدة الأمريكية الصديقة، في ضحايا إعصار إيان الذي ضرب عدد من الولايات الأمريكية، متمنيًا سموه الشفاء العاجل للمصابين. https://t.co/GwlAioIb3B</t>
  </si>
  <si>
    <t>كلمة سعادة الشيخ/ عبدالله بن محمد آل ثاني سفير دولة قطر لدى جمهورية ألمانيا الاتحادية بمناسبة ذكرى يوم الوحدة 
🇩🇪🇶🇦
#قطر_ألمانيا
#الخارجية_القطرية 
@GermanyDiplo
@GermanyinQatar
@QatarEmb_Berlin https://t.co/zMjIeVcezU</t>
  </si>
  <si>
    <t>بيان | قطر ترحب بالتقدم الإيجابي لترسيم الحدود البحرية اللبنانية
#الخارجية_القطرية https://t.co/ucEKcbz2M5</t>
  </si>
  <si>
    <t>HH the Amir Receives Written Message from Sultan of Oman
#MOFAQatar https://t.co/owUldNstXs</t>
  </si>
  <si>
    <t>سمو الأمير يتلقى رسالة خطية من سلطان عمان
#الخارجية_القطرية https://t.co/lxuGZAUFCI</t>
  </si>
  <si>
    <t>🎥 | سمو الأمير يتلقى رسالة خطية من سلطان عمان
#الخارجية_القطرية https://t.co/jt7kQkmyw5</t>
  </si>
  <si>
    <t>رئيس الوزراء بجمهورية التشيك يجتمع مع سفير دولة قطر
#الخارجية_القطرية https://t.co/cUsxnWIDyc</t>
  </si>
  <si>
    <t>Pleased to meet with HE @UnderSecStateJ, the US Under Secretary of State for Civilian Security, Democracy &amp;amp; Human Rights, to discuss ways to enhance our bilateral cooperation, &amp;amp; a number of international issues of common interest. https://t.co/EjszXkvT7H</t>
  </si>
  <si>
    <t>نائب رئيس مجلس الوزراء وزير الخارجية @MBA_AlThani_ يجتمع مع وكيلة وزارة الخارجية الأمريكية
#الخارجية_القطرية https://t.co/eWd2Mmk5En</t>
  </si>
  <si>
    <t>Prime Minister of Czech Republic Meets Ambassador of Qatar
#MOFAQatar https://t.co/363iq2S84z</t>
  </si>
  <si>
    <t>سعدت بلقاء سعادة السيدة @UnderSecStateJ، وكيلة وزارة الخارجية الأميركية للأمن المدني والديمقراطية وحقوق الإنسان، لنقاش سبل تعزيز التعاون الثنائي، وعدد من القضايا الدولية ذات الاهتمام المشترك. https://t.co/ykbW1JGGAY</t>
  </si>
  <si>
    <t>Deputy Prime Minister and Minister of Foreign Affairs @MBA_AlThani_ Meets US Under Secretary of State
#MOFAQatar https://t.co/rOqBfeEHJ8</t>
  </si>
  <si>
    <t>Deputy Prime Minister and Minister of Foreign Affairs @MBA_AlThani_ Receives Phone Call from Chinese Foreign Minister
#MOFAQatar https://t.co/AWIAaHqbEP</t>
  </si>
  <si>
    <t>Deputy Prime Minister and Minister of Foreign Affairs @MBA_AlThani_ Holds Phone Call with Iranian Foreign Minister
#MOFAQatar https://t.co/sukY6WHuzG</t>
  </si>
  <si>
    <t>أتقدم بأطيب التهاني والتبريكات الى جمهورية #الصين الشعبية الصديقة بمناسبة ذكرى اليوم الوطني، متمنياً لهم المزيد من التقدم والازدهار.</t>
  </si>
  <si>
    <t>نائب رئيس مجلس الوزراء وزير الخارجية @MBA_AlThani_ يتلقى اتصالاً هاتفياً من وزير الخارجية الصيني
#الخارجية_القطرية https://t.co/AOIxOImXKg</t>
  </si>
  <si>
    <t>نائب رئيس مجلس الوزراء وزير الخارجية @MBA_AlThani_ يجري اتصالاً هاتفياً مع وزير الخارجية الإيراني 
#الخارجية_القطرية https://t.co/I73pMvrup8</t>
  </si>
  <si>
    <t>استمتعت بالحوار الهادف والمثمر مع سعادة السيد دارين تانغ، المدير العام @WIPO 
تطرقنا لعدد من القضايا ومشاريع التعاون في مجال الملكية الفكرية، كما تم تنظيم حفل توقيع وتبادل مذكرات التفاهم بشأن التعاون في مجال الوسائل البديلة لحل المنازعات https://t.co/XeGBmGnKw3</t>
  </si>
  <si>
    <t>I had the pleasure of meeting H.E. Mr. Darren Tang, Director Genera of @WIPO.
We discussed a number of topics of mutual interest in the #intellectual_property field, as well as signed an MoU on cooperation in the field of alternative means of dispute resolution https://t.co/j2lW4jDVSu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</si>
</sst>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83"/>
  <sheetViews>
    <sheetView tabSelected="1" topLeftCell="A1623" workbookViewId="0">
      <selection activeCell="A1645" sqref="A1645:XFD3191"/>
    </sheetView>
  </sheetViews>
  <sheetFormatPr baseColWidth="10" defaultColWidth="8.83203125" defaultRowHeight="15" x14ac:dyDescent="0.2"/>
  <cols>
    <col min="3" max="3" width="34.33203125"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HYPERLINK("http://www.twitter.com/banuakdenizli/status/1608941776076931072", "1608941776076931072")</f>
        <v>1608941776076931072</v>
      </c>
      <c r="B2" t="s">
        <v>15</v>
      </c>
      <c r="C2" s="2">
        <v>44925.904930555553</v>
      </c>
      <c r="D2">
        <v>0</v>
      </c>
      <c r="E2">
        <v>50</v>
      </c>
      <c r="F2" t="s">
        <v>28</v>
      </c>
      <c r="G2" t="s">
        <v>46</v>
      </c>
      <c r="L2">
        <v>0</v>
      </c>
      <c r="M2">
        <v>0</v>
      </c>
      <c r="N2">
        <v>1</v>
      </c>
      <c r="O2">
        <v>0</v>
      </c>
    </row>
    <row r="3" spans="1:15" x14ac:dyDescent="0.2">
      <c r="A3" s="1" t="str">
        <f>HYPERLINK("http://www.twitter.com/banuakdenizli/status/1608941762034413568", "1608941762034413568")</f>
        <v>1608941762034413568</v>
      </c>
      <c r="B3" t="s">
        <v>15</v>
      </c>
      <c r="C3" s="2">
        <v>44925.904895833337</v>
      </c>
      <c r="D3">
        <v>0</v>
      </c>
      <c r="E3">
        <v>16</v>
      </c>
      <c r="F3" t="s">
        <v>28</v>
      </c>
      <c r="G3" t="s">
        <v>47</v>
      </c>
      <c r="L3">
        <v>0</v>
      </c>
      <c r="M3">
        <v>0</v>
      </c>
      <c r="N3">
        <v>1</v>
      </c>
      <c r="O3">
        <v>0</v>
      </c>
    </row>
    <row r="4" spans="1:15" x14ac:dyDescent="0.2">
      <c r="A4" s="1" t="str">
        <f>HYPERLINK("http://www.twitter.com/banuakdenizli/status/1608834022955978754", "1608834022955978754")</f>
        <v>1608834022955978754</v>
      </c>
      <c r="B4" t="s">
        <v>15</v>
      </c>
      <c r="C4" s="2">
        <v>44925.607592592591</v>
      </c>
      <c r="D4">
        <v>0</v>
      </c>
      <c r="E4">
        <v>5</v>
      </c>
      <c r="F4" t="s">
        <v>20</v>
      </c>
      <c r="G4" t="s">
        <v>48</v>
      </c>
      <c r="H4" t="str">
        <f>HYPERLINK("http://pbs.twimg.com/media/FlOVfhxWQAE0YQP.jpg", "http://pbs.twimg.com/media/FlOVfhxWQAE0YQP.jpg")</f>
        <v>http://pbs.twimg.com/media/FlOVfhxWQAE0YQP.jpg</v>
      </c>
      <c r="L4">
        <v>0</v>
      </c>
      <c r="M4">
        <v>0</v>
      </c>
      <c r="N4">
        <v>1</v>
      </c>
      <c r="O4">
        <v>0</v>
      </c>
    </row>
    <row r="5" spans="1:15" x14ac:dyDescent="0.2">
      <c r="A5" s="1" t="str">
        <f>HYPERLINK("http://www.twitter.com/banuakdenizli/status/1608816365800148997", "1608816365800148997")</f>
        <v>1608816365800148997</v>
      </c>
      <c r="B5" t="s">
        <v>15</v>
      </c>
      <c r="C5" s="2">
        <v>44925.558865740742</v>
      </c>
      <c r="D5">
        <v>0</v>
      </c>
      <c r="E5">
        <v>42</v>
      </c>
      <c r="F5" t="s">
        <v>17</v>
      </c>
      <c r="G5" t="s">
        <v>49</v>
      </c>
      <c r="H5" t="str">
        <f>HYPERLINK("http://pbs.twimg.com/media/FlOl6VXWAAM2KVs.jpg", "http://pbs.twimg.com/media/FlOl6VXWAAM2KVs.jpg")</f>
        <v>http://pbs.twimg.com/media/FlOl6VXWAAM2KVs.jpg</v>
      </c>
      <c r="L5">
        <v>-0.51060000000000005</v>
      </c>
      <c r="M5">
        <v>0.248</v>
      </c>
      <c r="N5">
        <v>0.752</v>
      </c>
      <c r="O5">
        <v>0</v>
      </c>
    </row>
    <row r="6" spans="1:15" x14ac:dyDescent="0.2">
      <c r="A6" s="1" t="str">
        <f>HYPERLINK("http://www.twitter.com/banuakdenizli/status/1608815775313440768", "1608815775313440768")</f>
        <v>1608815775313440768</v>
      </c>
      <c r="B6" t="s">
        <v>15</v>
      </c>
      <c r="C6" s="2">
        <v>44925.557233796288</v>
      </c>
      <c r="D6">
        <v>0</v>
      </c>
      <c r="E6">
        <v>62</v>
      </c>
      <c r="F6" t="s">
        <v>16</v>
      </c>
      <c r="G6" t="s">
        <v>50</v>
      </c>
      <c r="H6" t="str">
        <f>HYPERLINK("http://pbs.twimg.com/media/FlOQGLpWYAEvMyJ.jpg", "http://pbs.twimg.com/media/FlOQGLpWYAEvMyJ.jpg")</f>
        <v>http://pbs.twimg.com/media/FlOQGLpWYAEvMyJ.jpg</v>
      </c>
      <c r="L6">
        <v>0</v>
      </c>
      <c r="M6">
        <v>0</v>
      </c>
      <c r="N6">
        <v>1</v>
      </c>
      <c r="O6">
        <v>0</v>
      </c>
    </row>
    <row r="7" spans="1:15" x14ac:dyDescent="0.2">
      <c r="A7" s="1" t="str">
        <f>HYPERLINK("http://www.twitter.com/banuakdenizli/status/1608472837827747841", "1608472837827747841")</f>
        <v>1608472837827747841</v>
      </c>
      <c r="B7" t="s">
        <v>15</v>
      </c>
      <c r="C7" s="2">
        <v>44924.610914351862</v>
      </c>
      <c r="D7">
        <v>0</v>
      </c>
      <c r="E7">
        <v>37</v>
      </c>
      <c r="F7" t="s">
        <v>51</v>
      </c>
      <c r="G7" t="s">
        <v>52</v>
      </c>
      <c r="H7" t="str">
        <f>HYPERLINK("https://video.twimg.com/ext_tw_video/1608072190271823873/pu/vid/848x480/PYQ6HEBz2SqzWMTb.mp4?tag=12", "https://video.twimg.com/ext_tw_video/1608072190271823873/pu/vid/848x480/PYQ6HEBz2SqzWMTb.mp4?tag=12")</f>
        <v>https://video.twimg.com/ext_tw_video/1608072190271823873/pu/vid/848x480/PYQ6HEBz2SqzWMTb.mp4?tag=12</v>
      </c>
      <c r="L7">
        <v>0</v>
      </c>
      <c r="M7">
        <v>0</v>
      </c>
      <c r="N7">
        <v>1</v>
      </c>
      <c r="O7">
        <v>0</v>
      </c>
    </row>
    <row r="8" spans="1:15" x14ac:dyDescent="0.2">
      <c r="A8" s="1" t="str">
        <f>HYPERLINK("http://www.twitter.com/banuakdenizli/status/1608472189778661378", "1608472189778661378")</f>
        <v>1608472189778661378</v>
      </c>
      <c r="B8" t="s">
        <v>15</v>
      </c>
      <c r="C8" s="2">
        <v>44924.609120370369</v>
      </c>
      <c r="D8">
        <v>0</v>
      </c>
      <c r="E8">
        <v>9</v>
      </c>
      <c r="F8" t="s">
        <v>25</v>
      </c>
      <c r="G8" t="s">
        <v>53</v>
      </c>
      <c r="L8">
        <v>0</v>
      </c>
      <c r="M8">
        <v>0</v>
      </c>
      <c r="N8">
        <v>1</v>
      </c>
      <c r="O8">
        <v>0</v>
      </c>
    </row>
    <row r="9" spans="1:15" x14ac:dyDescent="0.2">
      <c r="A9" s="1" t="str">
        <f>HYPERLINK("http://www.twitter.com/banuakdenizli/status/1608471977374937090", "1608471977374937090")</f>
        <v>1608471977374937090</v>
      </c>
      <c r="B9" t="s">
        <v>15</v>
      </c>
      <c r="C9" s="2">
        <v>44924.608541666668</v>
      </c>
      <c r="D9">
        <v>0</v>
      </c>
      <c r="E9">
        <v>4</v>
      </c>
      <c r="F9" t="s">
        <v>17</v>
      </c>
      <c r="G9" t="s">
        <v>54</v>
      </c>
      <c r="H9" t="str">
        <f>HYPERLINK("http://pbs.twimg.com/media/FlJaf6DXoAECx0s.jpg", "http://pbs.twimg.com/media/FlJaf6DXoAECx0s.jpg")</f>
        <v>http://pbs.twimg.com/media/FlJaf6DXoAECx0s.jpg</v>
      </c>
      <c r="L9">
        <v>0</v>
      </c>
      <c r="M9">
        <v>0</v>
      </c>
      <c r="N9">
        <v>1</v>
      </c>
      <c r="O9">
        <v>0</v>
      </c>
    </row>
    <row r="10" spans="1:15" x14ac:dyDescent="0.2">
      <c r="A10" s="1" t="str">
        <f>HYPERLINK("http://www.twitter.com/banuakdenizli/status/1608471964393574400", "1608471964393574400")</f>
        <v>1608471964393574400</v>
      </c>
      <c r="B10" t="s">
        <v>15</v>
      </c>
      <c r="C10" s="2">
        <v>44924.608495370368</v>
      </c>
      <c r="D10">
        <v>0</v>
      </c>
      <c r="E10">
        <v>10</v>
      </c>
      <c r="F10" t="s">
        <v>16</v>
      </c>
      <c r="G10" t="s">
        <v>55</v>
      </c>
      <c r="H10" t="str">
        <f>HYPERLINK("http://pbs.twimg.com/media/FlI8DH8WIAMn7Ae.jpg", "http://pbs.twimg.com/media/FlI8DH8WIAMn7Ae.jpg")</f>
        <v>http://pbs.twimg.com/media/FlI8DH8WIAMn7Ae.jpg</v>
      </c>
      <c r="L10">
        <v>0</v>
      </c>
      <c r="M10">
        <v>0</v>
      </c>
      <c r="N10">
        <v>1</v>
      </c>
      <c r="O10">
        <v>0</v>
      </c>
    </row>
    <row r="11" spans="1:15" x14ac:dyDescent="0.2">
      <c r="A11" s="1" t="str">
        <f>HYPERLINK("http://www.twitter.com/banuakdenizli/status/1608158458632888324", "1608158458632888324")</f>
        <v>1608158458632888324</v>
      </c>
      <c r="B11" t="s">
        <v>15</v>
      </c>
      <c r="C11" s="2">
        <v>44923.743391203701</v>
      </c>
      <c r="D11">
        <v>0</v>
      </c>
      <c r="E11">
        <v>23</v>
      </c>
      <c r="F11" t="s">
        <v>28</v>
      </c>
      <c r="G11" t="s">
        <v>56</v>
      </c>
      <c r="L11">
        <v>0</v>
      </c>
      <c r="M11">
        <v>0</v>
      </c>
      <c r="N11">
        <v>1</v>
      </c>
      <c r="O11">
        <v>0</v>
      </c>
    </row>
    <row r="12" spans="1:15" x14ac:dyDescent="0.2">
      <c r="A12" s="1" t="str">
        <f>HYPERLINK("http://www.twitter.com/banuakdenizli/status/1608158381797163008", "1608158381797163008")</f>
        <v>1608158381797163008</v>
      </c>
      <c r="B12" t="s">
        <v>15</v>
      </c>
      <c r="C12" s="2">
        <v>44923.74318287037</v>
      </c>
      <c r="D12">
        <v>0</v>
      </c>
      <c r="E12">
        <v>4</v>
      </c>
      <c r="F12" t="s">
        <v>16</v>
      </c>
      <c r="G12" t="s">
        <v>57</v>
      </c>
      <c r="H12" t="str">
        <f>HYPERLINK("http://pbs.twimg.com/media/Fk5-O8qXkAAylGy.jpg", "http://pbs.twimg.com/media/Fk5-O8qXkAAylGy.jpg")</f>
        <v>http://pbs.twimg.com/media/Fk5-O8qXkAAylGy.jpg</v>
      </c>
      <c r="L12">
        <v>0</v>
      </c>
      <c r="M12">
        <v>0</v>
      </c>
      <c r="N12">
        <v>1</v>
      </c>
      <c r="O12">
        <v>0</v>
      </c>
    </row>
    <row r="13" spans="1:15" x14ac:dyDescent="0.2">
      <c r="A13" s="1" t="str">
        <f>HYPERLINK("http://www.twitter.com/banuakdenizli/status/1608158162200268805", "1608158162200268805")</f>
        <v>1608158162200268805</v>
      </c>
      <c r="B13" t="s">
        <v>15</v>
      </c>
      <c r="C13" s="2">
        <v>44923.742569444446</v>
      </c>
      <c r="D13">
        <v>0</v>
      </c>
      <c r="E13">
        <v>13</v>
      </c>
      <c r="F13" t="s">
        <v>17</v>
      </c>
      <c r="G13" t="s">
        <v>58</v>
      </c>
      <c r="H13" t="str">
        <f>HYPERLINK("http://pbs.twimg.com/media/Fknki-VXkAQ_Eui.jpg", "http://pbs.twimg.com/media/Fknki-VXkAQ_Eui.jpg")</f>
        <v>http://pbs.twimg.com/media/Fknki-VXkAQ_Eui.jpg</v>
      </c>
      <c r="I13" t="str">
        <f>HYPERLINK("http://pbs.twimg.com/media/Fknki-UX0AEl2Xl.jpg", "http://pbs.twimg.com/media/Fknki-UX0AEl2Xl.jpg")</f>
        <v>http://pbs.twimg.com/media/Fknki-UX0AEl2Xl.jpg</v>
      </c>
      <c r="L13">
        <v>0.34</v>
      </c>
      <c r="M13">
        <v>0</v>
      </c>
      <c r="N13">
        <v>0.88200000000000001</v>
      </c>
      <c r="O13">
        <v>0.11799999999999999</v>
      </c>
    </row>
    <row r="14" spans="1:15" x14ac:dyDescent="0.2">
      <c r="A14" s="1" t="str">
        <f>HYPERLINK("http://www.twitter.com/banuakdenizli/status/1608146892440862720", "1608146892440862720")</f>
        <v>1608146892440862720</v>
      </c>
      <c r="B14" t="s">
        <v>15</v>
      </c>
      <c r="C14" s="2">
        <v>44923.711469907408</v>
      </c>
      <c r="D14">
        <v>0</v>
      </c>
      <c r="E14">
        <v>37</v>
      </c>
      <c r="F14" t="s">
        <v>28</v>
      </c>
      <c r="G14" t="s">
        <v>59</v>
      </c>
      <c r="L14">
        <v>0</v>
      </c>
      <c r="M14">
        <v>0</v>
      </c>
      <c r="N14">
        <v>1</v>
      </c>
      <c r="O14">
        <v>0</v>
      </c>
    </row>
    <row r="15" spans="1:15" x14ac:dyDescent="0.2">
      <c r="A15" s="1" t="str">
        <f>HYPERLINK("http://www.twitter.com/banuakdenizli/status/1607924831407718401", "1607924831407718401")</f>
        <v>1607924831407718401</v>
      </c>
      <c r="B15" t="s">
        <v>15</v>
      </c>
      <c r="C15" s="2">
        <v>44923.098703703698</v>
      </c>
      <c r="D15">
        <v>0</v>
      </c>
      <c r="E15">
        <v>1</v>
      </c>
      <c r="F15" t="s">
        <v>29</v>
      </c>
      <c r="G15" t="s">
        <v>60</v>
      </c>
      <c r="H15" t="str">
        <f>HYPERLINK("http://pbs.twimg.com/media/Fk51vDOWYAEHIGA.jpg", "http://pbs.twimg.com/media/Fk51vDOWYAEHIGA.jpg")</f>
        <v>http://pbs.twimg.com/media/Fk51vDOWYAEHIGA.jpg</v>
      </c>
      <c r="L15">
        <v>0</v>
      </c>
      <c r="M15">
        <v>0</v>
      </c>
      <c r="N15">
        <v>1</v>
      </c>
      <c r="O15">
        <v>0</v>
      </c>
    </row>
    <row r="16" spans="1:15" x14ac:dyDescent="0.2">
      <c r="A16" s="1" t="str">
        <f>HYPERLINK("http://www.twitter.com/banuakdenizli/status/1607924366045495297", "1607924366045495297")</f>
        <v>1607924366045495297</v>
      </c>
      <c r="B16" t="s">
        <v>15</v>
      </c>
      <c r="C16" s="2">
        <v>44923.097418981481</v>
      </c>
      <c r="D16">
        <v>0</v>
      </c>
      <c r="E16">
        <v>8</v>
      </c>
      <c r="F16" t="s">
        <v>16</v>
      </c>
      <c r="G16" t="s">
        <v>61</v>
      </c>
      <c r="H16" t="str">
        <f>HYPERLINK("http://pbs.twimg.com/media/Fk62TxzXEAEfG35.jpg", "http://pbs.twimg.com/media/Fk62TxzXEAEfG35.jpg")</f>
        <v>http://pbs.twimg.com/media/Fk62TxzXEAEfG35.jpg</v>
      </c>
      <c r="L16">
        <v>0</v>
      </c>
      <c r="M16">
        <v>0</v>
      </c>
      <c r="N16">
        <v>1</v>
      </c>
      <c r="O16">
        <v>0</v>
      </c>
    </row>
    <row r="17" spans="1:15" x14ac:dyDescent="0.2">
      <c r="A17" s="1" t="str">
        <f>HYPERLINK("http://www.twitter.com/banuakdenizli/status/1607899955506876416", "1607899955506876416")</f>
        <v>1607899955506876416</v>
      </c>
      <c r="B17" t="s">
        <v>15</v>
      </c>
      <c r="C17" s="2">
        <v>44923.030057870368</v>
      </c>
      <c r="D17">
        <v>0</v>
      </c>
      <c r="E17">
        <v>1</v>
      </c>
      <c r="F17" t="s">
        <v>29</v>
      </c>
      <c r="G17" t="s">
        <v>62</v>
      </c>
      <c r="H17" t="str">
        <f>HYPERLINK("http://pbs.twimg.com/media/Fk5Pk1RX0AAvPrd.jpg", "http://pbs.twimg.com/media/Fk5Pk1RX0AAvPrd.jpg")</f>
        <v>http://pbs.twimg.com/media/Fk5Pk1RX0AAvPrd.jpg</v>
      </c>
      <c r="L17">
        <v>0</v>
      </c>
      <c r="M17">
        <v>0</v>
      </c>
      <c r="N17">
        <v>1</v>
      </c>
      <c r="O17">
        <v>0</v>
      </c>
    </row>
    <row r="18" spans="1:15" x14ac:dyDescent="0.2">
      <c r="A18" s="1" t="str">
        <f>HYPERLINK("http://www.twitter.com/banuakdenizli/status/1607899660097650690", "1607899660097650690")</f>
        <v>1607899660097650690</v>
      </c>
      <c r="B18" t="s">
        <v>15</v>
      </c>
      <c r="C18" s="2">
        <v>44923.029236111113</v>
      </c>
      <c r="D18">
        <v>0</v>
      </c>
      <c r="E18">
        <v>4</v>
      </c>
      <c r="F18" t="s">
        <v>30</v>
      </c>
      <c r="G18" t="s">
        <v>63</v>
      </c>
      <c r="H18" t="str">
        <f>HYPERLINK("http://pbs.twimg.com/media/Fk-39IuXoAEPclg.jpg", "http://pbs.twimg.com/media/Fk-39IuXoAEPclg.jpg")</f>
        <v>http://pbs.twimg.com/media/Fk-39IuXoAEPclg.jpg</v>
      </c>
      <c r="L18">
        <v>0</v>
      </c>
      <c r="M18">
        <v>0</v>
      </c>
      <c r="N18">
        <v>1</v>
      </c>
      <c r="O18">
        <v>0</v>
      </c>
    </row>
    <row r="19" spans="1:15" x14ac:dyDescent="0.2">
      <c r="A19" s="1" t="str">
        <f>HYPERLINK("http://www.twitter.com/banuakdenizli/status/1607563852656553985", "1607563852656553985")</f>
        <v>1607563852656553985</v>
      </c>
      <c r="B19" t="s">
        <v>15</v>
      </c>
      <c r="C19" s="2">
        <v>44922.102592592593</v>
      </c>
      <c r="D19">
        <v>0</v>
      </c>
      <c r="E19">
        <v>15</v>
      </c>
      <c r="F19" t="s">
        <v>17</v>
      </c>
      <c r="G19" t="s">
        <v>64</v>
      </c>
      <c r="H19" t="str">
        <f>HYPERLINK("http://pbs.twimg.com/media/Fk7GOgOWYAM2xaJ.jpg", "http://pbs.twimg.com/media/Fk7GOgOWYAM2xaJ.jpg")</f>
        <v>http://pbs.twimg.com/media/Fk7GOgOWYAM2xaJ.jpg</v>
      </c>
      <c r="L19">
        <v>0</v>
      </c>
      <c r="M19">
        <v>0</v>
      </c>
      <c r="N19">
        <v>1</v>
      </c>
      <c r="O19">
        <v>0</v>
      </c>
    </row>
    <row r="20" spans="1:15" x14ac:dyDescent="0.2">
      <c r="A20" s="1" t="str">
        <f>HYPERLINK("http://www.twitter.com/banuakdenizli/status/1607563601941860355", "1607563601941860355")</f>
        <v>1607563601941860355</v>
      </c>
      <c r="B20" t="s">
        <v>15</v>
      </c>
      <c r="C20" s="2">
        <v>44922.101898148147</v>
      </c>
      <c r="D20">
        <v>0</v>
      </c>
      <c r="E20">
        <v>14</v>
      </c>
      <c r="F20" t="s">
        <v>24</v>
      </c>
      <c r="G20" t="s">
        <v>65</v>
      </c>
      <c r="H20" t="str">
        <f>HYPERLINK("http://pbs.twimg.com/media/Fk5AoQOXoAE3mVw.jpg", "http://pbs.twimg.com/media/Fk5AoQOXoAE3mVw.jpg")</f>
        <v>http://pbs.twimg.com/media/Fk5AoQOXoAE3mVw.jpg</v>
      </c>
      <c r="L20">
        <v>0.75790000000000002</v>
      </c>
      <c r="M20">
        <v>0</v>
      </c>
      <c r="N20">
        <v>0.85699999999999998</v>
      </c>
      <c r="O20">
        <v>0.14299999999999999</v>
      </c>
    </row>
    <row r="21" spans="1:15" x14ac:dyDescent="0.2">
      <c r="A21" s="1" t="str">
        <f>HYPERLINK("http://www.twitter.com/banuakdenizli/status/1607404061787029505", "1607404061787029505")</f>
        <v>1607404061787029505</v>
      </c>
      <c r="B21" t="s">
        <v>15</v>
      </c>
      <c r="C21" s="2">
        <v>44921.66165509259</v>
      </c>
      <c r="D21">
        <v>0</v>
      </c>
      <c r="E21">
        <v>518</v>
      </c>
      <c r="F21" t="s">
        <v>51</v>
      </c>
      <c r="G21" t="s">
        <v>66</v>
      </c>
      <c r="H21" t="str">
        <f>HYPERLINK("https://video.twimg.com/ext_tw_video/1606727834826940417/pu/vid/720x900/yB0xII5M-FC3dItT.mp4?tag=12", "https://video.twimg.com/ext_tw_video/1606727834826940417/pu/vid/720x900/yB0xII5M-FC3dItT.mp4?tag=12")</f>
        <v>https://video.twimg.com/ext_tw_video/1606727834826940417/pu/vid/720x900/yB0xII5M-FC3dItT.mp4?tag=12</v>
      </c>
      <c r="L21">
        <v>0</v>
      </c>
      <c r="M21">
        <v>0</v>
      </c>
      <c r="N21">
        <v>1</v>
      </c>
      <c r="O21">
        <v>0</v>
      </c>
    </row>
    <row r="22" spans="1:15" x14ac:dyDescent="0.2">
      <c r="A22" s="1" t="str">
        <f>HYPERLINK("http://www.twitter.com/banuakdenizli/status/1607389030483738675", "1607389030483738675")</f>
        <v>1607389030483738675</v>
      </c>
      <c r="B22" t="s">
        <v>15</v>
      </c>
      <c r="C22" s="2">
        <v>44921.620173611111</v>
      </c>
      <c r="D22">
        <v>0</v>
      </c>
      <c r="E22">
        <v>6</v>
      </c>
      <c r="F22" t="s">
        <v>17</v>
      </c>
      <c r="G22" t="s">
        <v>67</v>
      </c>
      <c r="H22" t="str">
        <f>HYPERLINK("http://pbs.twimg.com/media/FkfxecjUcAAZI-y.jpg", "http://pbs.twimg.com/media/FkfxecjUcAAZI-y.jpg")</f>
        <v>http://pbs.twimg.com/media/FkfxecjUcAAZI-y.jpg</v>
      </c>
      <c r="L22">
        <v>0</v>
      </c>
      <c r="M22">
        <v>0</v>
      </c>
      <c r="N22">
        <v>1</v>
      </c>
      <c r="O22">
        <v>0</v>
      </c>
    </row>
    <row r="23" spans="1:15" x14ac:dyDescent="0.2">
      <c r="A23" s="1" t="str">
        <f>HYPERLINK("http://www.twitter.com/banuakdenizli/status/1607384727891107840", "1607384727891107840")</f>
        <v>1607384727891107840</v>
      </c>
      <c r="B23" t="s">
        <v>15</v>
      </c>
      <c r="C23" s="2">
        <v>44921.608298611107</v>
      </c>
      <c r="D23">
        <v>0</v>
      </c>
      <c r="E23">
        <v>81</v>
      </c>
      <c r="F23" t="s">
        <v>17</v>
      </c>
      <c r="G23" t="s">
        <v>68</v>
      </c>
      <c r="H23" t="str">
        <f>HYPERLINK("http://pbs.twimg.com/media/FkekAn5WIAEwZWh.jpg", "http://pbs.twimg.com/media/FkekAn5WIAEwZWh.jpg")</f>
        <v>http://pbs.twimg.com/media/FkekAn5WIAEwZWh.jpg</v>
      </c>
      <c r="L23">
        <v>-0.68079999999999996</v>
      </c>
      <c r="M23">
        <v>0.248</v>
      </c>
      <c r="N23">
        <v>0.752</v>
      </c>
      <c r="O23">
        <v>0</v>
      </c>
    </row>
    <row r="24" spans="1:15" x14ac:dyDescent="0.2">
      <c r="A24" s="1" t="str">
        <f>HYPERLINK("http://www.twitter.com/banuakdenizli/status/1607384656118272007", "1607384656118272007")</f>
        <v>1607384656118272007</v>
      </c>
      <c r="B24" t="s">
        <v>15</v>
      </c>
      <c r="C24" s="2">
        <v>44921.608101851853</v>
      </c>
      <c r="D24">
        <v>0</v>
      </c>
      <c r="E24">
        <v>13</v>
      </c>
      <c r="F24" t="s">
        <v>17</v>
      </c>
      <c r="G24" t="s">
        <v>69</v>
      </c>
      <c r="H24" t="str">
        <f>HYPERLINK("http://pbs.twimg.com/media/Fkfyu7nVQAIpquJ.jpg", "http://pbs.twimg.com/media/Fkfyu7nVQAIpquJ.jpg")</f>
        <v>http://pbs.twimg.com/media/Fkfyu7nVQAIpquJ.jpg</v>
      </c>
      <c r="L24">
        <v>-0.34</v>
      </c>
      <c r="M24">
        <v>0.156</v>
      </c>
      <c r="N24">
        <v>0.84399999999999997</v>
      </c>
      <c r="O24">
        <v>0</v>
      </c>
    </row>
    <row r="25" spans="1:15" x14ac:dyDescent="0.2">
      <c r="A25" s="1" t="str">
        <f>HYPERLINK("http://www.twitter.com/banuakdenizli/status/1607384617572790273", "1607384617572790273")</f>
        <v>1607384617572790273</v>
      </c>
      <c r="B25" t="s">
        <v>15</v>
      </c>
      <c r="C25" s="2">
        <v>44921.607997685183</v>
      </c>
      <c r="D25">
        <v>0</v>
      </c>
      <c r="E25">
        <v>13</v>
      </c>
      <c r="F25" t="s">
        <v>17</v>
      </c>
      <c r="G25" t="s">
        <v>70</v>
      </c>
      <c r="H25" t="str">
        <f>HYPERLINK("http://pbs.twimg.com/media/FkfzqBoUoAAgtIf.jpg", "http://pbs.twimg.com/media/FkfzqBoUoAAgtIf.jpg")</f>
        <v>http://pbs.twimg.com/media/FkfzqBoUoAAgtIf.jpg</v>
      </c>
      <c r="L25">
        <v>-0.34</v>
      </c>
      <c r="M25">
        <v>0.156</v>
      </c>
      <c r="N25">
        <v>0.84399999999999997</v>
      </c>
      <c r="O25">
        <v>0</v>
      </c>
    </row>
    <row r="26" spans="1:15" x14ac:dyDescent="0.2">
      <c r="A26" s="1" t="str">
        <f>HYPERLINK("http://www.twitter.com/banuakdenizli/status/1607384535607529476", "1607384535607529476")</f>
        <v>1607384535607529476</v>
      </c>
      <c r="B26" t="s">
        <v>15</v>
      </c>
      <c r="C26" s="2">
        <v>44921.607766203713</v>
      </c>
      <c r="D26">
        <v>0</v>
      </c>
      <c r="E26">
        <v>6</v>
      </c>
      <c r="F26" t="s">
        <v>17</v>
      </c>
      <c r="G26" t="s">
        <v>71</v>
      </c>
      <c r="H26" t="str">
        <f>HYPERLINK("http://pbs.twimg.com/media/FkmiiDQXwAAkmLX.jpg", "http://pbs.twimg.com/media/FkmiiDQXwAAkmLX.jpg")</f>
        <v>http://pbs.twimg.com/media/FkmiiDQXwAAkmLX.jpg</v>
      </c>
      <c r="I26" t="str">
        <f>HYPERLINK("http://pbs.twimg.com/media/FkmiiDUWQAg4v0O.jpg", "http://pbs.twimg.com/media/FkmiiDUWQAg4v0O.jpg")</f>
        <v>http://pbs.twimg.com/media/FkmiiDUWQAg4v0O.jpg</v>
      </c>
      <c r="L26">
        <v>0</v>
      </c>
      <c r="M26">
        <v>0</v>
      </c>
      <c r="N26">
        <v>1</v>
      </c>
      <c r="O26">
        <v>0</v>
      </c>
    </row>
    <row r="27" spans="1:15" x14ac:dyDescent="0.2">
      <c r="A27" s="1" t="str">
        <f>HYPERLINK("http://www.twitter.com/banuakdenizli/status/1607384434621169670", "1607384434621169670")</f>
        <v>1607384434621169670</v>
      </c>
      <c r="B27" t="s">
        <v>15</v>
      </c>
      <c r="C27" s="2">
        <v>44921.607488425929</v>
      </c>
      <c r="D27">
        <v>0</v>
      </c>
      <c r="E27">
        <v>7</v>
      </c>
      <c r="F27" t="s">
        <v>17</v>
      </c>
      <c r="G27" t="s">
        <v>72</v>
      </c>
      <c r="H27" t="str">
        <f>HYPERLINK("http://pbs.twimg.com/media/Fk5MiBcWQAANWPA.jpg", "http://pbs.twimg.com/media/Fk5MiBcWQAANWPA.jpg")</f>
        <v>http://pbs.twimg.com/media/Fk5MiBcWQAANWPA.jpg</v>
      </c>
      <c r="I27" t="str">
        <f>HYPERLINK("http://pbs.twimg.com/media/Fk5MiG5XEAUMvxF.jpg", "http://pbs.twimg.com/media/Fk5MiG5XEAUMvxF.jpg")</f>
        <v>http://pbs.twimg.com/media/Fk5MiG5XEAUMvxF.jpg</v>
      </c>
      <c r="L27">
        <v>0</v>
      </c>
      <c r="M27">
        <v>0</v>
      </c>
      <c r="N27">
        <v>1</v>
      </c>
      <c r="O27">
        <v>0</v>
      </c>
    </row>
    <row r="28" spans="1:15" x14ac:dyDescent="0.2">
      <c r="A28" s="1" t="str">
        <f>HYPERLINK("http://www.twitter.com/banuakdenizli/status/1607380891411832832", "1607380891411832832")</f>
        <v>1607380891411832832</v>
      </c>
      <c r="B28" t="s">
        <v>15</v>
      </c>
      <c r="C28" s="2">
        <v>44921.597708333327</v>
      </c>
      <c r="D28">
        <v>0</v>
      </c>
      <c r="E28">
        <v>5</v>
      </c>
      <c r="F28" t="s">
        <v>17</v>
      </c>
      <c r="G28" t="s">
        <v>73</v>
      </c>
      <c r="H28" t="str">
        <f>HYPERLINK("http://pbs.twimg.com/media/Fk57SqdXgAIgsCX.jpg", "http://pbs.twimg.com/media/Fk57SqdXgAIgsCX.jpg")</f>
        <v>http://pbs.twimg.com/media/Fk57SqdXgAIgsCX.jpg</v>
      </c>
      <c r="L28">
        <v>0</v>
      </c>
      <c r="M28">
        <v>0</v>
      </c>
      <c r="N28">
        <v>1</v>
      </c>
      <c r="O28">
        <v>0</v>
      </c>
    </row>
    <row r="29" spans="1:15" x14ac:dyDescent="0.2">
      <c r="A29" s="1" t="str">
        <f>HYPERLINK("http://www.twitter.com/banuakdenizli/status/1607380866124206083", "1607380866124206083")</f>
        <v>1607380866124206083</v>
      </c>
      <c r="B29" t="s">
        <v>15</v>
      </c>
      <c r="C29" s="2">
        <v>44921.597638888888</v>
      </c>
      <c r="D29">
        <v>0</v>
      </c>
      <c r="E29">
        <v>8</v>
      </c>
      <c r="F29" t="s">
        <v>17</v>
      </c>
      <c r="G29" t="s">
        <v>74</v>
      </c>
      <c r="H29" t="str">
        <f>HYPERLINK("http://pbs.twimg.com/media/Fk58HefWQAAU9j8.jpg", "http://pbs.twimg.com/media/Fk58HefWQAAU9j8.jpg")</f>
        <v>http://pbs.twimg.com/media/Fk58HefWQAAU9j8.jpg</v>
      </c>
      <c r="I29" t="str">
        <f>HYPERLINK("http://pbs.twimg.com/media/Fk58HekWQAEcNU1.jpg", "http://pbs.twimg.com/media/Fk58HekWQAEcNU1.jpg")</f>
        <v>http://pbs.twimg.com/media/Fk58HekWQAEcNU1.jpg</v>
      </c>
      <c r="L29">
        <v>0</v>
      </c>
      <c r="M29">
        <v>0</v>
      </c>
      <c r="N29">
        <v>1</v>
      </c>
      <c r="O29">
        <v>0</v>
      </c>
    </row>
    <row r="30" spans="1:15" x14ac:dyDescent="0.2">
      <c r="A30" s="1" t="str">
        <f>HYPERLINK("http://www.twitter.com/banuakdenizli/status/1607380617099939841", "1607380617099939841")</f>
        <v>1607380617099939841</v>
      </c>
      <c r="B30" t="s">
        <v>15</v>
      </c>
      <c r="C30" s="2">
        <v>44921.596956018519</v>
      </c>
      <c r="D30">
        <v>0</v>
      </c>
      <c r="E30">
        <v>16</v>
      </c>
      <c r="F30" t="s">
        <v>16</v>
      </c>
      <c r="G30" t="s">
        <v>75</v>
      </c>
      <c r="H30" t="str">
        <f>HYPERLINK("http://pbs.twimg.com/media/Fkev0-rWAAIdoJ9.jpg", "http://pbs.twimg.com/media/Fkev0-rWAAIdoJ9.jpg")</f>
        <v>http://pbs.twimg.com/media/Fkev0-rWAAIdoJ9.jpg</v>
      </c>
      <c r="L30">
        <v>0</v>
      </c>
      <c r="M30">
        <v>0</v>
      </c>
      <c r="N30">
        <v>1</v>
      </c>
      <c r="O30">
        <v>0</v>
      </c>
    </row>
    <row r="31" spans="1:15" x14ac:dyDescent="0.2">
      <c r="A31" s="1" t="str">
        <f>HYPERLINK("http://www.twitter.com/banuakdenizli/status/1607380595352518656", "1607380595352518656")</f>
        <v>1607380595352518656</v>
      </c>
      <c r="B31" t="s">
        <v>15</v>
      </c>
      <c r="C31" s="2">
        <v>44921.596898148149</v>
      </c>
      <c r="D31">
        <v>0</v>
      </c>
      <c r="E31">
        <v>6</v>
      </c>
      <c r="F31" t="s">
        <v>16</v>
      </c>
      <c r="G31" t="s">
        <v>76</v>
      </c>
      <c r="H31" t="str">
        <f>HYPERLINK("http://pbs.twimg.com/media/FkfJk70WAAUfySA.jpg", "http://pbs.twimg.com/media/FkfJk70WAAUfySA.jpg")</f>
        <v>http://pbs.twimg.com/media/FkfJk70WAAUfySA.jpg</v>
      </c>
      <c r="L31">
        <v>0</v>
      </c>
      <c r="M31">
        <v>0</v>
      </c>
      <c r="N31">
        <v>1</v>
      </c>
      <c r="O31">
        <v>0</v>
      </c>
    </row>
    <row r="32" spans="1:15" x14ac:dyDescent="0.2">
      <c r="A32" s="1" t="str">
        <f>HYPERLINK("http://www.twitter.com/banuakdenizli/status/1607380556312121351", "1607380556312121351")</f>
        <v>1607380556312121351</v>
      </c>
      <c r="B32" t="s">
        <v>15</v>
      </c>
      <c r="C32" s="2">
        <v>44921.596782407411</v>
      </c>
      <c r="D32">
        <v>0</v>
      </c>
      <c r="E32">
        <v>46</v>
      </c>
      <c r="F32" t="s">
        <v>28</v>
      </c>
      <c r="G32" t="s">
        <v>77</v>
      </c>
      <c r="H32" t="str">
        <f>HYPERLINK("http://pbs.twimg.com/media/FkfTMR_XgAEdOmk.jpg", "http://pbs.twimg.com/media/FkfTMR_XgAEdOmk.jpg")</f>
        <v>http://pbs.twimg.com/media/FkfTMR_XgAEdOmk.jpg</v>
      </c>
      <c r="I32" t="str">
        <f>HYPERLINK("http://pbs.twimg.com/media/FkfTMSnakAAPmpm.jpg", "http://pbs.twimg.com/media/FkfTMSnakAAPmpm.jpg")</f>
        <v>http://pbs.twimg.com/media/FkfTMSnakAAPmpm.jpg</v>
      </c>
      <c r="L32">
        <v>0</v>
      </c>
      <c r="M32">
        <v>0</v>
      </c>
      <c r="N32">
        <v>1</v>
      </c>
      <c r="O32">
        <v>0</v>
      </c>
    </row>
    <row r="33" spans="1:15" x14ac:dyDescent="0.2">
      <c r="A33" s="1" t="str">
        <f>HYPERLINK("http://www.twitter.com/banuakdenizli/status/1607380469485649921", "1607380469485649921")</f>
        <v>1607380469485649921</v>
      </c>
      <c r="B33" t="s">
        <v>15</v>
      </c>
      <c r="C33" s="2">
        <v>44921.596550925933</v>
      </c>
      <c r="D33">
        <v>0</v>
      </c>
      <c r="E33">
        <v>64</v>
      </c>
      <c r="F33" t="s">
        <v>28</v>
      </c>
      <c r="G33" t="s">
        <v>78</v>
      </c>
      <c r="L33">
        <v>0</v>
      </c>
      <c r="M33">
        <v>0</v>
      </c>
      <c r="N33">
        <v>1</v>
      </c>
      <c r="O33">
        <v>0</v>
      </c>
    </row>
    <row r="34" spans="1:15" x14ac:dyDescent="0.2">
      <c r="A34" s="1" t="str">
        <f>HYPERLINK("http://www.twitter.com/banuakdenizli/status/1607380135300194311", "1607380135300194311")</f>
        <v>1607380135300194311</v>
      </c>
      <c r="B34" t="s">
        <v>15</v>
      </c>
      <c r="C34" s="2">
        <v>44921.595625000002</v>
      </c>
      <c r="D34">
        <v>0</v>
      </c>
      <c r="E34">
        <v>8</v>
      </c>
      <c r="F34" t="s">
        <v>16</v>
      </c>
      <c r="G34" t="s">
        <v>79</v>
      </c>
      <c r="H34" t="str">
        <f>HYPERLINK("http://pbs.twimg.com/media/Fk47-I2WIAAXJR4.jpg", "http://pbs.twimg.com/media/Fk47-I2WIAAXJR4.jpg")</f>
        <v>http://pbs.twimg.com/media/Fk47-I2WIAAXJR4.jpg</v>
      </c>
      <c r="I34" t="str">
        <f>HYPERLINK("http://pbs.twimg.com/media/Fk47-I2WIAI3Iha.jpg", "http://pbs.twimg.com/media/Fk47-I2WIAI3Iha.jpg")</f>
        <v>http://pbs.twimg.com/media/Fk47-I2WIAI3Iha.jpg</v>
      </c>
      <c r="L34">
        <v>0</v>
      </c>
      <c r="M34">
        <v>0</v>
      </c>
      <c r="N34">
        <v>1</v>
      </c>
      <c r="O34">
        <v>0</v>
      </c>
    </row>
    <row r="35" spans="1:15" x14ac:dyDescent="0.2">
      <c r="A35" s="1" t="str">
        <f>HYPERLINK("http://www.twitter.com/banuakdenizli/status/1607380075925602309", "1607380075925602309")</f>
        <v>1607380075925602309</v>
      </c>
      <c r="B35" t="s">
        <v>15</v>
      </c>
      <c r="C35" s="2">
        <v>44921.595462962963</v>
      </c>
      <c r="D35">
        <v>0</v>
      </c>
      <c r="E35">
        <v>9</v>
      </c>
      <c r="F35" t="s">
        <v>16</v>
      </c>
      <c r="G35" t="s">
        <v>80</v>
      </c>
      <c r="H35" t="str">
        <f>HYPERLINK("http://pbs.twimg.com/media/Fk5jcbzWYAE8HcC.jpg", "http://pbs.twimg.com/media/Fk5jcbzWYAE8HcC.jpg")</f>
        <v>http://pbs.twimg.com/media/Fk5jcbzWYAE8HcC.jpg</v>
      </c>
      <c r="L35">
        <v>0</v>
      </c>
      <c r="M35">
        <v>0</v>
      </c>
      <c r="N35">
        <v>1</v>
      </c>
      <c r="O35">
        <v>0</v>
      </c>
    </row>
    <row r="36" spans="1:15" x14ac:dyDescent="0.2">
      <c r="A36" s="1" t="str">
        <f>HYPERLINK("http://www.twitter.com/banuakdenizli/status/1607380026130939905", "1607380026130939905")</f>
        <v>1607380026130939905</v>
      </c>
      <c r="B36" t="s">
        <v>15</v>
      </c>
      <c r="C36" s="2">
        <v>44921.595324074071</v>
      </c>
      <c r="D36">
        <v>0</v>
      </c>
      <c r="E36">
        <v>7</v>
      </c>
      <c r="F36" t="s">
        <v>16</v>
      </c>
      <c r="G36" t="s">
        <v>81</v>
      </c>
      <c r="H36" t="str">
        <f>HYPERLINK("http://pbs.twimg.com/media/Fk5j7WOWYAISsOo.jpg", "http://pbs.twimg.com/media/Fk5j7WOWYAISsOo.jpg")</f>
        <v>http://pbs.twimg.com/media/Fk5j7WOWYAISsOo.jpg</v>
      </c>
      <c r="I36" t="str">
        <f>HYPERLINK("http://pbs.twimg.com/media/Fk5j7WIWAAAB8FT.jpg", "http://pbs.twimg.com/media/Fk5j7WIWAAAB8FT.jpg")</f>
        <v>http://pbs.twimg.com/media/Fk5j7WIWAAAB8FT.jpg</v>
      </c>
      <c r="L36">
        <v>0</v>
      </c>
      <c r="M36">
        <v>0</v>
      </c>
      <c r="N36">
        <v>1</v>
      </c>
      <c r="O36">
        <v>0</v>
      </c>
    </row>
    <row r="37" spans="1:15" x14ac:dyDescent="0.2">
      <c r="A37" s="1" t="str">
        <f>HYPERLINK("http://www.twitter.com/banuakdenizli/status/1607379983286116352", "1607379983286116352")</f>
        <v>1607379983286116352</v>
      </c>
      <c r="B37" t="s">
        <v>15</v>
      </c>
      <c r="C37" s="2">
        <v>44921.595208333332</v>
      </c>
      <c r="D37">
        <v>0</v>
      </c>
      <c r="E37">
        <v>3</v>
      </c>
      <c r="F37" t="s">
        <v>16</v>
      </c>
      <c r="G37" t="s">
        <v>82</v>
      </c>
      <c r="H37" t="str">
        <f>HYPERLINK("http://pbs.twimg.com/media/Fk5-ZHdWAAAl-A7.jpg", "http://pbs.twimg.com/media/Fk5-ZHdWAAAl-A7.jpg")</f>
        <v>http://pbs.twimg.com/media/Fk5-ZHdWAAAl-A7.jpg</v>
      </c>
      <c r="L37">
        <v>0</v>
      </c>
      <c r="M37">
        <v>0</v>
      </c>
      <c r="N37">
        <v>1</v>
      </c>
      <c r="O37">
        <v>0</v>
      </c>
    </row>
    <row r="38" spans="1:15" x14ac:dyDescent="0.2">
      <c r="A38" s="1" t="str">
        <f>HYPERLINK("http://www.twitter.com/banuakdenizli/status/1607379746211639298", "1607379746211639298")</f>
        <v>1607379746211639298</v>
      </c>
      <c r="B38" t="s">
        <v>15</v>
      </c>
      <c r="C38" s="2">
        <v>44921.594548611109</v>
      </c>
      <c r="D38">
        <v>0</v>
      </c>
      <c r="E38">
        <v>9</v>
      </c>
      <c r="F38" t="s">
        <v>16</v>
      </c>
      <c r="G38" t="s">
        <v>83</v>
      </c>
      <c r="H38" t="str">
        <f>HYPERLINK("http://pbs.twimg.com/media/Fk59eopXoAAKnK7.jpg", "http://pbs.twimg.com/media/Fk59eopXoAAKnK7.jpg")</f>
        <v>http://pbs.twimg.com/media/Fk59eopXoAAKnK7.jpg</v>
      </c>
      <c r="L38">
        <v>0</v>
      </c>
      <c r="M38">
        <v>0</v>
      </c>
      <c r="N38">
        <v>1</v>
      </c>
      <c r="O38">
        <v>0</v>
      </c>
    </row>
    <row r="39" spans="1:15" x14ac:dyDescent="0.2">
      <c r="A39" s="1" t="str">
        <f>HYPERLINK("http://www.twitter.com/banuakdenizli/status/1607379682286075904", "1607379682286075904")</f>
        <v>1607379682286075904</v>
      </c>
      <c r="B39" t="s">
        <v>15</v>
      </c>
      <c r="C39" s="2">
        <v>44921.594375000001</v>
      </c>
      <c r="D39">
        <v>0</v>
      </c>
      <c r="E39">
        <v>1710</v>
      </c>
      <c r="F39" t="s">
        <v>51</v>
      </c>
      <c r="G39" t="s">
        <v>84</v>
      </c>
      <c r="H39" t="str">
        <f>HYPERLINK("https://video.twimg.com/ext_tw_video/1606721588912656384/pu/vid/512x640/iRo6ME2F0z7WI3UT.mp4?tag=12", "https://video.twimg.com/ext_tw_video/1606721588912656384/pu/vid/512x640/iRo6ME2F0z7WI3UT.mp4?tag=12")</f>
        <v>https://video.twimg.com/ext_tw_video/1606721588912656384/pu/vid/512x640/iRo6ME2F0z7WI3UT.mp4?tag=12</v>
      </c>
      <c r="L39">
        <v>-0.58030000000000004</v>
      </c>
      <c r="M39">
        <v>0.104</v>
      </c>
      <c r="N39">
        <v>0.89600000000000002</v>
      </c>
      <c r="O39">
        <v>0</v>
      </c>
    </row>
    <row r="40" spans="1:15" x14ac:dyDescent="0.2">
      <c r="A40" s="1" t="str">
        <f>HYPERLINK("http://www.twitter.com/banuakdenizli/status/1607216865331355650", "1607216865331355650")</f>
        <v>1607216865331355650</v>
      </c>
      <c r="B40" t="s">
        <v>15</v>
      </c>
      <c r="C40" s="2">
        <v>44921.14508101852</v>
      </c>
      <c r="D40">
        <v>0</v>
      </c>
      <c r="E40">
        <v>38</v>
      </c>
      <c r="F40" t="s">
        <v>28</v>
      </c>
      <c r="G40" t="s">
        <v>85</v>
      </c>
      <c r="L40">
        <v>0</v>
      </c>
      <c r="M40">
        <v>0</v>
      </c>
      <c r="N40">
        <v>1</v>
      </c>
      <c r="O40">
        <v>0</v>
      </c>
    </row>
    <row r="41" spans="1:15" x14ac:dyDescent="0.2">
      <c r="A41" s="1" t="str">
        <f>HYPERLINK("http://www.twitter.com/banuakdenizli/status/1607216807533854720", "1607216807533854720")</f>
        <v>1607216807533854720</v>
      </c>
      <c r="B41" t="s">
        <v>15</v>
      </c>
      <c r="C41" s="2">
        <v>44921.144930555558</v>
      </c>
      <c r="D41">
        <v>0</v>
      </c>
      <c r="E41">
        <v>32</v>
      </c>
      <c r="F41" t="s">
        <v>17</v>
      </c>
      <c r="G41" t="s">
        <v>86</v>
      </c>
      <c r="H41" t="str">
        <f>HYPERLINK("http://pbs.twimg.com/media/Fk2WhE8XwAExI_H.jpg", "http://pbs.twimg.com/media/Fk2WhE8XwAExI_H.jpg")</f>
        <v>http://pbs.twimg.com/media/Fk2WhE8XwAExI_H.jpg</v>
      </c>
      <c r="L41">
        <v>0</v>
      </c>
      <c r="M41">
        <v>0</v>
      </c>
      <c r="N41">
        <v>1</v>
      </c>
      <c r="O41">
        <v>0</v>
      </c>
    </row>
    <row r="42" spans="1:15" x14ac:dyDescent="0.2">
      <c r="A42" s="1" t="str">
        <f>HYPERLINK("http://www.twitter.com/banuakdenizli/status/1607216783592771584", "1607216783592771584")</f>
        <v>1607216783592771584</v>
      </c>
      <c r="B42" t="s">
        <v>15</v>
      </c>
      <c r="C42" s="2">
        <v>44921.144861111112</v>
      </c>
      <c r="D42">
        <v>0</v>
      </c>
      <c r="E42">
        <v>18</v>
      </c>
      <c r="F42" t="s">
        <v>16</v>
      </c>
      <c r="G42" t="s">
        <v>87</v>
      </c>
      <c r="H42" t="str">
        <f>HYPERLINK("http://pbs.twimg.com/media/Fk2L0V9XEAEVBit.jpg", "http://pbs.twimg.com/media/Fk2L0V9XEAEVBit.jpg")</f>
        <v>http://pbs.twimg.com/media/Fk2L0V9XEAEVBit.jpg</v>
      </c>
      <c r="L42">
        <v>0</v>
      </c>
      <c r="M42">
        <v>0</v>
      </c>
      <c r="N42">
        <v>1</v>
      </c>
      <c r="O42">
        <v>0</v>
      </c>
    </row>
    <row r="43" spans="1:15" x14ac:dyDescent="0.2">
      <c r="A43" s="1" t="str">
        <f>HYPERLINK("http://www.twitter.com/banuakdenizli/status/1607216748838748162", "1607216748838748162")</f>
        <v>1607216748838748162</v>
      </c>
      <c r="B43" t="s">
        <v>15</v>
      </c>
      <c r="C43" s="2">
        <v>44921.144768518519</v>
      </c>
      <c r="D43">
        <v>0</v>
      </c>
      <c r="E43">
        <v>70</v>
      </c>
      <c r="F43" t="s">
        <v>18</v>
      </c>
      <c r="G43" t="s">
        <v>88</v>
      </c>
      <c r="L43">
        <v>0</v>
      </c>
      <c r="M43">
        <v>0</v>
      </c>
      <c r="N43">
        <v>1</v>
      </c>
      <c r="O43">
        <v>0</v>
      </c>
    </row>
    <row r="44" spans="1:15" x14ac:dyDescent="0.2">
      <c r="A44" s="1" t="str">
        <f>HYPERLINK("http://www.twitter.com/banuakdenizli/status/1605356061040422912", "1605356061040422912")</f>
        <v>1605356061040422912</v>
      </c>
      <c r="B44" t="s">
        <v>15</v>
      </c>
      <c r="C44" s="2">
        <v>44916.010243055563</v>
      </c>
      <c r="D44">
        <v>0</v>
      </c>
      <c r="E44">
        <v>7</v>
      </c>
      <c r="F44" t="s">
        <v>17</v>
      </c>
      <c r="G44" t="s">
        <v>89</v>
      </c>
      <c r="H44" t="str">
        <f>HYPERLINK("http://pbs.twimg.com/media/Fkc1B6WWAAMBysd.jpg", "http://pbs.twimg.com/media/Fkc1B6WWAAMBysd.jpg")</f>
        <v>http://pbs.twimg.com/media/Fkc1B6WWAAMBysd.jpg</v>
      </c>
      <c r="I44" t="str">
        <f>HYPERLINK("http://pbs.twimg.com/media/Fkc1B6WWYAAk305.jpg", "http://pbs.twimg.com/media/Fkc1B6WWYAAk305.jpg")</f>
        <v>http://pbs.twimg.com/media/Fkc1B6WWYAAk305.jpg</v>
      </c>
      <c r="L44">
        <v>0</v>
      </c>
      <c r="M44">
        <v>0</v>
      </c>
      <c r="N44">
        <v>1</v>
      </c>
      <c r="O44">
        <v>0</v>
      </c>
    </row>
    <row r="45" spans="1:15" x14ac:dyDescent="0.2">
      <c r="A45" s="1" t="str">
        <f>HYPERLINK("http://www.twitter.com/banuakdenizli/status/1605356038084956160", "1605356038084956160")</f>
        <v>1605356038084956160</v>
      </c>
      <c r="B45" t="s">
        <v>15</v>
      </c>
      <c r="C45" s="2">
        <v>44916.010185185187</v>
      </c>
      <c r="D45">
        <v>0</v>
      </c>
      <c r="E45">
        <v>6</v>
      </c>
      <c r="F45" t="s">
        <v>16</v>
      </c>
      <c r="G45" t="s">
        <v>90</v>
      </c>
      <c r="H45" t="str">
        <f>HYPERLINK("http://pbs.twimg.com/media/Fkc3La7XEAMgJFZ.jpg", "http://pbs.twimg.com/media/Fkc3La7XEAMgJFZ.jpg")</f>
        <v>http://pbs.twimg.com/media/Fkc3La7XEAMgJFZ.jpg</v>
      </c>
      <c r="I45" t="str">
        <f>HYPERLINK("http://pbs.twimg.com/media/Fkc3La_WIAM8SR_.jpg", "http://pbs.twimg.com/media/Fkc3La_WIAM8SR_.jpg")</f>
        <v>http://pbs.twimg.com/media/Fkc3La_WIAM8SR_.jpg</v>
      </c>
      <c r="J45" t="str">
        <f>HYPERLINK("http://pbs.twimg.com/media/Fkc3LbDX0AI_J-B.jpg", "http://pbs.twimg.com/media/Fkc3LbDX0AI_J-B.jpg")</f>
        <v>http://pbs.twimg.com/media/Fkc3LbDX0AI_J-B.jpg</v>
      </c>
      <c r="L45">
        <v>0</v>
      </c>
      <c r="M45">
        <v>0</v>
      </c>
      <c r="N45">
        <v>1</v>
      </c>
      <c r="O45">
        <v>0</v>
      </c>
    </row>
    <row r="46" spans="1:15" x14ac:dyDescent="0.2">
      <c r="A46" s="1" t="str">
        <f>HYPERLINK("http://www.twitter.com/banuakdenizli/status/1605356021933039617", "1605356021933039617")</f>
        <v>1605356021933039617</v>
      </c>
      <c r="B46" t="s">
        <v>15</v>
      </c>
      <c r="C46" s="2">
        <v>44916.010138888887</v>
      </c>
      <c r="D46">
        <v>0</v>
      </c>
      <c r="E46">
        <v>6</v>
      </c>
      <c r="F46" t="s">
        <v>17</v>
      </c>
      <c r="G46" t="s">
        <v>91</v>
      </c>
      <c r="H46" t="str">
        <f>HYPERLINK("http://pbs.twimg.com/media/Fkc8sUEXwAYgRqd.jpg", "http://pbs.twimg.com/media/Fkc8sUEXwAYgRqd.jpg")</f>
        <v>http://pbs.twimg.com/media/Fkc8sUEXwAYgRqd.jpg</v>
      </c>
      <c r="I46" t="str">
        <f>HYPERLINK("http://pbs.twimg.com/media/Fkc8sUJXEAE4Baz.jpg", "http://pbs.twimg.com/media/Fkc8sUJXEAE4Baz.jpg")</f>
        <v>http://pbs.twimg.com/media/Fkc8sUJXEAE4Baz.jpg</v>
      </c>
      <c r="J46" t="str">
        <f>HYPERLINK("http://pbs.twimg.com/media/Fkc8sUNWYAMSM2B.jpg", "http://pbs.twimg.com/media/Fkc8sUNWYAMSM2B.jpg")</f>
        <v>http://pbs.twimg.com/media/Fkc8sUNWYAMSM2B.jpg</v>
      </c>
      <c r="L46">
        <v>0</v>
      </c>
      <c r="M46">
        <v>0</v>
      </c>
      <c r="N46">
        <v>1</v>
      </c>
      <c r="O46">
        <v>0</v>
      </c>
    </row>
    <row r="47" spans="1:15" x14ac:dyDescent="0.2">
      <c r="A47" s="1" t="str">
        <f>HYPERLINK("http://www.twitter.com/banuakdenizli/status/1605355986117500928", "1605355986117500928")</f>
        <v>1605355986117500928</v>
      </c>
      <c r="B47" t="s">
        <v>15</v>
      </c>
      <c r="C47" s="2">
        <v>44916.010034722232</v>
      </c>
      <c r="D47">
        <v>0</v>
      </c>
      <c r="E47">
        <v>18</v>
      </c>
      <c r="F47" t="s">
        <v>16</v>
      </c>
      <c r="G47" t="s">
        <v>92</v>
      </c>
      <c r="H47" t="str">
        <f>HYPERLINK("http://pbs.twimg.com/media/FkcoKcDX0AE20KS.jpg", "http://pbs.twimg.com/media/FkcoKcDX0AE20KS.jpg")</f>
        <v>http://pbs.twimg.com/media/FkcoKcDX0AE20KS.jpg</v>
      </c>
      <c r="L47">
        <v>0</v>
      </c>
      <c r="M47">
        <v>0</v>
      </c>
      <c r="N47">
        <v>1</v>
      </c>
      <c r="O47">
        <v>0</v>
      </c>
    </row>
    <row r="48" spans="1:15" x14ac:dyDescent="0.2">
      <c r="A48" s="1" t="str">
        <f>HYPERLINK("http://www.twitter.com/banuakdenizli/status/1605285851046596625", "1605285851046596625")</f>
        <v>1605285851046596625</v>
      </c>
      <c r="B48" t="s">
        <v>15</v>
      </c>
      <c r="C48" s="2">
        <v>44915.816504629627</v>
      </c>
      <c r="D48">
        <v>0</v>
      </c>
      <c r="E48">
        <v>9</v>
      </c>
      <c r="F48" t="s">
        <v>24</v>
      </c>
      <c r="G48" t="s">
        <v>93</v>
      </c>
      <c r="H48" t="str">
        <f>HYPERLINK("http://pbs.twimg.com/media/FkcbDRvWIAEIPnq.jpg", "http://pbs.twimg.com/media/FkcbDRvWIAEIPnq.jpg")</f>
        <v>http://pbs.twimg.com/media/FkcbDRvWIAEIPnq.jpg</v>
      </c>
      <c r="L48">
        <v>0.38179999999999997</v>
      </c>
      <c r="M48">
        <v>0</v>
      </c>
      <c r="N48">
        <v>0.91700000000000004</v>
      </c>
      <c r="O48">
        <v>8.3000000000000004E-2</v>
      </c>
    </row>
    <row r="49" spans="1:15" x14ac:dyDescent="0.2">
      <c r="A49" s="1" t="str">
        <f>HYPERLINK("http://www.twitter.com/banuakdenizli/status/1605281649830371328", "1605281649830371328")</f>
        <v>1605281649830371328</v>
      </c>
      <c r="B49" t="s">
        <v>15</v>
      </c>
      <c r="C49" s="2">
        <v>44915.804907407408</v>
      </c>
      <c r="D49">
        <v>0</v>
      </c>
      <c r="E49">
        <v>3</v>
      </c>
      <c r="F49" t="s">
        <v>29</v>
      </c>
      <c r="G49" t="s">
        <v>94</v>
      </c>
      <c r="H49" t="str">
        <f>HYPERLINK("http://pbs.twimg.com/media/FkbHEBSXwAAoOu-.jpg", "http://pbs.twimg.com/media/FkbHEBSXwAAoOu-.jpg")</f>
        <v>http://pbs.twimg.com/media/FkbHEBSXwAAoOu-.jpg</v>
      </c>
      <c r="L49">
        <v>0</v>
      </c>
      <c r="M49">
        <v>0</v>
      </c>
      <c r="N49">
        <v>1</v>
      </c>
      <c r="O49">
        <v>0</v>
      </c>
    </row>
    <row r="50" spans="1:15" x14ac:dyDescent="0.2">
      <c r="A50" s="1" t="str">
        <f>HYPERLINK("http://www.twitter.com/banuakdenizli/status/1605281456007389184", "1605281456007389184")</f>
        <v>1605281456007389184</v>
      </c>
      <c r="B50" t="s">
        <v>15</v>
      </c>
      <c r="C50" s="2">
        <v>44915.804375</v>
      </c>
      <c r="D50">
        <v>0</v>
      </c>
      <c r="E50">
        <v>26</v>
      </c>
      <c r="F50" t="s">
        <v>24</v>
      </c>
      <c r="G50" t="s">
        <v>95</v>
      </c>
      <c r="H50" t="str">
        <f>HYPERLINK("http://pbs.twimg.com/media/FkcaoQPX0BsQh3h.jpg", "http://pbs.twimg.com/media/FkcaoQPX0BsQh3h.jpg")</f>
        <v>http://pbs.twimg.com/media/FkcaoQPX0BsQh3h.jpg</v>
      </c>
      <c r="L50">
        <v>0</v>
      </c>
      <c r="M50">
        <v>0</v>
      </c>
      <c r="N50">
        <v>1</v>
      </c>
      <c r="O50">
        <v>0</v>
      </c>
    </row>
    <row r="51" spans="1:15" x14ac:dyDescent="0.2">
      <c r="A51" s="1" t="str">
        <f>HYPERLINK("http://www.twitter.com/banuakdenizli/status/1605281158421532685", "1605281158421532685")</f>
        <v>1605281158421532685</v>
      </c>
      <c r="B51" t="s">
        <v>15</v>
      </c>
      <c r="C51" s="2">
        <v>44915.803553240738</v>
      </c>
      <c r="D51">
        <v>0</v>
      </c>
      <c r="E51">
        <v>1</v>
      </c>
      <c r="F51" t="s">
        <v>38</v>
      </c>
      <c r="G51" t="s">
        <v>96</v>
      </c>
      <c r="H51" t="str">
        <f>HYPERLINK("http://pbs.twimg.com/media/FkbBuvfX0AIxdfT.jpg", "http://pbs.twimg.com/media/FkbBuvfX0AIxdfT.jpg")</f>
        <v>http://pbs.twimg.com/media/FkbBuvfX0AIxdfT.jpg</v>
      </c>
      <c r="L51">
        <v>0</v>
      </c>
      <c r="M51">
        <v>0</v>
      </c>
      <c r="N51">
        <v>1</v>
      </c>
      <c r="O51">
        <v>0</v>
      </c>
    </row>
    <row r="52" spans="1:15" x14ac:dyDescent="0.2">
      <c r="A52" s="1" t="str">
        <f>HYPERLINK("http://www.twitter.com/banuakdenizli/status/1605281130386755585", "1605281130386755585")</f>
        <v>1605281130386755585</v>
      </c>
      <c r="B52" t="s">
        <v>15</v>
      </c>
      <c r="C52" s="2">
        <v>44915.803472222222</v>
      </c>
      <c r="D52">
        <v>0</v>
      </c>
      <c r="E52">
        <v>49</v>
      </c>
      <c r="F52" t="s">
        <v>18</v>
      </c>
      <c r="G52" t="s">
        <v>97</v>
      </c>
      <c r="H52" t="str">
        <f>HYPERLINK("http://pbs.twimg.com/media/FkcZ-rtXoAIOYLx.jpg", "http://pbs.twimg.com/media/FkcZ-rtXoAIOYLx.jpg")</f>
        <v>http://pbs.twimg.com/media/FkcZ-rtXoAIOYLx.jpg</v>
      </c>
      <c r="L52">
        <v>-0.67049999999999998</v>
      </c>
      <c r="M52">
        <v>0.18</v>
      </c>
      <c r="N52">
        <v>0.755</v>
      </c>
      <c r="O52">
        <v>6.5000000000000002E-2</v>
      </c>
    </row>
    <row r="53" spans="1:15" x14ac:dyDescent="0.2">
      <c r="A53" s="1" t="str">
        <f>HYPERLINK("http://www.twitter.com/banuakdenizli/status/1605281051303202817", "1605281051303202817")</f>
        <v>1605281051303202817</v>
      </c>
      <c r="B53" t="s">
        <v>15</v>
      </c>
      <c r="C53" s="2">
        <v>44915.803252314807</v>
      </c>
      <c r="D53">
        <v>0</v>
      </c>
      <c r="E53">
        <v>66</v>
      </c>
      <c r="F53" t="s">
        <v>98</v>
      </c>
      <c r="G53" t="s">
        <v>99</v>
      </c>
      <c r="H53" t="str">
        <f>HYPERLINK("http://pbs.twimg.com/media/FkcMrw3XwAAEhs3.jpg", "http://pbs.twimg.com/media/FkcMrw3XwAAEhs3.jpg")</f>
        <v>http://pbs.twimg.com/media/FkcMrw3XwAAEhs3.jpg</v>
      </c>
      <c r="L53">
        <v>0</v>
      </c>
      <c r="M53">
        <v>0</v>
      </c>
      <c r="N53">
        <v>1</v>
      </c>
      <c r="O53">
        <v>0</v>
      </c>
    </row>
    <row r="54" spans="1:15" x14ac:dyDescent="0.2">
      <c r="A54" s="1" t="str">
        <f>HYPERLINK("http://www.twitter.com/banuakdenizli/status/1605280647710392320", "1605280647710392320")</f>
        <v>1605280647710392320</v>
      </c>
      <c r="B54" t="s">
        <v>15</v>
      </c>
      <c r="C54" s="2">
        <v>44915.802141203712</v>
      </c>
      <c r="D54">
        <v>0</v>
      </c>
      <c r="E54">
        <v>80</v>
      </c>
      <c r="F54" t="s">
        <v>18</v>
      </c>
      <c r="G54" t="s">
        <v>100</v>
      </c>
      <c r="H54" t="str">
        <f>HYPERLINK("http://pbs.twimg.com/media/FkcZj4lX0A8bJXP.jpg", "http://pbs.twimg.com/media/FkcZj4lX0A8bJXP.jpg")</f>
        <v>http://pbs.twimg.com/media/FkcZj4lX0A8bJXP.jpg</v>
      </c>
      <c r="L54">
        <v>0</v>
      </c>
      <c r="M54">
        <v>0</v>
      </c>
      <c r="N54">
        <v>1</v>
      </c>
      <c r="O54">
        <v>0</v>
      </c>
    </row>
    <row r="55" spans="1:15" x14ac:dyDescent="0.2">
      <c r="A55" s="1" t="str">
        <f>HYPERLINK("http://www.twitter.com/banuakdenizli/status/1605280482303922179", "1605280482303922179")</f>
        <v>1605280482303922179</v>
      </c>
      <c r="B55" t="s">
        <v>15</v>
      </c>
      <c r="C55" s="2">
        <v>44915.801689814813</v>
      </c>
      <c r="D55">
        <v>0</v>
      </c>
      <c r="E55">
        <v>78</v>
      </c>
      <c r="F55" t="s">
        <v>51</v>
      </c>
      <c r="G55" t="s">
        <v>101</v>
      </c>
      <c r="L55">
        <v>0</v>
      </c>
      <c r="M55">
        <v>0</v>
      </c>
      <c r="N55">
        <v>1</v>
      </c>
      <c r="O55">
        <v>0</v>
      </c>
    </row>
    <row r="56" spans="1:15" x14ac:dyDescent="0.2">
      <c r="A56" s="1" t="str">
        <f>HYPERLINK("http://www.twitter.com/banuakdenizli/status/1605279741300428809", "1605279741300428809")</f>
        <v>1605279741300428809</v>
      </c>
      <c r="B56" t="s">
        <v>15</v>
      </c>
      <c r="C56" s="2">
        <v>44915.799641203703</v>
      </c>
      <c r="D56">
        <v>0</v>
      </c>
      <c r="E56">
        <v>38</v>
      </c>
      <c r="F56" t="s">
        <v>32</v>
      </c>
      <c r="G56" t="s">
        <v>102</v>
      </c>
      <c r="H56" t="str">
        <f>HYPERLINK("http://pbs.twimg.com/media/FfMOB6sWYAAWJl7.jpg", "http://pbs.twimg.com/media/FfMOB6sWYAAWJl7.jpg")</f>
        <v>http://pbs.twimg.com/media/FfMOB6sWYAAWJl7.jpg</v>
      </c>
      <c r="I56" t="str">
        <f>HYPERLINK("http://pbs.twimg.com/media/FfMOC4vXEAIHPHV.jpg", "http://pbs.twimg.com/media/FfMOC4vXEAIHPHV.jpg")</f>
        <v>http://pbs.twimg.com/media/FfMOC4vXEAIHPHV.jpg</v>
      </c>
      <c r="J56" t="str">
        <f>HYPERLINK("http://pbs.twimg.com/media/FfMOD_qXgAEbCZH.jpg", "http://pbs.twimg.com/media/FfMOD_qXgAEbCZH.jpg")</f>
        <v>http://pbs.twimg.com/media/FfMOD_qXgAEbCZH.jpg</v>
      </c>
      <c r="L56">
        <v>0</v>
      </c>
      <c r="M56">
        <v>0</v>
      </c>
      <c r="N56">
        <v>1</v>
      </c>
      <c r="O56">
        <v>0</v>
      </c>
    </row>
    <row r="57" spans="1:15" x14ac:dyDescent="0.2">
      <c r="A57" s="1" t="str">
        <f>HYPERLINK("http://www.twitter.com/banuakdenizli/status/1605279113991917568", "1605279113991917568")</f>
        <v>1605279113991917568</v>
      </c>
      <c r="B57" t="s">
        <v>15</v>
      </c>
      <c r="C57" s="2">
        <v>44915.79791666667</v>
      </c>
      <c r="D57">
        <v>0</v>
      </c>
      <c r="E57">
        <v>3</v>
      </c>
      <c r="F57" t="s">
        <v>38</v>
      </c>
      <c r="G57" t="s">
        <v>103</v>
      </c>
      <c r="H57" t="str">
        <f>HYPERLINK("http://pbs.twimg.com/media/FkcLBFQWIAkVcOd.jpg", "http://pbs.twimg.com/media/FkcLBFQWIAkVcOd.jpg")</f>
        <v>http://pbs.twimg.com/media/FkcLBFQWIAkVcOd.jpg</v>
      </c>
      <c r="L57">
        <v>0</v>
      </c>
      <c r="M57">
        <v>0</v>
      </c>
      <c r="N57">
        <v>1</v>
      </c>
      <c r="O57">
        <v>0</v>
      </c>
    </row>
    <row r="58" spans="1:15" x14ac:dyDescent="0.2">
      <c r="A58" s="1" t="str">
        <f>HYPERLINK("http://www.twitter.com/banuakdenizli/status/1605278970790006801", "1605278970790006801")</f>
        <v>1605278970790006801</v>
      </c>
      <c r="B58" t="s">
        <v>15</v>
      </c>
      <c r="C58" s="2">
        <v>44915.797511574077</v>
      </c>
      <c r="D58">
        <v>0</v>
      </c>
      <c r="E58">
        <v>0</v>
      </c>
      <c r="G58" t="s">
        <v>104</v>
      </c>
      <c r="L58">
        <v>0</v>
      </c>
      <c r="M58">
        <v>0</v>
      </c>
      <c r="N58">
        <v>1</v>
      </c>
      <c r="O58">
        <v>0</v>
      </c>
    </row>
    <row r="59" spans="1:15" x14ac:dyDescent="0.2">
      <c r="A59" s="1" t="str">
        <f>HYPERLINK("http://www.twitter.com/banuakdenizli/status/1605278883938553868", "1605278883938553868")</f>
        <v>1605278883938553868</v>
      </c>
      <c r="B59" t="s">
        <v>15</v>
      </c>
      <c r="C59" s="2">
        <v>44915.797280092593</v>
      </c>
      <c r="D59">
        <v>0</v>
      </c>
      <c r="E59">
        <v>0</v>
      </c>
      <c r="G59" t="s">
        <v>104</v>
      </c>
      <c r="L59">
        <v>0</v>
      </c>
      <c r="M59">
        <v>0</v>
      </c>
      <c r="N59">
        <v>1</v>
      </c>
      <c r="O59">
        <v>0</v>
      </c>
    </row>
    <row r="60" spans="1:15" x14ac:dyDescent="0.2">
      <c r="A60" s="1" t="str">
        <f>HYPERLINK("http://www.twitter.com/banuakdenizli/status/1605275584220876819", "1605275584220876819")</f>
        <v>1605275584220876819</v>
      </c>
      <c r="B60" t="s">
        <v>15</v>
      </c>
      <c r="C60" s="2">
        <v>44915.788171296299</v>
      </c>
      <c r="D60">
        <v>0</v>
      </c>
      <c r="E60">
        <v>0</v>
      </c>
      <c r="G60" t="s">
        <v>105</v>
      </c>
      <c r="L60">
        <v>0</v>
      </c>
      <c r="M60">
        <v>0</v>
      </c>
      <c r="N60">
        <v>1</v>
      </c>
      <c r="O60">
        <v>0</v>
      </c>
    </row>
    <row r="61" spans="1:15" x14ac:dyDescent="0.2">
      <c r="A61" s="1" t="str">
        <f>HYPERLINK("http://www.twitter.com/banuakdenizli/status/1605275337629261825", "1605275337629261825")</f>
        <v>1605275337629261825</v>
      </c>
      <c r="B61" t="s">
        <v>15</v>
      </c>
      <c r="C61" s="2">
        <v>44915.787488425929</v>
      </c>
      <c r="D61">
        <v>0</v>
      </c>
      <c r="E61">
        <v>0</v>
      </c>
      <c r="G61" t="s">
        <v>105</v>
      </c>
      <c r="L61">
        <v>0</v>
      </c>
      <c r="M61">
        <v>0</v>
      </c>
      <c r="N61">
        <v>1</v>
      </c>
      <c r="O61">
        <v>0</v>
      </c>
    </row>
    <row r="62" spans="1:15" x14ac:dyDescent="0.2">
      <c r="A62" s="1" t="str">
        <f>HYPERLINK("http://www.twitter.com/banuakdenizli/status/1605264859314135059", "1605264859314135059")</f>
        <v>1605264859314135059</v>
      </c>
      <c r="B62" t="s">
        <v>15</v>
      </c>
      <c r="C62" s="2">
        <v>44915.758576388893</v>
      </c>
      <c r="D62">
        <v>0</v>
      </c>
      <c r="E62">
        <v>0</v>
      </c>
      <c r="G62" t="s">
        <v>106</v>
      </c>
      <c r="H62" t="str">
        <f>HYPERLINK("https://video.twimg.com/ext_tw_video/1605264764900442113/pu/vid/848x480/o81an1064L0wqKjO.mp4?tag=12", "https://video.twimg.com/ext_tw_video/1605264764900442113/pu/vid/848x480/o81an1064L0wqKjO.mp4?tag=12")</f>
        <v>https://video.twimg.com/ext_tw_video/1605264764900442113/pu/vid/848x480/o81an1064L0wqKjO.mp4?tag=12</v>
      </c>
      <c r="L62">
        <v>0</v>
      </c>
      <c r="M62">
        <v>0</v>
      </c>
      <c r="N62">
        <v>1</v>
      </c>
      <c r="O62">
        <v>0</v>
      </c>
    </row>
    <row r="63" spans="1:15" x14ac:dyDescent="0.2">
      <c r="A63" s="1" t="str">
        <f>HYPERLINK("http://www.twitter.com/banuakdenizli/status/1605264301744439297", "1605264301744439297")</f>
        <v>1605264301744439297</v>
      </c>
      <c r="B63" t="s">
        <v>15</v>
      </c>
      <c r="C63" s="2">
        <v>44915.757037037038</v>
      </c>
      <c r="D63">
        <v>0</v>
      </c>
      <c r="E63">
        <v>0</v>
      </c>
      <c r="G63" t="s">
        <v>107</v>
      </c>
      <c r="H63" t="str">
        <f>HYPERLINK("http://pbs.twimg.com/media/FkcLXJfWIAE1pPB.jpg", "http://pbs.twimg.com/media/FkcLXJfWIAE1pPB.jpg")</f>
        <v>http://pbs.twimg.com/media/FkcLXJfWIAE1pPB.jpg</v>
      </c>
      <c r="I63" t="str">
        <f>HYPERLINK("http://pbs.twimg.com/media/FkcLXJeWIAgr_wN.jpg", "http://pbs.twimg.com/media/FkcLXJeWIAgr_wN.jpg")</f>
        <v>http://pbs.twimg.com/media/FkcLXJeWIAgr_wN.jpg</v>
      </c>
      <c r="J63" t="str">
        <f>HYPERLINK("http://pbs.twimg.com/media/FkcLXJhXgAAahXD.jpg", "http://pbs.twimg.com/media/FkcLXJhXgAAahXD.jpg")</f>
        <v>http://pbs.twimg.com/media/FkcLXJhXgAAahXD.jpg</v>
      </c>
      <c r="K63" t="str">
        <f>HYPERLINK("http://pbs.twimg.com/media/FkcLXJgWIAU2DPJ.jpg", "http://pbs.twimg.com/media/FkcLXJgWIAU2DPJ.jpg")</f>
        <v>http://pbs.twimg.com/media/FkcLXJgWIAU2DPJ.jpg</v>
      </c>
      <c r="L63">
        <v>0</v>
      </c>
      <c r="M63">
        <v>0</v>
      </c>
      <c r="N63">
        <v>1</v>
      </c>
      <c r="O63">
        <v>0</v>
      </c>
    </row>
    <row r="64" spans="1:15" x14ac:dyDescent="0.2">
      <c r="A64" s="1" t="str">
        <f>HYPERLINK("http://www.twitter.com/banuakdenizli/status/1605262465549598720", "1605262465549598720")</f>
        <v>1605262465549598720</v>
      </c>
      <c r="B64" t="s">
        <v>15</v>
      </c>
      <c r="C64" s="2">
        <v>44915.751967592587</v>
      </c>
      <c r="D64">
        <v>0</v>
      </c>
      <c r="E64">
        <v>81</v>
      </c>
      <c r="F64" t="s">
        <v>28</v>
      </c>
      <c r="G64" t="s">
        <v>108</v>
      </c>
      <c r="L64">
        <v>0</v>
      </c>
      <c r="M64">
        <v>0</v>
      </c>
      <c r="N64">
        <v>1</v>
      </c>
      <c r="O64">
        <v>0</v>
      </c>
    </row>
    <row r="65" spans="1:15" x14ac:dyDescent="0.2">
      <c r="A65" s="1" t="str">
        <f>HYPERLINK("http://www.twitter.com/banuakdenizli/status/1605261323029323781", "1605261323029323781")</f>
        <v>1605261323029323781</v>
      </c>
      <c r="B65" t="s">
        <v>15</v>
      </c>
      <c r="C65" s="2">
        <v>44915.748819444438</v>
      </c>
      <c r="D65">
        <v>2</v>
      </c>
      <c r="E65">
        <v>0</v>
      </c>
      <c r="G65" t="s">
        <v>109</v>
      </c>
      <c r="H65" t="str">
        <f>HYPERLINK("http://pbs.twimg.com/media/FkcIpcGWIAgjmKf.jpg", "http://pbs.twimg.com/media/FkcIpcGWIAgjmKf.jpg")</f>
        <v>http://pbs.twimg.com/media/FkcIpcGWIAgjmKf.jpg</v>
      </c>
      <c r="I65" t="str">
        <f>HYPERLINK("http://pbs.twimg.com/media/FkcIpcHWIAI8nUO.jpg", "http://pbs.twimg.com/media/FkcIpcHWIAI8nUO.jpg")</f>
        <v>http://pbs.twimg.com/media/FkcIpcHWIAI8nUO.jpg</v>
      </c>
      <c r="J65" t="str">
        <f>HYPERLINK("http://pbs.twimg.com/media/FkcIpcEWIAMcXmg.jpg", "http://pbs.twimg.com/media/FkcIpcEWIAMcXmg.jpg")</f>
        <v>http://pbs.twimg.com/media/FkcIpcEWIAMcXmg.jpg</v>
      </c>
      <c r="K65" t="str">
        <f>HYPERLINK("http://pbs.twimg.com/media/FkcIpcFXgAA3xGm.jpg", "http://pbs.twimg.com/media/FkcIpcFXgAA3xGm.jpg")</f>
        <v>http://pbs.twimg.com/media/FkcIpcFXgAA3xGm.jpg</v>
      </c>
      <c r="L65">
        <v>0.57189999999999996</v>
      </c>
      <c r="M65">
        <v>0</v>
      </c>
      <c r="N65">
        <v>0.86099999999999999</v>
      </c>
      <c r="O65">
        <v>0.13900000000000001</v>
      </c>
    </row>
    <row r="66" spans="1:15" x14ac:dyDescent="0.2">
      <c r="A66" s="1" t="str">
        <f>HYPERLINK("http://www.twitter.com/banuakdenizli/status/1605259043756449814", "1605259043756449814")</f>
        <v>1605259043756449814</v>
      </c>
      <c r="B66" t="s">
        <v>15</v>
      </c>
      <c r="C66" s="2">
        <v>44915.742523148147</v>
      </c>
      <c r="D66">
        <v>0</v>
      </c>
      <c r="E66">
        <v>0</v>
      </c>
      <c r="G66" t="s">
        <v>110</v>
      </c>
      <c r="H66" t="str">
        <f>HYPERLINK("https://video.twimg.com/ext_tw_video/1605258926517362688/pu/vid/848x480/_PhwnMD4UxhE7LPB.mp4?tag=12", "https://video.twimg.com/ext_tw_video/1605258926517362688/pu/vid/848x480/_PhwnMD4UxhE7LPB.mp4?tag=12")</f>
        <v>https://video.twimg.com/ext_tw_video/1605258926517362688/pu/vid/848x480/_PhwnMD4UxhE7LPB.mp4?tag=12</v>
      </c>
      <c r="L66">
        <v>0.57189999999999996</v>
      </c>
      <c r="M66">
        <v>0</v>
      </c>
      <c r="N66">
        <v>0.86099999999999999</v>
      </c>
      <c r="O66">
        <v>0.13900000000000001</v>
      </c>
    </row>
    <row r="67" spans="1:15" x14ac:dyDescent="0.2">
      <c r="A67" s="1" t="str">
        <f>HYPERLINK("http://www.twitter.com/banuakdenizli/status/1605038386036842497", "1605038386036842497")</f>
        <v>1605038386036842497</v>
      </c>
      <c r="B67" t="s">
        <v>15</v>
      </c>
      <c r="C67" s="2">
        <v>44915.133634259262</v>
      </c>
      <c r="D67">
        <v>0</v>
      </c>
      <c r="E67">
        <v>2</v>
      </c>
      <c r="F67" t="s">
        <v>111</v>
      </c>
      <c r="G67" t="s">
        <v>112</v>
      </c>
      <c r="H67" t="str">
        <f>HYPERLINK("http://pbs.twimg.com/media/Fi-9cXoWAAIQOLJ.jpg", "http://pbs.twimg.com/media/Fi-9cXoWAAIQOLJ.jpg")</f>
        <v>http://pbs.twimg.com/media/Fi-9cXoWAAIQOLJ.jpg</v>
      </c>
      <c r="L67">
        <v>0</v>
      </c>
      <c r="M67">
        <v>0</v>
      </c>
      <c r="N67">
        <v>1</v>
      </c>
      <c r="O67">
        <v>0</v>
      </c>
    </row>
    <row r="68" spans="1:15" x14ac:dyDescent="0.2">
      <c r="A68" s="1" t="str">
        <f>HYPERLINK("http://www.twitter.com/banuakdenizli/status/1605037613873864705", "1605037613873864705")</f>
        <v>1605037613873864705</v>
      </c>
      <c r="B68" t="s">
        <v>15</v>
      </c>
      <c r="C68" s="2">
        <v>44915.131493055553</v>
      </c>
      <c r="D68">
        <v>0</v>
      </c>
      <c r="E68">
        <v>1257</v>
      </c>
      <c r="F68" t="s">
        <v>113</v>
      </c>
      <c r="G68" t="s">
        <v>114</v>
      </c>
      <c r="H68" t="str">
        <f>HYPERLINK("http://pbs.twimg.com/media/FkXTY_xWQAAvHNy.jpg", "http://pbs.twimg.com/media/FkXTY_xWQAAvHNy.jpg")</f>
        <v>http://pbs.twimg.com/media/FkXTY_xWQAAvHNy.jpg</v>
      </c>
      <c r="L68">
        <v>0.90010000000000001</v>
      </c>
      <c r="M68">
        <v>0</v>
      </c>
      <c r="N68">
        <v>0.81399999999999995</v>
      </c>
      <c r="O68">
        <v>0.186</v>
      </c>
    </row>
    <row r="69" spans="1:15" x14ac:dyDescent="0.2">
      <c r="A69" s="1" t="str">
        <f>HYPERLINK("http://www.twitter.com/banuakdenizli/status/1604983074265370626", "1604983074265370626")</f>
        <v>1604983074265370626</v>
      </c>
      <c r="B69" t="s">
        <v>15</v>
      </c>
      <c r="C69" s="2">
        <v>44914.980995370373</v>
      </c>
      <c r="D69">
        <v>0</v>
      </c>
      <c r="E69">
        <v>1</v>
      </c>
      <c r="F69" t="s">
        <v>115</v>
      </c>
      <c r="G69" t="s">
        <v>116</v>
      </c>
      <c r="H69" t="str">
        <f>HYPERLINK("http://pbs.twimg.com/media/FkXa0dpWIAgDZ3l.jpg", "http://pbs.twimg.com/media/FkXa0dpWIAgDZ3l.jpg")</f>
        <v>http://pbs.twimg.com/media/FkXa0dpWIAgDZ3l.jpg</v>
      </c>
      <c r="L69">
        <v>0</v>
      </c>
      <c r="M69">
        <v>0</v>
      </c>
      <c r="N69">
        <v>1</v>
      </c>
      <c r="O69">
        <v>0</v>
      </c>
    </row>
    <row r="70" spans="1:15" x14ac:dyDescent="0.2">
      <c r="A70" s="1" t="str">
        <f>HYPERLINK("http://www.twitter.com/banuakdenizli/status/1604982916676988928", "1604982916676988928")</f>
        <v>1604982916676988928</v>
      </c>
      <c r="B70" t="s">
        <v>15</v>
      </c>
      <c r="C70" s="2">
        <v>44914.980567129627</v>
      </c>
      <c r="D70">
        <v>0</v>
      </c>
      <c r="E70">
        <v>2</v>
      </c>
      <c r="F70" t="s">
        <v>20</v>
      </c>
      <c r="G70" t="s">
        <v>117</v>
      </c>
      <c r="H70" t="str">
        <f>HYPERLINK("https://video.twimg.com/ext_tw_video/1604766000477622274/pu/vid/1280x720/5QGZeNZPUEcq_dY9.mp4?tag=12", "https://video.twimg.com/ext_tw_video/1604766000477622274/pu/vid/1280x720/5QGZeNZPUEcq_dY9.mp4?tag=12")</f>
        <v>https://video.twimg.com/ext_tw_video/1604766000477622274/pu/vid/1280x720/5QGZeNZPUEcq_dY9.mp4?tag=12</v>
      </c>
      <c r="L70">
        <v>0.34</v>
      </c>
      <c r="M70">
        <v>0</v>
      </c>
      <c r="N70">
        <v>0.94099999999999995</v>
      </c>
      <c r="O70">
        <v>5.8999999999999997E-2</v>
      </c>
    </row>
    <row r="71" spans="1:15" x14ac:dyDescent="0.2">
      <c r="A71" s="1" t="str">
        <f>HYPERLINK("http://www.twitter.com/banuakdenizli/status/1604905269804367888", "1604905269804367888")</f>
        <v>1604905269804367888</v>
      </c>
      <c r="B71" t="s">
        <v>15</v>
      </c>
      <c r="C71" s="2">
        <v>44914.766296296293</v>
      </c>
      <c r="D71">
        <v>0</v>
      </c>
      <c r="E71">
        <v>5</v>
      </c>
      <c r="F71" t="s">
        <v>17</v>
      </c>
      <c r="G71" t="s">
        <v>118</v>
      </c>
      <c r="H71" t="str">
        <f>HYPERLINK("http://pbs.twimg.com/media/FkIvPrSXgAARBF_.jpg", "http://pbs.twimg.com/media/FkIvPrSXgAARBF_.jpg")</f>
        <v>http://pbs.twimg.com/media/FkIvPrSXgAARBF_.jpg</v>
      </c>
      <c r="L71">
        <v>-0.31819999999999998</v>
      </c>
      <c r="M71">
        <v>0.29799999999999999</v>
      </c>
      <c r="N71">
        <v>0.46500000000000002</v>
      </c>
      <c r="O71">
        <v>0.23699999999999999</v>
      </c>
    </row>
    <row r="72" spans="1:15" x14ac:dyDescent="0.2">
      <c r="A72" s="1" t="str">
        <f>HYPERLINK("http://www.twitter.com/banuakdenizli/status/1604905003361382400", "1604905003361382400")</f>
        <v>1604905003361382400</v>
      </c>
      <c r="B72" t="s">
        <v>15</v>
      </c>
      <c r="C72" s="2">
        <v>44914.765567129631</v>
      </c>
      <c r="D72">
        <v>0</v>
      </c>
      <c r="E72">
        <v>2</v>
      </c>
      <c r="F72" t="s">
        <v>17</v>
      </c>
      <c r="G72" t="s">
        <v>119</v>
      </c>
      <c r="H72" t="str">
        <f>HYPERLINK("http://pbs.twimg.com/media/FkQzcbgXEAQI7T1.jpg", "http://pbs.twimg.com/media/FkQzcbgXEAQI7T1.jpg")</f>
        <v>http://pbs.twimg.com/media/FkQzcbgXEAQI7T1.jpg</v>
      </c>
      <c r="I72" t="str">
        <f>HYPERLINK("http://pbs.twimg.com/media/FkQzinoXoAAbKIW.jpg", "http://pbs.twimg.com/media/FkQzinoXoAAbKIW.jpg")</f>
        <v>http://pbs.twimg.com/media/FkQzinoXoAAbKIW.jpg</v>
      </c>
      <c r="L72">
        <v>0</v>
      </c>
      <c r="M72">
        <v>0</v>
      </c>
      <c r="N72">
        <v>1</v>
      </c>
      <c r="O72">
        <v>0</v>
      </c>
    </row>
    <row r="73" spans="1:15" x14ac:dyDescent="0.2">
      <c r="A73" s="1" t="str">
        <f>HYPERLINK("http://www.twitter.com/banuakdenizli/status/1604904587026014208", "1604904587026014208")</f>
        <v>1604904587026014208</v>
      </c>
      <c r="B73" t="s">
        <v>15</v>
      </c>
      <c r="C73" s="2">
        <v>44914.764409722222</v>
      </c>
      <c r="D73">
        <v>0</v>
      </c>
      <c r="E73">
        <v>2</v>
      </c>
      <c r="F73" t="s">
        <v>17</v>
      </c>
      <c r="G73" t="s">
        <v>120</v>
      </c>
      <c r="H73" t="str">
        <f>HYPERLINK("http://pbs.twimg.com/media/FkWHZ4KWIAAky4A.jpg", "http://pbs.twimg.com/media/FkWHZ4KWIAAky4A.jpg")</f>
        <v>http://pbs.twimg.com/media/FkWHZ4KWIAAky4A.jpg</v>
      </c>
      <c r="L73">
        <v>0</v>
      </c>
      <c r="M73">
        <v>0</v>
      </c>
      <c r="N73">
        <v>1</v>
      </c>
      <c r="O73">
        <v>0</v>
      </c>
    </row>
    <row r="74" spans="1:15" x14ac:dyDescent="0.2">
      <c r="A74" s="1" t="str">
        <f>HYPERLINK("http://www.twitter.com/banuakdenizli/status/1604904552141946880", "1604904552141946880")</f>
        <v>1604904552141946880</v>
      </c>
      <c r="B74" t="s">
        <v>15</v>
      </c>
      <c r="C74" s="2">
        <v>44914.764317129629</v>
      </c>
      <c r="D74">
        <v>0</v>
      </c>
      <c r="E74">
        <v>3</v>
      </c>
      <c r="F74" t="s">
        <v>17</v>
      </c>
      <c r="G74" t="s">
        <v>121</v>
      </c>
      <c r="H74" t="str">
        <f>HYPERLINK("http://pbs.twimg.com/media/FkWIZ-RXoAA7QZN.jpg", "http://pbs.twimg.com/media/FkWIZ-RXoAA7QZN.jpg")</f>
        <v>http://pbs.twimg.com/media/FkWIZ-RXoAA7QZN.jpg</v>
      </c>
      <c r="L74">
        <v>0</v>
      </c>
      <c r="M74">
        <v>0</v>
      </c>
      <c r="N74">
        <v>1</v>
      </c>
      <c r="O74">
        <v>0</v>
      </c>
    </row>
    <row r="75" spans="1:15" x14ac:dyDescent="0.2">
      <c r="A75" s="1" t="str">
        <f>HYPERLINK("http://www.twitter.com/banuakdenizli/status/1604902868766842880", "1604902868766842880")</f>
        <v>1604902868766842880</v>
      </c>
      <c r="B75" t="s">
        <v>15</v>
      </c>
      <c r="C75" s="2">
        <v>44914.759675925918</v>
      </c>
      <c r="D75">
        <v>0</v>
      </c>
      <c r="E75">
        <v>4</v>
      </c>
      <c r="F75" t="s">
        <v>16</v>
      </c>
      <c r="G75" t="s">
        <v>122</v>
      </c>
      <c r="H75" t="str">
        <f>HYPERLINK("http://pbs.twimg.com/media/FkVdSz5WIAIPVcp.jpg", "http://pbs.twimg.com/media/FkVdSz5WIAIPVcp.jpg")</f>
        <v>http://pbs.twimg.com/media/FkVdSz5WIAIPVcp.jpg</v>
      </c>
      <c r="L75">
        <v>0</v>
      </c>
      <c r="M75">
        <v>0</v>
      </c>
      <c r="N75">
        <v>1</v>
      </c>
      <c r="O75">
        <v>0</v>
      </c>
    </row>
    <row r="76" spans="1:15" x14ac:dyDescent="0.2">
      <c r="A76" s="1" t="str">
        <f>HYPERLINK("http://www.twitter.com/banuakdenizli/status/1604902350245793808", "1604902350245793808")</f>
        <v>1604902350245793808</v>
      </c>
      <c r="B76" t="s">
        <v>15</v>
      </c>
      <c r="C76" s="2">
        <v>44914.758240740739</v>
      </c>
      <c r="D76">
        <v>0</v>
      </c>
      <c r="E76">
        <v>2</v>
      </c>
      <c r="F76" t="s">
        <v>16</v>
      </c>
      <c r="G76" t="s">
        <v>123</v>
      </c>
      <c r="H76" t="str">
        <f>HYPERLINK("http://pbs.twimg.com/media/FkWDWvaWQAULBco.jpg", "http://pbs.twimg.com/media/FkWDWvaWQAULBco.jpg")</f>
        <v>http://pbs.twimg.com/media/FkWDWvaWQAULBco.jpg</v>
      </c>
      <c r="L76">
        <v>0</v>
      </c>
      <c r="M76">
        <v>0</v>
      </c>
      <c r="N76">
        <v>1</v>
      </c>
      <c r="O76">
        <v>0</v>
      </c>
    </row>
    <row r="77" spans="1:15" x14ac:dyDescent="0.2">
      <c r="A77" s="1" t="str">
        <f>HYPERLINK("http://www.twitter.com/banuakdenizli/status/1604902317270056960", "1604902317270056960")</f>
        <v>1604902317270056960</v>
      </c>
      <c r="B77" t="s">
        <v>15</v>
      </c>
      <c r="C77" s="2">
        <v>44914.758148148147</v>
      </c>
      <c r="D77">
        <v>0</v>
      </c>
      <c r="E77">
        <v>27</v>
      </c>
      <c r="F77" t="s">
        <v>28</v>
      </c>
      <c r="G77" t="s">
        <v>124</v>
      </c>
      <c r="L77">
        <v>0</v>
      </c>
      <c r="M77">
        <v>0</v>
      </c>
      <c r="N77">
        <v>1</v>
      </c>
      <c r="O77">
        <v>0</v>
      </c>
    </row>
    <row r="78" spans="1:15" x14ac:dyDescent="0.2">
      <c r="A78" s="1" t="str">
        <f>HYPERLINK("http://www.twitter.com/banuakdenizli/status/1604902308369862677", "1604902308369862677")</f>
        <v>1604902308369862677</v>
      </c>
      <c r="B78" t="s">
        <v>15</v>
      </c>
      <c r="C78" s="2">
        <v>44914.758125</v>
      </c>
      <c r="D78">
        <v>0</v>
      </c>
      <c r="E78">
        <v>19</v>
      </c>
      <c r="F78" t="s">
        <v>28</v>
      </c>
      <c r="G78" t="s">
        <v>125</v>
      </c>
      <c r="L78">
        <v>0</v>
      </c>
      <c r="M78">
        <v>0</v>
      </c>
      <c r="N78">
        <v>1</v>
      </c>
      <c r="O78">
        <v>0</v>
      </c>
    </row>
    <row r="79" spans="1:15" x14ac:dyDescent="0.2">
      <c r="A79" s="1" t="str">
        <f>HYPERLINK("http://www.twitter.com/banuakdenizli/status/1604901722841055232", "1604901722841055232")</f>
        <v>1604901722841055232</v>
      </c>
      <c r="B79" t="s">
        <v>15</v>
      </c>
      <c r="C79" s="2">
        <v>44914.756516203714</v>
      </c>
      <c r="D79">
        <v>0</v>
      </c>
      <c r="E79">
        <v>36</v>
      </c>
      <c r="F79" t="s">
        <v>25</v>
      </c>
      <c r="G79" t="s">
        <v>126</v>
      </c>
      <c r="H79" t="str">
        <f>HYPERLINK("http://pbs.twimg.com/media/FkVFPcHWQAAOZ2x.jpg", "http://pbs.twimg.com/media/FkVFPcHWQAAOZ2x.jpg")</f>
        <v>http://pbs.twimg.com/media/FkVFPcHWQAAOZ2x.jpg</v>
      </c>
      <c r="L79">
        <v>0</v>
      </c>
      <c r="M79">
        <v>0</v>
      </c>
      <c r="N79">
        <v>1</v>
      </c>
      <c r="O79">
        <v>0</v>
      </c>
    </row>
    <row r="80" spans="1:15" x14ac:dyDescent="0.2">
      <c r="A80" s="1" t="str">
        <f>HYPERLINK("http://www.twitter.com/banuakdenizli/status/1604901705241530399", "1604901705241530399")</f>
        <v>1604901705241530399</v>
      </c>
      <c r="B80" t="s">
        <v>15</v>
      </c>
      <c r="C80" s="2">
        <v>44914.756458333337</v>
      </c>
      <c r="D80">
        <v>0</v>
      </c>
      <c r="E80">
        <v>3</v>
      </c>
      <c r="F80" t="s">
        <v>29</v>
      </c>
      <c r="G80" t="s">
        <v>127</v>
      </c>
      <c r="H80" t="str">
        <f>HYPERLINK("http://pbs.twimg.com/media/FkVfKW2XwAAuowE.jpg", "http://pbs.twimg.com/media/FkVfKW2XwAAuowE.jpg")</f>
        <v>http://pbs.twimg.com/media/FkVfKW2XwAAuowE.jpg</v>
      </c>
      <c r="L80">
        <v>0</v>
      </c>
      <c r="M80">
        <v>0</v>
      </c>
      <c r="N80">
        <v>1</v>
      </c>
      <c r="O80">
        <v>0</v>
      </c>
    </row>
    <row r="81" spans="1:15" x14ac:dyDescent="0.2">
      <c r="A81" s="1" t="str">
        <f>HYPERLINK("http://www.twitter.com/banuakdenizli/status/1604901667853504527", "1604901667853504527")</f>
        <v>1604901667853504527</v>
      </c>
      <c r="B81" t="s">
        <v>15</v>
      </c>
      <c r="C81" s="2">
        <v>44914.756354166668</v>
      </c>
      <c r="D81">
        <v>0</v>
      </c>
      <c r="E81">
        <v>5</v>
      </c>
      <c r="F81" t="s">
        <v>20</v>
      </c>
      <c r="G81" t="s">
        <v>128</v>
      </c>
      <c r="H81" t="str">
        <f>HYPERLINK("https://video.twimg.com/ext_tw_video/1604764640394809344/pu/vid/1280x720/A-4ViCyM091hPxDx.mp4?tag=12", "https://video.twimg.com/ext_tw_video/1604764640394809344/pu/vid/1280x720/A-4ViCyM091hPxDx.mp4?tag=12")</f>
        <v>https://video.twimg.com/ext_tw_video/1604764640394809344/pu/vid/1280x720/A-4ViCyM091hPxDx.mp4?tag=12</v>
      </c>
      <c r="L81">
        <v>0.34</v>
      </c>
      <c r="M81">
        <v>0</v>
      </c>
      <c r="N81">
        <v>0.93400000000000005</v>
      </c>
      <c r="O81">
        <v>6.6000000000000003E-2</v>
      </c>
    </row>
    <row r="82" spans="1:15" x14ac:dyDescent="0.2">
      <c r="A82" s="1" t="str">
        <f>HYPERLINK("http://www.twitter.com/banuakdenizli/status/1604901627948765185", "1604901627948765185")</f>
        <v>1604901627948765185</v>
      </c>
      <c r="B82" t="s">
        <v>15</v>
      </c>
      <c r="C82" s="2">
        <v>44914.756249999999</v>
      </c>
      <c r="D82">
        <v>0</v>
      </c>
      <c r="E82">
        <v>5</v>
      </c>
      <c r="F82" t="s">
        <v>20</v>
      </c>
      <c r="G82" t="s">
        <v>129</v>
      </c>
      <c r="H82" t="str">
        <f>HYPERLINK("https://video.twimg.com/ext_tw_video/1604765193690664960/pu/vid/1280x720/PHBBBRSSpceUVQYU.mp4?tag=12", "https://video.twimg.com/ext_tw_video/1604765193690664960/pu/vid/1280x720/PHBBBRSSpceUVQYU.mp4?tag=12")</f>
        <v>https://video.twimg.com/ext_tw_video/1604765193690664960/pu/vid/1280x720/PHBBBRSSpceUVQYU.mp4?tag=12</v>
      </c>
      <c r="L82">
        <v>-0.29599999999999999</v>
      </c>
      <c r="M82">
        <v>6.2E-2</v>
      </c>
      <c r="N82">
        <v>0.93700000000000006</v>
      </c>
      <c r="O82">
        <v>0</v>
      </c>
    </row>
    <row r="83" spans="1:15" x14ac:dyDescent="0.2">
      <c r="A83" s="1" t="str">
        <f>HYPERLINK("http://www.twitter.com/banuakdenizli/status/1604901616632856576", "1604901616632856576")</f>
        <v>1604901616632856576</v>
      </c>
      <c r="B83" t="s">
        <v>15</v>
      </c>
      <c r="C83" s="2">
        <v>44914.756215277783</v>
      </c>
      <c r="D83">
        <v>0</v>
      </c>
      <c r="E83">
        <v>5</v>
      </c>
      <c r="F83" t="s">
        <v>20</v>
      </c>
      <c r="G83" t="s">
        <v>130</v>
      </c>
      <c r="H83" t="str">
        <f>HYPERLINK("https://video.twimg.com/ext_tw_video/1604764994322694145/pu/vid/1280x720/-WKHkUaiZ-qbX16b.mp4?tag=12", "https://video.twimg.com/ext_tw_video/1604764994322694145/pu/vid/1280x720/-WKHkUaiZ-qbX16b.mp4?tag=12")</f>
        <v>https://video.twimg.com/ext_tw_video/1604764994322694145/pu/vid/1280x720/-WKHkUaiZ-qbX16b.mp4?tag=12</v>
      </c>
      <c r="L83">
        <v>0</v>
      </c>
      <c r="M83">
        <v>0</v>
      </c>
      <c r="N83">
        <v>1</v>
      </c>
      <c r="O83">
        <v>0</v>
      </c>
    </row>
    <row r="84" spans="1:15" x14ac:dyDescent="0.2">
      <c r="A84" s="1" t="str">
        <f>HYPERLINK("http://www.twitter.com/banuakdenizli/status/1604901572336619536", "1604901572336619536")</f>
        <v>1604901572336619536</v>
      </c>
      <c r="B84" t="s">
        <v>15</v>
      </c>
      <c r="C84" s="2">
        <v>44914.756099537037</v>
      </c>
      <c r="D84">
        <v>0</v>
      </c>
      <c r="E84">
        <v>3</v>
      </c>
      <c r="F84" t="s">
        <v>20</v>
      </c>
      <c r="G84" t="s">
        <v>131</v>
      </c>
      <c r="H84" t="str">
        <f>HYPERLINK("http://pbs.twimg.com/media/FkVhEPoXoAEF7WH.jpg", "http://pbs.twimg.com/media/FkVhEPoXoAEF7WH.jpg")</f>
        <v>http://pbs.twimg.com/media/FkVhEPoXoAEF7WH.jpg</v>
      </c>
      <c r="L84">
        <v>0</v>
      </c>
      <c r="M84">
        <v>0</v>
      </c>
      <c r="N84">
        <v>1</v>
      </c>
      <c r="O84">
        <v>0</v>
      </c>
    </row>
    <row r="85" spans="1:15" x14ac:dyDescent="0.2">
      <c r="A85" s="1" t="str">
        <f>HYPERLINK("http://www.twitter.com/banuakdenizli/status/1604901437342945307", "1604901437342945307")</f>
        <v>1604901437342945307</v>
      </c>
      <c r="B85" t="s">
        <v>15</v>
      </c>
      <c r="C85" s="2">
        <v>44914.75571759259</v>
      </c>
      <c r="D85">
        <v>0</v>
      </c>
      <c r="E85">
        <v>7</v>
      </c>
      <c r="F85" t="s">
        <v>22</v>
      </c>
      <c r="G85" t="s">
        <v>132</v>
      </c>
      <c r="H85" t="str">
        <f>HYPERLINK("http://pbs.twimg.com/media/FkVKuMvXgAcgwk9.jpg", "http://pbs.twimg.com/media/FkVKuMvXgAcgwk9.jpg")</f>
        <v>http://pbs.twimg.com/media/FkVKuMvXgAcgwk9.jpg</v>
      </c>
      <c r="L85">
        <v>0</v>
      </c>
      <c r="M85">
        <v>0</v>
      </c>
      <c r="N85">
        <v>1</v>
      </c>
      <c r="O85">
        <v>0</v>
      </c>
    </row>
    <row r="86" spans="1:15" x14ac:dyDescent="0.2">
      <c r="A86" s="1" t="str">
        <f>HYPERLINK("http://www.twitter.com/banuakdenizli/status/1604901311891222529", "1604901311891222529")</f>
        <v>1604901311891222529</v>
      </c>
      <c r="B86" t="s">
        <v>15</v>
      </c>
      <c r="C86" s="2">
        <v>44914.755381944437</v>
      </c>
      <c r="D86">
        <v>0</v>
      </c>
      <c r="E86">
        <v>6</v>
      </c>
      <c r="F86" t="s">
        <v>16</v>
      </c>
      <c r="G86" t="s">
        <v>133</v>
      </c>
      <c r="H86" t="str">
        <f>HYPERLINK("http://pbs.twimg.com/media/FkV1aZLXEAEBtFT.jpg", "http://pbs.twimg.com/media/FkV1aZLXEAEBtFT.jpg")</f>
        <v>http://pbs.twimg.com/media/FkV1aZLXEAEBtFT.jpg</v>
      </c>
      <c r="L86">
        <v>0</v>
      </c>
      <c r="M86">
        <v>0</v>
      </c>
      <c r="N86">
        <v>1</v>
      </c>
      <c r="O86">
        <v>0</v>
      </c>
    </row>
    <row r="87" spans="1:15" x14ac:dyDescent="0.2">
      <c r="A87" s="1" t="str">
        <f>HYPERLINK("http://www.twitter.com/banuakdenizli/status/1604824289412534272", "1604824289412534272")</f>
        <v>1604824289412534272</v>
      </c>
      <c r="B87" t="s">
        <v>15</v>
      </c>
      <c r="C87" s="2">
        <v>44914.54283564815</v>
      </c>
      <c r="D87">
        <v>0</v>
      </c>
      <c r="E87">
        <v>5</v>
      </c>
      <c r="F87" t="s">
        <v>17</v>
      </c>
      <c r="G87" t="s">
        <v>134</v>
      </c>
      <c r="H87" t="str">
        <f>HYPERLINK("http://pbs.twimg.com/media/FkVg4B0XkAEfhrF.jpg", "http://pbs.twimg.com/media/FkVg4B0XkAEfhrF.jpg")</f>
        <v>http://pbs.twimg.com/media/FkVg4B0XkAEfhrF.jpg</v>
      </c>
      <c r="L87">
        <v>-0.64859999999999995</v>
      </c>
      <c r="M87">
        <v>0.34599999999999997</v>
      </c>
      <c r="N87">
        <v>0.54100000000000004</v>
      </c>
      <c r="O87">
        <v>0.114</v>
      </c>
    </row>
    <row r="88" spans="1:15" x14ac:dyDescent="0.2">
      <c r="A88" s="1" t="str">
        <f>HYPERLINK("http://www.twitter.com/banuakdenizli/status/1604742702976884737", "1604742702976884737")</f>
        <v>1604742702976884737</v>
      </c>
      <c r="B88" t="s">
        <v>15</v>
      </c>
      <c r="C88" s="2">
        <v>44914.317696759259</v>
      </c>
      <c r="D88">
        <v>0</v>
      </c>
      <c r="E88">
        <v>26</v>
      </c>
      <c r="F88" t="s">
        <v>19</v>
      </c>
      <c r="G88" t="s">
        <v>135</v>
      </c>
      <c r="H88" t="str">
        <f>HYPERLINK("http://pbs.twimg.com/media/FkUM3VGXEAANik0.jpg", "http://pbs.twimg.com/media/FkUM3VGXEAANik0.jpg")</f>
        <v>http://pbs.twimg.com/media/FkUM3VGXEAANik0.jpg</v>
      </c>
      <c r="L88">
        <v>0</v>
      </c>
      <c r="M88">
        <v>0</v>
      </c>
      <c r="N88">
        <v>1</v>
      </c>
      <c r="O88">
        <v>0</v>
      </c>
    </row>
    <row r="89" spans="1:15" x14ac:dyDescent="0.2">
      <c r="A89" s="1" t="str">
        <f>HYPERLINK("http://www.twitter.com/banuakdenizli/status/1604740805872488455", "1604740805872488455")</f>
        <v>1604740805872488455</v>
      </c>
      <c r="B89" t="s">
        <v>15</v>
      </c>
      <c r="C89" s="2">
        <v>44914.312465277777</v>
      </c>
      <c r="D89">
        <v>0</v>
      </c>
      <c r="E89">
        <v>3335</v>
      </c>
      <c r="F89" t="s">
        <v>27</v>
      </c>
      <c r="G89" t="s">
        <v>136</v>
      </c>
      <c r="L89">
        <v>0</v>
      </c>
      <c r="M89">
        <v>0</v>
      </c>
      <c r="N89">
        <v>1</v>
      </c>
      <c r="O89">
        <v>0</v>
      </c>
    </row>
    <row r="90" spans="1:15" x14ac:dyDescent="0.2">
      <c r="A90" s="1" t="str">
        <f>HYPERLINK("http://www.twitter.com/banuakdenizli/status/1604739954810257409", "1604739954810257409")</f>
        <v>1604739954810257409</v>
      </c>
      <c r="B90" t="s">
        <v>15</v>
      </c>
      <c r="C90" s="2">
        <v>44914.310115740736</v>
      </c>
      <c r="D90">
        <v>0</v>
      </c>
      <c r="E90">
        <v>16211</v>
      </c>
      <c r="F90" t="s">
        <v>27</v>
      </c>
      <c r="G90" t="s">
        <v>137</v>
      </c>
      <c r="L90">
        <v>0</v>
      </c>
      <c r="M90">
        <v>0</v>
      </c>
      <c r="N90">
        <v>1</v>
      </c>
      <c r="O90">
        <v>0</v>
      </c>
    </row>
    <row r="91" spans="1:15" x14ac:dyDescent="0.2">
      <c r="A91" s="1" t="str">
        <f>HYPERLINK("http://www.twitter.com/banuakdenizli/status/1604739943993339904", "1604739943993339904")</f>
        <v>1604739943993339904</v>
      </c>
      <c r="B91" t="s">
        <v>15</v>
      </c>
      <c r="C91" s="2">
        <v>44914.310081018521</v>
      </c>
      <c r="D91">
        <v>0</v>
      </c>
      <c r="E91">
        <v>35</v>
      </c>
      <c r="F91" t="s">
        <v>28</v>
      </c>
      <c r="G91" t="s">
        <v>138</v>
      </c>
      <c r="L91">
        <v>0</v>
      </c>
      <c r="M91">
        <v>0</v>
      </c>
      <c r="N91">
        <v>1</v>
      </c>
      <c r="O91">
        <v>0</v>
      </c>
    </row>
    <row r="92" spans="1:15" x14ac:dyDescent="0.2">
      <c r="A92" s="1" t="str">
        <f>HYPERLINK("http://www.twitter.com/banuakdenizli/status/1604571485816897538", "1604571485816897538")</f>
        <v>1604571485816897538</v>
      </c>
      <c r="B92" t="s">
        <v>15</v>
      </c>
      <c r="C92" s="2">
        <v>44913.845231481479</v>
      </c>
      <c r="D92">
        <v>0</v>
      </c>
      <c r="E92">
        <v>16</v>
      </c>
      <c r="F92" t="s">
        <v>28</v>
      </c>
      <c r="G92" t="s">
        <v>139</v>
      </c>
      <c r="L92">
        <v>0</v>
      </c>
      <c r="M92">
        <v>0</v>
      </c>
      <c r="N92">
        <v>1</v>
      </c>
      <c r="O92">
        <v>0</v>
      </c>
    </row>
    <row r="93" spans="1:15" x14ac:dyDescent="0.2">
      <c r="A93" s="1" t="str">
        <f>HYPERLINK("http://www.twitter.com/banuakdenizli/status/1604570594275639305", "1604570594275639305")</f>
        <v>1604570594275639305</v>
      </c>
      <c r="B93" t="s">
        <v>15</v>
      </c>
      <c r="C93" s="2">
        <v>44913.842766203707</v>
      </c>
      <c r="D93">
        <v>0</v>
      </c>
      <c r="E93">
        <v>75</v>
      </c>
      <c r="F93" t="s">
        <v>18</v>
      </c>
      <c r="G93" t="s">
        <v>140</v>
      </c>
      <c r="L93">
        <v>0.8881</v>
      </c>
      <c r="M93">
        <v>7.2999999999999995E-2</v>
      </c>
      <c r="N93">
        <v>0.60899999999999999</v>
      </c>
      <c r="O93">
        <v>0.318</v>
      </c>
    </row>
    <row r="94" spans="1:15" x14ac:dyDescent="0.2">
      <c r="A94" s="1" t="str">
        <f>HYPERLINK("http://www.twitter.com/banuakdenizli/status/1604569421837750274", "1604569421837750274")</f>
        <v>1604569421837750274</v>
      </c>
      <c r="B94" t="s">
        <v>15</v>
      </c>
      <c r="C94" s="2">
        <v>44913.839537037027</v>
      </c>
      <c r="D94">
        <v>0</v>
      </c>
      <c r="E94">
        <v>26</v>
      </c>
      <c r="F94" t="s">
        <v>16</v>
      </c>
      <c r="G94" t="s">
        <v>141</v>
      </c>
      <c r="H94" t="str">
        <f>HYPERLINK("https://video.twimg.com/ext_tw_video/1603743791156023296/pu/vid/1280x720/KXUCkgpNvZ6SjZSi.mp4?tag=12", "https://video.twimg.com/ext_tw_video/1603743791156023296/pu/vid/1280x720/KXUCkgpNvZ6SjZSi.mp4?tag=12")</f>
        <v>https://video.twimg.com/ext_tw_video/1603743791156023296/pu/vid/1280x720/KXUCkgpNvZ6SjZSi.mp4?tag=12</v>
      </c>
      <c r="L94">
        <v>0</v>
      </c>
      <c r="M94">
        <v>0</v>
      </c>
      <c r="N94">
        <v>1</v>
      </c>
      <c r="O94">
        <v>0</v>
      </c>
    </row>
    <row r="95" spans="1:15" x14ac:dyDescent="0.2">
      <c r="A95" s="1" t="str">
        <f>HYPERLINK("http://www.twitter.com/banuakdenizli/status/1604569379445870593", "1604569379445870593")</f>
        <v>1604569379445870593</v>
      </c>
      <c r="B95" t="s">
        <v>15</v>
      </c>
      <c r="C95" s="2">
        <v>44913.839421296303</v>
      </c>
      <c r="D95">
        <v>0</v>
      </c>
      <c r="E95">
        <v>14</v>
      </c>
      <c r="F95" t="s">
        <v>16</v>
      </c>
      <c r="G95" t="s">
        <v>142</v>
      </c>
      <c r="H95" t="str">
        <f>HYPERLINK("http://pbs.twimg.com/media/FkIPrx0WYAU9sWd.jpg", "http://pbs.twimg.com/media/FkIPrx0WYAU9sWd.jpg")</f>
        <v>http://pbs.twimg.com/media/FkIPrx0WYAU9sWd.jpg</v>
      </c>
      <c r="L95">
        <v>0</v>
      </c>
      <c r="M95">
        <v>0</v>
      </c>
      <c r="N95">
        <v>1</v>
      </c>
      <c r="O95">
        <v>0</v>
      </c>
    </row>
    <row r="96" spans="1:15" x14ac:dyDescent="0.2">
      <c r="A96" s="1" t="str">
        <f>HYPERLINK("http://www.twitter.com/banuakdenizli/status/1604569359527342080", "1604569359527342080")</f>
        <v>1604569359527342080</v>
      </c>
      <c r="B96" t="s">
        <v>15</v>
      </c>
      <c r="C96" s="2">
        <v>44913.839363425926</v>
      </c>
      <c r="D96">
        <v>0</v>
      </c>
      <c r="E96">
        <v>48</v>
      </c>
      <c r="F96" t="s">
        <v>28</v>
      </c>
      <c r="G96" t="s">
        <v>143</v>
      </c>
      <c r="L96">
        <v>0</v>
      </c>
      <c r="M96">
        <v>0</v>
      </c>
      <c r="N96">
        <v>1</v>
      </c>
      <c r="O96">
        <v>0</v>
      </c>
    </row>
    <row r="97" spans="1:15" x14ac:dyDescent="0.2">
      <c r="A97" s="1" t="str">
        <f>HYPERLINK("http://www.twitter.com/banuakdenizli/status/1604569333212012546", "1604569333212012546")</f>
        <v>1604569333212012546</v>
      </c>
      <c r="B97" t="s">
        <v>15</v>
      </c>
      <c r="C97" s="2">
        <v>44913.83929398148</v>
      </c>
      <c r="D97">
        <v>0</v>
      </c>
      <c r="E97">
        <v>79</v>
      </c>
      <c r="F97" t="s">
        <v>28</v>
      </c>
      <c r="G97" t="s">
        <v>144</v>
      </c>
      <c r="H97" t="str">
        <f>HYPERLINK("http://pbs.twimg.com/media/FkMYqBvX0AAjbh6.jpg", "http://pbs.twimg.com/media/FkMYqBvX0AAjbh6.jpg")</f>
        <v>http://pbs.twimg.com/media/FkMYqBvX0AAjbh6.jpg</v>
      </c>
      <c r="I97" t="str">
        <f>HYPERLINK("http://pbs.twimg.com/media/FkMYqB4XgAEPTtm.jpg", "http://pbs.twimg.com/media/FkMYqB4XgAEPTtm.jpg")</f>
        <v>http://pbs.twimg.com/media/FkMYqB4XgAEPTtm.jpg</v>
      </c>
      <c r="J97" t="str">
        <f>HYPERLINK("http://pbs.twimg.com/media/FkMYqB1WYAAcou3.jpg", "http://pbs.twimg.com/media/FkMYqB1WYAAcou3.jpg")</f>
        <v>http://pbs.twimg.com/media/FkMYqB1WYAAcou3.jpg</v>
      </c>
      <c r="K97" t="str">
        <f>HYPERLINK("http://pbs.twimg.com/media/FkMYqBvXEAAg0f-.jpg", "http://pbs.twimg.com/media/FkMYqBvXEAAg0f-.jpg")</f>
        <v>http://pbs.twimg.com/media/FkMYqBvXEAAg0f-.jpg</v>
      </c>
      <c r="L97">
        <v>0</v>
      </c>
      <c r="M97">
        <v>0</v>
      </c>
      <c r="N97">
        <v>1</v>
      </c>
      <c r="O97">
        <v>0</v>
      </c>
    </row>
    <row r="98" spans="1:15" x14ac:dyDescent="0.2">
      <c r="A98" s="1" t="str">
        <f>HYPERLINK("http://www.twitter.com/banuakdenizli/status/1604569231735066624", "1604569231735066624")</f>
        <v>1604569231735066624</v>
      </c>
      <c r="B98" t="s">
        <v>15</v>
      </c>
      <c r="C98" s="2">
        <v>44913.839004629634</v>
      </c>
      <c r="D98">
        <v>0</v>
      </c>
      <c r="E98">
        <v>13</v>
      </c>
      <c r="F98" t="s">
        <v>26</v>
      </c>
      <c r="G98" t="s">
        <v>145</v>
      </c>
      <c r="H98" t="str">
        <f>HYPERLINK("http://pbs.twimg.com/media/FkP1kQoWAAEfSM2.jpg", "http://pbs.twimg.com/media/FkP1kQoWAAEfSM2.jpg")</f>
        <v>http://pbs.twimg.com/media/FkP1kQoWAAEfSM2.jpg</v>
      </c>
      <c r="L98">
        <v>0</v>
      </c>
      <c r="M98">
        <v>0</v>
      </c>
      <c r="N98">
        <v>1</v>
      </c>
      <c r="O98">
        <v>0</v>
      </c>
    </row>
    <row r="99" spans="1:15" x14ac:dyDescent="0.2">
      <c r="A99" s="1" t="str">
        <f>HYPERLINK("http://www.twitter.com/banuakdenizli/status/1604569211669446657", "1604569211669446657")</f>
        <v>1604569211669446657</v>
      </c>
      <c r="B99" t="s">
        <v>15</v>
      </c>
      <c r="C99" s="2">
        <v>44913.838958333326</v>
      </c>
      <c r="D99">
        <v>0</v>
      </c>
      <c r="E99">
        <v>21</v>
      </c>
      <c r="F99" t="s">
        <v>16</v>
      </c>
      <c r="G99" t="s">
        <v>146</v>
      </c>
      <c r="H99" t="str">
        <f>HYPERLINK("http://pbs.twimg.com/media/FkP5vapXgAIzE22.jpg", "http://pbs.twimg.com/media/FkP5vapXgAIzE22.jpg")</f>
        <v>http://pbs.twimg.com/media/FkP5vapXgAIzE22.jpg</v>
      </c>
      <c r="L99">
        <v>0</v>
      </c>
      <c r="M99">
        <v>0</v>
      </c>
      <c r="N99">
        <v>1</v>
      </c>
      <c r="O99">
        <v>0</v>
      </c>
    </row>
    <row r="100" spans="1:15" x14ac:dyDescent="0.2">
      <c r="A100" s="1" t="str">
        <f>HYPERLINK("http://www.twitter.com/banuakdenizli/status/1604569168048701450", "1604569168048701450")</f>
        <v>1604569168048701450</v>
      </c>
      <c r="B100" t="s">
        <v>15</v>
      </c>
      <c r="C100" s="2">
        <v>44913.838831018518</v>
      </c>
      <c r="D100">
        <v>0</v>
      </c>
      <c r="E100">
        <v>1</v>
      </c>
      <c r="F100" t="s">
        <v>16</v>
      </c>
      <c r="G100" t="s">
        <v>147</v>
      </c>
      <c r="H100" t="str">
        <f>HYPERLINK("http://pbs.twimg.com/media/FkQWSIYX0AIrF1E.jpg", "http://pbs.twimg.com/media/FkQWSIYX0AIrF1E.jpg")</f>
        <v>http://pbs.twimg.com/media/FkQWSIYX0AIrF1E.jpg</v>
      </c>
      <c r="I100" t="str">
        <f>HYPERLINK("http://pbs.twimg.com/media/FkQWT9OWYAEAexD.jpg", "http://pbs.twimg.com/media/FkQWT9OWYAEAexD.jpg")</f>
        <v>http://pbs.twimg.com/media/FkQWT9OWYAEAexD.jpg</v>
      </c>
      <c r="L100">
        <v>0</v>
      </c>
      <c r="M100">
        <v>0</v>
      </c>
      <c r="N100">
        <v>1</v>
      </c>
      <c r="O100">
        <v>0</v>
      </c>
    </row>
    <row r="101" spans="1:15" x14ac:dyDescent="0.2">
      <c r="A101" s="1" t="str">
        <f>HYPERLINK("http://www.twitter.com/banuakdenizli/status/1604569145982554112", "1604569145982554112")</f>
        <v>1604569145982554112</v>
      </c>
      <c r="B101" t="s">
        <v>15</v>
      </c>
      <c r="C101" s="2">
        <v>44913.838773148149</v>
      </c>
      <c r="D101">
        <v>0</v>
      </c>
      <c r="E101">
        <v>2</v>
      </c>
      <c r="F101" t="s">
        <v>16</v>
      </c>
      <c r="G101" t="s">
        <v>148</v>
      </c>
      <c r="H101" t="str">
        <f>HYPERLINK("https://video.twimg.com/ext_tw_video/1604432750987075584/pu/vid/1280x720/8T-syXPLU0g91jY6.mp4?tag=12", "https://video.twimg.com/ext_tw_video/1604432750987075584/pu/vid/1280x720/8T-syXPLU0g91jY6.mp4?tag=12")</f>
        <v>https://video.twimg.com/ext_tw_video/1604432750987075584/pu/vid/1280x720/8T-syXPLU0g91jY6.mp4?tag=12</v>
      </c>
      <c r="L101">
        <v>0</v>
      </c>
      <c r="M101">
        <v>0</v>
      </c>
      <c r="N101">
        <v>1</v>
      </c>
      <c r="O101">
        <v>0</v>
      </c>
    </row>
    <row r="102" spans="1:15" x14ac:dyDescent="0.2">
      <c r="A102" s="1" t="str">
        <f>HYPERLINK("http://www.twitter.com/banuakdenizli/status/1604569130954522629", "1604569130954522629")</f>
        <v>1604569130954522629</v>
      </c>
      <c r="B102" t="s">
        <v>15</v>
      </c>
      <c r="C102" s="2">
        <v>44913.838726851849</v>
      </c>
      <c r="D102">
        <v>0</v>
      </c>
      <c r="E102">
        <v>19</v>
      </c>
      <c r="F102" t="s">
        <v>18</v>
      </c>
      <c r="G102" t="s">
        <v>149</v>
      </c>
      <c r="H102" t="str">
        <f>HYPERLINK("http://pbs.twimg.com/media/FkQXh5QX0AM3-EP.jpg", "http://pbs.twimg.com/media/FkQXh5QX0AM3-EP.jpg")</f>
        <v>http://pbs.twimg.com/media/FkQXh5QX0AM3-EP.jpg</v>
      </c>
      <c r="L102">
        <v>0</v>
      </c>
      <c r="M102">
        <v>0</v>
      </c>
      <c r="N102">
        <v>1</v>
      </c>
      <c r="O102">
        <v>0</v>
      </c>
    </row>
    <row r="103" spans="1:15" x14ac:dyDescent="0.2">
      <c r="A103" s="1" t="str">
        <f>HYPERLINK("http://www.twitter.com/banuakdenizli/status/1604569040156037121", "1604569040156037121")</f>
        <v>1604569040156037121</v>
      </c>
      <c r="B103" t="s">
        <v>15</v>
      </c>
      <c r="C103" s="2">
        <v>44913.838483796288</v>
      </c>
      <c r="D103">
        <v>0</v>
      </c>
      <c r="E103">
        <v>83</v>
      </c>
      <c r="F103" t="s">
        <v>51</v>
      </c>
      <c r="G103" t="s">
        <v>150</v>
      </c>
      <c r="H103" t="str">
        <f>HYPERLINK("http://pbs.twimg.com/media/FkQhDRqXoAARL4d.jpg", "http://pbs.twimg.com/media/FkQhDRqXoAARL4d.jpg")</f>
        <v>http://pbs.twimg.com/media/FkQhDRqXoAARL4d.jpg</v>
      </c>
      <c r="L103">
        <v>0</v>
      </c>
      <c r="M103">
        <v>0</v>
      </c>
      <c r="N103">
        <v>1</v>
      </c>
      <c r="O103">
        <v>0</v>
      </c>
    </row>
    <row r="104" spans="1:15" x14ac:dyDescent="0.2">
      <c r="A104" s="1" t="str">
        <f>HYPERLINK("http://www.twitter.com/banuakdenizli/status/1604568010550874114", "1604568010550874114")</f>
        <v>1604568010550874114</v>
      </c>
      <c r="B104" t="s">
        <v>15</v>
      </c>
      <c r="C104" s="2">
        <v>44913.835636574076</v>
      </c>
      <c r="D104">
        <v>0</v>
      </c>
      <c r="E104">
        <v>75</v>
      </c>
      <c r="F104" t="s">
        <v>28</v>
      </c>
      <c r="G104" t="s">
        <v>151</v>
      </c>
      <c r="H104" t="str">
        <f>HYPERLINK("http://pbs.twimg.com/media/FkRm6IMXgAEjNBH.jpg", "http://pbs.twimg.com/media/FkRm6IMXgAEjNBH.jpg")</f>
        <v>http://pbs.twimg.com/media/FkRm6IMXgAEjNBH.jpg</v>
      </c>
      <c r="I104" t="str">
        <f>HYPERLINK("http://pbs.twimg.com/media/FkRm6KjXoAAjSD1.jpg", "http://pbs.twimg.com/media/FkRm6KjXoAAjSD1.jpg")</f>
        <v>http://pbs.twimg.com/media/FkRm6KjXoAAjSD1.jpg</v>
      </c>
      <c r="L104">
        <v>0</v>
      </c>
      <c r="M104">
        <v>0</v>
      </c>
      <c r="N104">
        <v>1</v>
      </c>
      <c r="O104">
        <v>0</v>
      </c>
    </row>
    <row r="105" spans="1:15" x14ac:dyDescent="0.2">
      <c r="A105" s="1" t="str">
        <f>HYPERLINK("http://www.twitter.com/banuakdenizli/status/1604563398053740547", "1604563398053740547")</f>
        <v>1604563398053740547</v>
      </c>
      <c r="B105" t="s">
        <v>15</v>
      </c>
      <c r="C105" s="2">
        <v>44913.822916666657</v>
      </c>
      <c r="D105">
        <v>0</v>
      </c>
      <c r="E105">
        <v>65</v>
      </c>
      <c r="F105" t="s">
        <v>18</v>
      </c>
      <c r="G105" t="s">
        <v>152</v>
      </c>
      <c r="H105" t="str">
        <f>HYPERLINK("http://pbs.twimg.com/media/FkP22etWYAIjx_d.jpg", "http://pbs.twimg.com/media/FkP22etWYAIjx_d.jpg")</f>
        <v>http://pbs.twimg.com/media/FkP22etWYAIjx_d.jpg</v>
      </c>
      <c r="L105">
        <v>0.93</v>
      </c>
      <c r="M105">
        <v>0</v>
      </c>
      <c r="N105">
        <v>0.73099999999999998</v>
      </c>
      <c r="O105">
        <v>0.26900000000000002</v>
      </c>
    </row>
    <row r="106" spans="1:15" x14ac:dyDescent="0.2">
      <c r="A106" s="1" t="str">
        <f>HYPERLINK("http://www.twitter.com/banuakdenizli/status/1604563373001265152", "1604563373001265152")</f>
        <v>1604563373001265152</v>
      </c>
      <c r="B106" t="s">
        <v>15</v>
      </c>
      <c r="C106" s="2">
        <v>44913.822847222233</v>
      </c>
      <c r="D106">
        <v>0</v>
      </c>
      <c r="E106">
        <v>478</v>
      </c>
      <c r="F106" t="s">
        <v>45</v>
      </c>
      <c r="G106" t="s">
        <v>153</v>
      </c>
      <c r="H106" t="str">
        <f>HYPERLINK("http://pbs.twimg.com/media/FkQM_trWIAU95AB.jpg", "http://pbs.twimg.com/media/FkQM_trWIAU95AB.jpg")</f>
        <v>http://pbs.twimg.com/media/FkQM_trWIAU95AB.jpg</v>
      </c>
      <c r="L106">
        <v>0</v>
      </c>
      <c r="M106">
        <v>0</v>
      </c>
      <c r="N106">
        <v>1</v>
      </c>
      <c r="O106">
        <v>0</v>
      </c>
    </row>
    <row r="107" spans="1:15" x14ac:dyDescent="0.2">
      <c r="A107" s="1" t="str">
        <f>HYPERLINK("http://www.twitter.com/banuakdenizli/status/1604561964595908609", "1604561964595908609")</f>
        <v>1604561964595908609</v>
      </c>
      <c r="B107" t="s">
        <v>15</v>
      </c>
      <c r="C107" s="2">
        <v>44913.818958333337</v>
      </c>
      <c r="D107">
        <v>0</v>
      </c>
      <c r="E107">
        <v>25</v>
      </c>
      <c r="F107" t="s">
        <v>18</v>
      </c>
      <c r="G107" t="s">
        <v>154</v>
      </c>
      <c r="H107" t="str">
        <f>HYPERLINK("http://pbs.twimg.com/media/FkQaEjhWIAMtILQ.jpg", "http://pbs.twimg.com/media/FkQaEjhWIAMtILQ.jpg")</f>
        <v>http://pbs.twimg.com/media/FkQaEjhWIAMtILQ.jpg</v>
      </c>
      <c r="L107">
        <v>0.84019999999999995</v>
      </c>
      <c r="M107">
        <v>0</v>
      </c>
      <c r="N107">
        <v>0.79200000000000004</v>
      </c>
      <c r="O107">
        <v>0.20799999999999999</v>
      </c>
    </row>
    <row r="108" spans="1:15" x14ac:dyDescent="0.2">
      <c r="A108" s="1" t="str">
        <f>HYPERLINK("http://www.twitter.com/banuakdenizli/status/1604561949466959873", "1604561949466959873")</f>
        <v>1604561949466959873</v>
      </c>
      <c r="B108" t="s">
        <v>15</v>
      </c>
      <c r="C108" s="2">
        <v>44913.818912037037</v>
      </c>
      <c r="D108">
        <v>0</v>
      </c>
      <c r="E108">
        <v>21</v>
      </c>
      <c r="F108" t="s">
        <v>25</v>
      </c>
      <c r="G108" t="s">
        <v>155</v>
      </c>
      <c r="H108" t="str">
        <f>HYPERLINK("http://pbs.twimg.com/media/FkPxkUpWYAA4ZOB.jpg", "http://pbs.twimg.com/media/FkPxkUpWYAA4ZOB.jpg")</f>
        <v>http://pbs.twimg.com/media/FkPxkUpWYAA4ZOB.jpg</v>
      </c>
      <c r="I108" t="str">
        <f>HYPERLINK("http://pbs.twimg.com/media/FkPxkUuX0AEquxD.jpg", "http://pbs.twimg.com/media/FkPxkUuX0AEquxD.jpg")</f>
        <v>http://pbs.twimg.com/media/FkPxkUuX0AEquxD.jpg</v>
      </c>
      <c r="L108">
        <v>0</v>
      </c>
      <c r="M108">
        <v>0</v>
      </c>
      <c r="N108">
        <v>1</v>
      </c>
      <c r="O108">
        <v>0</v>
      </c>
    </row>
    <row r="109" spans="1:15" x14ac:dyDescent="0.2">
      <c r="A109" s="1" t="str">
        <f>HYPERLINK("http://www.twitter.com/banuakdenizli/status/1604561931410497537", "1604561931410497537")</f>
        <v>1604561931410497537</v>
      </c>
      <c r="B109" t="s">
        <v>15</v>
      </c>
      <c r="C109" s="2">
        <v>44913.818865740737</v>
      </c>
      <c r="D109">
        <v>0</v>
      </c>
      <c r="E109">
        <v>19</v>
      </c>
      <c r="F109" t="s">
        <v>17</v>
      </c>
      <c r="G109" t="s">
        <v>156</v>
      </c>
      <c r="H109" t="str">
        <f>HYPERLINK("http://pbs.twimg.com/media/FkPiNO4WQAAOfzd.jpg", "http://pbs.twimg.com/media/FkPiNO4WQAAOfzd.jpg")</f>
        <v>http://pbs.twimg.com/media/FkPiNO4WQAAOfzd.jpg</v>
      </c>
      <c r="L109">
        <v>0</v>
      </c>
      <c r="M109">
        <v>0</v>
      </c>
      <c r="N109">
        <v>1</v>
      </c>
      <c r="O109">
        <v>0</v>
      </c>
    </row>
    <row r="110" spans="1:15" x14ac:dyDescent="0.2">
      <c r="A110" s="1" t="str">
        <f>HYPERLINK("http://www.twitter.com/banuakdenizli/status/1604561895087898625", "1604561895087898625")</f>
        <v>1604561895087898625</v>
      </c>
      <c r="B110" t="s">
        <v>15</v>
      </c>
      <c r="C110" s="2">
        <v>44913.818761574083</v>
      </c>
      <c r="D110">
        <v>0</v>
      </c>
      <c r="E110">
        <v>39523</v>
      </c>
      <c r="F110" t="s">
        <v>27</v>
      </c>
      <c r="G110" t="s">
        <v>157</v>
      </c>
      <c r="L110">
        <v>0</v>
      </c>
      <c r="M110">
        <v>0</v>
      </c>
      <c r="N110">
        <v>1</v>
      </c>
      <c r="O110">
        <v>0</v>
      </c>
    </row>
    <row r="111" spans="1:15" x14ac:dyDescent="0.2">
      <c r="A111" s="1" t="str">
        <f>HYPERLINK("http://www.twitter.com/banuakdenizli/status/1604561855678226432", "1604561855678226432")</f>
        <v>1604561855678226432</v>
      </c>
      <c r="B111" t="s">
        <v>15</v>
      </c>
      <c r="C111" s="2">
        <v>44913.818657407413</v>
      </c>
      <c r="D111">
        <v>0</v>
      </c>
      <c r="E111">
        <v>231</v>
      </c>
      <c r="F111" t="s">
        <v>18</v>
      </c>
      <c r="G111" t="s">
        <v>158</v>
      </c>
      <c r="L111">
        <v>0</v>
      </c>
      <c r="M111">
        <v>0</v>
      </c>
      <c r="N111">
        <v>1</v>
      </c>
      <c r="O111">
        <v>0</v>
      </c>
    </row>
    <row r="112" spans="1:15" x14ac:dyDescent="0.2">
      <c r="A112" s="1" t="str">
        <f>HYPERLINK("http://www.twitter.com/banuakdenizli/status/1604475154876497921", "1604475154876497921")</f>
        <v>1604475154876497921</v>
      </c>
      <c r="B112" t="s">
        <v>15</v>
      </c>
      <c r="C112" s="2">
        <v>44913.579409722217</v>
      </c>
      <c r="D112">
        <v>0</v>
      </c>
      <c r="E112">
        <v>115</v>
      </c>
      <c r="F112" t="s">
        <v>18</v>
      </c>
      <c r="G112" t="s">
        <v>159</v>
      </c>
      <c r="H112" t="str">
        <f>HYPERLINK("http://pbs.twimg.com/media/FkPvIymXkAECcIE.jpg", "http://pbs.twimg.com/media/FkPvIymXkAECcIE.jpg")</f>
        <v>http://pbs.twimg.com/media/FkPvIymXkAECcIE.jpg</v>
      </c>
      <c r="L112">
        <v>0</v>
      </c>
      <c r="M112">
        <v>0</v>
      </c>
      <c r="N112">
        <v>1</v>
      </c>
      <c r="O112">
        <v>0</v>
      </c>
    </row>
    <row r="113" spans="1:15" x14ac:dyDescent="0.2">
      <c r="A113" s="1" t="str">
        <f>HYPERLINK("http://www.twitter.com/banuakdenizli/status/1604475136454713344", "1604475136454713344")</f>
        <v>1604475136454713344</v>
      </c>
      <c r="B113" t="s">
        <v>15</v>
      </c>
      <c r="C113" s="2">
        <v>44913.579351851848</v>
      </c>
      <c r="D113">
        <v>0</v>
      </c>
      <c r="E113">
        <v>19</v>
      </c>
      <c r="F113" t="s">
        <v>26</v>
      </c>
      <c r="G113" t="s">
        <v>160</v>
      </c>
      <c r="H113" t="str">
        <f>HYPERLINK("http://pbs.twimg.com/media/FkP1tsaXkAAH13x.jpg", "http://pbs.twimg.com/media/FkP1tsaXkAAH13x.jpg")</f>
        <v>http://pbs.twimg.com/media/FkP1tsaXkAAH13x.jpg</v>
      </c>
      <c r="L113">
        <v>0.9153</v>
      </c>
      <c r="M113">
        <v>0</v>
      </c>
      <c r="N113">
        <v>0.73199999999999998</v>
      </c>
      <c r="O113">
        <v>0.26800000000000002</v>
      </c>
    </row>
    <row r="114" spans="1:15" x14ac:dyDescent="0.2">
      <c r="A114" s="1" t="str">
        <f>HYPERLINK("http://www.twitter.com/banuakdenizli/status/1604475113100873728", "1604475113100873728")</f>
        <v>1604475113100873728</v>
      </c>
      <c r="B114" t="s">
        <v>15</v>
      </c>
      <c r="C114" s="2">
        <v>44913.579293981478</v>
      </c>
      <c r="D114">
        <v>0</v>
      </c>
      <c r="E114">
        <v>9</v>
      </c>
      <c r="F114" t="s">
        <v>25</v>
      </c>
      <c r="G114" t="s">
        <v>161</v>
      </c>
      <c r="H114" t="str">
        <f>HYPERLINK("http://pbs.twimg.com/media/FkQSdDQXgAAT4-2.jpg", "http://pbs.twimg.com/media/FkQSdDQXgAAT4-2.jpg")</f>
        <v>http://pbs.twimg.com/media/FkQSdDQXgAAT4-2.jpg</v>
      </c>
      <c r="L114">
        <v>0.92169999999999996</v>
      </c>
      <c r="M114">
        <v>0</v>
      </c>
      <c r="N114">
        <v>0.73299999999999998</v>
      </c>
      <c r="O114">
        <v>0.26700000000000002</v>
      </c>
    </row>
    <row r="115" spans="1:15" x14ac:dyDescent="0.2">
      <c r="A115" s="1" t="str">
        <f>HYPERLINK("http://www.twitter.com/banuakdenizli/status/1604475065210322944", "1604475065210322944")</f>
        <v>1604475065210322944</v>
      </c>
      <c r="B115" t="s">
        <v>15</v>
      </c>
      <c r="C115" s="2">
        <v>44913.579155092593</v>
      </c>
      <c r="D115">
        <v>0</v>
      </c>
      <c r="E115">
        <v>9886</v>
      </c>
      <c r="F115" t="s">
        <v>27</v>
      </c>
      <c r="G115" t="s">
        <v>162</v>
      </c>
      <c r="L115">
        <v>0</v>
      </c>
      <c r="M115">
        <v>0</v>
      </c>
      <c r="N115">
        <v>1</v>
      </c>
      <c r="O115">
        <v>0</v>
      </c>
    </row>
    <row r="116" spans="1:15" x14ac:dyDescent="0.2">
      <c r="A116" s="1" t="str">
        <f>HYPERLINK("http://www.twitter.com/banuakdenizli/status/1604474997673807874", "1604474997673807874")</f>
        <v>1604474997673807874</v>
      </c>
      <c r="B116" t="s">
        <v>15</v>
      </c>
      <c r="C116" s="2">
        <v>44913.578969907408</v>
      </c>
      <c r="D116">
        <v>0</v>
      </c>
      <c r="E116">
        <v>3</v>
      </c>
      <c r="F116" t="s">
        <v>20</v>
      </c>
      <c r="G116" t="s">
        <v>163</v>
      </c>
      <c r="H116" t="str">
        <f>HYPERLINK("http://pbs.twimg.com/media/FkP61RoWQAEtSmw.jpg", "http://pbs.twimg.com/media/FkP61RoWQAEtSmw.jpg")</f>
        <v>http://pbs.twimg.com/media/FkP61RoWQAEtSmw.jpg</v>
      </c>
      <c r="L116">
        <v>0</v>
      </c>
      <c r="M116">
        <v>0</v>
      </c>
      <c r="N116">
        <v>1</v>
      </c>
      <c r="O116">
        <v>0</v>
      </c>
    </row>
    <row r="117" spans="1:15" x14ac:dyDescent="0.2">
      <c r="A117" s="1" t="str">
        <f>HYPERLINK("http://www.twitter.com/banuakdenizli/status/1604474980900773893", "1604474980900773893")</f>
        <v>1604474980900773893</v>
      </c>
      <c r="B117" t="s">
        <v>15</v>
      </c>
      <c r="C117" s="2">
        <v>44913.578923611109</v>
      </c>
      <c r="D117">
        <v>0</v>
      </c>
      <c r="E117">
        <v>8</v>
      </c>
      <c r="F117" t="s">
        <v>17</v>
      </c>
      <c r="G117" t="s">
        <v>164</v>
      </c>
      <c r="H117" t="str">
        <f>HYPERLINK("http://pbs.twimg.com/media/FkP6Hx5WYAAnsII.jpg", "http://pbs.twimg.com/media/FkP6Hx5WYAAnsII.jpg")</f>
        <v>http://pbs.twimg.com/media/FkP6Hx5WYAAnsII.jpg</v>
      </c>
      <c r="L117">
        <v>0</v>
      </c>
      <c r="M117">
        <v>0</v>
      </c>
      <c r="N117">
        <v>1</v>
      </c>
      <c r="O117">
        <v>0</v>
      </c>
    </row>
    <row r="118" spans="1:15" x14ac:dyDescent="0.2">
      <c r="A118" s="1" t="str">
        <f>HYPERLINK("http://www.twitter.com/banuakdenizli/status/1604474958926778370", "1604474958926778370")</f>
        <v>1604474958926778370</v>
      </c>
      <c r="B118" t="s">
        <v>15</v>
      </c>
      <c r="C118" s="2">
        <v>44913.578865740739</v>
      </c>
      <c r="D118">
        <v>0</v>
      </c>
      <c r="E118">
        <v>5</v>
      </c>
      <c r="F118" t="s">
        <v>20</v>
      </c>
      <c r="G118" t="s">
        <v>165</v>
      </c>
      <c r="H118" t="str">
        <f>HYPERLINK("http://pbs.twimg.com/media/FkPimUrWYAI1mkv.jpg", "http://pbs.twimg.com/media/FkPimUrWYAI1mkv.jpg")</f>
        <v>http://pbs.twimg.com/media/FkPimUrWYAI1mkv.jpg</v>
      </c>
      <c r="L118">
        <v>0</v>
      </c>
      <c r="M118">
        <v>0</v>
      </c>
      <c r="N118">
        <v>1</v>
      </c>
      <c r="O118">
        <v>0</v>
      </c>
    </row>
    <row r="119" spans="1:15" x14ac:dyDescent="0.2">
      <c r="A119" s="1" t="str">
        <f>HYPERLINK("http://www.twitter.com/banuakdenizli/status/1604474940522119169", "1604474940522119169")</f>
        <v>1604474940522119169</v>
      </c>
      <c r="B119" t="s">
        <v>15</v>
      </c>
      <c r="C119" s="2">
        <v>44913.578819444447</v>
      </c>
      <c r="D119">
        <v>0</v>
      </c>
      <c r="E119">
        <v>10</v>
      </c>
      <c r="F119" t="s">
        <v>16</v>
      </c>
      <c r="G119" t="s">
        <v>166</v>
      </c>
      <c r="H119" t="str">
        <f>HYPERLINK("http://pbs.twimg.com/media/FkPhYsRXoAE0xCl.jpg", "http://pbs.twimg.com/media/FkPhYsRXoAE0xCl.jpg")</f>
        <v>http://pbs.twimg.com/media/FkPhYsRXoAE0xCl.jpg</v>
      </c>
      <c r="L119">
        <v>0</v>
      </c>
      <c r="M119">
        <v>0</v>
      </c>
      <c r="N119">
        <v>1</v>
      </c>
      <c r="O119">
        <v>0</v>
      </c>
    </row>
    <row r="120" spans="1:15" x14ac:dyDescent="0.2">
      <c r="A120" s="1" t="str">
        <f>HYPERLINK("http://www.twitter.com/banuakdenizli/status/1603807602865061919", "1603807602865061919")</f>
        <v>1603807602865061919</v>
      </c>
      <c r="B120" t="s">
        <v>15</v>
      </c>
      <c r="C120" s="2">
        <v>44911.737314814818</v>
      </c>
      <c r="D120">
        <v>0</v>
      </c>
      <c r="E120">
        <v>6</v>
      </c>
      <c r="F120" t="s">
        <v>17</v>
      </c>
      <c r="G120" t="s">
        <v>167</v>
      </c>
      <c r="H120" t="str">
        <f>HYPERLINK("http://pbs.twimg.com/media/FkBeqs0XkAE41ea.jpg", "http://pbs.twimg.com/media/FkBeqs0XkAE41ea.jpg")</f>
        <v>http://pbs.twimg.com/media/FkBeqs0XkAE41ea.jpg</v>
      </c>
      <c r="I120" t="str">
        <f>HYPERLINK("http://pbs.twimg.com/media/FkBer3yWQAAyzfi.jpg", "http://pbs.twimg.com/media/FkBer3yWQAAyzfi.jpg")</f>
        <v>http://pbs.twimg.com/media/FkBer3yWQAAyzfi.jpg</v>
      </c>
      <c r="L120">
        <v>0</v>
      </c>
      <c r="M120">
        <v>0</v>
      </c>
      <c r="N120">
        <v>1</v>
      </c>
      <c r="O120">
        <v>0</v>
      </c>
    </row>
    <row r="121" spans="1:15" x14ac:dyDescent="0.2">
      <c r="A121" s="1" t="str">
        <f>HYPERLINK("http://www.twitter.com/banuakdenizli/status/1603783566378287104", "1603783566378287104")</f>
        <v>1603783566378287104</v>
      </c>
      <c r="B121" t="s">
        <v>15</v>
      </c>
      <c r="C121" s="2">
        <v>44911.670983796299</v>
      </c>
      <c r="D121">
        <v>0</v>
      </c>
      <c r="E121">
        <v>13</v>
      </c>
      <c r="F121" t="s">
        <v>17</v>
      </c>
      <c r="G121" t="s">
        <v>168</v>
      </c>
      <c r="H121" t="str">
        <f>HYPERLINK("https://video.twimg.com/ext_tw_video/1603746649234358272/pu/vid/1280x720/9l1hHHgxfXC0E_y8.mp4?tag=12", "https://video.twimg.com/ext_tw_video/1603746649234358272/pu/vid/1280x720/9l1hHHgxfXC0E_y8.mp4?tag=12")</f>
        <v>https://video.twimg.com/ext_tw_video/1603746649234358272/pu/vid/1280x720/9l1hHHgxfXC0E_y8.mp4?tag=12</v>
      </c>
      <c r="L121">
        <v>0.70030000000000003</v>
      </c>
      <c r="M121">
        <v>0</v>
      </c>
      <c r="N121">
        <v>0.77500000000000002</v>
      </c>
      <c r="O121">
        <v>0.22500000000000001</v>
      </c>
    </row>
    <row r="122" spans="1:15" x14ac:dyDescent="0.2">
      <c r="A122" s="1" t="str">
        <f>HYPERLINK("http://www.twitter.com/banuakdenizli/status/1603380848182661126", "1603380848182661126")</f>
        <v>1603380848182661126</v>
      </c>
      <c r="B122" t="s">
        <v>15</v>
      </c>
      <c r="C122" s="2">
        <v>44910.559699074067</v>
      </c>
      <c r="D122">
        <v>0</v>
      </c>
      <c r="E122">
        <v>2</v>
      </c>
      <c r="F122" t="s">
        <v>29</v>
      </c>
      <c r="G122" t="s">
        <v>169</v>
      </c>
      <c r="H122" t="str">
        <f>HYPERLINK("http://pbs.twimg.com/media/FkAYHgsXoAIgPrw.jpg", "http://pbs.twimg.com/media/FkAYHgsXoAIgPrw.jpg")</f>
        <v>http://pbs.twimg.com/media/FkAYHgsXoAIgPrw.jpg</v>
      </c>
      <c r="L122">
        <v>0</v>
      </c>
      <c r="M122">
        <v>0</v>
      </c>
      <c r="N122">
        <v>1</v>
      </c>
      <c r="O122">
        <v>0</v>
      </c>
    </row>
    <row r="123" spans="1:15" x14ac:dyDescent="0.2">
      <c r="A123" s="1" t="str">
        <f>HYPERLINK("http://www.twitter.com/banuakdenizli/status/1603380775696896010", "1603380775696896010")</f>
        <v>1603380775696896010</v>
      </c>
      <c r="B123" t="s">
        <v>15</v>
      </c>
      <c r="C123" s="2">
        <v>44910.559490740743</v>
      </c>
      <c r="D123">
        <v>0</v>
      </c>
      <c r="E123">
        <v>80</v>
      </c>
      <c r="F123" t="s">
        <v>28</v>
      </c>
      <c r="G123" t="s">
        <v>170</v>
      </c>
      <c r="H123" t="str">
        <f>HYPERLINK("http://pbs.twimg.com/media/Fj9neMAXoAAidr6.jpg", "http://pbs.twimg.com/media/Fj9neMAXoAAidr6.jpg")</f>
        <v>http://pbs.twimg.com/media/Fj9neMAXoAAidr6.jpg</v>
      </c>
      <c r="I123" t="str">
        <f>HYPERLINK("http://pbs.twimg.com/media/Fj9neMHWAAAs88y.jpg", "http://pbs.twimg.com/media/Fj9neMHWAAAs88y.jpg")</f>
        <v>http://pbs.twimg.com/media/Fj9neMHWAAAs88y.jpg</v>
      </c>
      <c r="L123">
        <v>0</v>
      </c>
      <c r="M123">
        <v>0</v>
      </c>
      <c r="N123">
        <v>1</v>
      </c>
      <c r="O123">
        <v>0</v>
      </c>
    </row>
    <row r="124" spans="1:15" x14ac:dyDescent="0.2">
      <c r="A124" s="1" t="str">
        <f>HYPERLINK("http://www.twitter.com/banuakdenizli/status/1603380540912156672", "1603380540912156672")</f>
        <v>1603380540912156672</v>
      </c>
      <c r="B124" t="s">
        <v>15</v>
      </c>
      <c r="C124" s="2">
        <v>44910.558842592603</v>
      </c>
      <c r="D124">
        <v>0</v>
      </c>
      <c r="E124">
        <v>6</v>
      </c>
      <c r="F124" t="s">
        <v>17</v>
      </c>
      <c r="G124" t="s">
        <v>171</v>
      </c>
      <c r="H124" t="str">
        <f>HYPERLINK("http://pbs.twimg.com/media/FkAopZAXwAAtop3.jpg", "http://pbs.twimg.com/media/FkAopZAXwAAtop3.jpg")</f>
        <v>http://pbs.twimg.com/media/FkAopZAXwAAtop3.jpg</v>
      </c>
      <c r="L124">
        <v>0.77829999999999999</v>
      </c>
      <c r="M124">
        <v>8.4000000000000005E-2</v>
      </c>
      <c r="N124">
        <v>0.58099999999999996</v>
      </c>
      <c r="O124">
        <v>0.33500000000000002</v>
      </c>
    </row>
    <row r="125" spans="1:15" x14ac:dyDescent="0.2">
      <c r="A125" s="1" t="str">
        <f>HYPERLINK("http://www.twitter.com/banuakdenizli/status/1603380529302310913", "1603380529302310913")</f>
        <v>1603380529302310913</v>
      </c>
      <c r="B125" t="s">
        <v>15</v>
      </c>
      <c r="C125" s="2">
        <v>44910.558819444443</v>
      </c>
      <c r="D125">
        <v>0</v>
      </c>
      <c r="E125">
        <v>4</v>
      </c>
      <c r="F125" t="s">
        <v>16</v>
      </c>
      <c r="G125" t="s">
        <v>172</v>
      </c>
      <c r="H125" t="str">
        <f>HYPERLINK("http://pbs.twimg.com/media/FkAGdmxX0AEis-9.jpg", "http://pbs.twimg.com/media/FkAGdmxX0AEis-9.jpg")</f>
        <v>http://pbs.twimg.com/media/FkAGdmxX0AEis-9.jpg</v>
      </c>
      <c r="L125">
        <v>0</v>
      </c>
      <c r="M125">
        <v>0</v>
      </c>
      <c r="N125">
        <v>1</v>
      </c>
      <c r="O125">
        <v>0</v>
      </c>
    </row>
    <row r="126" spans="1:15" x14ac:dyDescent="0.2">
      <c r="A126" s="1" t="str">
        <f>HYPERLINK("http://www.twitter.com/banuakdenizli/status/1603380489326395392", "1603380489326395392")</f>
        <v>1603380489326395392</v>
      </c>
      <c r="B126" t="s">
        <v>15</v>
      </c>
      <c r="C126" s="2">
        <v>44910.558703703697</v>
      </c>
      <c r="D126">
        <v>0</v>
      </c>
      <c r="E126">
        <v>4</v>
      </c>
      <c r="F126" t="s">
        <v>19</v>
      </c>
      <c r="G126" t="s">
        <v>173</v>
      </c>
      <c r="H126" t="str">
        <f>HYPERLINK("http://pbs.twimg.com/media/Fj-tjhkWQAY8ecV.jpg", "http://pbs.twimg.com/media/Fj-tjhkWQAY8ecV.jpg")</f>
        <v>http://pbs.twimg.com/media/Fj-tjhkWQAY8ecV.jpg</v>
      </c>
      <c r="L126">
        <v>0.80200000000000005</v>
      </c>
      <c r="M126">
        <v>0</v>
      </c>
      <c r="N126">
        <v>0.82299999999999995</v>
      </c>
      <c r="O126">
        <v>0.17699999999999999</v>
      </c>
    </row>
    <row r="127" spans="1:15" x14ac:dyDescent="0.2">
      <c r="A127" s="1" t="str">
        <f>HYPERLINK("http://www.twitter.com/banuakdenizli/status/1603380475879428097", "1603380475879428097")</f>
        <v>1603380475879428097</v>
      </c>
      <c r="B127" t="s">
        <v>15</v>
      </c>
      <c r="C127" s="2">
        <v>44910.558668981481</v>
      </c>
      <c r="D127">
        <v>0</v>
      </c>
      <c r="E127">
        <v>8</v>
      </c>
      <c r="F127" t="s">
        <v>16</v>
      </c>
      <c r="G127" t="s">
        <v>174</v>
      </c>
      <c r="H127" t="str">
        <f>HYPERLINK("https://video.twimg.com/ext_tw_video/1603379069185318914/pu/vid/1280x720/Av4IjstliXmJGE9m.mp4?tag=12", "https://video.twimg.com/ext_tw_video/1603379069185318914/pu/vid/1280x720/Av4IjstliXmJGE9m.mp4?tag=12")</f>
        <v>https://video.twimg.com/ext_tw_video/1603379069185318914/pu/vid/1280x720/Av4IjstliXmJGE9m.mp4?tag=12</v>
      </c>
      <c r="L127">
        <v>0</v>
      </c>
      <c r="M127">
        <v>0</v>
      </c>
      <c r="N127">
        <v>1</v>
      </c>
      <c r="O127">
        <v>0</v>
      </c>
    </row>
    <row r="128" spans="1:15" x14ac:dyDescent="0.2">
      <c r="A128" s="1" t="str">
        <f>HYPERLINK("http://www.twitter.com/banuakdenizli/status/1603380464554844161", "1603380464554844161")</f>
        <v>1603380464554844161</v>
      </c>
      <c r="B128" t="s">
        <v>15</v>
      </c>
      <c r="C128" s="2">
        <v>44910.558634259258</v>
      </c>
      <c r="D128">
        <v>0</v>
      </c>
      <c r="E128">
        <v>7</v>
      </c>
      <c r="F128" t="s">
        <v>16</v>
      </c>
      <c r="G128" t="s">
        <v>175</v>
      </c>
      <c r="H128" t="str">
        <f>HYPERLINK("http://pbs.twimg.com/media/FkAPrcQWIAE07Aq.jpg", "http://pbs.twimg.com/media/FkAPrcQWIAE07Aq.jpg")</f>
        <v>http://pbs.twimg.com/media/FkAPrcQWIAE07Aq.jpg</v>
      </c>
      <c r="L128">
        <v>0</v>
      </c>
      <c r="M128">
        <v>0</v>
      </c>
      <c r="N128">
        <v>1</v>
      </c>
      <c r="O128">
        <v>0</v>
      </c>
    </row>
    <row r="129" spans="1:15" x14ac:dyDescent="0.2">
      <c r="A129" s="1" t="str">
        <f>HYPERLINK("http://www.twitter.com/banuakdenizli/status/1603380438617280512", "1603380438617280512")</f>
        <v>1603380438617280512</v>
      </c>
      <c r="B129" t="s">
        <v>15</v>
      </c>
      <c r="C129" s="2">
        <v>44910.558564814812</v>
      </c>
      <c r="D129">
        <v>0</v>
      </c>
      <c r="E129">
        <v>7</v>
      </c>
      <c r="F129" t="s">
        <v>22</v>
      </c>
      <c r="G129" t="s">
        <v>176</v>
      </c>
      <c r="H129" t="str">
        <f>HYPERLINK("http://pbs.twimg.com/media/FkAehbcWQAIeDoF.jpg", "http://pbs.twimg.com/media/FkAehbcWQAIeDoF.jpg")</f>
        <v>http://pbs.twimg.com/media/FkAehbcWQAIeDoF.jpg</v>
      </c>
      <c r="L129">
        <v>0</v>
      </c>
      <c r="M129">
        <v>0</v>
      </c>
      <c r="N129">
        <v>1</v>
      </c>
      <c r="O129">
        <v>0</v>
      </c>
    </row>
    <row r="130" spans="1:15" x14ac:dyDescent="0.2">
      <c r="A130" s="1" t="str">
        <f>HYPERLINK("http://www.twitter.com/banuakdenizli/status/1603380384745619457", "1603380384745619457")</f>
        <v>1603380384745619457</v>
      </c>
      <c r="B130" t="s">
        <v>15</v>
      </c>
      <c r="C130" s="2">
        <v>44910.55841435185</v>
      </c>
      <c r="D130">
        <v>0</v>
      </c>
      <c r="E130">
        <v>9</v>
      </c>
      <c r="F130" t="s">
        <v>17</v>
      </c>
      <c r="G130" t="s">
        <v>177</v>
      </c>
      <c r="H130" t="str">
        <f>HYPERLINK("http://pbs.twimg.com/media/FkApRHIXkAADmCC.jpg", "http://pbs.twimg.com/media/FkApRHIXkAADmCC.jpg")</f>
        <v>http://pbs.twimg.com/media/FkApRHIXkAADmCC.jpg</v>
      </c>
      <c r="L130">
        <v>0</v>
      </c>
      <c r="M130">
        <v>0</v>
      </c>
      <c r="N130">
        <v>1</v>
      </c>
      <c r="O130">
        <v>0</v>
      </c>
    </row>
    <row r="131" spans="1:15" x14ac:dyDescent="0.2">
      <c r="A131" s="1" t="str">
        <f>HYPERLINK("http://www.twitter.com/banuakdenizli/status/1603380365082726404", "1603380365082726404")</f>
        <v>1603380365082726404</v>
      </c>
      <c r="B131" t="s">
        <v>15</v>
      </c>
      <c r="C131" s="2">
        <v>44910.558368055557</v>
      </c>
      <c r="D131">
        <v>0</v>
      </c>
      <c r="E131">
        <v>1</v>
      </c>
      <c r="F131" t="s">
        <v>20</v>
      </c>
      <c r="G131" t="s">
        <v>178</v>
      </c>
      <c r="H131" t="str">
        <f>HYPERLINK("http://pbs.twimg.com/media/FkBOq_sWYAE5mGn.jpg", "http://pbs.twimg.com/media/FkBOq_sWYAE5mGn.jpg")</f>
        <v>http://pbs.twimg.com/media/FkBOq_sWYAE5mGn.jpg</v>
      </c>
      <c r="L131">
        <v>0</v>
      </c>
      <c r="M131">
        <v>0</v>
      </c>
      <c r="N131">
        <v>1</v>
      </c>
      <c r="O131">
        <v>0</v>
      </c>
    </row>
    <row r="132" spans="1:15" x14ac:dyDescent="0.2">
      <c r="A132" s="1" t="str">
        <f>HYPERLINK("http://www.twitter.com/banuakdenizli/status/1603380273823027202", "1603380273823027202")</f>
        <v>1603380273823027202</v>
      </c>
      <c r="B132" t="s">
        <v>15</v>
      </c>
      <c r="C132" s="2">
        <v>44910.558113425926</v>
      </c>
      <c r="D132">
        <v>0</v>
      </c>
      <c r="E132">
        <v>9</v>
      </c>
      <c r="F132" t="s">
        <v>16</v>
      </c>
      <c r="G132" t="s">
        <v>179</v>
      </c>
      <c r="H132" t="str">
        <f>HYPERLINK("http://pbs.twimg.com/media/FkBNXU5WIAMcW6T.jpg", "http://pbs.twimg.com/media/FkBNXU5WIAMcW6T.jpg")</f>
        <v>http://pbs.twimg.com/media/FkBNXU5WIAMcW6T.jpg</v>
      </c>
      <c r="I132" t="str">
        <f>HYPERLINK("http://pbs.twimg.com/media/FkBNYjfWQAgBiIz.jpg", "http://pbs.twimg.com/media/FkBNYjfWQAgBiIz.jpg")</f>
        <v>http://pbs.twimg.com/media/FkBNYjfWQAgBiIz.jpg</v>
      </c>
      <c r="L132">
        <v>0</v>
      </c>
      <c r="M132">
        <v>0</v>
      </c>
      <c r="N132">
        <v>1</v>
      </c>
      <c r="O132">
        <v>0</v>
      </c>
    </row>
    <row r="133" spans="1:15" x14ac:dyDescent="0.2">
      <c r="A133" s="1" t="str">
        <f>HYPERLINK("http://www.twitter.com/banuakdenizli/status/1603066990800805894", "1603066990800805894")</f>
        <v>1603066990800805894</v>
      </c>
      <c r="B133" t="s">
        <v>15</v>
      </c>
      <c r="C133" s="2">
        <v>44909.693611111114</v>
      </c>
      <c r="D133">
        <v>0</v>
      </c>
      <c r="E133">
        <v>3</v>
      </c>
      <c r="F133" t="s">
        <v>20</v>
      </c>
      <c r="G133" t="s">
        <v>180</v>
      </c>
      <c r="H133" t="str">
        <f>HYPERLINK("http://pbs.twimg.com/media/Fj8kwa7XoAQVTFt.jpg", "http://pbs.twimg.com/media/Fj8kwa7XoAQVTFt.jpg")</f>
        <v>http://pbs.twimg.com/media/Fj8kwa7XoAQVTFt.jpg</v>
      </c>
      <c r="L133">
        <v>0</v>
      </c>
      <c r="M133">
        <v>0</v>
      </c>
      <c r="N133">
        <v>1</v>
      </c>
      <c r="O133">
        <v>0</v>
      </c>
    </row>
    <row r="134" spans="1:15" x14ac:dyDescent="0.2">
      <c r="A134" s="1" t="str">
        <f>HYPERLINK("http://www.twitter.com/banuakdenizli/status/1603027748452433920", "1603027748452433920")</f>
        <v>1603027748452433920</v>
      </c>
      <c r="B134" t="s">
        <v>15</v>
      </c>
      <c r="C134" s="2">
        <v>44909.585324074083</v>
      </c>
      <c r="D134">
        <v>0</v>
      </c>
      <c r="E134">
        <v>2</v>
      </c>
      <c r="F134" t="s">
        <v>29</v>
      </c>
      <c r="G134" t="s">
        <v>181</v>
      </c>
      <c r="H134" t="str">
        <f>HYPERLINK("http://pbs.twimg.com/media/Fj4YpCLXwAIHZfk.jpg", "http://pbs.twimg.com/media/Fj4YpCLXwAIHZfk.jpg")</f>
        <v>http://pbs.twimg.com/media/Fj4YpCLXwAIHZfk.jpg</v>
      </c>
      <c r="I134" t="str">
        <f>HYPERLINK("http://pbs.twimg.com/media/Fj4YpCSXoAcxcAd.jpg", "http://pbs.twimg.com/media/Fj4YpCSXoAcxcAd.jpg")</f>
        <v>http://pbs.twimg.com/media/Fj4YpCSXoAcxcAd.jpg</v>
      </c>
      <c r="L134">
        <v>0</v>
      </c>
      <c r="M134">
        <v>0</v>
      </c>
      <c r="N134">
        <v>1</v>
      </c>
      <c r="O134">
        <v>0</v>
      </c>
    </row>
    <row r="135" spans="1:15" x14ac:dyDescent="0.2">
      <c r="A135" s="1" t="str">
        <f>HYPERLINK("http://www.twitter.com/banuakdenizli/status/1603027721306660868", "1603027721306660868")</f>
        <v>1603027721306660868</v>
      </c>
      <c r="B135" t="s">
        <v>15</v>
      </c>
      <c r="C135" s="2">
        <v>44909.58525462963</v>
      </c>
      <c r="D135">
        <v>0</v>
      </c>
      <c r="E135">
        <v>4</v>
      </c>
      <c r="F135" t="s">
        <v>38</v>
      </c>
      <c r="G135" t="s">
        <v>182</v>
      </c>
      <c r="H135" t="str">
        <f>HYPERLINK("http://pbs.twimg.com/media/Fj4V9uOXwAYsfRn.jpg", "http://pbs.twimg.com/media/Fj4V9uOXwAYsfRn.jpg")</f>
        <v>http://pbs.twimg.com/media/Fj4V9uOXwAYsfRn.jpg</v>
      </c>
      <c r="I135" t="str">
        <f>HYPERLINK("http://pbs.twimg.com/media/Fj4V9vGWIAI6pZ6.jpg", "http://pbs.twimg.com/media/Fj4V9vGWIAI6pZ6.jpg")</f>
        <v>http://pbs.twimg.com/media/Fj4V9vGWIAI6pZ6.jpg</v>
      </c>
      <c r="L135">
        <v>0</v>
      </c>
      <c r="M135">
        <v>0</v>
      </c>
      <c r="N135">
        <v>1</v>
      </c>
      <c r="O135">
        <v>0</v>
      </c>
    </row>
    <row r="136" spans="1:15" x14ac:dyDescent="0.2">
      <c r="A136" s="1" t="str">
        <f>HYPERLINK("http://www.twitter.com/banuakdenizli/status/1603027672631840768", "1603027672631840768")</f>
        <v>1603027672631840768</v>
      </c>
      <c r="B136" t="s">
        <v>15</v>
      </c>
      <c r="C136" s="2">
        <v>44909.585115740738</v>
      </c>
      <c r="D136">
        <v>0</v>
      </c>
      <c r="E136">
        <v>23</v>
      </c>
      <c r="F136" t="s">
        <v>18</v>
      </c>
      <c r="G136" t="s">
        <v>183</v>
      </c>
      <c r="H136" t="str">
        <f>HYPERLINK("http://pbs.twimg.com/media/Fj8L9AkXoAArKSo.jpg", "http://pbs.twimg.com/media/Fj8L9AkXoAArKSo.jpg")</f>
        <v>http://pbs.twimg.com/media/Fj8L9AkXoAArKSo.jpg</v>
      </c>
      <c r="L136">
        <v>0.51060000000000005</v>
      </c>
      <c r="M136">
        <v>0</v>
      </c>
      <c r="N136">
        <v>0.89800000000000002</v>
      </c>
      <c r="O136">
        <v>0.10199999999999999</v>
      </c>
    </row>
    <row r="137" spans="1:15" x14ac:dyDescent="0.2">
      <c r="A137" s="1" t="str">
        <f>HYPERLINK("http://www.twitter.com/banuakdenizli/status/1603027516792381444", "1603027516792381444")</f>
        <v>1603027516792381444</v>
      </c>
      <c r="B137" t="s">
        <v>15</v>
      </c>
      <c r="C137" s="2">
        <v>44909.584687499999</v>
      </c>
      <c r="D137">
        <v>0</v>
      </c>
      <c r="E137">
        <v>27</v>
      </c>
      <c r="F137" t="s">
        <v>18</v>
      </c>
      <c r="G137" t="s">
        <v>184</v>
      </c>
      <c r="H137" t="str">
        <f>HYPERLINK("http://pbs.twimg.com/media/Fj8HOAJXEAIsncs.jpg", "http://pbs.twimg.com/media/Fj8HOAJXEAIsncs.jpg")</f>
        <v>http://pbs.twimg.com/media/Fj8HOAJXEAIsncs.jpg</v>
      </c>
      <c r="L137">
        <v>0</v>
      </c>
      <c r="M137">
        <v>0</v>
      </c>
      <c r="N137">
        <v>1</v>
      </c>
      <c r="O137">
        <v>0</v>
      </c>
    </row>
    <row r="138" spans="1:15" x14ac:dyDescent="0.2">
      <c r="A138" s="1" t="str">
        <f>HYPERLINK("http://www.twitter.com/banuakdenizli/status/1603027401847754753", "1603027401847754753")</f>
        <v>1603027401847754753</v>
      </c>
      <c r="B138" t="s">
        <v>15</v>
      </c>
      <c r="C138" s="2">
        <v>44909.584374999999</v>
      </c>
      <c r="D138">
        <v>0</v>
      </c>
      <c r="E138">
        <v>10</v>
      </c>
      <c r="F138" t="s">
        <v>16</v>
      </c>
      <c r="G138" t="s">
        <v>185</v>
      </c>
      <c r="H138" t="str">
        <f>HYPERLINK("https://video.twimg.com/ext_tw_video/1603014956978524162/pu/vid/1280x720/XbSRYsvnJ_fSo-b2.mp4?tag=12", "https://video.twimg.com/ext_tw_video/1603014956978524162/pu/vid/1280x720/XbSRYsvnJ_fSo-b2.mp4?tag=12")</f>
        <v>https://video.twimg.com/ext_tw_video/1603014956978524162/pu/vid/1280x720/XbSRYsvnJ_fSo-b2.mp4?tag=12</v>
      </c>
      <c r="L138">
        <v>0</v>
      </c>
      <c r="M138">
        <v>0</v>
      </c>
      <c r="N138">
        <v>1</v>
      </c>
      <c r="O138">
        <v>0</v>
      </c>
    </row>
    <row r="139" spans="1:15" x14ac:dyDescent="0.2">
      <c r="A139" s="1" t="str">
        <f>HYPERLINK("http://www.twitter.com/banuakdenizli/status/1603027388706725892", "1603027388706725892")</f>
        <v>1603027388706725892</v>
      </c>
      <c r="B139" t="s">
        <v>15</v>
      </c>
      <c r="C139" s="2">
        <v>44909.584328703713</v>
      </c>
      <c r="D139">
        <v>0</v>
      </c>
      <c r="E139">
        <v>9</v>
      </c>
      <c r="F139" t="s">
        <v>16</v>
      </c>
      <c r="G139" t="s">
        <v>186</v>
      </c>
      <c r="H139" t="str">
        <f>HYPERLINK("https://video.twimg.com/ext_tw_video/1603015252840439808/pu/vid/1280x720/fkEF7vd83r1gqWln.mp4?tag=12", "https://video.twimg.com/ext_tw_video/1603015252840439808/pu/vid/1280x720/fkEF7vd83r1gqWln.mp4?tag=12")</f>
        <v>https://video.twimg.com/ext_tw_video/1603015252840439808/pu/vid/1280x720/fkEF7vd83r1gqWln.mp4?tag=12</v>
      </c>
      <c r="L139">
        <v>0</v>
      </c>
      <c r="M139">
        <v>0</v>
      </c>
      <c r="N139">
        <v>1</v>
      </c>
      <c r="O139">
        <v>0</v>
      </c>
    </row>
    <row r="140" spans="1:15" x14ac:dyDescent="0.2">
      <c r="A140" s="1" t="str">
        <f>HYPERLINK("http://www.twitter.com/banuakdenizli/status/1603027374160941061", "1603027374160941061")</f>
        <v>1603027374160941061</v>
      </c>
      <c r="B140" t="s">
        <v>15</v>
      </c>
      <c r="C140" s="2">
        <v>44909.584293981483</v>
      </c>
      <c r="D140">
        <v>0</v>
      </c>
      <c r="E140">
        <v>6</v>
      </c>
      <c r="F140" t="s">
        <v>17</v>
      </c>
      <c r="G140" t="s">
        <v>187</v>
      </c>
      <c r="H140" t="str">
        <f>HYPERLINK("http://pbs.twimg.com/media/Fj8WFHWXwAEAVk7.jpg", "http://pbs.twimg.com/media/Fj8WFHWXwAEAVk7.jpg")</f>
        <v>http://pbs.twimg.com/media/Fj8WFHWXwAEAVk7.jpg</v>
      </c>
      <c r="L140">
        <v>0</v>
      </c>
      <c r="M140">
        <v>0</v>
      </c>
      <c r="N140">
        <v>1</v>
      </c>
      <c r="O140">
        <v>0</v>
      </c>
    </row>
    <row r="141" spans="1:15" x14ac:dyDescent="0.2">
      <c r="A141" s="1" t="str">
        <f>HYPERLINK("http://www.twitter.com/banuakdenizli/status/1603027359396990977", "1603027359396990977")</f>
        <v>1603027359396990977</v>
      </c>
      <c r="B141" t="s">
        <v>15</v>
      </c>
      <c r="C141" s="2">
        <v>44909.584247685183</v>
      </c>
      <c r="D141">
        <v>0</v>
      </c>
      <c r="E141">
        <v>9</v>
      </c>
      <c r="F141" t="s">
        <v>16</v>
      </c>
      <c r="G141" t="s">
        <v>188</v>
      </c>
      <c r="H141" t="str">
        <f>HYPERLINK("http://pbs.twimg.com/media/Fj8F419WIAAibUG.jpg", "http://pbs.twimg.com/media/Fj8F419WIAAibUG.jpg")</f>
        <v>http://pbs.twimg.com/media/Fj8F419WIAAibUG.jpg</v>
      </c>
      <c r="L141">
        <v>0</v>
      </c>
      <c r="M141">
        <v>0</v>
      </c>
      <c r="N141">
        <v>1</v>
      </c>
      <c r="O141">
        <v>0</v>
      </c>
    </row>
    <row r="142" spans="1:15" x14ac:dyDescent="0.2">
      <c r="A142" s="1" t="str">
        <f>HYPERLINK("http://www.twitter.com/banuakdenizli/status/1603027349045379076", "1603027349045379076")</f>
        <v>1603027349045379076</v>
      </c>
      <c r="B142" t="s">
        <v>15</v>
      </c>
      <c r="C142" s="2">
        <v>44909.584224537037</v>
      </c>
      <c r="D142">
        <v>0</v>
      </c>
      <c r="E142">
        <v>9</v>
      </c>
      <c r="F142" t="s">
        <v>17</v>
      </c>
      <c r="G142" t="s">
        <v>189</v>
      </c>
      <c r="H142" t="str">
        <f>HYPERLINK("http://pbs.twimg.com/media/Fj8VUnHXkAEx9QS.jpg", "http://pbs.twimg.com/media/Fj8VUnHXkAEx9QS.jpg")</f>
        <v>http://pbs.twimg.com/media/Fj8VUnHXkAEx9QS.jpg</v>
      </c>
      <c r="L142">
        <v>0</v>
      </c>
      <c r="M142">
        <v>0</v>
      </c>
      <c r="N142">
        <v>1</v>
      </c>
      <c r="O142">
        <v>0</v>
      </c>
    </row>
    <row r="143" spans="1:15" x14ac:dyDescent="0.2">
      <c r="A143" s="1" t="str">
        <f>HYPERLINK("http://www.twitter.com/banuakdenizli/status/1603027326190624771", "1603027326190624771")</f>
        <v>1603027326190624771</v>
      </c>
      <c r="B143" t="s">
        <v>15</v>
      </c>
      <c r="C143" s="2">
        <v>44909.584166666667</v>
      </c>
      <c r="D143">
        <v>0</v>
      </c>
      <c r="E143">
        <v>19</v>
      </c>
      <c r="F143" t="s">
        <v>18</v>
      </c>
      <c r="G143" t="s">
        <v>190</v>
      </c>
      <c r="H143" t="str">
        <f>HYPERLINK("http://pbs.twimg.com/media/Fj8VUJ4X0AMRsFt.jpg", "http://pbs.twimg.com/media/Fj8VUJ4X0AMRsFt.jpg")</f>
        <v>http://pbs.twimg.com/media/Fj8VUJ4X0AMRsFt.jpg</v>
      </c>
      <c r="L143">
        <v>0.87790000000000001</v>
      </c>
      <c r="M143">
        <v>0</v>
      </c>
      <c r="N143">
        <v>0.77800000000000002</v>
      </c>
      <c r="O143">
        <v>0.222</v>
      </c>
    </row>
    <row r="144" spans="1:15" x14ac:dyDescent="0.2">
      <c r="A144" s="1" t="str">
        <f>HYPERLINK("http://www.twitter.com/banuakdenizli/status/1603027306678784002", "1603027306678784002")</f>
        <v>1603027306678784002</v>
      </c>
      <c r="B144" t="s">
        <v>15</v>
      </c>
      <c r="C144" s="2">
        <v>44909.584108796298</v>
      </c>
      <c r="D144">
        <v>0</v>
      </c>
      <c r="E144">
        <v>7</v>
      </c>
      <c r="F144" t="s">
        <v>16</v>
      </c>
      <c r="G144" t="s">
        <v>191</v>
      </c>
      <c r="H144" t="str">
        <f>HYPERLINK("http://pbs.twimg.com/media/Fj7yscwXwAIS9hB.jpg", "http://pbs.twimg.com/media/Fj7yscwXwAIS9hB.jpg")</f>
        <v>http://pbs.twimg.com/media/Fj7yscwXwAIS9hB.jpg</v>
      </c>
      <c r="L144">
        <v>0</v>
      </c>
      <c r="M144">
        <v>0</v>
      </c>
      <c r="N144">
        <v>1</v>
      </c>
      <c r="O144">
        <v>0</v>
      </c>
    </row>
    <row r="145" spans="1:15" x14ac:dyDescent="0.2">
      <c r="A145" s="1" t="str">
        <f>HYPERLINK("http://www.twitter.com/banuakdenizli/status/1603027296104890371", "1603027296104890371")</f>
        <v>1603027296104890371</v>
      </c>
      <c r="B145" t="s">
        <v>15</v>
      </c>
      <c r="C145" s="2">
        <v>44909.584074074082</v>
      </c>
      <c r="D145">
        <v>0</v>
      </c>
      <c r="E145">
        <v>4</v>
      </c>
      <c r="F145" t="s">
        <v>17</v>
      </c>
      <c r="G145" t="s">
        <v>192</v>
      </c>
      <c r="H145" t="str">
        <f>HYPERLINK("http://pbs.twimg.com/media/Fj8TxMcXoAErPWv.jpg", "http://pbs.twimg.com/media/Fj8TxMcXoAErPWv.jpg")</f>
        <v>http://pbs.twimg.com/media/Fj8TxMcXoAErPWv.jpg</v>
      </c>
      <c r="L145">
        <v>0</v>
      </c>
      <c r="M145">
        <v>0</v>
      </c>
      <c r="N145">
        <v>1</v>
      </c>
      <c r="O145">
        <v>0</v>
      </c>
    </row>
    <row r="146" spans="1:15" x14ac:dyDescent="0.2">
      <c r="A146" s="1" t="str">
        <f>HYPERLINK("http://www.twitter.com/banuakdenizli/status/1603027271568310274", "1603027271568310274")</f>
        <v>1603027271568310274</v>
      </c>
      <c r="B146" t="s">
        <v>15</v>
      </c>
      <c r="C146" s="2">
        <v>44909.584016203713</v>
      </c>
      <c r="D146">
        <v>0</v>
      </c>
      <c r="E146">
        <v>3</v>
      </c>
      <c r="F146" t="s">
        <v>20</v>
      </c>
      <c r="G146" t="s">
        <v>193</v>
      </c>
      <c r="H146" t="str">
        <f>HYPERLINK("http://pbs.twimg.com/media/Fj8OsW0X0AAqBGV.jpg", "http://pbs.twimg.com/media/Fj8OsW0X0AAqBGV.jpg")</f>
        <v>http://pbs.twimg.com/media/Fj8OsW0X0AAqBGV.jpg</v>
      </c>
      <c r="L146">
        <v>0</v>
      </c>
      <c r="M146">
        <v>0</v>
      </c>
      <c r="N146">
        <v>1</v>
      </c>
      <c r="O146">
        <v>0</v>
      </c>
    </row>
    <row r="147" spans="1:15" x14ac:dyDescent="0.2">
      <c r="A147" s="1" t="str">
        <f>HYPERLINK("http://www.twitter.com/banuakdenizli/status/1603027237082697733", "1603027237082697733")</f>
        <v>1603027237082697733</v>
      </c>
      <c r="B147" t="s">
        <v>15</v>
      </c>
      <c r="C147" s="2">
        <v>44909.583912037036</v>
      </c>
      <c r="D147">
        <v>0</v>
      </c>
      <c r="E147">
        <v>25</v>
      </c>
      <c r="F147" t="s">
        <v>18</v>
      </c>
      <c r="G147" t="s">
        <v>194</v>
      </c>
      <c r="H147" t="str">
        <f>HYPERLINK("http://pbs.twimg.com/media/Fj8QpRjXoAAtkb5.jpg", "http://pbs.twimg.com/media/Fj8QpRjXoAAtkb5.jpg")</f>
        <v>http://pbs.twimg.com/media/Fj8QpRjXoAAtkb5.jpg</v>
      </c>
      <c r="L147">
        <v>0</v>
      </c>
      <c r="M147">
        <v>0</v>
      </c>
      <c r="N147">
        <v>1</v>
      </c>
      <c r="O147">
        <v>0</v>
      </c>
    </row>
    <row r="148" spans="1:15" x14ac:dyDescent="0.2">
      <c r="A148" s="1" t="str">
        <f>HYPERLINK("http://www.twitter.com/banuakdenizli/status/1603027213145804800", "1603027213145804800")</f>
        <v>1603027213145804800</v>
      </c>
      <c r="B148" t="s">
        <v>15</v>
      </c>
      <c r="C148" s="2">
        <v>44909.583854166667</v>
      </c>
      <c r="D148">
        <v>0</v>
      </c>
      <c r="E148">
        <v>6</v>
      </c>
      <c r="F148" t="s">
        <v>16</v>
      </c>
      <c r="G148" t="s">
        <v>195</v>
      </c>
      <c r="H148" t="str">
        <f>HYPERLINK("http://pbs.twimg.com/media/Fj8K3ooXoAM5l9x.jpg", "http://pbs.twimg.com/media/Fj8K3ooXoAM5l9x.jpg")</f>
        <v>http://pbs.twimg.com/media/Fj8K3ooXoAM5l9x.jpg</v>
      </c>
      <c r="L148">
        <v>0</v>
      </c>
      <c r="M148">
        <v>0</v>
      </c>
      <c r="N148">
        <v>1</v>
      </c>
      <c r="O148">
        <v>0</v>
      </c>
    </row>
    <row r="149" spans="1:15" x14ac:dyDescent="0.2">
      <c r="A149" s="1" t="str">
        <f>HYPERLINK("http://www.twitter.com/banuakdenizli/status/1602709081269190657", "1602709081269190657")</f>
        <v>1602709081269190657</v>
      </c>
      <c r="B149" t="s">
        <v>15</v>
      </c>
      <c r="C149" s="2">
        <v>44908.705972222233</v>
      </c>
      <c r="D149">
        <v>0</v>
      </c>
      <c r="E149">
        <v>3</v>
      </c>
      <c r="F149" t="s">
        <v>20</v>
      </c>
      <c r="G149" t="s">
        <v>196</v>
      </c>
      <c r="H149" t="str">
        <f>HYPERLINK("http://pbs.twimg.com/media/Fj3oZ9FXwAESxhu.jpg", "http://pbs.twimg.com/media/Fj3oZ9FXwAESxhu.jpg")</f>
        <v>http://pbs.twimg.com/media/Fj3oZ9FXwAESxhu.jpg</v>
      </c>
      <c r="L149">
        <v>0</v>
      </c>
      <c r="M149">
        <v>0</v>
      </c>
      <c r="N149">
        <v>1</v>
      </c>
      <c r="O149">
        <v>0</v>
      </c>
    </row>
    <row r="150" spans="1:15" x14ac:dyDescent="0.2">
      <c r="A150" s="1" t="str">
        <f>HYPERLINK("http://www.twitter.com/banuakdenizli/status/1602708777475661826", "1602708777475661826")</f>
        <v>1602708777475661826</v>
      </c>
      <c r="B150" t="s">
        <v>15</v>
      </c>
      <c r="C150" s="2">
        <v>44908.705138888887</v>
      </c>
      <c r="D150">
        <v>0</v>
      </c>
      <c r="E150">
        <v>4</v>
      </c>
      <c r="F150" t="s">
        <v>17</v>
      </c>
      <c r="G150" t="s">
        <v>197</v>
      </c>
      <c r="H150" t="str">
        <f>HYPERLINK("http://pbs.twimg.com/media/Fj30nCOWAAE6V8M.jpg", "http://pbs.twimg.com/media/Fj30nCOWAAE6V8M.jpg")</f>
        <v>http://pbs.twimg.com/media/Fj30nCOWAAE6V8M.jpg</v>
      </c>
      <c r="L150">
        <v>0.29599999999999999</v>
      </c>
      <c r="M150">
        <v>0</v>
      </c>
      <c r="N150">
        <v>0.83299999999999996</v>
      </c>
      <c r="O150">
        <v>0.16700000000000001</v>
      </c>
    </row>
    <row r="151" spans="1:15" x14ac:dyDescent="0.2">
      <c r="A151" s="1" t="str">
        <f>HYPERLINK("http://www.twitter.com/banuakdenizli/status/1602687193587351555", "1602687193587351555")</f>
        <v>1602687193587351555</v>
      </c>
      <c r="B151" t="s">
        <v>15</v>
      </c>
      <c r="C151" s="2">
        <v>44908.645578703698</v>
      </c>
      <c r="D151">
        <v>0</v>
      </c>
      <c r="E151">
        <v>8</v>
      </c>
      <c r="F151" t="s">
        <v>16</v>
      </c>
      <c r="G151" t="s">
        <v>198</v>
      </c>
      <c r="H151" t="str">
        <f>HYPERLINK("https://video.twimg.com/ext_tw_video/1602686841181929476/pu/vid/1280x720/UQgRKH4QHWSIGNpF.mp4?tag=12", "https://video.twimg.com/ext_tw_video/1602686841181929476/pu/vid/1280x720/UQgRKH4QHWSIGNpF.mp4?tag=12")</f>
        <v>https://video.twimg.com/ext_tw_video/1602686841181929476/pu/vid/1280x720/UQgRKH4QHWSIGNpF.mp4?tag=12</v>
      </c>
      <c r="L151">
        <v>0</v>
      </c>
      <c r="M151">
        <v>0</v>
      </c>
      <c r="N151">
        <v>1</v>
      </c>
      <c r="O151">
        <v>0</v>
      </c>
    </row>
    <row r="152" spans="1:15" x14ac:dyDescent="0.2">
      <c r="A152" s="1" t="str">
        <f>HYPERLINK("http://www.twitter.com/banuakdenizli/status/1602686979048706048", "1602686979048706048")</f>
        <v>1602686979048706048</v>
      </c>
      <c r="B152" t="s">
        <v>15</v>
      </c>
      <c r="C152" s="2">
        <v>44908.644976851851</v>
      </c>
      <c r="D152">
        <v>0</v>
      </c>
      <c r="E152">
        <v>7</v>
      </c>
      <c r="F152" t="s">
        <v>17</v>
      </c>
      <c r="G152" t="s">
        <v>199</v>
      </c>
      <c r="H152" t="str">
        <f>HYPERLINK("http://pbs.twimg.com/media/Fj3gOu-WIAQWyQ_.jpg", "http://pbs.twimg.com/media/Fj3gOu-WIAQWyQ_.jpg")</f>
        <v>http://pbs.twimg.com/media/Fj3gOu-WIAQWyQ_.jpg</v>
      </c>
      <c r="L152">
        <v>0</v>
      </c>
      <c r="M152">
        <v>0</v>
      </c>
      <c r="N152">
        <v>1</v>
      </c>
      <c r="O152">
        <v>0</v>
      </c>
    </row>
    <row r="153" spans="1:15" x14ac:dyDescent="0.2">
      <c r="A153" s="1" t="str">
        <f>HYPERLINK("http://www.twitter.com/banuakdenizli/status/1602686964255580160", "1602686964255580160")</f>
        <v>1602686964255580160</v>
      </c>
      <c r="B153" t="s">
        <v>15</v>
      </c>
      <c r="C153" s="2">
        <v>44908.644942129627</v>
      </c>
      <c r="D153">
        <v>0</v>
      </c>
      <c r="E153">
        <v>35</v>
      </c>
      <c r="F153" t="s">
        <v>18</v>
      </c>
      <c r="G153" t="s">
        <v>200</v>
      </c>
      <c r="H153" t="str">
        <f>HYPERLINK("http://pbs.twimg.com/media/Fj3hsfUXEAIW00F.jpg", "http://pbs.twimg.com/media/Fj3hsfUXEAIW00F.jpg")</f>
        <v>http://pbs.twimg.com/media/Fj3hsfUXEAIW00F.jpg</v>
      </c>
      <c r="L153">
        <v>0.9022</v>
      </c>
      <c r="M153">
        <v>0</v>
      </c>
      <c r="N153">
        <v>0.78</v>
      </c>
      <c r="O153">
        <v>0.22</v>
      </c>
    </row>
    <row r="154" spans="1:15" x14ac:dyDescent="0.2">
      <c r="A154" s="1" t="str">
        <f>HYPERLINK("http://www.twitter.com/banuakdenizli/status/1602682489507614724", "1602682489507614724")</f>
        <v>1602682489507614724</v>
      </c>
      <c r="B154" t="s">
        <v>15</v>
      </c>
      <c r="C154" s="2">
        <v>44908.632592592592</v>
      </c>
      <c r="D154">
        <v>0</v>
      </c>
      <c r="E154">
        <v>11</v>
      </c>
      <c r="F154" t="s">
        <v>17</v>
      </c>
      <c r="G154" t="s">
        <v>201</v>
      </c>
      <c r="H154" t="str">
        <f>HYPERLINK("http://pbs.twimg.com/media/Fj3WCEVWQAMgQR0.jpg", "http://pbs.twimg.com/media/Fj3WCEVWQAMgQR0.jpg")</f>
        <v>http://pbs.twimg.com/media/Fj3WCEVWQAMgQR0.jpg</v>
      </c>
      <c r="L154">
        <v>0</v>
      </c>
      <c r="M154">
        <v>0</v>
      </c>
      <c r="N154">
        <v>1</v>
      </c>
      <c r="O154">
        <v>0</v>
      </c>
    </row>
    <row r="155" spans="1:15" x14ac:dyDescent="0.2">
      <c r="A155" s="1" t="str">
        <f>HYPERLINK("http://www.twitter.com/banuakdenizli/status/1602682375338692609", "1602682375338692609")</f>
        <v>1602682375338692609</v>
      </c>
      <c r="B155" t="s">
        <v>15</v>
      </c>
      <c r="C155" s="2">
        <v>44908.632280092592</v>
      </c>
      <c r="D155">
        <v>0</v>
      </c>
      <c r="E155">
        <v>30</v>
      </c>
      <c r="F155" t="s">
        <v>18</v>
      </c>
      <c r="G155" t="s">
        <v>202</v>
      </c>
      <c r="H155" t="str">
        <f>HYPERLINK("http://pbs.twimg.com/media/Fj3c9ERXgAAXvOQ.jpg", "http://pbs.twimg.com/media/Fj3c9ERXgAAXvOQ.jpg")</f>
        <v>http://pbs.twimg.com/media/Fj3c9ERXgAAXvOQ.jpg</v>
      </c>
      <c r="L155">
        <v>0</v>
      </c>
      <c r="M155">
        <v>0</v>
      </c>
      <c r="N155">
        <v>1</v>
      </c>
      <c r="O155">
        <v>0</v>
      </c>
    </row>
    <row r="156" spans="1:15" x14ac:dyDescent="0.2">
      <c r="A156" s="1" t="str">
        <f>HYPERLINK("http://www.twitter.com/banuakdenizli/status/1602682059935416320", "1602682059935416320")</f>
        <v>1602682059935416320</v>
      </c>
      <c r="B156" t="s">
        <v>15</v>
      </c>
      <c r="C156" s="2">
        <v>44908.631412037037</v>
      </c>
      <c r="D156">
        <v>0</v>
      </c>
      <c r="E156">
        <v>3</v>
      </c>
      <c r="F156" t="s">
        <v>16</v>
      </c>
      <c r="G156" t="s">
        <v>203</v>
      </c>
      <c r="H156" t="str">
        <f>HYPERLINK("http://pbs.twimg.com/media/Fj3P3AmWYAAR7B5.jpg", "http://pbs.twimg.com/media/Fj3P3AmWYAAR7B5.jpg")</f>
        <v>http://pbs.twimg.com/media/Fj3P3AmWYAAR7B5.jpg</v>
      </c>
      <c r="L156">
        <v>0</v>
      </c>
      <c r="M156">
        <v>0</v>
      </c>
      <c r="N156">
        <v>1</v>
      </c>
      <c r="O156">
        <v>0</v>
      </c>
    </row>
    <row r="157" spans="1:15" x14ac:dyDescent="0.2">
      <c r="A157" s="1" t="str">
        <f>HYPERLINK("http://www.twitter.com/banuakdenizli/status/1602673984469962753", "1602673984469962753")</f>
        <v>1602673984469962753</v>
      </c>
      <c r="B157" t="s">
        <v>15</v>
      </c>
      <c r="C157" s="2">
        <v>44908.609120370369</v>
      </c>
      <c r="D157">
        <v>0</v>
      </c>
      <c r="E157">
        <v>5</v>
      </c>
      <c r="F157" t="s">
        <v>16</v>
      </c>
      <c r="G157" t="s">
        <v>204</v>
      </c>
      <c r="H157" t="str">
        <f>HYPERLINK("http://pbs.twimg.com/media/Fj3R1LGWQAEtZ3K.jpg", "http://pbs.twimg.com/media/Fj3R1LGWQAEtZ3K.jpg")</f>
        <v>http://pbs.twimg.com/media/Fj3R1LGWQAEtZ3K.jpg</v>
      </c>
      <c r="I157" t="str">
        <f>HYPERLINK("http://pbs.twimg.com/media/Fj3R20HWAAEP6w3.jpg", "http://pbs.twimg.com/media/Fj3R20HWAAEP6w3.jpg")</f>
        <v>http://pbs.twimg.com/media/Fj3R20HWAAEP6w3.jpg</v>
      </c>
      <c r="L157">
        <v>0</v>
      </c>
      <c r="M157">
        <v>0</v>
      </c>
      <c r="N157">
        <v>1</v>
      </c>
      <c r="O157">
        <v>0</v>
      </c>
    </row>
    <row r="158" spans="1:15" x14ac:dyDescent="0.2">
      <c r="A158" s="1" t="str">
        <f>HYPERLINK("http://www.twitter.com/banuakdenizli/status/1602649461272051713", "1602649461272051713")</f>
        <v>1602649461272051713</v>
      </c>
      <c r="B158" t="s">
        <v>15</v>
      </c>
      <c r="C158" s="2">
        <v>44908.541458333333</v>
      </c>
      <c r="D158">
        <v>0</v>
      </c>
      <c r="E158">
        <v>30</v>
      </c>
      <c r="F158" t="s">
        <v>18</v>
      </c>
      <c r="G158" t="s">
        <v>205</v>
      </c>
      <c r="H158" t="str">
        <f>HYPERLINK("http://pbs.twimg.com/media/Fj2fwPRWYAIhwGv.jpg", "http://pbs.twimg.com/media/Fj2fwPRWYAIhwGv.jpg")</f>
        <v>http://pbs.twimg.com/media/Fj2fwPRWYAIhwGv.jpg</v>
      </c>
      <c r="L158">
        <v>0.89339999999999997</v>
      </c>
      <c r="M158">
        <v>0</v>
      </c>
      <c r="N158">
        <v>0.76</v>
      </c>
      <c r="O158">
        <v>0.24</v>
      </c>
    </row>
    <row r="159" spans="1:15" x14ac:dyDescent="0.2">
      <c r="A159" s="1" t="str">
        <f>HYPERLINK("http://www.twitter.com/banuakdenizli/status/1602649398671974400", "1602649398671974400")</f>
        <v>1602649398671974400</v>
      </c>
      <c r="B159" t="s">
        <v>15</v>
      </c>
      <c r="C159" s="2">
        <v>44908.541284722232</v>
      </c>
      <c r="D159">
        <v>0</v>
      </c>
      <c r="E159">
        <v>7</v>
      </c>
      <c r="F159" t="s">
        <v>24</v>
      </c>
      <c r="G159" t="s">
        <v>206</v>
      </c>
      <c r="H159" t="str">
        <f>HYPERLINK("https://video.twimg.com/ext_tw_video/1602602741049839616/pu/vid/1280x720/9s8MLVtDZleIrz3D.mp4?tag=12", "https://video.twimg.com/ext_tw_video/1602602741049839616/pu/vid/1280x720/9s8MLVtDZleIrz3D.mp4?tag=12")</f>
        <v>https://video.twimg.com/ext_tw_video/1602602741049839616/pu/vid/1280x720/9s8MLVtDZleIrz3D.mp4?tag=12</v>
      </c>
      <c r="L159">
        <v>0.69079999999999997</v>
      </c>
      <c r="M159">
        <v>0</v>
      </c>
      <c r="N159">
        <v>0.80100000000000005</v>
      </c>
      <c r="O159">
        <v>0.19900000000000001</v>
      </c>
    </row>
    <row r="160" spans="1:15" x14ac:dyDescent="0.2">
      <c r="A160" s="1" t="str">
        <f>HYPERLINK("http://www.twitter.com/banuakdenizli/status/1602649001593110530", "1602649001593110530")</f>
        <v>1602649001593110530</v>
      </c>
      <c r="B160" t="s">
        <v>15</v>
      </c>
      <c r="C160" s="2">
        <v>44908.540185185193</v>
      </c>
      <c r="D160">
        <v>0</v>
      </c>
      <c r="E160">
        <v>32</v>
      </c>
      <c r="F160" t="s">
        <v>18</v>
      </c>
      <c r="G160" t="s">
        <v>207</v>
      </c>
      <c r="H160" t="str">
        <f>HYPERLINK("http://pbs.twimg.com/media/Fj2Z56CXoAI7m8w.jpg", "http://pbs.twimg.com/media/Fj2Z56CXoAI7m8w.jpg")</f>
        <v>http://pbs.twimg.com/media/Fj2Z56CXoAI7m8w.jpg</v>
      </c>
      <c r="L160">
        <v>0</v>
      </c>
      <c r="M160">
        <v>0</v>
      </c>
      <c r="N160">
        <v>1</v>
      </c>
      <c r="O160">
        <v>0</v>
      </c>
    </row>
    <row r="161" spans="1:15" x14ac:dyDescent="0.2">
      <c r="A161" s="1" t="str">
        <f>HYPERLINK("http://www.twitter.com/banuakdenizli/status/1602648979602374656", "1602648979602374656")</f>
        <v>1602648979602374656</v>
      </c>
      <c r="B161" t="s">
        <v>15</v>
      </c>
      <c r="C161" s="2">
        <v>44908.540127314824</v>
      </c>
      <c r="D161">
        <v>0</v>
      </c>
      <c r="E161">
        <v>7</v>
      </c>
      <c r="F161" t="s">
        <v>16</v>
      </c>
      <c r="G161" t="s">
        <v>208</v>
      </c>
      <c r="H161" t="str">
        <f>HYPERLINK("http://pbs.twimg.com/media/Fj2kKplX0AM9YzA.jpg", "http://pbs.twimg.com/media/Fj2kKplX0AM9YzA.jpg")</f>
        <v>http://pbs.twimg.com/media/Fj2kKplX0AM9YzA.jpg</v>
      </c>
      <c r="L161">
        <v>0</v>
      </c>
      <c r="M161">
        <v>0</v>
      </c>
      <c r="N161">
        <v>1</v>
      </c>
      <c r="O161">
        <v>0</v>
      </c>
    </row>
    <row r="162" spans="1:15" x14ac:dyDescent="0.2">
      <c r="A162" s="1" t="str">
        <f>HYPERLINK("http://www.twitter.com/banuakdenizli/status/1602648881078145025", "1602648881078145025")</f>
        <v>1602648881078145025</v>
      </c>
      <c r="B162" t="s">
        <v>15</v>
      </c>
      <c r="C162" s="2">
        <v>44908.539849537039</v>
      </c>
      <c r="D162">
        <v>0</v>
      </c>
      <c r="E162">
        <v>9</v>
      </c>
      <c r="F162" t="s">
        <v>16</v>
      </c>
      <c r="G162" t="s">
        <v>209</v>
      </c>
      <c r="H162" t="str">
        <f>HYPERLINK("http://pbs.twimg.com/media/Fj2uYznXwAEL4OD.jpg", "http://pbs.twimg.com/media/Fj2uYznXwAEL4OD.jpg")</f>
        <v>http://pbs.twimg.com/media/Fj2uYznXwAEL4OD.jpg</v>
      </c>
      <c r="L162">
        <v>0</v>
      </c>
      <c r="M162">
        <v>0</v>
      </c>
      <c r="N162">
        <v>1</v>
      </c>
      <c r="O162">
        <v>0</v>
      </c>
    </row>
    <row r="163" spans="1:15" x14ac:dyDescent="0.2">
      <c r="A163" s="1" t="str">
        <f>HYPERLINK("http://www.twitter.com/banuakdenizli/status/1602648861184593920", "1602648861184593920")</f>
        <v>1602648861184593920</v>
      </c>
      <c r="B163" t="s">
        <v>15</v>
      </c>
      <c r="C163" s="2">
        <v>44908.53979166667</v>
      </c>
      <c r="D163">
        <v>0</v>
      </c>
      <c r="E163">
        <v>7</v>
      </c>
      <c r="F163" t="s">
        <v>17</v>
      </c>
      <c r="G163" t="s">
        <v>210</v>
      </c>
      <c r="H163" t="str">
        <f>HYPERLINK("http://pbs.twimg.com/media/Fj2vAlVWIAIOLdo.jpg", "http://pbs.twimg.com/media/Fj2vAlVWIAIOLdo.jpg")</f>
        <v>http://pbs.twimg.com/media/Fj2vAlVWIAIOLdo.jpg</v>
      </c>
      <c r="L163">
        <v>0</v>
      </c>
      <c r="M163">
        <v>0</v>
      </c>
      <c r="N163">
        <v>1</v>
      </c>
      <c r="O163">
        <v>0</v>
      </c>
    </row>
    <row r="164" spans="1:15" x14ac:dyDescent="0.2">
      <c r="A164" s="1" t="str">
        <f>HYPERLINK("http://www.twitter.com/banuakdenizli/status/1602648848127631361", "1602648848127631361")</f>
        <v>1602648848127631361</v>
      </c>
      <c r="B164" t="s">
        <v>15</v>
      </c>
      <c r="C164" s="2">
        <v>44908.539756944447</v>
      </c>
      <c r="D164">
        <v>0</v>
      </c>
      <c r="E164">
        <v>2</v>
      </c>
      <c r="F164" t="s">
        <v>19</v>
      </c>
      <c r="G164" t="s">
        <v>211</v>
      </c>
      <c r="L164">
        <v>0.7823</v>
      </c>
      <c r="M164">
        <v>0</v>
      </c>
      <c r="N164">
        <v>0.76100000000000001</v>
      </c>
      <c r="O164">
        <v>0.23899999999999999</v>
      </c>
    </row>
    <row r="165" spans="1:15" x14ac:dyDescent="0.2">
      <c r="A165" s="1" t="str">
        <f>HYPERLINK("http://www.twitter.com/banuakdenizli/status/1602648832352964610", "1602648832352964610")</f>
        <v>1602648832352964610</v>
      </c>
      <c r="B165" t="s">
        <v>15</v>
      </c>
      <c r="C165" s="2">
        <v>44908.539722222216</v>
      </c>
      <c r="D165">
        <v>0</v>
      </c>
      <c r="E165">
        <v>5</v>
      </c>
      <c r="F165" t="s">
        <v>19</v>
      </c>
      <c r="G165" t="s">
        <v>212</v>
      </c>
      <c r="L165">
        <v>-0.15310000000000001</v>
      </c>
      <c r="M165">
        <v>0.15</v>
      </c>
      <c r="N165">
        <v>0.67200000000000004</v>
      </c>
      <c r="O165">
        <v>0.17799999999999999</v>
      </c>
    </row>
    <row r="166" spans="1:15" x14ac:dyDescent="0.2">
      <c r="A166" s="1" t="str">
        <f>HYPERLINK("http://www.twitter.com/banuakdenizli/status/1602648819409248260", "1602648819409248260")</f>
        <v>1602648819409248260</v>
      </c>
      <c r="B166" t="s">
        <v>15</v>
      </c>
      <c r="C166" s="2">
        <v>44908.539675925917</v>
      </c>
      <c r="D166">
        <v>0</v>
      </c>
      <c r="E166">
        <v>15</v>
      </c>
      <c r="F166" t="s">
        <v>19</v>
      </c>
      <c r="G166" t="s">
        <v>213</v>
      </c>
      <c r="H166" t="str">
        <f>HYPERLINK("http://pbs.twimg.com/media/Fj1awavXgAAApow.jpg", "http://pbs.twimg.com/media/Fj1awavXgAAApow.jpg")</f>
        <v>http://pbs.twimg.com/media/Fj1awavXgAAApow.jpg</v>
      </c>
      <c r="I166" t="str">
        <f>HYPERLINK("http://pbs.twimg.com/media/Fj1awa2WAAYrDzE.jpg", "http://pbs.twimg.com/media/Fj1awa2WAAYrDzE.jpg")</f>
        <v>http://pbs.twimg.com/media/Fj1awa2WAAYrDzE.jpg</v>
      </c>
      <c r="J166" t="str">
        <f>HYPERLINK("http://pbs.twimg.com/media/Fj1awavWIAASxTk.jpg", "http://pbs.twimg.com/media/Fj1awavWIAASxTk.jpg")</f>
        <v>http://pbs.twimg.com/media/Fj1awavWIAASxTk.jpg</v>
      </c>
      <c r="L166">
        <v>0.81759999999999999</v>
      </c>
      <c r="M166">
        <v>0</v>
      </c>
      <c r="N166">
        <v>0.82099999999999995</v>
      </c>
      <c r="O166">
        <v>0.17899999999999999</v>
      </c>
    </row>
    <row r="167" spans="1:15" x14ac:dyDescent="0.2">
      <c r="A167" s="1" t="str">
        <f>HYPERLINK("http://www.twitter.com/banuakdenizli/status/1602648791940833282", "1602648791940833282")</f>
        <v>1602648791940833282</v>
      </c>
      <c r="B167" t="s">
        <v>15</v>
      </c>
      <c r="C167" s="2">
        <v>44908.539606481478</v>
      </c>
      <c r="D167">
        <v>0</v>
      </c>
      <c r="E167">
        <v>14</v>
      </c>
      <c r="F167" t="s">
        <v>16</v>
      </c>
      <c r="G167" t="s">
        <v>214</v>
      </c>
      <c r="H167" t="str">
        <f>HYPERLINK("http://pbs.twimg.com/media/Fj2qk8eWIAEl7KH.jpg", "http://pbs.twimg.com/media/Fj2qk8eWIAEl7KH.jpg")</f>
        <v>http://pbs.twimg.com/media/Fj2qk8eWIAEl7KH.jpg</v>
      </c>
      <c r="L167">
        <v>0</v>
      </c>
      <c r="M167">
        <v>0</v>
      </c>
      <c r="N167">
        <v>1</v>
      </c>
      <c r="O167">
        <v>0</v>
      </c>
    </row>
    <row r="168" spans="1:15" x14ac:dyDescent="0.2">
      <c r="A168" s="1" t="str">
        <f>HYPERLINK("http://www.twitter.com/banuakdenizli/status/1602648755492225028", "1602648755492225028")</f>
        <v>1602648755492225028</v>
      </c>
      <c r="B168" t="s">
        <v>15</v>
      </c>
      <c r="C168" s="2">
        <v>44908.539502314823</v>
      </c>
      <c r="D168">
        <v>0</v>
      </c>
      <c r="E168">
        <v>6</v>
      </c>
      <c r="F168" t="s">
        <v>17</v>
      </c>
      <c r="G168" t="s">
        <v>215</v>
      </c>
      <c r="H168" t="str">
        <f>HYPERLINK("http://pbs.twimg.com/media/Fj29Qb7WYAEZAr3.jpg", "http://pbs.twimg.com/media/Fj29Qb7WYAEZAr3.jpg")</f>
        <v>http://pbs.twimg.com/media/Fj29Qb7WYAEZAr3.jpg</v>
      </c>
      <c r="L168">
        <v>0</v>
      </c>
      <c r="M168">
        <v>0</v>
      </c>
      <c r="N168">
        <v>1</v>
      </c>
      <c r="O168">
        <v>0</v>
      </c>
    </row>
    <row r="169" spans="1:15" x14ac:dyDescent="0.2">
      <c r="A169" s="1" t="str">
        <f>HYPERLINK("http://www.twitter.com/banuakdenizli/status/1602648728812257280", "1602648728812257280")</f>
        <v>1602648728812257280</v>
      </c>
      <c r="B169" t="s">
        <v>15</v>
      </c>
      <c r="C169" s="2">
        <v>44908.53943287037</v>
      </c>
      <c r="D169">
        <v>0</v>
      </c>
      <c r="E169">
        <v>9</v>
      </c>
      <c r="F169" t="s">
        <v>16</v>
      </c>
      <c r="G169" t="s">
        <v>216</v>
      </c>
      <c r="H169" t="str">
        <f>HYPERLINK("https://video.twimg.com/ext_tw_video/1602620132412596225/pu/vid/1280x720/Vyv9sVi5MjN9c4Jn.mp4?tag=12", "https://video.twimg.com/ext_tw_video/1602620132412596225/pu/vid/1280x720/Vyv9sVi5MjN9c4Jn.mp4?tag=12")</f>
        <v>https://video.twimg.com/ext_tw_video/1602620132412596225/pu/vid/1280x720/Vyv9sVi5MjN9c4Jn.mp4?tag=12</v>
      </c>
      <c r="L169">
        <v>0</v>
      </c>
      <c r="M169">
        <v>0</v>
      </c>
      <c r="N169">
        <v>1</v>
      </c>
      <c r="O169">
        <v>0</v>
      </c>
    </row>
    <row r="170" spans="1:15" x14ac:dyDescent="0.2">
      <c r="A170" s="1" t="str">
        <f>HYPERLINK("http://www.twitter.com/banuakdenizli/status/1602472233653469184", "1602472233653469184")</f>
        <v>1602472233653469184</v>
      </c>
      <c r="B170" t="s">
        <v>15</v>
      </c>
      <c r="C170" s="2">
        <v>44908.052395833343</v>
      </c>
      <c r="D170">
        <v>0</v>
      </c>
      <c r="E170">
        <v>16</v>
      </c>
      <c r="F170" t="s">
        <v>16</v>
      </c>
      <c r="G170" t="s">
        <v>217</v>
      </c>
      <c r="H170" t="str">
        <f>HYPERLINK("http://pbs.twimg.com/media/Fjzr7YDXEBgrXGR.jpg", "http://pbs.twimg.com/media/Fjzr7YDXEBgrXGR.jpg")</f>
        <v>http://pbs.twimg.com/media/Fjzr7YDXEBgrXGR.jpg</v>
      </c>
      <c r="L170">
        <v>0</v>
      </c>
      <c r="M170">
        <v>0</v>
      </c>
      <c r="N170">
        <v>1</v>
      </c>
      <c r="O170">
        <v>0</v>
      </c>
    </row>
    <row r="171" spans="1:15" x14ac:dyDescent="0.2">
      <c r="A171" s="1" t="str">
        <f>HYPERLINK("http://www.twitter.com/banuakdenizli/status/1602472217006469120", "1602472217006469120")</f>
        <v>1602472217006469120</v>
      </c>
      <c r="B171" t="s">
        <v>15</v>
      </c>
      <c r="C171" s="2">
        <v>44908.052349537043</v>
      </c>
      <c r="D171">
        <v>0</v>
      </c>
      <c r="E171">
        <v>16</v>
      </c>
      <c r="F171" t="s">
        <v>17</v>
      </c>
      <c r="G171" t="s">
        <v>218</v>
      </c>
      <c r="H171" t="str">
        <f>HYPERLINK("http://pbs.twimg.com/media/FjzsfMRXEBwvO3u.jpg", "http://pbs.twimg.com/media/FjzsfMRXEBwvO3u.jpg")</f>
        <v>http://pbs.twimg.com/media/FjzsfMRXEBwvO3u.jpg</v>
      </c>
      <c r="L171">
        <v>0</v>
      </c>
      <c r="M171">
        <v>0</v>
      </c>
      <c r="N171">
        <v>1</v>
      </c>
      <c r="O171">
        <v>0</v>
      </c>
    </row>
    <row r="172" spans="1:15" x14ac:dyDescent="0.2">
      <c r="A172" s="1" t="str">
        <f>HYPERLINK("http://www.twitter.com/banuakdenizli/status/1602472193690304513", "1602472193690304513")</f>
        <v>1602472193690304513</v>
      </c>
      <c r="B172" t="s">
        <v>15</v>
      </c>
      <c r="C172" s="2">
        <v>44908.052291666667</v>
      </c>
      <c r="D172">
        <v>0</v>
      </c>
      <c r="E172">
        <v>3</v>
      </c>
      <c r="F172" t="s">
        <v>20</v>
      </c>
      <c r="G172" t="s">
        <v>219</v>
      </c>
      <c r="H172" t="str">
        <f>HYPERLINK("http://pbs.twimg.com/media/FjztLqxX0AA06BJ.jpg", "http://pbs.twimg.com/media/FjztLqxX0AA06BJ.jpg")</f>
        <v>http://pbs.twimg.com/media/FjztLqxX0AA06BJ.jpg</v>
      </c>
      <c r="L172">
        <v>0</v>
      </c>
      <c r="M172">
        <v>0</v>
      </c>
      <c r="N172">
        <v>1</v>
      </c>
      <c r="O172">
        <v>0</v>
      </c>
    </row>
    <row r="173" spans="1:15" x14ac:dyDescent="0.2">
      <c r="A173" s="1" t="str">
        <f>HYPERLINK("http://www.twitter.com/banuakdenizli/status/1602347820308205571", "1602347820308205571")</f>
        <v>1602347820308205571</v>
      </c>
      <c r="B173" t="s">
        <v>15</v>
      </c>
      <c r="C173" s="2">
        <v>44907.709085648137</v>
      </c>
      <c r="D173">
        <v>0</v>
      </c>
      <c r="E173">
        <v>2</v>
      </c>
      <c r="F173" t="s">
        <v>20</v>
      </c>
      <c r="G173" t="s">
        <v>220</v>
      </c>
      <c r="H173" t="str">
        <f>HYPERLINK("http://pbs.twimg.com/media/FjgzR4qXoAEeHLi.jpg", "http://pbs.twimg.com/media/FjgzR4qXoAEeHLi.jpg")</f>
        <v>http://pbs.twimg.com/media/FjgzR4qXoAEeHLi.jpg</v>
      </c>
      <c r="L173">
        <v>0</v>
      </c>
      <c r="M173">
        <v>0</v>
      </c>
      <c r="N173">
        <v>1</v>
      </c>
      <c r="O173">
        <v>0</v>
      </c>
    </row>
    <row r="174" spans="1:15" x14ac:dyDescent="0.2">
      <c r="A174" s="1" t="str">
        <f>HYPERLINK("http://www.twitter.com/banuakdenizli/status/1602347806592827397", "1602347806592827397")</f>
        <v>1602347806592827397</v>
      </c>
      <c r="B174" t="s">
        <v>15</v>
      </c>
      <c r="C174" s="2">
        <v>44907.709039351852</v>
      </c>
      <c r="D174">
        <v>0</v>
      </c>
      <c r="E174">
        <v>3</v>
      </c>
      <c r="F174" t="s">
        <v>20</v>
      </c>
      <c r="G174" t="s">
        <v>221</v>
      </c>
      <c r="H174" t="str">
        <f>HYPERLINK("http://pbs.twimg.com/media/FjnDjcPXgAIbZUE.jpg", "http://pbs.twimg.com/media/FjnDjcPXgAIbZUE.jpg")</f>
        <v>http://pbs.twimg.com/media/FjnDjcPXgAIbZUE.jpg</v>
      </c>
      <c r="L174">
        <v>0</v>
      </c>
      <c r="M174">
        <v>0</v>
      </c>
      <c r="N174">
        <v>1</v>
      </c>
      <c r="O174">
        <v>0</v>
      </c>
    </row>
    <row r="175" spans="1:15" x14ac:dyDescent="0.2">
      <c r="A175" s="1" t="str">
        <f>HYPERLINK("http://www.twitter.com/banuakdenizli/status/1602347787680628736", "1602347787680628736")</f>
        <v>1602347787680628736</v>
      </c>
      <c r="B175" t="s">
        <v>15</v>
      </c>
      <c r="C175" s="2">
        <v>44907.708993055552</v>
      </c>
      <c r="D175">
        <v>0</v>
      </c>
      <c r="E175">
        <v>3</v>
      </c>
      <c r="F175" t="s">
        <v>20</v>
      </c>
      <c r="G175" t="s">
        <v>222</v>
      </c>
      <c r="H175" t="str">
        <f>HYPERLINK("http://pbs.twimg.com/media/Fjoue4EXgAElljJ.jpg", "http://pbs.twimg.com/media/Fjoue4EXgAElljJ.jpg")</f>
        <v>http://pbs.twimg.com/media/Fjoue4EXgAElljJ.jpg</v>
      </c>
      <c r="L175">
        <v>0</v>
      </c>
      <c r="M175">
        <v>0</v>
      </c>
      <c r="N175">
        <v>1</v>
      </c>
      <c r="O175">
        <v>0</v>
      </c>
    </row>
    <row r="176" spans="1:15" x14ac:dyDescent="0.2">
      <c r="A176" s="1" t="str">
        <f>HYPERLINK("http://www.twitter.com/banuakdenizli/status/1602347773164142592", "1602347773164142592")</f>
        <v>1602347773164142592</v>
      </c>
      <c r="B176" t="s">
        <v>15</v>
      </c>
      <c r="C176" s="2">
        <v>44907.70894675926</v>
      </c>
      <c r="D176">
        <v>0</v>
      </c>
      <c r="E176">
        <v>2</v>
      </c>
      <c r="F176" t="s">
        <v>20</v>
      </c>
      <c r="G176" t="s">
        <v>223</v>
      </c>
      <c r="H176" t="str">
        <f>HYPERLINK("http://pbs.twimg.com/media/FjkDT5dXwAEuCdG.jpg", "http://pbs.twimg.com/media/FjkDT5dXwAEuCdG.jpg")</f>
        <v>http://pbs.twimg.com/media/FjkDT5dXwAEuCdG.jpg</v>
      </c>
      <c r="I176" t="str">
        <f>HYPERLINK("http://pbs.twimg.com/media/FjkDVsKX0AEw-A2.jpg", "http://pbs.twimg.com/media/FjkDVsKX0AEw-A2.jpg")</f>
        <v>http://pbs.twimg.com/media/FjkDVsKX0AEw-A2.jpg</v>
      </c>
      <c r="L176">
        <v>0</v>
      </c>
      <c r="M176">
        <v>0</v>
      </c>
      <c r="N176">
        <v>1</v>
      </c>
      <c r="O176">
        <v>0</v>
      </c>
    </row>
    <row r="177" spans="1:15" x14ac:dyDescent="0.2">
      <c r="A177" s="1" t="str">
        <f>HYPERLINK("http://www.twitter.com/banuakdenizli/status/1602347760132521984", "1602347760132521984")</f>
        <v>1602347760132521984</v>
      </c>
      <c r="B177" t="s">
        <v>15</v>
      </c>
      <c r="C177" s="2">
        <v>44907.708912037036</v>
      </c>
      <c r="D177">
        <v>0</v>
      </c>
      <c r="E177">
        <v>4</v>
      </c>
      <c r="F177" t="s">
        <v>20</v>
      </c>
      <c r="G177" t="s">
        <v>224</v>
      </c>
      <c r="H177" t="str">
        <f>HYPERLINK("http://pbs.twimg.com/media/FjkFEb6WQAAQlEy.jpg", "http://pbs.twimg.com/media/FjkFEb6WQAAQlEy.jpg")</f>
        <v>http://pbs.twimg.com/media/FjkFEb6WQAAQlEy.jpg</v>
      </c>
      <c r="I177" t="str">
        <f>HYPERLINK("http://pbs.twimg.com/media/FjkFEcrXkAMB4Ge.jpg", "http://pbs.twimg.com/media/FjkFEcrXkAMB4Ge.jpg")</f>
        <v>http://pbs.twimg.com/media/FjkFEcrXkAMB4Ge.jpg</v>
      </c>
      <c r="L177">
        <v>0</v>
      </c>
      <c r="M177">
        <v>0</v>
      </c>
      <c r="N177">
        <v>1</v>
      </c>
      <c r="O177">
        <v>0</v>
      </c>
    </row>
    <row r="178" spans="1:15" x14ac:dyDescent="0.2">
      <c r="A178" s="1" t="str">
        <f>HYPERLINK("http://www.twitter.com/banuakdenizli/status/1602347747658579969", "1602347747658579969")</f>
        <v>1602347747658579969</v>
      </c>
      <c r="B178" t="s">
        <v>15</v>
      </c>
      <c r="C178" s="2">
        <v>44907.708877314813</v>
      </c>
      <c r="D178">
        <v>0</v>
      </c>
      <c r="E178">
        <v>4</v>
      </c>
      <c r="F178" t="s">
        <v>20</v>
      </c>
      <c r="G178" t="s">
        <v>225</v>
      </c>
      <c r="H178" t="str">
        <f>HYPERLINK("http://pbs.twimg.com/media/FjytefzWQAINO6f.jpg", "http://pbs.twimg.com/media/FjytefzWQAINO6f.jpg")</f>
        <v>http://pbs.twimg.com/media/FjytefzWQAINO6f.jpg</v>
      </c>
      <c r="I178" t="str">
        <f>HYPERLINK("http://pbs.twimg.com/media/FjytfYpWQAA5LXi.jpg", "http://pbs.twimg.com/media/FjytfYpWQAA5LXi.jpg")</f>
        <v>http://pbs.twimg.com/media/FjytfYpWQAA5LXi.jpg</v>
      </c>
      <c r="J178" t="str">
        <f>HYPERLINK("http://pbs.twimg.com/media/FjythdQXoAI0WQM.jpg", "http://pbs.twimg.com/media/FjythdQXoAI0WQM.jpg")</f>
        <v>http://pbs.twimg.com/media/FjythdQXoAI0WQM.jpg</v>
      </c>
      <c r="K178" t="str">
        <f>HYPERLINK("http://pbs.twimg.com/media/FjythdpXkAAfLFh.jpg", "http://pbs.twimg.com/media/FjythdpXkAAfLFh.jpg")</f>
        <v>http://pbs.twimg.com/media/FjythdpXkAAfLFh.jpg</v>
      </c>
      <c r="L178">
        <v>0</v>
      </c>
      <c r="M178">
        <v>0</v>
      </c>
      <c r="N178">
        <v>1</v>
      </c>
      <c r="O178">
        <v>0</v>
      </c>
    </row>
    <row r="179" spans="1:15" x14ac:dyDescent="0.2">
      <c r="A179" s="1" t="str">
        <f>HYPERLINK("http://www.twitter.com/banuakdenizli/status/1602344840808878088", "1602344840808878088")</f>
        <v>1602344840808878088</v>
      </c>
      <c r="B179" t="s">
        <v>15</v>
      </c>
      <c r="C179" s="2">
        <v>44907.700856481482</v>
      </c>
      <c r="D179">
        <v>0</v>
      </c>
      <c r="E179">
        <v>8</v>
      </c>
      <c r="F179" t="s">
        <v>17</v>
      </c>
      <c r="G179" t="s">
        <v>226</v>
      </c>
      <c r="H179" t="str">
        <f>HYPERLINK("http://pbs.twimg.com/media/FjIQ-DqWIAEGdjf.jpg", "http://pbs.twimg.com/media/FjIQ-DqWIAEGdjf.jpg")</f>
        <v>http://pbs.twimg.com/media/FjIQ-DqWIAEGdjf.jpg</v>
      </c>
      <c r="L179">
        <v>0</v>
      </c>
      <c r="M179">
        <v>0</v>
      </c>
      <c r="N179">
        <v>1</v>
      </c>
      <c r="O179">
        <v>0</v>
      </c>
    </row>
    <row r="180" spans="1:15" x14ac:dyDescent="0.2">
      <c r="A180" s="1" t="str">
        <f>HYPERLINK("http://www.twitter.com/banuakdenizli/status/1602344711716478976", "1602344711716478976")</f>
        <v>1602344711716478976</v>
      </c>
      <c r="B180" t="s">
        <v>15</v>
      </c>
      <c r="C180" s="2">
        <v>44907.700509259259</v>
      </c>
      <c r="D180">
        <v>0</v>
      </c>
      <c r="E180">
        <v>7</v>
      </c>
      <c r="F180" t="s">
        <v>17</v>
      </c>
      <c r="G180" t="s">
        <v>227</v>
      </c>
      <c r="H180" t="str">
        <f>HYPERLINK("http://pbs.twimg.com/media/FjSPY1uXEAAeaIk.jpg", "http://pbs.twimg.com/media/FjSPY1uXEAAeaIk.jpg")</f>
        <v>http://pbs.twimg.com/media/FjSPY1uXEAAeaIk.jpg</v>
      </c>
      <c r="I180" t="str">
        <f>HYPERLINK("http://pbs.twimg.com/media/FjSQDfpWYAE41OF.jpg", "http://pbs.twimg.com/media/FjSQDfpWYAE41OF.jpg")</f>
        <v>http://pbs.twimg.com/media/FjSQDfpWYAE41OF.jpg</v>
      </c>
      <c r="L180">
        <v>0.57189999999999996</v>
      </c>
      <c r="M180">
        <v>0</v>
      </c>
      <c r="N180">
        <v>0.85599999999999998</v>
      </c>
      <c r="O180">
        <v>0.14399999999999999</v>
      </c>
    </row>
    <row r="181" spans="1:15" x14ac:dyDescent="0.2">
      <c r="A181" s="1" t="str">
        <f>HYPERLINK("http://www.twitter.com/banuakdenizli/status/1602344686059982851", "1602344686059982851")</f>
        <v>1602344686059982851</v>
      </c>
      <c r="B181" t="s">
        <v>15</v>
      </c>
      <c r="C181" s="2">
        <v>44907.700428240743</v>
      </c>
      <c r="D181">
        <v>0</v>
      </c>
      <c r="E181">
        <v>16</v>
      </c>
      <c r="F181" t="s">
        <v>18</v>
      </c>
      <c r="G181" t="s">
        <v>228</v>
      </c>
      <c r="L181">
        <v>0.95709999999999995</v>
      </c>
      <c r="M181">
        <v>0</v>
      </c>
      <c r="N181">
        <v>0.625</v>
      </c>
      <c r="O181">
        <v>0.375</v>
      </c>
    </row>
    <row r="182" spans="1:15" x14ac:dyDescent="0.2">
      <c r="A182" s="1" t="str">
        <f>HYPERLINK("http://www.twitter.com/banuakdenizli/status/1602344672315248642", "1602344672315248642")</f>
        <v>1602344672315248642</v>
      </c>
      <c r="B182" t="s">
        <v>15</v>
      </c>
      <c r="C182" s="2">
        <v>44907.70039351852</v>
      </c>
      <c r="D182">
        <v>0</v>
      </c>
      <c r="E182">
        <v>5</v>
      </c>
      <c r="F182" t="s">
        <v>17</v>
      </c>
      <c r="G182" t="s">
        <v>229</v>
      </c>
      <c r="H182" t="str">
        <f>HYPERLINK("http://pbs.twimg.com/media/FjUgYCLWAAE_Fxb.jpg", "http://pbs.twimg.com/media/FjUgYCLWAAE_Fxb.jpg")</f>
        <v>http://pbs.twimg.com/media/FjUgYCLWAAE_Fxb.jpg</v>
      </c>
      <c r="L182">
        <v>0.79059999999999997</v>
      </c>
      <c r="M182">
        <v>0</v>
      </c>
      <c r="N182">
        <v>0.71399999999999997</v>
      </c>
      <c r="O182">
        <v>0.28599999999999998</v>
      </c>
    </row>
    <row r="183" spans="1:15" x14ac:dyDescent="0.2">
      <c r="A183" s="1" t="str">
        <f>HYPERLINK("http://www.twitter.com/banuakdenizli/status/1602344660487258117", "1602344660487258117")</f>
        <v>1602344660487258117</v>
      </c>
      <c r="B183" t="s">
        <v>15</v>
      </c>
      <c r="C183" s="2">
        <v>44907.700358796297</v>
      </c>
      <c r="D183">
        <v>0</v>
      </c>
      <c r="E183">
        <v>6</v>
      </c>
      <c r="F183" t="s">
        <v>17</v>
      </c>
      <c r="G183" t="s">
        <v>230</v>
      </c>
      <c r="H183" t="str">
        <f>HYPERLINK("http://pbs.twimg.com/media/FjUkBEwXEA8M7zn.jpg", "http://pbs.twimg.com/media/FjUkBEwXEA8M7zn.jpg")</f>
        <v>http://pbs.twimg.com/media/FjUkBEwXEA8M7zn.jpg</v>
      </c>
      <c r="L183">
        <v>0.62490000000000001</v>
      </c>
      <c r="M183">
        <v>0</v>
      </c>
      <c r="N183">
        <v>0.746</v>
      </c>
      <c r="O183">
        <v>0.254</v>
      </c>
    </row>
    <row r="184" spans="1:15" x14ac:dyDescent="0.2">
      <c r="A184" s="1" t="str">
        <f>HYPERLINK("http://www.twitter.com/banuakdenizli/status/1602344645350023170", "1602344645350023170")</f>
        <v>1602344645350023170</v>
      </c>
      <c r="B184" t="s">
        <v>15</v>
      </c>
      <c r="C184" s="2">
        <v>44907.700324074067</v>
      </c>
      <c r="D184">
        <v>0</v>
      </c>
      <c r="E184">
        <v>5</v>
      </c>
      <c r="F184" t="s">
        <v>17</v>
      </c>
      <c r="G184" t="s">
        <v>231</v>
      </c>
      <c r="H184" t="str">
        <f>HYPERLINK("http://pbs.twimg.com/media/FjUlO20XECYluCS.jpg", "http://pbs.twimg.com/media/FjUlO20XECYluCS.jpg")</f>
        <v>http://pbs.twimg.com/media/FjUlO20XECYluCS.jpg</v>
      </c>
      <c r="L184">
        <v>0</v>
      </c>
      <c r="M184">
        <v>0</v>
      </c>
      <c r="N184">
        <v>1</v>
      </c>
      <c r="O184">
        <v>0</v>
      </c>
    </row>
    <row r="185" spans="1:15" x14ac:dyDescent="0.2">
      <c r="A185" s="1" t="str">
        <f>HYPERLINK("http://www.twitter.com/banuakdenizli/status/1602344630800072705", "1602344630800072705")</f>
        <v>1602344630800072705</v>
      </c>
      <c r="B185" t="s">
        <v>15</v>
      </c>
      <c r="C185" s="2">
        <v>44907.700277777767</v>
      </c>
      <c r="D185">
        <v>0</v>
      </c>
      <c r="E185">
        <v>8</v>
      </c>
      <c r="F185" t="s">
        <v>17</v>
      </c>
      <c r="G185" t="s">
        <v>232</v>
      </c>
      <c r="H185" t="str">
        <f>HYPERLINK("http://pbs.twimg.com/media/FjUmFRJXEBop4o3.jpg", "http://pbs.twimg.com/media/FjUmFRJXEBop4o3.jpg")</f>
        <v>http://pbs.twimg.com/media/FjUmFRJXEBop4o3.jpg</v>
      </c>
      <c r="I185" t="str">
        <f>HYPERLINK("http://pbs.twimg.com/media/FjUmFRPXEDAsAnn.jpg", "http://pbs.twimg.com/media/FjUmFRPXEDAsAnn.jpg")</f>
        <v>http://pbs.twimg.com/media/FjUmFRPXEDAsAnn.jpg</v>
      </c>
      <c r="J185" t="str">
        <f>HYPERLINK("http://pbs.twimg.com/media/FjUmFRIXEAAiC9V.jpg", "http://pbs.twimg.com/media/FjUmFRIXEAAiC9V.jpg")</f>
        <v>http://pbs.twimg.com/media/FjUmFRIXEAAiC9V.jpg</v>
      </c>
      <c r="L185">
        <v>0.128</v>
      </c>
      <c r="M185">
        <v>0</v>
      </c>
      <c r="N185">
        <v>0.92700000000000005</v>
      </c>
      <c r="O185">
        <v>7.2999999999999995E-2</v>
      </c>
    </row>
    <row r="186" spans="1:15" x14ac:dyDescent="0.2">
      <c r="A186" s="1" t="str">
        <f>HYPERLINK("http://www.twitter.com/banuakdenizli/status/1602344571584843777", "1602344571584843777")</f>
        <v>1602344571584843777</v>
      </c>
      <c r="B186" t="s">
        <v>15</v>
      </c>
      <c r="C186" s="2">
        <v>44907.700115740743</v>
      </c>
      <c r="D186">
        <v>0</v>
      </c>
      <c r="E186">
        <v>5</v>
      </c>
      <c r="F186" t="s">
        <v>17</v>
      </c>
      <c r="G186" t="s">
        <v>233</v>
      </c>
      <c r="H186" t="str">
        <f>HYPERLINK("http://pbs.twimg.com/media/FjcKTTHWQAUEsEI.jpg", "http://pbs.twimg.com/media/FjcKTTHWQAUEsEI.jpg")</f>
        <v>http://pbs.twimg.com/media/FjcKTTHWQAUEsEI.jpg</v>
      </c>
      <c r="I186" t="str">
        <f>HYPERLINK("http://pbs.twimg.com/media/FjcKTRjWAAAKYkZ.jpg", "http://pbs.twimg.com/media/FjcKTRjWAAAKYkZ.jpg")</f>
        <v>http://pbs.twimg.com/media/FjcKTRjWAAAKYkZ.jpg</v>
      </c>
      <c r="L186">
        <v>0</v>
      </c>
      <c r="M186">
        <v>0</v>
      </c>
      <c r="N186">
        <v>1</v>
      </c>
      <c r="O186">
        <v>0</v>
      </c>
    </row>
    <row r="187" spans="1:15" x14ac:dyDescent="0.2">
      <c r="A187" s="1" t="str">
        <f>HYPERLINK("http://www.twitter.com/banuakdenizli/status/1602344518703284225", "1602344518703284225")</f>
        <v>1602344518703284225</v>
      </c>
      <c r="B187" t="s">
        <v>15</v>
      </c>
      <c r="C187" s="2">
        <v>44907.699976851851</v>
      </c>
      <c r="D187">
        <v>0</v>
      </c>
      <c r="E187">
        <v>24</v>
      </c>
      <c r="F187" t="s">
        <v>18</v>
      </c>
      <c r="G187" t="s">
        <v>234</v>
      </c>
      <c r="L187">
        <v>0.92010000000000003</v>
      </c>
      <c r="M187">
        <v>4.8000000000000001E-2</v>
      </c>
      <c r="N187">
        <v>0.64100000000000001</v>
      </c>
      <c r="O187">
        <v>0.311</v>
      </c>
    </row>
    <row r="188" spans="1:15" x14ac:dyDescent="0.2">
      <c r="A188" s="1" t="str">
        <f>HYPERLINK("http://www.twitter.com/banuakdenizli/status/1602344493738594310", "1602344493738594310")</f>
        <v>1602344493738594310</v>
      </c>
      <c r="B188" t="s">
        <v>15</v>
      </c>
      <c r="C188" s="2">
        <v>44907.699907407397</v>
      </c>
      <c r="D188">
        <v>0</v>
      </c>
      <c r="E188">
        <v>13</v>
      </c>
      <c r="F188" t="s">
        <v>17</v>
      </c>
      <c r="G188" t="s">
        <v>235</v>
      </c>
      <c r="H188" t="str">
        <f>HYPERLINK("http://pbs.twimg.com/media/FjeMmvLXkA8gfMg.jpg", "http://pbs.twimg.com/media/FjeMmvLXkA8gfMg.jpg")</f>
        <v>http://pbs.twimg.com/media/FjeMmvLXkA8gfMg.jpg</v>
      </c>
      <c r="L188">
        <v>-0.29599999999999999</v>
      </c>
      <c r="M188">
        <v>0.17</v>
      </c>
      <c r="N188">
        <v>0.72199999999999998</v>
      </c>
      <c r="O188">
        <v>0.108</v>
      </c>
    </row>
    <row r="189" spans="1:15" x14ac:dyDescent="0.2">
      <c r="A189" s="1" t="str">
        <f>HYPERLINK("http://www.twitter.com/banuakdenizli/status/1602344462197444608", "1602344462197444608")</f>
        <v>1602344462197444608</v>
      </c>
      <c r="B189" t="s">
        <v>15</v>
      </c>
      <c r="C189" s="2">
        <v>44907.699814814812</v>
      </c>
      <c r="D189">
        <v>0</v>
      </c>
      <c r="E189">
        <v>5</v>
      </c>
      <c r="F189" t="s">
        <v>17</v>
      </c>
      <c r="G189" t="s">
        <v>236</v>
      </c>
      <c r="H189" t="str">
        <f>HYPERLINK("http://pbs.twimg.com/media/FjfCY6jWICAxp_o.jpg", "http://pbs.twimg.com/media/FjfCY6jWICAxp_o.jpg")</f>
        <v>http://pbs.twimg.com/media/FjfCY6jWICAxp_o.jpg</v>
      </c>
      <c r="L189">
        <v>0.64859999999999995</v>
      </c>
      <c r="M189">
        <v>0</v>
      </c>
      <c r="N189">
        <v>0.751</v>
      </c>
      <c r="O189">
        <v>0.249</v>
      </c>
    </row>
    <row r="190" spans="1:15" x14ac:dyDescent="0.2">
      <c r="A190" s="1" t="str">
        <f>HYPERLINK("http://www.twitter.com/banuakdenizli/status/1602342084442202112", "1602342084442202112")</f>
        <v>1602342084442202112</v>
      </c>
      <c r="B190" t="s">
        <v>15</v>
      </c>
      <c r="C190" s="2">
        <v>44907.693252314813</v>
      </c>
      <c r="D190">
        <v>0</v>
      </c>
      <c r="E190">
        <v>39</v>
      </c>
      <c r="F190" t="s">
        <v>18</v>
      </c>
      <c r="G190" t="s">
        <v>237</v>
      </c>
      <c r="H190" t="str">
        <f>HYPERLINK("http://pbs.twimg.com/media/Fjx69I8WYAARAm6.jpg", "http://pbs.twimg.com/media/Fjx69I8WYAARAm6.jpg")</f>
        <v>http://pbs.twimg.com/media/Fjx69I8WYAARAm6.jpg</v>
      </c>
      <c r="I190" t="str">
        <f>HYPERLINK("http://pbs.twimg.com/media/Fjx69I7XgAMXb8Q.jpg", "http://pbs.twimg.com/media/Fjx69I7XgAMXb8Q.jpg")</f>
        <v>http://pbs.twimg.com/media/Fjx69I7XgAMXb8Q.jpg</v>
      </c>
      <c r="L190">
        <v>0.79059999999999997</v>
      </c>
      <c r="M190">
        <v>0</v>
      </c>
      <c r="N190">
        <v>0.82599999999999996</v>
      </c>
      <c r="O190">
        <v>0.17399999999999999</v>
      </c>
    </row>
    <row r="191" spans="1:15" x14ac:dyDescent="0.2">
      <c r="A191" s="1" t="str">
        <f>HYPERLINK("http://www.twitter.com/banuakdenizli/status/1602342032961306624", "1602342032961306624")</f>
        <v>1602342032961306624</v>
      </c>
      <c r="B191" t="s">
        <v>15</v>
      </c>
      <c r="C191" s="2">
        <v>44907.693113425928</v>
      </c>
      <c r="D191">
        <v>0</v>
      </c>
      <c r="E191">
        <v>52</v>
      </c>
      <c r="F191" t="s">
        <v>18</v>
      </c>
      <c r="G191" t="s">
        <v>238</v>
      </c>
      <c r="H191" t="str">
        <f>HYPERLINK("http://pbs.twimg.com/media/FjxywgjWIAYESq-.jpg", "http://pbs.twimg.com/media/FjxywgjWIAYESq-.jpg")</f>
        <v>http://pbs.twimg.com/media/FjxywgjWIAYESq-.jpg</v>
      </c>
      <c r="I191" t="str">
        <f>HYPERLINK("http://pbs.twimg.com/media/FjxywglXoAAj0OF.jpg", "http://pbs.twimg.com/media/FjxywglXoAAj0OF.jpg")</f>
        <v>http://pbs.twimg.com/media/FjxywglXoAAj0OF.jpg</v>
      </c>
      <c r="L191">
        <v>0</v>
      </c>
      <c r="M191">
        <v>0</v>
      </c>
      <c r="N191">
        <v>1</v>
      </c>
      <c r="O191">
        <v>0</v>
      </c>
    </row>
    <row r="192" spans="1:15" x14ac:dyDescent="0.2">
      <c r="A192" s="1" t="str">
        <f>HYPERLINK("http://www.twitter.com/banuakdenizli/status/1602342021573779458", "1602342021573779458")</f>
        <v>1602342021573779458</v>
      </c>
      <c r="B192" t="s">
        <v>15</v>
      </c>
      <c r="C192" s="2">
        <v>44907.693078703713</v>
      </c>
      <c r="D192">
        <v>0</v>
      </c>
      <c r="E192">
        <v>1</v>
      </c>
      <c r="F192" t="s">
        <v>21</v>
      </c>
      <c r="G192" t="s">
        <v>239</v>
      </c>
      <c r="H192" t="str">
        <f>HYPERLINK("http://pbs.twimg.com/media/FjyKYcLWQAIruc8.jpg", "http://pbs.twimg.com/media/FjyKYcLWQAIruc8.jpg")</f>
        <v>http://pbs.twimg.com/media/FjyKYcLWQAIruc8.jpg</v>
      </c>
      <c r="L192">
        <v>2.58E-2</v>
      </c>
      <c r="M192">
        <v>0</v>
      </c>
      <c r="N192">
        <v>0.97199999999999998</v>
      </c>
      <c r="O192">
        <v>2.8000000000000001E-2</v>
      </c>
    </row>
    <row r="193" spans="1:15" x14ac:dyDescent="0.2">
      <c r="A193" s="1" t="str">
        <f>HYPERLINK("http://www.twitter.com/banuakdenizli/status/1602342004641464321", "1602342004641464321")</f>
        <v>1602342004641464321</v>
      </c>
      <c r="B193" t="s">
        <v>15</v>
      </c>
      <c r="C193" s="2">
        <v>44907.693032407413</v>
      </c>
      <c r="D193">
        <v>0</v>
      </c>
      <c r="E193">
        <v>18</v>
      </c>
      <c r="F193" t="s">
        <v>17</v>
      </c>
      <c r="G193" t="s">
        <v>240</v>
      </c>
      <c r="H193" t="str">
        <f>HYPERLINK("https://video.twimg.com/amplify_video/1602331902228058112/vid/1920x1080/oeKUd-cSMsKFwoXi.mp4?tag=16", "https://video.twimg.com/amplify_video/1602331902228058112/vid/1920x1080/oeKUd-cSMsKFwoXi.mp4?tag=16")</f>
        <v>https://video.twimg.com/amplify_video/1602331902228058112/vid/1920x1080/oeKUd-cSMsKFwoXi.mp4?tag=16</v>
      </c>
      <c r="L193">
        <v>0.38179999999999997</v>
      </c>
      <c r="M193">
        <v>0</v>
      </c>
      <c r="N193">
        <v>0.88</v>
      </c>
      <c r="O193">
        <v>0.12</v>
      </c>
    </row>
    <row r="194" spans="1:15" x14ac:dyDescent="0.2">
      <c r="A194" s="1" t="str">
        <f>HYPERLINK("http://www.twitter.com/banuakdenizli/status/1602341976929697793", "1602341976929697793")</f>
        <v>1602341976929697793</v>
      </c>
      <c r="B194" t="s">
        <v>15</v>
      </c>
      <c r="C194" s="2">
        <v>44907.692962962959</v>
      </c>
      <c r="D194">
        <v>0</v>
      </c>
      <c r="E194">
        <v>4</v>
      </c>
      <c r="F194" t="s">
        <v>21</v>
      </c>
      <c r="G194" t="s">
        <v>241</v>
      </c>
      <c r="H194" t="str">
        <f>HYPERLINK("http://pbs.twimg.com/media/FjyKoMeXgAA99Qy.jpg", "http://pbs.twimg.com/media/FjyKoMeXgAA99Qy.jpg")</f>
        <v>http://pbs.twimg.com/media/FjyKoMeXgAA99Qy.jpg</v>
      </c>
      <c r="L194">
        <v>0</v>
      </c>
      <c r="M194">
        <v>0</v>
      </c>
      <c r="N194">
        <v>1</v>
      </c>
      <c r="O194">
        <v>0</v>
      </c>
    </row>
    <row r="195" spans="1:15" x14ac:dyDescent="0.2">
      <c r="A195" s="1" t="str">
        <f>HYPERLINK("http://www.twitter.com/banuakdenizli/status/1602341951180865539", "1602341951180865539")</f>
        <v>1602341951180865539</v>
      </c>
      <c r="B195" t="s">
        <v>15</v>
      </c>
      <c r="C195" s="2">
        <v>44907.692881944437</v>
      </c>
      <c r="D195">
        <v>0</v>
      </c>
      <c r="E195">
        <v>12</v>
      </c>
      <c r="F195" t="s">
        <v>17</v>
      </c>
      <c r="G195" t="s">
        <v>242</v>
      </c>
      <c r="H195" t="str">
        <f>HYPERLINK("http://pbs.twimg.com/media/Fjx91w2X0AQrC8s.jpg", "http://pbs.twimg.com/media/Fjx91w2X0AQrC8s.jpg")</f>
        <v>http://pbs.twimg.com/media/Fjx91w2X0AQrC8s.jpg</v>
      </c>
      <c r="L195">
        <v>0</v>
      </c>
      <c r="M195">
        <v>0</v>
      </c>
      <c r="N195">
        <v>1</v>
      </c>
      <c r="O195">
        <v>0</v>
      </c>
    </row>
    <row r="196" spans="1:15" x14ac:dyDescent="0.2">
      <c r="A196" s="1" t="str">
        <f>HYPERLINK("http://www.twitter.com/banuakdenizli/status/1602341923016032257", "1602341923016032257")</f>
        <v>1602341923016032257</v>
      </c>
      <c r="B196" t="s">
        <v>15</v>
      </c>
      <c r="C196" s="2">
        <v>44907.692812499998</v>
      </c>
      <c r="D196">
        <v>0</v>
      </c>
      <c r="E196">
        <v>15</v>
      </c>
      <c r="F196" t="s">
        <v>16</v>
      </c>
      <c r="G196" t="s">
        <v>243</v>
      </c>
      <c r="H196" t="str">
        <f>HYPERLINK("http://pbs.twimg.com/media/Fjxzvj4XkAE-5Oy.jpg", "http://pbs.twimg.com/media/Fjxzvj4XkAE-5Oy.jpg")</f>
        <v>http://pbs.twimg.com/media/Fjxzvj4XkAE-5Oy.jpg</v>
      </c>
      <c r="I196" t="str">
        <f>HYPERLINK("http://pbs.twimg.com/media/FjxzwpsWQAEWAXQ.jpg", "http://pbs.twimg.com/media/FjxzwpsWQAEWAXQ.jpg")</f>
        <v>http://pbs.twimg.com/media/FjxzwpsWQAEWAXQ.jpg</v>
      </c>
      <c r="L196">
        <v>0</v>
      </c>
      <c r="M196">
        <v>0</v>
      </c>
      <c r="N196">
        <v>1</v>
      </c>
      <c r="O196">
        <v>0</v>
      </c>
    </row>
    <row r="197" spans="1:15" x14ac:dyDescent="0.2">
      <c r="A197" s="1" t="str">
        <f>HYPERLINK("http://www.twitter.com/banuakdenizli/status/1602341900484333569", "1602341900484333569")</f>
        <v>1602341900484333569</v>
      </c>
      <c r="B197" t="s">
        <v>15</v>
      </c>
      <c r="C197" s="2">
        <v>44907.692743055559</v>
      </c>
      <c r="D197">
        <v>0</v>
      </c>
      <c r="E197">
        <v>3</v>
      </c>
      <c r="F197" t="s">
        <v>20</v>
      </c>
      <c r="G197" t="s">
        <v>244</v>
      </c>
      <c r="H197" t="str">
        <f>HYPERLINK("http://pbs.twimg.com/media/Fjye5SzX0AM3BZY.jpg", "http://pbs.twimg.com/media/Fjye5SzX0AM3BZY.jpg")</f>
        <v>http://pbs.twimg.com/media/Fjye5SzX0AM3BZY.jpg</v>
      </c>
      <c r="L197">
        <v>0</v>
      </c>
      <c r="M197">
        <v>0</v>
      </c>
      <c r="N197">
        <v>1</v>
      </c>
      <c r="O197">
        <v>0</v>
      </c>
    </row>
    <row r="198" spans="1:15" x14ac:dyDescent="0.2">
      <c r="A198" s="1" t="str">
        <f>HYPERLINK("http://www.twitter.com/banuakdenizli/status/1602341887326801922", "1602341887326801922")</f>
        <v>1602341887326801922</v>
      </c>
      <c r="B198" t="s">
        <v>15</v>
      </c>
      <c r="C198" s="2">
        <v>44907.692708333343</v>
      </c>
      <c r="D198">
        <v>0</v>
      </c>
      <c r="E198">
        <v>20</v>
      </c>
      <c r="F198" t="s">
        <v>17</v>
      </c>
      <c r="G198" t="s">
        <v>245</v>
      </c>
      <c r="H198" t="str">
        <f>HYPERLINK("http://pbs.twimg.com/media/FjyKiHLWYAAzJFe.jpg", "http://pbs.twimg.com/media/FjyKiHLWYAAzJFe.jpg")</f>
        <v>http://pbs.twimg.com/media/FjyKiHLWYAAzJFe.jpg</v>
      </c>
      <c r="I198" t="str">
        <f>HYPERLINK("http://pbs.twimg.com/media/FjyKjWXXEAUtOzw.jpg", "http://pbs.twimg.com/media/FjyKjWXXEAUtOzw.jpg")</f>
        <v>http://pbs.twimg.com/media/FjyKjWXXEAUtOzw.jpg</v>
      </c>
      <c r="L198">
        <v>0.38179999999999997</v>
      </c>
      <c r="M198">
        <v>0</v>
      </c>
      <c r="N198">
        <v>0.89800000000000002</v>
      </c>
      <c r="O198">
        <v>0.10199999999999999</v>
      </c>
    </row>
    <row r="199" spans="1:15" x14ac:dyDescent="0.2">
      <c r="A199" s="1" t="str">
        <f>HYPERLINK("http://www.twitter.com/banuakdenizli/status/1602341851146625025", "1602341851146625025")</f>
        <v>1602341851146625025</v>
      </c>
      <c r="B199" t="s">
        <v>15</v>
      </c>
      <c r="C199" s="2">
        <v>44907.692615740743</v>
      </c>
      <c r="D199">
        <v>0</v>
      </c>
      <c r="E199">
        <v>9</v>
      </c>
      <c r="F199" t="s">
        <v>16</v>
      </c>
      <c r="G199" t="s">
        <v>246</v>
      </c>
      <c r="H199" t="str">
        <f>HYPERLINK("http://pbs.twimg.com/media/FjxtljMWAAApEsJ.jpg", "http://pbs.twimg.com/media/FjxtljMWAAApEsJ.jpg")</f>
        <v>http://pbs.twimg.com/media/FjxtljMWAAApEsJ.jpg</v>
      </c>
      <c r="I199" t="str">
        <f>HYPERLINK("http://pbs.twimg.com/media/FjxtljJXEAEWYVk.jpg", "http://pbs.twimg.com/media/FjxtljJXEAEWYVk.jpg")</f>
        <v>http://pbs.twimg.com/media/FjxtljJXEAEWYVk.jpg</v>
      </c>
      <c r="L199">
        <v>0</v>
      </c>
      <c r="M199">
        <v>0</v>
      </c>
      <c r="N199">
        <v>1</v>
      </c>
      <c r="O199">
        <v>0</v>
      </c>
    </row>
    <row r="200" spans="1:15" x14ac:dyDescent="0.2">
      <c r="A200" s="1" t="str">
        <f>HYPERLINK("http://www.twitter.com/banuakdenizli/status/1602051763439296512", "1602051763439296512")</f>
        <v>1602051763439296512</v>
      </c>
      <c r="B200" t="s">
        <v>15</v>
      </c>
      <c r="C200" s="2">
        <v>44906.892118055563</v>
      </c>
      <c r="D200">
        <v>0</v>
      </c>
      <c r="E200">
        <v>14</v>
      </c>
      <c r="F200" t="s">
        <v>16</v>
      </c>
      <c r="G200" t="s">
        <v>247</v>
      </c>
      <c r="H200" t="str">
        <f>HYPERLINK("http://pbs.twimg.com/media/FjsMDRgXoAAGUnM.jpg", "http://pbs.twimg.com/media/FjsMDRgXoAAGUnM.jpg")</f>
        <v>http://pbs.twimg.com/media/FjsMDRgXoAAGUnM.jpg</v>
      </c>
      <c r="L200">
        <v>0</v>
      </c>
      <c r="M200">
        <v>0</v>
      </c>
      <c r="N200">
        <v>1</v>
      </c>
      <c r="O200">
        <v>0</v>
      </c>
    </row>
    <row r="201" spans="1:15" x14ac:dyDescent="0.2">
      <c r="A201" s="1" t="str">
        <f>HYPERLINK("http://www.twitter.com/banuakdenizli/status/1602051747886895104", "1602051747886895104")</f>
        <v>1602051747886895104</v>
      </c>
      <c r="B201" t="s">
        <v>15</v>
      </c>
      <c r="C201" s="2">
        <v>44906.892083333332</v>
      </c>
      <c r="D201">
        <v>0</v>
      </c>
      <c r="E201">
        <v>6</v>
      </c>
      <c r="F201" t="s">
        <v>35</v>
      </c>
      <c r="G201" t="s">
        <v>248</v>
      </c>
      <c r="L201">
        <v>0</v>
      </c>
      <c r="M201">
        <v>0</v>
      </c>
      <c r="N201">
        <v>1</v>
      </c>
      <c r="O201">
        <v>0</v>
      </c>
    </row>
    <row r="202" spans="1:15" x14ac:dyDescent="0.2">
      <c r="A202" s="1" t="str">
        <f>HYPERLINK("http://www.twitter.com/banuakdenizli/status/1602051657033998343", "1602051657033998343")</f>
        <v>1602051657033998343</v>
      </c>
      <c r="B202" t="s">
        <v>15</v>
      </c>
      <c r="C202" s="2">
        <v>44906.891828703701</v>
      </c>
      <c r="D202">
        <v>0</v>
      </c>
      <c r="E202">
        <v>4</v>
      </c>
      <c r="F202" t="s">
        <v>20</v>
      </c>
      <c r="G202" t="s">
        <v>249</v>
      </c>
      <c r="H202" t="str">
        <f>HYPERLINK("http://pbs.twimg.com/media/FjsZTTWWQAEJN8x.jpg", "http://pbs.twimg.com/media/FjsZTTWWQAEJN8x.jpg")</f>
        <v>http://pbs.twimg.com/media/FjsZTTWWQAEJN8x.jpg</v>
      </c>
      <c r="L202">
        <v>0</v>
      </c>
      <c r="M202">
        <v>0</v>
      </c>
      <c r="N202">
        <v>1</v>
      </c>
      <c r="O202">
        <v>0</v>
      </c>
    </row>
    <row r="203" spans="1:15" x14ac:dyDescent="0.2">
      <c r="A203" s="1" t="str">
        <f>HYPERLINK("http://www.twitter.com/banuakdenizli/status/1602051355442614278", "1602051355442614278")</f>
        <v>1602051355442614278</v>
      </c>
      <c r="B203" t="s">
        <v>15</v>
      </c>
      <c r="C203" s="2">
        <v>44906.89099537037</v>
      </c>
      <c r="D203">
        <v>0</v>
      </c>
      <c r="E203">
        <v>39</v>
      </c>
      <c r="F203" t="s">
        <v>250</v>
      </c>
      <c r="G203" t="s">
        <v>251</v>
      </c>
      <c r="H203" t="str">
        <f>HYPERLINK("http://pbs.twimg.com/media/FjsligfX0AAx-Dk.jpg", "http://pbs.twimg.com/media/FjsligfX0AAx-Dk.jpg")</f>
        <v>http://pbs.twimg.com/media/FjsligfX0AAx-Dk.jpg</v>
      </c>
      <c r="L203">
        <v>0</v>
      </c>
      <c r="M203">
        <v>0</v>
      </c>
      <c r="N203">
        <v>1</v>
      </c>
      <c r="O203">
        <v>0</v>
      </c>
    </row>
    <row r="204" spans="1:15" x14ac:dyDescent="0.2">
      <c r="A204" s="1" t="str">
        <f>HYPERLINK("http://www.twitter.com/banuakdenizli/status/1602051334479429636", "1602051334479429636")</f>
        <v>1602051334479429636</v>
      </c>
      <c r="B204" t="s">
        <v>15</v>
      </c>
      <c r="C204" s="2">
        <v>44906.8909375</v>
      </c>
      <c r="D204">
        <v>0</v>
      </c>
      <c r="E204">
        <v>6</v>
      </c>
      <c r="F204" t="s">
        <v>16</v>
      </c>
      <c r="G204" t="s">
        <v>252</v>
      </c>
      <c r="H204" t="str">
        <f>HYPERLINK("http://pbs.twimg.com/media/Fjs9txwWIAcPpdQ.jpg", "http://pbs.twimg.com/media/Fjs9txwWIAcPpdQ.jpg")</f>
        <v>http://pbs.twimg.com/media/Fjs9txwWIAcPpdQ.jpg</v>
      </c>
      <c r="I204" t="str">
        <f>HYPERLINK("http://pbs.twimg.com/media/Fjs9tvuXEAEEuBf.jpg", "http://pbs.twimg.com/media/Fjs9tvuXEAEEuBf.jpg")</f>
        <v>http://pbs.twimg.com/media/Fjs9tvuXEAEEuBf.jpg</v>
      </c>
      <c r="L204">
        <v>0</v>
      </c>
      <c r="M204">
        <v>0</v>
      </c>
      <c r="N204">
        <v>1</v>
      </c>
      <c r="O204">
        <v>0</v>
      </c>
    </row>
    <row r="205" spans="1:15" x14ac:dyDescent="0.2">
      <c r="A205" s="1" t="str">
        <f>HYPERLINK("http://www.twitter.com/banuakdenizli/status/1602051319208050688", "1602051319208050688")</f>
        <v>1602051319208050688</v>
      </c>
      <c r="B205" t="s">
        <v>15</v>
      </c>
      <c r="C205" s="2">
        <v>44906.8908912037</v>
      </c>
      <c r="D205">
        <v>0</v>
      </c>
      <c r="E205">
        <v>8</v>
      </c>
      <c r="F205" t="s">
        <v>17</v>
      </c>
      <c r="G205" t="s">
        <v>253</v>
      </c>
      <c r="H205" t="str">
        <f>HYPERLINK("http://pbs.twimg.com/media/Fjs-ANLXwAEZ1Uq.jpg", "http://pbs.twimg.com/media/Fjs-ANLXwAEZ1Uq.jpg")</f>
        <v>http://pbs.twimg.com/media/Fjs-ANLXwAEZ1Uq.jpg</v>
      </c>
      <c r="I205" t="str">
        <f>HYPERLINK("http://pbs.twimg.com/media/Fjs-ANLWIAMj6CB.jpg", "http://pbs.twimg.com/media/Fjs-ANLWIAMj6CB.jpg")</f>
        <v>http://pbs.twimg.com/media/Fjs-ANLWIAMj6CB.jpg</v>
      </c>
      <c r="L205">
        <v>0</v>
      </c>
      <c r="M205">
        <v>0</v>
      </c>
      <c r="N205">
        <v>1</v>
      </c>
      <c r="O205">
        <v>0</v>
      </c>
    </row>
    <row r="206" spans="1:15" x14ac:dyDescent="0.2">
      <c r="A206" s="1" t="str">
        <f>HYPERLINK("http://www.twitter.com/banuakdenizli/status/1602051253923610624", "1602051253923610624")</f>
        <v>1602051253923610624</v>
      </c>
      <c r="B206" t="s">
        <v>15</v>
      </c>
      <c r="C206" s="2">
        <v>44906.890717592592</v>
      </c>
      <c r="D206">
        <v>0</v>
      </c>
      <c r="E206">
        <v>84</v>
      </c>
      <c r="F206" t="s">
        <v>250</v>
      </c>
      <c r="G206" t="s">
        <v>254</v>
      </c>
      <c r="H206" t="str">
        <f>HYPERLINK("http://pbs.twimg.com/media/FjslLTSXoAIhXEp.jpg", "http://pbs.twimg.com/media/FjslLTSXoAIhXEp.jpg")</f>
        <v>http://pbs.twimg.com/media/FjslLTSXoAIhXEp.jpg</v>
      </c>
      <c r="L206">
        <v>0</v>
      </c>
      <c r="M206">
        <v>0</v>
      </c>
      <c r="N206">
        <v>1</v>
      </c>
      <c r="O206">
        <v>0</v>
      </c>
    </row>
    <row r="207" spans="1:15" x14ac:dyDescent="0.2">
      <c r="A207" s="1" t="str">
        <f>HYPERLINK("http://www.twitter.com/banuakdenizli/status/1601907189882437633", "1601907189882437633")</f>
        <v>1601907189882437633</v>
      </c>
      <c r="B207" t="s">
        <v>15</v>
      </c>
      <c r="C207" s="2">
        <v>44906.493171296293</v>
      </c>
      <c r="D207">
        <v>0</v>
      </c>
      <c r="E207">
        <v>6</v>
      </c>
      <c r="F207" t="s">
        <v>17</v>
      </c>
      <c r="G207" t="s">
        <v>255</v>
      </c>
      <c r="H207" t="str">
        <f>HYPERLINK("http://pbs.twimg.com/media/FjonUPiXoAMGkjy.jpg", "http://pbs.twimg.com/media/FjonUPiXoAMGkjy.jpg")</f>
        <v>http://pbs.twimg.com/media/FjonUPiXoAMGkjy.jpg</v>
      </c>
      <c r="L207">
        <v>0.61240000000000006</v>
      </c>
      <c r="M207">
        <v>0</v>
      </c>
      <c r="N207">
        <v>0.83899999999999997</v>
      </c>
      <c r="O207">
        <v>0.161</v>
      </c>
    </row>
    <row r="208" spans="1:15" x14ac:dyDescent="0.2">
      <c r="A208" s="1" t="str">
        <f>HYPERLINK("http://www.twitter.com/banuakdenizli/status/1601907118067556355", "1601907118067556355")</f>
        <v>1601907118067556355</v>
      </c>
      <c r="B208" t="s">
        <v>15</v>
      </c>
      <c r="C208" s="2">
        <v>44906.492974537039</v>
      </c>
      <c r="D208">
        <v>0</v>
      </c>
      <c r="E208">
        <v>10</v>
      </c>
      <c r="F208" t="s">
        <v>17</v>
      </c>
      <c r="G208" t="s">
        <v>256</v>
      </c>
      <c r="H208" t="str">
        <f>HYPERLINK("http://pbs.twimg.com/media/Fjr3gIZXkAAT5sF.jpg", "http://pbs.twimg.com/media/Fjr3gIZXkAAT5sF.jpg")</f>
        <v>http://pbs.twimg.com/media/Fjr3gIZXkAAT5sF.jpg</v>
      </c>
      <c r="I208" t="str">
        <f>HYPERLINK("http://pbs.twimg.com/media/Fjr3gIZXgAEcwKx.jpg", "http://pbs.twimg.com/media/Fjr3gIZXgAEcwKx.jpg")</f>
        <v>http://pbs.twimg.com/media/Fjr3gIZXgAEcwKx.jpg</v>
      </c>
      <c r="J208" t="str">
        <f>HYPERLINK("http://pbs.twimg.com/media/Fjr3gIbWIAA3s9Y.jpg", "http://pbs.twimg.com/media/Fjr3gIbWIAA3s9Y.jpg")</f>
        <v>http://pbs.twimg.com/media/Fjr3gIbWIAA3s9Y.jpg</v>
      </c>
      <c r="K208" t="str">
        <f>HYPERLINK("http://pbs.twimg.com/media/Fjr3gIaWAAEBzEv.jpg", "http://pbs.twimg.com/media/Fjr3gIaWAAEBzEv.jpg")</f>
        <v>http://pbs.twimg.com/media/Fjr3gIaWAAEBzEv.jpg</v>
      </c>
      <c r="L208">
        <v>0</v>
      </c>
      <c r="M208">
        <v>0</v>
      </c>
      <c r="N208">
        <v>1</v>
      </c>
      <c r="O208">
        <v>0</v>
      </c>
    </row>
    <row r="209" spans="1:15" x14ac:dyDescent="0.2">
      <c r="A209" s="1" t="str">
        <f>HYPERLINK("http://www.twitter.com/banuakdenizli/status/1601907105224658950", "1601907105224658950")</f>
        <v>1601907105224658950</v>
      </c>
      <c r="B209" t="s">
        <v>15</v>
      </c>
      <c r="C209" s="2">
        <v>44906.492939814823</v>
      </c>
      <c r="D209">
        <v>0</v>
      </c>
      <c r="E209">
        <v>15</v>
      </c>
      <c r="F209" t="s">
        <v>17</v>
      </c>
      <c r="G209" t="s">
        <v>257</v>
      </c>
      <c r="H209" t="str">
        <f>HYPERLINK("http://pbs.twimg.com/media/FjsZ9pMXgAAh9EL.jpg", "http://pbs.twimg.com/media/FjsZ9pMXgAAh9EL.jpg")</f>
        <v>http://pbs.twimg.com/media/FjsZ9pMXgAAh9EL.jpg</v>
      </c>
      <c r="L209">
        <v>0.2732</v>
      </c>
      <c r="M209">
        <v>0</v>
      </c>
      <c r="N209">
        <v>0.93</v>
      </c>
      <c r="O209">
        <v>7.0000000000000007E-2</v>
      </c>
    </row>
    <row r="210" spans="1:15" x14ac:dyDescent="0.2">
      <c r="A210" s="1" t="str">
        <f>HYPERLINK("http://www.twitter.com/banuakdenizli/status/1601906703716741121", "1601906703716741121")</f>
        <v>1601906703716741121</v>
      </c>
      <c r="B210" t="s">
        <v>15</v>
      </c>
      <c r="C210" s="2">
        <v>44906.491828703707</v>
      </c>
      <c r="D210">
        <v>0</v>
      </c>
      <c r="E210">
        <v>33</v>
      </c>
      <c r="F210" t="s">
        <v>24</v>
      </c>
      <c r="G210" t="s">
        <v>258</v>
      </c>
      <c r="H210" t="str">
        <f>HYPERLINK("https://video.twimg.com/ext_tw_video/1601594976302931971/pu/vid/1280x720/NTAq1KwGP9SXS4t7.mp4?tag=12", "https://video.twimg.com/ext_tw_video/1601594976302931971/pu/vid/1280x720/NTAq1KwGP9SXS4t7.mp4?tag=12")</f>
        <v>https://video.twimg.com/ext_tw_video/1601594976302931971/pu/vid/1280x720/NTAq1KwGP9SXS4t7.mp4?tag=12</v>
      </c>
      <c r="L210">
        <v>0</v>
      </c>
      <c r="M210">
        <v>0</v>
      </c>
      <c r="N210">
        <v>1</v>
      </c>
      <c r="O210">
        <v>0</v>
      </c>
    </row>
    <row r="211" spans="1:15" x14ac:dyDescent="0.2">
      <c r="A211" s="1" t="str">
        <f>HYPERLINK("http://www.twitter.com/banuakdenizli/status/1601906679276503040", "1601906679276503040")</f>
        <v>1601906679276503040</v>
      </c>
      <c r="B211" t="s">
        <v>15</v>
      </c>
      <c r="C211" s="2">
        <v>44906.491759259261</v>
      </c>
      <c r="D211">
        <v>0</v>
      </c>
      <c r="E211">
        <v>9</v>
      </c>
      <c r="F211" t="s">
        <v>24</v>
      </c>
      <c r="G211" t="s">
        <v>259</v>
      </c>
      <c r="H211" t="str">
        <f>HYPERLINK("https://video.twimg.com/ext_tw_video/1601595332890091523/pu/vid/1280x720/O02sX0KMvdsiYzGD.mp4?tag=12", "https://video.twimg.com/ext_tw_video/1601595332890091523/pu/vid/1280x720/O02sX0KMvdsiYzGD.mp4?tag=12")</f>
        <v>https://video.twimg.com/ext_tw_video/1601595332890091523/pu/vid/1280x720/O02sX0KMvdsiYzGD.mp4?tag=12</v>
      </c>
      <c r="L211">
        <v>0.58589999999999998</v>
      </c>
      <c r="M211">
        <v>0</v>
      </c>
      <c r="N211">
        <v>0.86799999999999999</v>
      </c>
      <c r="O211">
        <v>0.13200000000000001</v>
      </c>
    </row>
    <row r="212" spans="1:15" x14ac:dyDescent="0.2">
      <c r="A212" s="1" t="str">
        <f>HYPERLINK("http://www.twitter.com/banuakdenizli/status/1601906423205617665", "1601906423205617665")</f>
        <v>1601906423205617665</v>
      </c>
      <c r="B212" t="s">
        <v>15</v>
      </c>
      <c r="C212" s="2">
        <v>44906.491053240738</v>
      </c>
      <c r="D212">
        <v>0</v>
      </c>
      <c r="E212">
        <v>337</v>
      </c>
      <c r="F212" t="s">
        <v>28</v>
      </c>
      <c r="G212" t="s">
        <v>260</v>
      </c>
      <c r="L212">
        <v>0</v>
      </c>
      <c r="M212">
        <v>0</v>
      </c>
      <c r="N212">
        <v>1</v>
      </c>
      <c r="O212">
        <v>0</v>
      </c>
    </row>
    <row r="213" spans="1:15" x14ac:dyDescent="0.2">
      <c r="A213" s="1" t="str">
        <f>HYPERLINK("http://www.twitter.com/banuakdenizli/status/1601906365118779393", "1601906365118779393")</f>
        <v>1601906365118779393</v>
      </c>
      <c r="B213" t="s">
        <v>15</v>
      </c>
      <c r="C213" s="2">
        <v>44906.490902777783</v>
      </c>
      <c r="D213">
        <v>0</v>
      </c>
      <c r="E213">
        <v>99</v>
      </c>
      <c r="F213" t="s">
        <v>51</v>
      </c>
      <c r="G213" t="s">
        <v>261</v>
      </c>
      <c r="H213" t="str">
        <f>HYPERLINK("https://video.twimg.com/ext_tw_video/1601559152018558978/pu/vid/640x360/4_6DzgW8TRfRXChu.mp4?tag=12", "https://video.twimg.com/ext_tw_video/1601559152018558978/pu/vid/640x360/4_6DzgW8TRfRXChu.mp4?tag=12")</f>
        <v>https://video.twimg.com/ext_tw_video/1601559152018558978/pu/vid/640x360/4_6DzgW8TRfRXChu.mp4?tag=12</v>
      </c>
      <c r="L213">
        <v>0</v>
      </c>
      <c r="M213">
        <v>0</v>
      </c>
      <c r="N213">
        <v>1</v>
      </c>
      <c r="O213">
        <v>0</v>
      </c>
    </row>
    <row r="214" spans="1:15" x14ac:dyDescent="0.2">
      <c r="A214" s="1" t="str">
        <f>HYPERLINK("http://www.twitter.com/banuakdenizli/status/1601630319668432897", "1601630319668432897")</f>
        <v>1601630319668432897</v>
      </c>
      <c r="B214" t="s">
        <v>15</v>
      </c>
      <c r="C214" s="2">
        <v>44905.729155092587</v>
      </c>
      <c r="D214">
        <v>0</v>
      </c>
      <c r="E214">
        <v>7</v>
      </c>
      <c r="F214" t="s">
        <v>38</v>
      </c>
      <c r="G214" t="s">
        <v>262</v>
      </c>
      <c r="H214" t="str">
        <f>HYPERLINK("http://pbs.twimg.com/media/FjXDDp1WQAEk7F2.jpg", "http://pbs.twimg.com/media/FjXDDp1WQAEk7F2.jpg")</f>
        <v>http://pbs.twimg.com/media/FjXDDp1WQAEk7F2.jpg</v>
      </c>
      <c r="L214">
        <v>0</v>
      </c>
      <c r="M214">
        <v>0</v>
      </c>
      <c r="N214">
        <v>1</v>
      </c>
      <c r="O214">
        <v>0</v>
      </c>
    </row>
    <row r="215" spans="1:15" x14ac:dyDescent="0.2">
      <c r="A215" s="1" t="str">
        <f>HYPERLINK("http://www.twitter.com/banuakdenizli/status/1601624103454052352", "1601624103454052352")</f>
        <v>1601624103454052352</v>
      </c>
      <c r="B215" t="s">
        <v>15</v>
      </c>
      <c r="C215" s="2">
        <v>44905.712002314824</v>
      </c>
      <c r="D215">
        <v>0</v>
      </c>
      <c r="E215">
        <v>3</v>
      </c>
      <c r="F215" t="s">
        <v>17</v>
      </c>
      <c r="G215" t="s">
        <v>263</v>
      </c>
      <c r="H215" t="str">
        <f>HYPERLINK("http://pbs.twimg.com/media/FjfDVFTX0AcURDv.jpg", "http://pbs.twimg.com/media/FjfDVFTX0AcURDv.jpg")</f>
        <v>http://pbs.twimg.com/media/FjfDVFTX0AcURDv.jpg</v>
      </c>
      <c r="I215" t="str">
        <f>HYPERLINK("http://pbs.twimg.com/media/FjfDVFTX0BE3cdR.jpg", "http://pbs.twimg.com/media/FjfDVFTX0BE3cdR.jpg")</f>
        <v>http://pbs.twimg.com/media/FjfDVFTX0BE3cdR.jpg</v>
      </c>
      <c r="L215">
        <v>0</v>
      </c>
      <c r="M215">
        <v>0</v>
      </c>
      <c r="N215">
        <v>1</v>
      </c>
      <c r="O215">
        <v>0</v>
      </c>
    </row>
    <row r="216" spans="1:15" x14ac:dyDescent="0.2">
      <c r="A216" s="1" t="str">
        <f>HYPERLINK("http://www.twitter.com/banuakdenizli/status/1601624085997707267", "1601624085997707267")</f>
        <v>1601624085997707267</v>
      </c>
      <c r="B216" t="s">
        <v>15</v>
      </c>
      <c r="C216" s="2">
        <v>44905.711956018517</v>
      </c>
      <c r="D216">
        <v>0</v>
      </c>
      <c r="E216">
        <v>4</v>
      </c>
      <c r="F216" t="s">
        <v>17</v>
      </c>
      <c r="G216" t="s">
        <v>264</v>
      </c>
      <c r="H216" t="str">
        <f>HYPERLINK("http://pbs.twimg.com/media/FjfEDMuX0CAPYc8.jpg", "http://pbs.twimg.com/media/FjfEDMuX0CAPYc8.jpg")</f>
        <v>http://pbs.twimg.com/media/FjfEDMuX0CAPYc8.jpg</v>
      </c>
      <c r="I216" t="str">
        <f>HYPERLINK("http://pbs.twimg.com/media/FjfEDMuXgAIjtBT.jpg", "http://pbs.twimg.com/media/FjfEDMuXgAIjtBT.jpg")</f>
        <v>http://pbs.twimg.com/media/FjfEDMuXgAIjtBT.jpg</v>
      </c>
      <c r="L216">
        <v>0</v>
      </c>
      <c r="M216">
        <v>0</v>
      </c>
      <c r="N216">
        <v>1</v>
      </c>
      <c r="O216">
        <v>0</v>
      </c>
    </row>
    <row r="217" spans="1:15" x14ac:dyDescent="0.2">
      <c r="A217" s="1" t="str">
        <f>HYPERLINK("http://www.twitter.com/banuakdenizli/status/1601624075902017536", "1601624075902017536")</f>
        <v>1601624075902017536</v>
      </c>
      <c r="B217" t="s">
        <v>15</v>
      </c>
      <c r="C217" s="2">
        <v>44905.71193287037</v>
      </c>
      <c r="D217">
        <v>0</v>
      </c>
      <c r="E217">
        <v>18</v>
      </c>
      <c r="F217" t="s">
        <v>17</v>
      </c>
      <c r="G217" t="s">
        <v>265</v>
      </c>
      <c r="H217" t="str">
        <f>HYPERLINK("http://pbs.twimg.com/media/FjgyTNAWIAEkxad.jpg", "http://pbs.twimg.com/media/FjgyTNAWIAEkxad.jpg")</f>
        <v>http://pbs.twimg.com/media/FjgyTNAWIAEkxad.jpg</v>
      </c>
      <c r="L217">
        <v>0</v>
      </c>
      <c r="M217">
        <v>0</v>
      </c>
      <c r="N217">
        <v>1</v>
      </c>
      <c r="O217">
        <v>0</v>
      </c>
    </row>
    <row r="218" spans="1:15" x14ac:dyDescent="0.2">
      <c r="A218" s="1" t="str">
        <f>HYPERLINK("http://www.twitter.com/banuakdenizli/status/1601624062568333314", "1601624062568333314")</f>
        <v>1601624062568333314</v>
      </c>
      <c r="B218" t="s">
        <v>15</v>
      </c>
      <c r="C218" s="2">
        <v>44905.711886574078</v>
      </c>
      <c r="D218">
        <v>0</v>
      </c>
      <c r="E218">
        <v>8</v>
      </c>
      <c r="F218" t="s">
        <v>17</v>
      </c>
      <c r="G218" t="s">
        <v>266</v>
      </c>
      <c r="H218" t="str">
        <f>HYPERLINK("http://pbs.twimg.com/media/Fjj9ZzFWAAI5w2q.jpg", "http://pbs.twimg.com/media/Fjj9ZzFWAAI5w2q.jpg")</f>
        <v>http://pbs.twimg.com/media/Fjj9ZzFWAAI5w2q.jpg</v>
      </c>
      <c r="L218">
        <v>0</v>
      </c>
      <c r="M218">
        <v>0</v>
      </c>
      <c r="N218">
        <v>1</v>
      </c>
      <c r="O218">
        <v>0</v>
      </c>
    </row>
    <row r="219" spans="1:15" x14ac:dyDescent="0.2">
      <c r="A219" s="1" t="str">
        <f>HYPERLINK("http://www.twitter.com/banuakdenizli/status/1601624044667039744", "1601624044667039744")</f>
        <v>1601624044667039744</v>
      </c>
      <c r="B219" t="s">
        <v>15</v>
      </c>
      <c r="C219" s="2">
        <v>44905.711840277778</v>
      </c>
      <c r="D219">
        <v>0</v>
      </c>
      <c r="E219">
        <v>6</v>
      </c>
      <c r="F219" t="s">
        <v>17</v>
      </c>
      <c r="G219" t="s">
        <v>267</v>
      </c>
      <c r="H219" t="str">
        <f>HYPERLINK("http://pbs.twimg.com/media/Fjj_MeZWYAEViYO.jpg", "http://pbs.twimg.com/media/Fjj_MeZWYAEViYO.jpg")</f>
        <v>http://pbs.twimg.com/media/Fjj_MeZWYAEViYO.jpg</v>
      </c>
      <c r="I219" t="str">
        <f>HYPERLINK("http://pbs.twimg.com/media/Fjj_MeiXkAMdnEK.jpg", "http://pbs.twimg.com/media/Fjj_MeiXkAMdnEK.jpg")</f>
        <v>http://pbs.twimg.com/media/Fjj_MeiXkAMdnEK.jpg</v>
      </c>
      <c r="L219">
        <v>0.40189999999999998</v>
      </c>
      <c r="M219">
        <v>0</v>
      </c>
      <c r="N219">
        <v>0.86299999999999999</v>
      </c>
      <c r="O219">
        <v>0.13700000000000001</v>
      </c>
    </row>
    <row r="220" spans="1:15" x14ac:dyDescent="0.2">
      <c r="A220" s="1" t="str">
        <f>HYPERLINK("http://www.twitter.com/banuakdenizli/status/1601624027834896385", "1601624027834896385")</f>
        <v>1601624027834896385</v>
      </c>
      <c r="B220" t="s">
        <v>15</v>
      </c>
      <c r="C220" s="2">
        <v>44905.711793981478</v>
      </c>
      <c r="D220">
        <v>0</v>
      </c>
      <c r="E220">
        <v>7</v>
      </c>
      <c r="F220" t="s">
        <v>17</v>
      </c>
      <c r="G220" t="s">
        <v>268</v>
      </c>
      <c r="H220" t="str">
        <f>HYPERLINK("http://pbs.twimg.com/media/FjkWQkJWIAIMsMu.jpg", "http://pbs.twimg.com/media/FjkWQkJWIAIMsMu.jpg")</f>
        <v>http://pbs.twimg.com/media/FjkWQkJWIAIMsMu.jpg</v>
      </c>
      <c r="L220">
        <v>0.40189999999999998</v>
      </c>
      <c r="M220">
        <v>0</v>
      </c>
      <c r="N220">
        <v>0.89100000000000001</v>
      </c>
      <c r="O220">
        <v>0.109</v>
      </c>
    </row>
    <row r="221" spans="1:15" x14ac:dyDescent="0.2">
      <c r="A221" s="1" t="str">
        <f>HYPERLINK("http://www.twitter.com/banuakdenizli/status/1601624011062247424", "1601624011062247424")</f>
        <v>1601624011062247424</v>
      </c>
      <c r="B221" t="s">
        <v>15</v>
      </c>
      <c r="C221" s="2">
        <v>44905.711747685193</v>
      </c>
      <c r="D221">
        <v>0</v>
      </c>
      <c r="E221">
        <v>11</v>
      </c>
      <c r="F221" t="s">
        <v>17</v>
      </c>
      <c r="G221" t="s">
        <v>269</v>
      </c>
      <c r="H221" t="str">
        <f>HYPERLINK("http://pbs.twimg.com/media/Fjm6uewWIAEoHxe.jpg", "http://pbs.twimg.com/media/Fjm6uewWIAEoHxe.jpg")</f>
        <v>http://pbs.twimg.com/media/Fjm6uewWIAEoHxe.jpg</v>
      </c>
      <c r="L221">
        <v>0</v>
      </c>
      <c r="M221">
        <v>0</v>
      </c>
      <c r="N221">
        <v>1</v>
      </c>
      <c r="O221">
        <v>0</v>
      </c>
    </row>
    <row r="222" spans="1:15" x14ac:dyDescent="0.2">
      <c r="A222" s="1" t="str">
        <f>HYPERLINK("http://www.twitter.com/banuakdenizli/status/1601623992418570241", "1601623992418570241")</f>
        <v>1601623992418570241</v>
      </c>
      <c r="B222" t="s">
        <v>15</v>
      </c>
      <c r="C222" s="2">
        <v>44905.711701388893</v>
      </c>
      <c r="D222">
        <v>0</v>
      </c>
      <c r="E222">
        <v>3</v>
      </c>
      <c r="F222" t="s">
        <v>17</v>
      </c>
      <c r="G222" t="s">
        <v>270</v>
      </c>
      <c r="H222" t="str">
        <f>HYPERLINK("http://pbs.twimg.com/media/Fjn9Ht3XoAEFXbS.jpg", "http://pbs.twimg.com/media/Fjn9Ht3XoAEFXbS.jpg")</f>
        <v>http://pbs.twimg.com/media/Fjn9Ht3XoAEFXbS.jpg</v>
      </c>
      <c r="L222">
        <v>0</v>
      </c>
      <c r="M222">
        <v>0</v>
      </c>
      <c r="N222">
        <v>1</v>
      </c>
      <c r="O222">
        <v>0</v>
      </c>
    </row>
    <row r="223" spans="1:15" x14ac:dyDescent="0.2">
      <c r="A223" s="1" t="str">
        <f>HYPERLINK("http://www.twitter.com/banuakdenizli/status/1601623981953789954", "1601623981953789954")</f>
        <v>1601623981953789954</v>
      </c>
      <c r="B223" t="s">
        <v>15</v>
      </c>
      <c r="C223" s="2">
        <v>44905.71166666667</v>
      </c>
      <c r="D223">
        <v>0</v>
      </c>
      <c r="E223">
        <v>11</v>
      </c>
      <c r="F223" t="s">
        <v>17</v>
      </c>
      <c r="G223" t="s">
        <v>271</v>
      </c>
      <c r="H223" t="str">
        <f>HYPERLINK("http://pbs.twimg.com/media/FjoNStfXwAEszge.jpg", "http://pbs.twimg.com/media/FjoNStfXwAEszge.jpg")</f>
        <v>http://pbs.twimg.com/media/FjoNStfXwAEszge.jpg</v>
      </c>
      <c r="L223">
        <v>0.36120000000000002</v>
      </c>
      <c r="M223">
        <v>0</v>
      </c>
      <c r="N223">
        <v>0.88400000000000001</v>
      </c>
      <c r="O223">
        <v>0.11600000000000001</v>
      </c>
    </row>
    <row r="224" spans="1:15" x14ac:dyDescent="0.2">
      <c r="A224" s="1" t="str">
        <f>HYPERLINK("http://www.twitter.com/banuakdenizli/status/1601622816868413440", "1601622816868413440")</f>
        <v>1601622816868413440</v>
      </c>
      <c r="B224" t="s">
        <v>15</v>
      </c>
      <c r="C224" s="2">
        <v>44905.708449074067</v>
      </c>
      <c r="D224">
        <v>0</v>
      </c>
      <c r="E224">
        <v>4</v>
      </c>
      <c r="F224" t="s">
        <v>16</v>
      </c>
      <c r="G224" t="s">
        <v>272</v>
      </c>
      <c r="H224" t="str">
        <f>HYPERLINK("http://pbs.twimg.com/media/FjRqy7AXwAEPXBv.jpg", "http://pbs.twimg.com/media/FjRqy7AXwAEPXBv.jpg")</f>
        <v>http://pbs.twimg.com/media/FjRqy7AXwAEPXBv.jpg</v>
      </c>
      <c r="I224" t="str">
        <f>HYPERLINK("http://pbs.twimg.com/media/FjRqy6-WIAETV6q.jpg", "http://pbs.twimg.com/media/FjRqy6-WIAETV6q.jpg")</f>
        <v>http://pbs.twimg.com/media/FjRqy6-WIAETV6q.jpg</v>
      </c>
      <c r="L224">
        <v>0</v>
      </c>
      <c r="M224">
        <v>0</v>
      </c>
      <c r="N224">
        <v>1</v>
      </c>
      <c r="O224">
        <v>0</v>
      </c>
    </row>
    <row r="225" spans="1:15" x14ac:dyDescent="0.2">
      <c r="A225" s="1" t="str">
        <f>HYPERLINK("http://www.twitter.com/banuakdenizli/status/1601622777022541824", "1601622777022541824")</f>
        <v>1601622777022541824</v>
      </c>
      <c r="B225" t="s">
        <v>15</v>
      </c>
      <c r="C225" s="2">
        <v>44905.708344907413</v>
      </c>
      <c r="D225">
        <v>0</v>
      </c>
      <c r="E225">
        <v>13</v>
      </c>
      <c r="F225" t="s">
        <v>16</v>
      </c>
      <c r="G225" t="s">
        <v>273</v>
      </c>
      <c r="H225" t="str">
        <f>HYPERLINK("http://pbs.twimg.com/media/FjTfvv4X0AIo5f1.jpg", "http://pbs.twimg.com/media/FjTfvv4X0AIo5f1.jpg")</f>
        <v>http://pbs.twimg.com/media/FjTfvv4X0AIo5f1.jpg</v>
      </c>
      <c r="L225">
        <v>0</v>
      </c>
      <c r="M225">
        <v>0</v>
      </c>
      <c r="N225">
        <v>1</v>
      </c>
      <c r="O225">
        <v>0</v>
      </c>
    </row>
    <row r="226" spans="1:15" x14ac:dyDescent="0.2">
      <c r="A226" s="1" t="str">
        <f>HYPERLINK("http://www.twitter.com/banuakdenizli/status/1601622711780118530", "1601622711780118530")</f>
        <v>1601622711780118530</v>
      </c>
      <c r="B226" t="s">
        <v>15</v>
      </c>
      <c r="C226" s="2">
        <v>44905.70815972222</v>
      </c>
      <c r="D226">
        <v>0</v>
      </c>
      <c r="E226">
        <v>5</v>
      </c>
      <c r="F226" t="s">
        <v>16</v>
      </c>
      <c r="G226" t="s">
        <v>274</v>
      </c>
      <c r="H226" t="str">
        <f>HYPERLINK("http://pbs.twimg.com/media/FjTgTlpXkAAS0IV.jpg", "http://pbs.twimg.com/media/FjTgTlpXkAAS0IV.jpg")</f>
        <v>http://pbs.twimg.com/media/FjTgTlpXkAAS0IV.jpg</v>
      </c>
      <c r="L226">
        <v>0</v>
      </c>
      <c r="M226">
        <v>0</v>
      </c>
      <c r="N226">
        <v>1</v>
      </c>
      <c r="O226">
        <v>0</v>
      </c>
    </row>
    <row r="227" spans="1:15" x14ac:dyDescent="0.2">
      <c r="A227" s="1" t="str">
        <f>HYPERLINK("http://www.twitter.com/banuakdenizli/status/1601622655492567041", "1601622655492567041")</f>
        <v>1601622655492567041</v>
      </c>
      <c r="B227" t="s">
        <v>15</v>
      </c>
      <c r="C227" s="2">
        <v>44905.708009259259</v>
      </c>
      <c r="D227">
        <v>0</v>
      </c>
      <c r="E227">
        <v>8</v>
      </c>
      <c r="F227" t="s">
        <v>16</v>
      </c>
      <c r="G227" t="s">
        <v>275</v>
      </c>
      <c r="H227" t="str">
        <f>HYPERLINK("http://pbs.twimg.com/media/FjTi4EqXkAEduxE.jpg", "http://pbs.twimg.com/media/FjTi4EqXkAEduxE.jpg")</f>
        <v>http://pbs.twimg.com/media/FjTi4EqXkAEduxE.jpg</v>
      </c>
      <c r="L227">
        <v>0</v>
      </c>
      <c r="M227">
        <v>0</v>
      </c>
      <c r="N227">
        <v>1</v>
      </c>
      <c r="O227">
        <v>0</v>
      </c>
    </row>
    <row r="228" spans="1:15" x14ac:dyDescent="0.2">
      <c r="A228" s="1" t="str">
        <f>HYPERLINK("http://www.twitter.com/banuakdenizli/status/1601622554715619329", "1601622554715619329")</f>
        <v>1601622554715619329</v>
      </c>
      <c r="B228" t="s">
        <v>15</v>
      </c>
      <c r="C228" s="2">
        <v>44905.707731481481</v>
      </c>
      <c r="D228">
        <v>0</v>
      </c>
      <c r="E228">
        <v>5</v>
      </c>
      <c r="F228" t="s">
        <v>16</v>
      </c>
      <c r="G228" t="s">
        <v>276</v>
      </c>
      <c r="H228" t="str">
        <f>HYPERLINK("http://pbs.twimg.com/media/FjUVBfWXEAANrV9.jpg", "http://pbs.twimg.com/media/FjUVBfWXEAANrV9.jpg")</f>
        <v>http://pbs.twimg.com/media/FjUVBfWXEAANrV9.jpg</v>
      </c>
      <c r="I228" t="str">
        <f>HYPERLINK("http://pbs.twimg.com/media/FjUVBfRWQAIBu6v.jpg", "http://pbs.twimg.com/media/FjUVBfRWQAIBu6v.jpg")</f>
        <v>http://pbs.twimg.com/media/FjUVBfRWQAIBu6v.jpg</v>
      </c>
      <c r="J228" t="str">
        <f>HYPERLINK("http://pbs.twimg.com/media/FjUVBfaWYAE9wX3.jpg", "http://pbs.twimg.com/media/FjUVBfaWYAE9wX3.jpg")</f>
        <v>http://pbs.twimg.com/media/FjUVBfaWYAE9wX3.jpg</v>
      </c>
      <c r="L228">
        <v>0</v>
      </c>
      <c r="M228">
        <v>0</v>
      </c>
      <c r="N228">
        <v>1</v>
      </c>
      <c r="O228">
        <v>0</v>
      </c>
    </row>
    <row r="229" spans="1:15" x14ac:dyDescent="0.2">
      <c r="A229" s="1" t="str">
        <f>HYPERLINK("http://www.twitter.com/banuakdenizli/status/1601622483169595394", "1601622483169595394")</f>
        <v>1601622483169595394</v>
      </c>
      <c r="B229" t="s">
        <v>15</v>
      </c>
      <c r="C229" s="2">
        <v>44905.70753472222</v>
      </c>
      <c r="D229">
        <v>0</v>
      </c>
      <c r="E229">
        <v>86</v>
      </c>
      <c r="F229" t="s">
        <v>28</v>
      </c>
      <c r="G229" t="s">
        <v>277</v>
      </c>
      <c r="H229" t="str">
        <f>HYPERLINK("http://pbs.twimg.com/media/FjctXv9WQAEWiHw.jpg", "http://pbs.twimg.com/media/FjctXv9WQAEWiHw.jpg")</f>
        <v>http://pbs.twimg.com/media/FjctXv9WQAEWiHw.jpg</v>
      </c>
      <c r="I229" t="str">
        <f>HYPERLINK("http://pbs.twimg.com/media/FjctXv6WIAArN2y.jpg", "http://pbs.twimg.com/media/FjctXv6WIAArN2y.jpg")</f>
        <v>http://pbs.twimg.com/media/FjctXv6WIAArN2y.jpg</v>
      </c>
      <c r="J229" t="str">
        <f>HYPERLINK("http://pbs.twimg.com/media/FjctXv5WQAEp87y.jpg", "http://pbs.twimg.com/media/FjctXv5WQAEp87y.jpg")</f>
        <v>http://pbs.twimg.com/media/FjctXv5WQAEp87y.jpg</v>
      </c>
      <c r="K229" t="str">
        <f>HYPERLINK("http://pbs.twimg.com/media/FjctXv3XEAEBvtG.jpg", "http://pbs.twimg.com/media/FjctXv3XEAEBvtG.jpg")</f>
        <v>http://pbs.twimg.com/media/FjctXv3XEAEBvtG.jpg</v>
      </c>
      <c r="L229">
        <v>0</v>
      </c>
      <c r="M229">
        <v>0</v>
      </c>
      <c r="N229">
        <v>1</v>
      </c>
      <c r="O229">
        <v>0</v>
      </c>
    </row>
    <row r="230" spans="1:15" x14ac:dyDescent="0.2">
      <c r="A230" s="1" t="str">
        <f>HYPERLINK("http://www.twitter.com/banuakdenizli/status/1601622461510201346", "1601622461510201346")</f>
        <v>1601622461510201346</v>
      </c>
      <c r="B230" t="s">
        <v>15</v>
      </c>
      <c r="C230" s="2">
        <v>44905.707476851851</v>
      </c>
      <c r="D230">
        <v>0</v>
      </c>
      <c r="E230">
        <v>878</v>
      </c>
      <c r="F230" t="s">
        <v>27</v>
      </c>
      <c r="G230" t="s">
        <v>278</v>
      </c>
      <c r="H230" t="str">
        <f>HYPERLINK("http://pbs.twimg.com/media/Fjc7f_bXwAEwgkn.jpg", "http://pbs.twimg.com/media/Fjc7f_bXwAEwgkn.jpg")</f>
        <v>http://pbs.twimg.com/media/Fjc7f_bXwAEwgkn.jpg</v>
      </c>
      <c r="L230">
        <v>0</v>
      </c>
      <c r="M230">
        <v>0</v>
      </c>
      <c r="N230">
        <v>1</v>
      </c>
      <c r="O230">
        <v>0</v>
      </c>
    </row>
    <row r="231" spans="1:15" x14ac:dyDescent="0.2">
      <c r="A231" s="1" t="str">
        <f>HYPERLINK("http://www.twitter.com/banuakdenizli/status/1601622449749008384", "1601622449749008384")</f>
        <v>1601622449749008384</v>
      </c>
      <c r="B231" t="s">
        <v>15</v>
      </c>
      <c r="C231" s="2">
        <v>44905.707442129627</v>
      </c>
      <c r="D231">
        <v>0</v>
      </c>
      <c r="E231">
        <v>56</v>
      </c>
      <c r="F231" t="s">
        <v>18</v>
      </c>
      <c r="G231" t="s">
        <v>279</v>
      </c>
      <c r="L231">
        <v>0</v>
      </c>
      <c r="M231">
        <v>0</v>
      </c>
      <c r="N231">
        <v>1</v>
      </c>
      <c r="O231">
        <v>0</v>
      </c>
    </row>
    <row r="232" spans="1:15" x14ac:dyDescent="0.2">
      <c r="A232" s="1" t="str">
        <f>HYPERLINK("http://www.twitter.com/banuakdenizli/status/1601622416228511744", "1601622416228511744")</f>
        <v>1601622416228511744</v>
      </c>
      <c r="B232" t="s">
        <v>15</v>
      </c>
      <c r="C232" s="2">
        <v>44905.707349537042</v>
      </c>
      <c r="D232">
        <v>0</v>
      </c>
      <c r="E232">
        <v>12</v>
      </c>
      <c r="F232" t="s">
        <v>16</v>
      </c>
      <c r="G232" t="s">
        <v>280</v>
      </c>
      <c r="H232" t="str">
        <f>HYPERLINK("http://pbs.twimg.com/media/FjdFF0HWYAA04d_.jpg", "http://pbs.twimg.com/media/FjdFF0HWYAA04d_.jpg")</f>
        <v>http://pbs.twimg.com/media/FjdFF0HWYAA04d_.jpg</v>
      </c>
      <c r="L232">
        <v>0</v>
      </c>
      <c r="M232">
        <v>0</v>
      </c>
      <c r="N232">
        <v>1</v>
      </c>
      <c r="O232">
        <v>0</v>
      </c>
    </row>
    <row r="233" spans="1:15" x14ac:dyDescent="0.2">
      <c r="A233" s="1" t="str">
        <f>HYPERLINK("http://www.twitter.com/banuakdenizli/status/1601622395764101121", "1601622395764101121")</f>
        <v>1601622395764101121</v>
      </c>
      <c r="B233" t="s">
        <v>15</v>
      </c>
      <c r="C233" s="2">
        <v>44905.707291666673</v>
      </c>
      <c r="D233">
        <v>0</v>
      </c>
      <c r="E233">
        <v>117</v>
      </c>
      <c r="F233" t="s">
        <v>28</v>
      </c>
      <c r="G233" t="s">
        <v>281</v>
      </c>
      <c r="L233">
        <v>0</v>
      </c>
      <c r="M233">
        <v>0</v>
      </c>
      <c r="N233">
        <v>1</v>
      </c>
      <c r="O233">
        <v>0</v>
      </c>
    </row>
    <row r="234" spans="1:15" x14ac:dyDescent="0.2">
      <c r="A234" s="1" t="str">
        <f>HYPERLINK("http://www.twitter.com/banuakdenizli/status/1601622356589703168", "1601622356589703168")</f>
        <v>1601622356589703168</v>
      </c>
      <c r="B234" t="s">
        <v>15</v>
      </c>
      <c r="C234" s="2">
        <v>44905.707187499997</v>
      </c>
      <c r="D234">
        <v>0</v>
      </c>
      <c r="E234">
        <v>6</v>
      </c>
      <c r="F234" t="s">
        <v>16</v>
      </c>
      <c r="G234" t="s">
        <v>282</v>
      </c>
      <c r="H234" t="str">
        <f>HYPERLINK("http://pbs.twimg.com/media/FjeX_N8XkBsjjko.jpg", "http://pbs.twimg.com/media/FjeX_N8XkBsjjko.jpg")</f>
        <v>http://pbs.twimg.com/media/FjeX_N8XkBsjjko.jpg</v>
      </c>
      <c r="L234">
        <v>0</v>
      </c>
      <c r="M234">
        <v>0</v>
      </c>
      <c r="N234">
        <v>1</v>
      </c>
      <c r="O234">
        <v>0</v>
      </c>
    </row>
    <row r="235" spans="1:15" x14ac:dyDescent="0.2">
      <c r="A235" s="1" t="str">
        <f>HYPERLINK("http://www.twitter.com/banuakdenizli/status/1601622308623646720", "1601622308623646720")</f>
        <v>1601622308623646720</v>
      </c>
      <c r="B235" t="s">
        <v>15</v>
      </c>
      <c r="C235" s="2">
        <v>44905.707048611112</v>
      </c>
      <c r="D235">
        <v>0</v>
      </c>
      <c r="E235">
        <v>7</v>
      </c>
      <c r="F235" t="s">
        <v>16</v>
      </c>
      <c r="G235" t="s">
        <v>283</v>
      </c>
      <c r="H235" t="str">
        <f>HYPERLINK("http://pbs.twimg.com/media/Fje4oWGWIAc0MU-.jpg", "http://pbs.twimg.com/media/Fje4oWGWIAc0MU-.jpg")</f>
        <v>http://pbs.twimg.com/media/Fje4oWGWIAc0MU-.jpg</v>
      </c>
      <c r="I235" t="str">
        <f>HYPERLINK("http://pbs.twimg.com/media/Fje4oWPXEAE5wdE.jpg", "http://pbs.twimg.com/media/Fje4oWPXEAE5wdE.jpg")</f>
        <v>http://pbs.twimg.com/media/Fje4oWPXEAE5wdE.jpg</v>
      </c>
      <c r="L235">
        <v>0</v>
      </c>
      <c r="M235">
        <v>0</v>
      </c>
      <c r="N235">
        <v>1</v>
      </c>
      <c r="O235">
        <v>0</v>
      </c>
    </row>
    <row r="236" spans="1:15" x14ac:dyDescent="0.2">
      <c r="A236" s="1" t="str">
        <f>HYPERLINK("http://www.twitter.com/banuakdenizli/status/1601622291065933825", "1601622291065933825")</f>
        <v>1601622291065933825</v>
      </c>
      <c r="B236" t="s">
        <v>15</v>
      </c>
      <c r="C236" s="2">
        <v>44905.707002314812</v>
      </c>
      <c r="D236">
        <v>0</v>
      </c>
      <c r="E236">
        <v>5</v>
      </c>
      <c r="F236" t="s">
        <v>16</v>
      </c>
      <c r="G236" t="s">
        <v>284</v>
      </c>
      <c r="H236" t="str">
        <f>HYPERLINK("http://pbs.twimg.com/media/Fje5YEuXkAAy3Kr.jpg", "http://pbs.twimg.com/media/Fje5YEuXkAAy3Kr.jpg")</f>
        <v>http://pbs.twimg.com/media/Fje5YEuXkAAy3Kr.jpg</v>
      </c>
      <c r="I236" t="str">
        <f>HYPERLINK("http://pbs.twimg.com/media/Fje5YEkWIBQyMUF.jpg", "http://pbs.twimg.com/media/Fje5YEkWIBQyMUF.jpg")</f>
        <v>http://pbs.twimg.com/media/Fje5YEkWIBQyMUF.jpg</v>
      </c>
      <c r="L236">
        <v>0</v>
      </c>
      <c r="M236">
        <v>0</v>
      </c>
      <c r="N236">
        <v>1</v>
      </c>
      <c r="O236">
        <v>0</v>
      </c>
    </row>
    <row r="237" spans="1:15" x14ac:dyDescent="0.2">
      <c r="A237" s="1" t="str">
        <f>HYPERLINK("http://www.twitter.com/banuakdenizli/status/1601622274863685635", "1601622274863685635")</f>
        <v>1601622274863685635</v>
      </c>
      <c r="B237" t="s">
        <v>15</v>
      </c>
      <c r="C237" s="2">
        <v>44905.706956018519</v>
      </c>
      <c r="D237">
        <v>0</v>
      </c>
      <c r="E237">
        <v>14</v>
      </c>
      <c r="F237" t="s">
        <v>16</v>
      </c>
      <c r="G237" t="s">
        <v>285</v>
      </c>
      <c r="H237" t="str">
        <f>HYPERLINK("http://pbs.twimg.com/media/FjgxshYWYAAdMQG.jpg", "http://pbs.twimg.com/media/FjgxshYWYAAdMQG.jpg")</f>
        <v>http://pbs.twimg.com/media/FjgxshYWYAAdMQG.jpg</v>
      </c>
      <c r="L237">
        <v>0</v>
      </c>
      <c r="M237">
        <v>0</v>
      </c>
      <c r="N237">
        <v>1</v>
      </c>
      <c r="O237">
        <v>0</v>
      </c>
    </row>
    <row r="238" spans="1:15" x14ac:dyDescent="0.2">
      <c r="A238" s="1" t="str">
        <f>HYPERLINK("http://www.twitter.com/banuakdenizli/status/1601622257918709760", "1601622257918709760")</f>
        <v>1601622257918709760</v>
      </c>
      <c r="B238" t="s">
        <v>15</v>
      </c>
      <c r="C238" s="2">
        <v>44905.706909722219</v>
      </c>
      <c r="D238">
        <v>0</v>
      </c>
      <c r="E238">
        <v>69</v>
      </c>
      <c r="F238" t="s">
        <v>28</v>
      </c>
      <c r="G238" t="s">
        <v>286</v>
      </c>
      <c r="L238">
        <v>0</v>
      </c>
      <c r="M238">
        <v>0</v>
      </c>
      <c r="N238">
        <v>1</v>
      </c>
      <c r="O238">
        <v>0</v>
      </c>
    </row>
    <row r="239" spans="1:15" x14ac:dyDescent="0.2">
      <c r="A239" s="1" t="str">
        <f>HYPERLINK("http://www.twitter.com/banuakdenizli/status/1601622230806720513", "1601622230806720513")</f>
        <v>1601622230806720513</v>
      </c>
      <c r="B239" t="s">
        <v>15</v>
      </c>
      <c r="C239" s="2">
        <v>44905.70684027778</v>
      </c>
      <c r="D239">
        <v>0</v>
      </c>
      <c r="E239">
        <v>78</v>
      </c>
      <c r="F239" t="s">
        <v>28</v>
      </c>
      <c r="G239" t="s">
        <v>287</v>
      </c>
      <c r="H239" t="str">
        <f>HYPERLINK("http://pbs.twimg.com/media/FjhXTW-XwAAmLn8.jpg", "http://pbs.twimg.com/media/FjhXTW-XwAAmLn8.jpg")</f>
        <v>http://pbs.twimg.com/media/FjhXTW-XwAAmLn8.jpg</v>
      </c>
      <c r="L239">
        <v>0</v>
      </c>
      <c r="M239">
        <v>0</v>
      </c>
      <c r="N239">
        <v>1</v>
      </c>
      <c r="O239">
        <v>0</v>
      </c>
    </row>
    <row r="240" spans="1:15" x14ac:dyDescent="0.2">
      <c r="A240" s="1" t="str">
        <f>HYPERLINK("http://www.twitter.com/banuakdenizli/status/1601622215933718528", "1601622215933718528")</f>
        <v>1601622215933718528</v>
      </c>
      <c r="B240" t="s">
        <v>15</v>
      </c>
      <c r="C240" s="2">
        <v>44905.706793981481</v>
      </c>
      <c r="D240">
        <v>0</v>
      </c>
      <c r="E240">
        <v>94</v>
      </c>
      <c r="F240" t="s">
        <v>28</v>
      </c>
      <c r="G240" t="s">
        <v>288</v>
      </c>
      <c r="H240" t="str">
        <f>HYPERLINK("http://pbs.twimg.com/media/FjhmYQpWIAEk6rA.jpg", "http://pbs.twimg.com/media/FjhmYQpWIAEk6rA.jpg")</f>
        <v>http://pbs.twimg.com/media/FjhmYQpWIAEk6rA.jpg</v>
      </c>
      <c r="I240" t="str">
        <f>HYPERLINK("http://pbs.twimg.com/media/FjhmYQrWQAAUK54.jpg", "http://pbs.twimg.com/media/FjhmYQrWQAAUK54.jpg")</f>
        <v>http://pbs.twimg.com/media/FjhmYQrWQAAUK54.jpg</v>
      </c>
      <c r="L240">
        <v>0</v>
      </c>
      <c r="M240">
        <v>0</v>
      </c>
      <c r="N240">
        <v>1</v>
      </c>
      <c r="O240">
        <v>0</v>
      </c>
    </row>
    <row r="241" spans="1:15" x14ac:dyDescent="0.2">
      <c r="A241" s="1" t="str">
        <f>HYPERLINK("http://www.twitter.com/banuakdenizli/status/1601622181112598528", "1601622181112598528")</f>
        <v>1601622181112598528</v>
      </c>
      <c r="B241" t="s">
        <v>15</v>
      </c>
      <c r="C241" s="2">
        <v>44905.706701388888</v>
      </c>
      <c r="D241">
        <v>0</v>
      </c>
      <c r="E241">
        <v>52</v>
      </c>
      <c r="F241" t="s">
        <v>28</v>
      </c>
      <c r="G241" t="s">
        <v>289</v>
      </c>
      <c r="H241" t="str">
        <f>HYPERLINK("http://pbs.twimg.com/media/FjiJSabWAAU3m0v.jpg", "http://pbs.twimg.com/media/FjiJSabWAAU3m0v.jpg")</f>
        <v>http://pbs.twimg.com/media/FjiJSabWAAU3m0v.jpg</v>
      </c>
      <c r="L241">
        <v>0</v>
      </c>
      <c r="M241">
        <v>0</v>
      </c>
      <c r="N241">
        <v>1</v>
      </c>
      <c r="O241">
        <v>0</v>
      </c>
    </row>
    <row r="242" spans="1:15" x14ac:dyDescent="0.2">
      <c r="A242" s="1" t="str">
        <f>HYPERLINK("http://www.twitter.com/banuakdenizli/status/1601622168953311234", "1601622168953311234")</f>
        <v>1601622168953311234</v>
      </c>
      <c r="B242" t="s">
        <v>15</v>
      </c>
      <c r="C242" s="2">
        <v>44905.706666666672</v>
      </c>
      <c r="D242">
        <v>0</v>
      </c>
      <c r="E242">
        <v>57</v>
      </c>
      <c r="F242" t="s">
        <v>28</v>
      </c>
      <c r="G242" t="s">
        <v>290</v>
      </c>
      <c r="H242" t="str">
        <f>HYPERLINK("http://pbs.twimg.com/media/FjigNtjWQAAjwDx.jpg", "http://pbs.twimg.com/media/FjigNtjWQAAjwDx.jpg")</f>
        <v>http://pbs.twimg.com/media/FjigNtjWQAAjwDx.jpg</v>
      </c>
      <c r="L242">
        <v>0</v>
      </c>
      <c r="M242">
        <v>0</v>
      </c>
      <c r="N242">
        <v>1</v>
      </c>
      <c r="O242">
        <v>0</v>
      </c>
    </row>
    <row r="243" spans="1:15" x14ac:dyDescent="0.2">
      <c r="A243" s="1" t="str">
        <f>HYPERLINK("http://www.twitter.com/banuakdenizli/status/1601622153669279744", "1601622153669279744")</f>
        <v>1601622153669279744</v>
      </c>
      <c r="B243" t="s">
        <v>15</v>
      </c>
      <c r="C243" s="2">
        <v>44905.706620370373</v>
      </c>
      <c r="D243">
        <v>0</v>
      </c>
      <c r="E243">
        <v>47</v>
      </c>
      <c r="F243" t="s">
        <v>28</v>
      </c>
      <c r="G243" t="s">
        <v>291</v>
      </c>
      <c r="L243">
        <v>0</v>
      </c>
      <c r="M243">
        <v>0</v>
      </c>
      <c r="N243">
        <v>1</v>
      </c>
      <c r="O243">
        <v>0</v>
      </c>
    </row>
    <row r="244" spans="1:15" x14ac:dyDescent="0.2">
      <c r="A244" s="1" t="str">
        <f>HYPERLINK("http://www.twitter.com/banuakdenizli/status/1601622105900351488", "1601622105900351488")</f>
        <v>1601622105900351488</v>
      </c>
      <c r="B244" t="s">
        <v>15</v>
      </c>
      <c r="C244" s="2">
        <v>44905.706493055557</v>
      </c>
      <c r="D244">
        <v>0</v>
      </c>
      <c r="E244">
        <v>2360</v>
      </c>
      <c r="F244" t="s">
        <v>27</v>
      </c>
      <c r="G244" t="s">
        <v>292</v>
      </c>
      <c r="H244" t="str">
        <f>HYPERLINK("http://pbs.twimg.com/media/FjjM0JvWYAYcpnQ.jpg", "http://pbs.twimg.com/media/FjjM0JvWYAYcpnQ.jpg")</f>
        <v>http://pbs.twimg.com/media/FjjM0JvWYAYcpnQ.jpg</v>
      </c>
      <c r="I244" t="str">
        <f>HYPERLINK("http://pbs.twimg.com/media/FjjM0JtX0AEVI9l.jpg", "http://pbs.twimg.com/media/FjjM0JtX0AEVI9l.jpg")</f>
        <v>http://pbs.twimg.com/media/FjjM0JtX0AEVI9l.jpg</v>
      </c>
      <c r="L244">
        <v>0</v>
      </c>
      <c r="M244">
        <v>0</v>
      </c>
      <c r="N244">
        <v>1</v>
      </c>
      <c r="O244">
        <v>0</v>
      </c>
    </row>
    <row r="245" spans="1:15" x14ac:dyDescent="0.2">
      <c r="A245" s="1" t="str">
        <f>HYPERLINK("http://www.twitter.com/banuakdenizli/status/1601622092759257090", "1601622092759257090")</f>
        <v>1601622092759257090</v>
      </c>
      <c r="B245" t="s">
        <v>15</v>
      </c>
      <c r="C245" s="2">
        <v>44905.706458333327</v>
      </c>
      <c r="D245">
        <v>0</v>
      </c>
      <c r="E245">
        <v>5</v>
      </c>
      <c r="F245" t="s">
        <v>16</v>
      </c>
      <c r="G245" t="s">
        <v>293</v>
      </c>
      <c r="H245" t="str">
        <f>HYPERLINK("http://pbs.twimg.com/media/FjjSCQNXgAANGgt.jpg", "http://pbs.twimg.com/media/FjjSCQNXgAANGgt.jpg")</f>
        <v>http://pbs.twimg.com/media/FjjSCQNXgAANGgt.jpg</v>
      </c>
      <c r="L245">
        <v>0</v>
      </c>
      <c r="M245">
        <v>0</v>
      </c>
      <c r="N245">
        <v>1</v>
      </c>
      <c r="O245">
        <v>0</v>
      </c>
    </row>
    <row r="246" spans="1:15" x14ac:dyDescent="0.2">
      <c r="A246" s="1" t="str">
        <f>HYPERLINK("http://www.twitter.com/banuakdenizli/status/1601622069090713603", "1601622069090713603")</f>
        <v>1601622069090713603</v>
      </c>
      <c r="B246" t="s">
        <v>15</v>
      </c>
      <c r="C246" s="2">
        <v>44905.706388888888</v>
      </c>
      <c r="D246">
        <v>0</v>
      </c>
      <c r="E246">
        <v>6</v>
      </c>
      <c r="F246" t="s">
        <v>16</v>
      </c>
      <c r="G246" t="s">
        <v>294</v>
      </c>
      <c r="H246" t="str">
        <f>HYPERLINK("http://pbs.twimg.com/media/FjjSo92XgAEvGGr.jpg", "http://pbs.twimg.com/media/FjjSo92XgAEvGGr.jpg")</f>
        <v>http://pbs.twimg.com/media/FjjSo92XgAEvGGr.jpg</v>
      </c>
      <c r="I246" t="str">
        <f>HYPERLINK("http://pbs.twimg.com/media/FjjSsVDXEAARVvy.jpg", "http://pbs.twimg.com/media/FjjSsVDXEAARVvy.jpg")</f>
        <v>http://pbs.twimg.com/media/FjjSsVDXEAARVvy.jpg</v>
      </c>
      <c r="L246">
        <v>0</v>
      </c>
      <c r="M246">
        <v>0</v>
      </c>
      <c r="N246">
        <v>1</v>
      </c>
      <c r="O246">
        <v>0</v>
      </c>
    </row>
    <row r="247" spans="1:15" x14ac:dyDescent="0.2">
      <c r="A247" s="1" t="str">
        <f>HYPERLINK("http://www.twitter.com/banuakdenizli/status/1601622056583385089", "1601622056583385089")</f>
        <v>1601622056583385089</v>
      </c>
      <c r="B247" t="s">
        <v>15</v>
      </c>
      <c r="C247" s="2">
        <v>44905.706354166658</v>
      </c>
      <c r="D247">
        <v>0</v>
      </c>
      <c r="E247">
        <v>5</v>
      </c>
      <c r="F247" t="s">
        <v>16</v>
      </c>
      <c r="G247" t="s">
        <v>295</v>
      </c>
      <c r="H247" t="str">
        <f>HYPERLINK("http://pbs.twimg.com/media/FjjTbHxWIAQSGYB.jpg", "http://pbs.twimg.com/media/FjjTbHxWIAQSGYB.jpg")</f>
        <v>http://pbs.twimg.com/media/FjjTbHxWIAQSGYB.jpg</v>
      </c>
      <c r="I247" t="str">
        <f>HYPERLINK("http://pbs.twimg.com/media/FjjTbH3WQAMlyPz.jpg", "http://pbs.twimg.com/media/FjjTbH3WQAMlyPz.jpg")</f>
        <v>http://pbs.twimg.com/media/FjjTbH3WQAMlyPz.jpg</v>
      </c>
      <c r="L247">
        <v>0</v>
      </c>
      <c r="M247">
        <v>0</v>
      </c>
      <c r="N247">
        <v>1</v>
      </c>
      <c r="O247">
        <v>0</v>
      </c>
    </row>
    <row r="248" spans="1:15" x14ac:dyDescent="0.2">
      <c r="A248" s="1" t="str">
        <f>HYPERLINK("http://www.twitter.com/banuakdenizli/status/1601622016729096192", "1601622016729096192")</f>
        <v>1601622016729096192</v>
      </c>
      <c r="B248" t="s">
        <v>15</v>
      </c>
      <c r="C248" s="2">
        <v>44905.706250000003</v>
      </c>
      <c r="D248">
        <v>0</v>
      </c>
      <c r="E248">
        <v>880</v>
      </c>
      <c r="F248" t="s">
        <v>27</v>
      </c>
      <c r="G248" t="s">
        <v>296</v>
      </c>
      <c r="H248" t="str">
        <f>HYPERLINK("http://pbs.twimg.com/media/FjjX8Y1WAAEQwGv.jpg", "http://pbs.twimg.com/media/FjjX8Y1WAAEQwGv.jpg")</f>
        <v>http://pbs.twimg.com/media/FjjX8Y1WAAEQwGv.jpg</v>
      </c>
      <c r="L248">
        <v>0</v>
      </c>
      <c r="M248">
        <v>0</v>
      </c>
      <c r="N248">
        <v>1</v>
      </c>
      <c r="O248">
        <v>0</v>
      </c>
    </row>
    <row r="249" spans="1:15" x14ac:dyDescent="0.2">
      <c r="A249" s="1" t="str">
        <f>HYPERLINK("http://www.twitter.com/banuakdenizli/status/1601622003496415235", "1601622003496415235")</f>
        <v>1601622003496415235</v>
      </c>
      <c r="B249" t="s">
        <v>15</v>
      </c>
      <c r="C249" s="2">
        <v>44905.706203703703</v>
      </c>
      <c r="D249">
        <v>0</v>
      </c>
      <c r="E249">
        <v>12</v>
      </c>
      <c r="F249" t="s">
        <v>16</v>
      </c>
      <c r="G249" t="s">
        <v>297</v>
      </c>
      <c r="H249" t="str">
        <f>HYPERLINK("http://pbs.twimg.com/media/Fjm6VqkXwAIprIw.jpg", "http://pbs.twimg.com/media/Fjm6VqkXwAIprIw.jpg")</f>
        <v>http://pbs.twimg.com/media/Fjm6VqkXwAIprIw.jpg</v>
      </c>
      <c r="L249">
        <v>0</v>
      </c>
      <c r="M249">
        <v>0</v>
      </c>
      <c r="N249">
        <v>1</v>
      </c>
      <c r="O249">
        <v>0</v>
      </c>
    </row>
    <row r="250" spans="1:15" x14ac:dyDescent="0.2">
      <c r="A250" s="1" t="str">
        <f>HYPERLINK("http://www.twitter.com/banuakdenizli/status/1601621960475037698", "1601621960475037698")</f>
        <v>1601621960475037698</v>
      </c>
      <c r="B250" t="s">
        <v>15</v>
      </c>
      <c r="C250" s="2">
        <v>44905.706087962957</v>
      </c>
      <c r="D250">
        <v>0</v>
      </c>
      <c r="E250">
        <v>8</v>
      </c>
      <c r="F250" t="s">
        <v>16</v>
      </c>
      <c r="G250" t="s">
        <v>298</v>
      </c>
      <c r="H250" t="str">
        <f>HYPERLINK("http://pbs.twimg.com/media/Fjnk3oCWIAAqeEv.jpg", "http://pbs.twimg.com/media/Fjnk3oCWIAAqeEv.jpg")</f>
        <v>http://pbs.twimg.com/media/Fjnk3oCWIAAqeEv.jpg</v>
      </c>
      <c r="L250">
        <v>0</v>
      </c>
      <c r="M250">
        <v>0</v>
      </c>
      <c r="N250">
        <v>1</v>
      </c>
      <c r="O250">
        <v>0</v>
      </c>
    </row>
    <row r="251" spans="1:15" x14ac:dyDescent="0.2">
      <c r="A251" s="1" t="str">
        <f>HYPERLINK("http://www.twitter.com/banuakdenizli/status/1601621931362766848", "1601621931362766848")</f>
        <v>1601621931362766848</v>
      </c>
      <c r="B251" t="s">
        <v>15</v>
      </c>
      <c r="C251" s="2">
        <v>44905.706006944441</v>
      </c>
      <c r="D251">
        <v>0</v>
      </c>
      <c r="E251">
        <v>9</v>
      </c>
      <c r="F251" t="s">
        <v>16</v>
      </c>
      <c r="G251" t="s">
        <v>299</v>
      </c>
      <c r="H251" t="str">
        <f>HYPERLINK("http://pbs.twimg.com/media/Fjn7nGqXkAIlfFs.jpg", "http://pbs.twimg.com/media/Fjn7nGqXkAIlfFs.jpg")</f>
        <v>http://pbs.twimg.com/media/Fjn7nGqXkAIlfFs.jpg</v>
      </c>
      <c r="L251">
        <v>0</v>
      </c>
      <c r="M251">
        <v>0</v>
      </c>
      <c r="N251">
        <v>1</v>
      </c>
      <c r="O251">
        <v>0</v>
      </c>
    </row>
    <row r="252" spans="1:15" x14ac:dyDescent="0.2">
      <c r="A252" s="1" t="str">
        <f>HYPERLINK("http://www.twitter.com/banuakdenizli/status/1601621885849960448", "1601621885849960448")</f>
        <v>1601621885849960448</v>
      </c>
      <c r="B252" t="s">
        <v>15</v>
      </c>
      <c r="C252" s="2">
        <v>44905.705879629633</v>
      </c>
      <c r="D252">
        <v>0</v>
      </c>
      <c r="E252">
        <v>13</v>
      </c>
      <c r="F252" t="s">
        <v>16</v>
      </c>
      <c r="G252" t="s">
        <v>300</v>
      </c>
      <c r="H252" t="str">
        <f>HYPERLINK("http://pbs.twimg.com/media/Fjn82NgXgAEl1tI.jpg", "http://pbs.twimg.com/media/Fjn82NgXgAEl1tI.jpg")</f>
        <v>http://pbs.twimg.com/media/Fjn82NgXgAEl1tI.jpg</v>
      </c>
      <c r="L252">
        <v>0</v>
      </c>
      <c r="M252">
        <v>0</v>
      </c>
      <c r="N252">
        <v>1</v>
      </c>
      <c r="O252">
        <v>0</v>
      </c>
    </row>
    <row r="253" spans="1:15" x14ac:dyDescent="0.2">
      <c r="A253" s="1" t="str">
        <f>HYPERLINK("http://www.twitter.com/banuakdenizli/status/1601621786398838785", "1601621786398838785")</f>
        <v>1601621786398838785</v>
      </c>
      <c r="B253" t="s">
        <v>15</v>
      </c>
      <c r="C253" s="2">
        <v>44905.705613425933</v>
      </c>
      <c r="D253">
        <v>0</v>
      </c>
      <c r="E253">
        <v>21</v>
      </c>
      <c r="F253" t="s">
        <v>19</v>
      </c>
      <c r="G253" t="s">
        <v>301</v>
      </c>
      <c r="L253">
        <v>0.80740000000000001</v>
      </c>
      <c r="M253">
        <v>0</v>
      </c>
      <c r="N253">
        <v>0.83899999999999997</v>
      </c>
      <c r="O253">
        <v>0.161</v>
      </c>
    </row>
    <row r="254" spans="1:15" x14ac:dyDescent="0.2">
      <c r="A254" s="1" t="str">
        <f>HYPERLINK("http://www.twitter.com/banuakdenizli/status/1601621765029269504", "1601621765029269504")</f>
        <v>1601621765029269504</v>
      </c>
      <c r="B254" t="s">
        <v>15</v>
      </c>
      <c r="C254" s="2">
        <v>44905.705555555563</v>
      </c>
      <c r="D254">
        <v>0</v>
      </c>
      <c r="E254">
        <v>6</v>
      </c>
      <c r="F254" t="s">
        <v>17</v>
      </c>
      <c r="G254" t="s">
        <v>302</v>
      </c>
      <c r="H254" t="str">
        <f>HYPERLINK("http://pbs.twimg.com/media/FjYSE87XgAAYBR8.jpg", "http://pbs.twimg.com/media/FjYSE87XgAAYBR8.jpg")</f>
        <v>http://pbs.twimg.com/media/FjYSE87XgAAYBR8.jpg</v>
      </c>
      <c r="I254" t="str">
        <f>HYPERLINK("http://pbs.twimg.com/media/FjYSE88XEAUyu3f.jpg", "http://pbs.twimg.com/media/FjYSE88XEAUyu3f.jpg")</f>
        <v>http://pbs.twimg.com/media/FjYSE88XEAUyu3f.jpg</v>
      </c>
      <c r="J254" t="str">
        <f>HYPERLINK("http://pbs.twimg.com/media/FjYSE9JX0AEDdgo.jpg", "http://pbs.twimg.com/media/FjYSE9JX0AEDdgo.jpg")</f>
        <v>http://pbs.twimg.com/media/FjYSE9JX0AEDdgo.jpg</v>
      </c>
      <c r="K254" t="str">
        <f>HYPERLINK("http://pbs.twimg.com/media/FjYSE9BWYAArufa.jpg", "http://pbs.twimg.com/media/FjYSE9BWYAArufa.jpg")</f>
        <v>http://pbs.twimg.com/media/FjYSE9BWYAArufa.jpg</v>
      </c>
      <c r="L254">
        <v>0.55740000000000001</v>
      </c>
      <c r="M254">
        <v>0</v>
      </c>
      <c r="N254">
        <v>0.78300000000000003</v>
      </c>
      <c r="O254">
        <v>0.217</v>
      </c>
    </row>
    <row r="255" spans="1:15" x14ac:dyDescent="0.2">
      <c r="A255" s="1" t="str">
        <f>HYPERLINK("http://www.twitter.com/banuakdenizli/status/1601621745768681474", "1601621745768681474")</f>
        <v>1601621745768681474</v>
      </c>
      <c r="B255" t="s">
        <v>15</v>
      </c>
      <c r="C255" s="2">
        <v>44905.705497685187</v>
      </c>
      <c r="D255">
        <v>0</v>
      </c>
      <c r="E255">
        <v>8</v>
      </c>
      <c r="F255" t="s">
        <v>17</v>
      </c>
      <c r="G255" t="s">
        <v>303</v>
      </c>
      <c r="H255" t="str">
        <f>HYPERLINK("http://pbs.twimg.com/media/FjXjINSX0AA5cQt.jpg", "http://pbs.twimg.com/media/FjXjINSX0AA5cQt.jpg")</f>
        <v>http://pbs.twimg.com/media/FjXjINSX0AA5cQt.jpg</v>
      </c>
      <c r="I255" t="str">
        <f>HYPERLINK("http://pbs.twimg.com/media/FjXjIPrWIAAU1vt.jpg", "http://pbs.twimg.com/media/FjXjIPrWIAAU1vt.jpg")</f>
        <v>http://pbs.twimg.com/media/FjXjIPrWIAAU1vt.jpg</v>
      </c>
      <c r="L255">
        <v>0</v>
      </c>
      <c r="M255">
        <v>0</v>
      </c>
      <c r="N255">
        <v>1</v>
      </c>
      <c r="O255">
        <v>0</v>
      </c>
    </row>
    <row r="256" spans="1:15" x14ac:dyDescent="0.2">
      <c r="A256" s="1" t="str">
        <f>HYPERLINK("http://www.twitter.com/banuakdenizli/status/1601621731101528066", "1601621731101528066")</f>
        <v>1601621731101528066</v>
      </c>
      <c r="B256" t="s">
        <v>15</v>
      </c>
      <c r="C256" s="2">
        <v>44905.705462962957</v>
      </c>
      <c r="D256">
        <v>0</v>
      </c>
      <c r="E256">
        <v>27</v>
      </c>
      <c r="F256" t="s">
        <v>18</v>
      </c>
      <c r="G256" t="s">
        <v>304</v>
      </c>
      <c r="H256" t="str">
        <f>HYPERLINK("http://pbs.twimg.com/media/FjY2jyOWYAgNUkJ.jpg", "http://pbs.twimg.com/media/FjY2jyOWYAgNUkJ.jpg")</f>
        <v>http://pbs.twimg.com/media/FjY2jyOWYAgNUkJ.jpg</v>
      </c>
      <c r="L256">
        <v>0.44040000000000001</v>
      </c>
      <c r="M256">
        <v>0</v>
      </c>
      <c r="N256">
        <v>0.91900000000000004</v>
      </c>
      <c r="O256">
        <v>8.1000000000000003E-2</v>
      </c>
    </row>
    <row r="257" spans="1:15" x14ac:dyDescent="0.2">
      <c r="A257" s="1" t="str">
        <f>HYPERLINK("http://www.twitter.com/banuakdenizli/status/1601621664961564673", "1601621664961564673")</f>
        <v>1601621664961564673</v>
      </c>
      <c r="B257" t="s">
        <v>15</v>
      </c>
      <c r="C257" s="2">
        <v>44905.705277777779</v>
      </c>
      <c r="D257">
        <v>0</v>
      </c>
      <c r="E257">
        <v>6</v>
      </c>
      <c r="F257" t="s">
        <v>16</v>
      </c>
      <c r="G257" t="s">
        <v>305</v>
      </c>
      <c r="H257" t="str">
        <f>HYPERLINK("http://pbs.twimg.com/media/FjWzr1NXgAEFYls.jpg", "http://pbs.twimg.com/media/FjWzr1NXgAEFYls.jpg")</f>
        <v>http://pbs.twimg.com/media/FjWzr1NXgAEFYls.jpg</v>
      </c>
      <c r="L257">
        <v>0</v>
      </c>
      <c r="M257">
        <v>0</v>
      </c>
      <c r="N257">
        <v>1</v>
      </c>
      <c r="O257">
        <v>0</v>
      </c>
    </row>
    <row r="258" spans="1:15" x14ac:dyDescent="0.2">
      <c r="A258" s="1" t="str">
        <f>HYPERLINK("http://www.twitter.com/banuakdenizli/status/1601621646166458368", "1601621646166458368")</f>
        <v>1601621646166458368</v>
      </c>
      <c r="B258" t="s">
        <v>15</v>
      </c>
      <c r="C258" s="2">
        <v>44905.70521990741</v>
      </c>
      <c r="D258">
        <v>0</v>
      </c>
      <c r="E258">
        <v>58</v>
      </c>
      <c r="F258" t="s">
        <v>18</v>
      </c>
      <c r="G258" t="s">
        <v>306</v>
      </c>
      <c r="H258" t="str">
        <f>HYPERLINK("http://pbs.twimg.com/media/FjYuwR_XwAEeBp-.jpg", "http://pbs.twimg.com/media/FjYuwR_XwAEeBp-.jpg")</f>
        <v>http://pbs.twimg.com/media/FjYuwR_XwAEeBp-.jpg</v>
      </c>
      <c r="L258">
        <v>0</v>
      </c>
      <c r="M258">
        <v>0</v>
      </c>
      <c r="N258">
        <v>1</v>
      </c>
      <c r="O258">
        <v>0</v>
      </c>
    </row>
    <row r="259" spans="1:15" x14ac:dyDescent="0.2">
      <c r="A259" s="1" t="str">
        <f>HYPERLINK("http://www.twitter.com/banuakdenizli/status/1601621632430505984", "1601621632430505984")</f>
        <v>1601621632430505984</v>
      </c>
      <c r="B259" t="s">
        <v>15</v>
      </c>
      <c r="C259" s="2">
        <v>44905.705185185187</v>
      </c>
      <c r="D259">
        <v>0</v>
      </c>
      <c r="E259">
        <v>11</v>
      </c>
      <c r="F259" t="s">
        <v>16</v>
      </c>
      <c r="G259" t="s">
        <v>307</v>
      </c>
      <c r="H259" t="str">
        <f>HYPERLINK("https://video.twimg.com/ext_tw_video/1600480281923932161/pu/vid/1280x720/ly51fGVUfJhJQ2-l.mp4?tag=12", "https://video.twimg.com/ext_tw_video/1600480281923932161/pu/vid/1280x720/ly51fGVUfJhJQ2-l.mp4?tag=12")</f>
        <v>https://video.twimg.com/ext_tw_video/1600480281923932161/pu/vid/1280x720/ly51fGVUfJhJQ2-l.mp4?tag=12</v>
      </c>
      <c r="L259">
        <v>0</v>
      </c>
      <c r="M259">
        <v>0</v>
      </c>
      <c r="N259">
        <v>1</v>
      </c>
      <c r="O259">
        <v>0</v>
      </c>
    </row>
    <row r="260" spans="1:15" x14ac:dyDescent="0.2">
      <c r="A260" s="1" t="str">
        <f>HYPERLINK("http://www.twitter.com/banuakdenizli/status/1601621613421957121", "1601621613421957121")</f>
        <v>1601621613421957121</v>
      </c>
      <c r="B260" t="s">
        <v>15</v>
      </c>
      <c r="C260" s="2">
        <v>44905.705127314817</v>
      </c>
      <c r="D260">
        <v>0</v>
      </c>
      <c r="E260">
        <v>9</v>
      </c>
      <c r="F260" t="s">
        <v>16</v>
      </c>
      <c r="G260" t="s">
        <v>308</v>
      </c>
      <c r="H260" t="str">
        <f>HYPERLINK("http://pbs.twimg.com/media/FjW1i69XkAA7Qk6.jpg", "http://pbs.twimg.com/media/FjW1i69XkAA7Qk6.jpg")</f>
        <v>http://pbs.twimg.com/media/FjW1i69XkAA7Qk6.jpg</v>
      </c>
      <c r="I260" t="str">
        <f>HYPERLINK("http://pbs.twimg.com/media/FjW1i7BWIAAyMJa.jpg", "http://pbs.twimg.com/media/FjW1i7BWIAAyMJa.jpg")</f>
        <v>http://pbs.twimg.com/media/FjW1i7BWIAAyMJa.jpg</v>
      </c>
      <c r="L260">
        <v>0</v>
      </c>
      <c r="M260">
        <v>0</v>
      </c>
      <c r="N260">
        <v>1</v>
      </c>
      <c r="O260">
        <v>0</v>
      </c>
    </row>
    <row r="261" spans="1:15" x14ac:dyDescent="0.2">
      <c r="A261" s="1" t="str">
        <f>HYPERLINK("http://www.twitter.com/banuakdenizli/status/1601621599236812804", "1601621599236812804")</f>
        <v>1601621599236812804</v>
      </c>
      <c r="B261" t="s">
        <v>15</v>
      </c>
      <c r="C261" s="2">
        <v>44905.705092592587</v>
      </c>
      <c r="D261">
        <v>0</v>
      </c>
      <c r="E261">
        <v>13</v>
      </c>
      <c r="F261" t="s">
        <v>16</v>
      </c>
      <c r="G261" t="s">
        <v>309</v>
      </c>
      <c r="H261" t="str">
        <f>HYPERLINK("http://pbs.twimg.com/media/FjYDwkmXkAEEwXH.jpg", "http://pbs.twimg.com/media/FjYDwkmXkAEEwXH.jpg")</f>
        <v>http://pbs.twimg.com/media/FjYDwkmXkAEEwXH.jpg</v>
      </c>
      <c r="I261" t="str">
        <f>HYPERLINK("http://pbs.twimg.com/media/FjYDwkfX0AACn7j.jpg", "http://pbs.twimg.com/media/FjYDwkfX0AACn7j.jpg")</f>
        <v>http://pbs.twimg.com/media/FjYDwkfX0AACn7j.jpg</v>
      </c>
      <c r="J261" t="str">
        <f>HYPERLINK("http://pbs.twimg.com/media/FjYDwkfXkAMt_Rj.jpg", "http://pbs.twimg.com/media/FjYDwkfXkAMt_Rj.jpg")</f>
        <v>http://pbs.twimg.com/media/FjYDwkfXkAMt_Rj.jpg</v>
      </c>
      <c r="K261" t="str">
        <f>HYPERLINK("http://pbs.twimg.com/media/FjYDwkjXwAAzApW.jpg", "http://pbs.twimg.com/media/FjYDwkjXwAAzApW.jpg")</f>
        <v>http://pbs.twimg.com/media/FjYDwkjXwAAzApW.jpg</v>
      </c>
      <c r="L261">
        <v>0</v>
      </c>
      <c r="M261">
        <v>0</v>
      </c>
      <c r="N261">
        <v>1</v>
      </c>
      <c r="O261">
        <v>0</v>
      </c>
    </row>
    <row r="262" spans="1:15" x14ac:dyDescent="0.2">
      <c r="A262" s="1" t="str">
        <f>HYPERLINK("http://www.twitter.com/banuakdenizli/status/1599950917943455744", "1599950917943455744")</f>
        <v>1599950917943455744</v>
      </c>
      <c r="B262" t="s">
        <v>15</v>
      </c>
      <c r="C262" s="2">
        <v>44901.094895833332</v>
      </c>
      <c r="D262">
        <v>0</v>
      </c>
      <c r="E262">
        <v>9</v>
      </c>
      <c r="F262" t="s">
        <v>17</v>
      </c>
      <c r="G262" t="s">
        <v>310</v>
      </c>
      <c r="H262" t="str">
        <f>HYPERLINK("http://pbs.twimg.com/media/FjOjd5uWYAAYLGk.jpg", "http://pbs.twimg.com/media/FjOjd5uWYAAYLGk.jpg")</f>
        <v>http://pbs.twimg.com/media/FjOjd5uWYAAYLGk.jpg</v>
      </c>
      <c r="L262">
        <v>0.70960000000000001</v>
      </c>
      <c r="M262">
        <v>0</v>
      </c>
      <c r="N262">
        <v>0.629</v>
      </c>
      <c r="O262">
        <v>0.371</v>
      </c>
    </row>
    <row r="263" spans="1:15" x14ac:dyDescent="0.2">
      <c r="A263" s="1" t="str">
        <f>HYPERLINK("http://www.twitter.com/banuakdenizli/status/1599950895814701056", "1599950895814701056")</f>
        <v>1599950895814701056</v>
      </c>
      <c r="B263" t="s">
        <v>15</v>
      </c>
      <c r="C263" s="2">
        <v>44901.094826388893</v>
      </c>
      <c r="D263">
        <v>0</v>
      </c>
      <c r="E263">
        <v>2894</v>
      </c>
      <c r="F263" t="s">
        <v>27</v>
      </c>
      <c r="G263" t="s">
        <v>311</v>
      </c>
      <c r="H263" t="str">
        <f>HYPERLINK("http://pbs.twimg.com/media/FjNduwXWIAIVEqm.jpg", "http://pbs.twimg.com/media/FjNduwXWIAIVEqm.jpg")</f>
        <v>http://pbs.twimg.com/media/FjNduwXWIAIVEqm.jpg</v>
      </c>
      <c r="I263" t="str">
        <f>HYPERLINK("http://pbs.twimg.com/media/FjNduwUX0AILiMW.jpg", "http://pbs.twimg.com/media/FjNduwUX0AILiMW.jpg")</f>
        <v>http://pbs.twimg.com/media/FjNduwUX0AILiMW.jpg</v>
      </c>
      <c r="L263">
        <v>0</v>
      </c>
      <c r="M263">
        <v>0</v>
      </c>
      <c r="N263">
        <v>1</v>
      </c>
      <c r="O263">
        <v>0</v>
      </c>
    </row>
    <row r="264" spans="1:15" x14ac:dyDescent="0.2">
      <c r="A264" s="1" t="str">
        <f>HYPERLINK("http://www.twitter.com/banuakdenizli/status/1599950814919159810", "1599950814919159810")</f>
        <v>1599950814919159810</v>
      </c>
      <c r="B264" t="s">
        <v>15</v>
      </c>
      <c r="C264" s="2">
        <v>44901.094606481478</v>
      </c>
      <c r="D264">
        <v>0</v>
      </c>
      <c r="E264">
        <v>2</v>
      </c>
      <c r="F264" t="s">
        <v>20</v>
      </c>
      <c r="G264" t="s">
        <v>312</v>
      </c>
      <c r="H264" t="str">
        <f>HYPERLINK("http://pbs.twimg.com/media/FjOTk2KXEAI-X0S.jpg", "http://pbs.twimg.com/media/FjOTk2KXEAI-X0S.jpg")</f>
        <v>http://pbs.twimg.com/media/FjOTk2KXEAI-X0S.jpg</v>
      </c>
      <c r="L264">
        <v>0</v>
      </c>
      <c r="M264">
        <v>0</v>
      </c>
      <c r="N264">
        <v>1</v>
      </c>
      <c r="O264">
        <v>0</v>
      </c>
    </row>
    <row r="265" spans="1:15" x14ac:dyDescent="0.2">
      <c r="A265" s="1" t="str">
        <f>HYPERLINK("http://www.twitter.com/banuakdenizli/status/1599950787391934464", "1599950787391934464")</f>
        <v>1599950787391934464</v>
      </c>
      <c r="B265" t="s">
        <v>15</v>
      </c>
      <c r="C265" s="2">
        <v>44901.094537037039</v>
      </c>
      <c r="D265">
        <v>0</v>
      </c>
      <c r="E265">
        <v>8</v>
      </c>
      <c r="F265" t="s">
        <v>17</v>
      </c>
      <c r="G265" t="s">
        <v>313</v>
      </c>
      <c r="H265" t="str">
        <f>HYPERLINK("http://pbs.twimg.com/media/FjNZtbXWQAAu57m.jpg", "http://pbs.twimg.com/media/FjNZtbXWQAAu57m.jpg")</f>
        <v>http://pbs.twimg.com/media/FjNZtbXWQAAu57m.jpg</v>
      </c>
      <c r="L265">
        <v>0.44040000000000001</v>
      </c>
      <c r="M265">
        <v>0</v>
      </c>
      <c r="N265">
        <v>0.83799999999999997</v>
      </c>
      <c r="O265">
        <v>0.16200000000000001</v>
      </c>
    </row>
    <row r="266" spans="1:15" x14ac:dyDescent="0.2">
      <c r="A266" s="1" t="str">
        <f>HYPERLINK("http://www.twitter.com/banuakdenizli/status/1599950774993186816", "1599950774993186816")</f>
        <v>1599950774993186816</v>
      </c>
      <c r="B266" t="s">
        <v>15</v>
      </c>
      <c r="C266" s="2">
        <v>44901.094502314823</v>
      </c>
      <c r="D266">
        <v>0</v>
      </c>
      <c r="E266">
        <v>7</v>
      </c>
      <c r="F266" t="s">
        <v>16</v>
      </c>
      <c r="G266" t="s">
        <v>314</v>
      </c>
      <c r="H266" t="str">
        <f>HYPERLINK("http://pbs.twimg.com/media/FjNJm_0WQAg1ndj.jpg", "http://pbs.twimg.com/media/FjNJm_0WQAg1ndj.jpg")</f>
        <v>http://pbs.twimg.com/media/FjNJm_0WQAg1ndj.jpg</v>
      </c>
      <c r="L266">
        <v>0</v>
      </c>
      <c r="M266">
        <v>0</v>
      </c>
      <c r="N266">
        <v>1</v>
      </c>
      <c r="O266">
        <v>0</v>
      </c>
    </row>
    <row r="267" spans="1:15" x14ac:dyDescent="0.2">
      <c r="A267" s="1" t="str">
        <f>HYPERLINK("http://www.twitter.com/banuakdenizli/status/1599950728759427072", "1599950728759427072")</f>
        <v>1599950728759427072</v>
      </c>
      <c r="B267" t="s">
        <v>15</v>
      </c>
      <c r="C267" s="2">
        <v>44901.094375000001</v>
      </c>
      <c r="D267">
        <v>0</v>
      </c>
      <c r="E267">
        <v>9</v>
      </c>
      <c r="F267" t="s">
        <v>16</v>
      </c>
      <c r="G267" t="s">
        <v>315</v>
      </c>
      <c r="H267" t="str">
        <f>HYPERLINK("http://pbs.twimg.com/media/FjONsRPWIAIEe3C.jpg", "http://pbs.twimg.com/media/FjONsRPWIAIEe3C.jpg")</f>
        <v>http://pbs.twimg.com/media/FjONsRPWIAIEe3C.jpg</v>
      </c>
      <c r="L267">
        <v>0</v>
      </c>
      <c r="M267">
        <v>0</v>
      </c>
      <c r="N267">
        <v>1</v>
      </c>
      <c r="O267">
        <v>0</v>
      </c>
    </row>
    <row r="268" spans="1:15" x14ac:dyDescent="0.2">
      <c r="A268" s="1" t="str">
        <f>HYPERLINK("http://www.twitter.com/banuakdenizli/status/1599950577601228800", "1599950577601228800")</f>
        <v>1599950577601228800</v>
      </c>
      <c r="B268" t="s">
        <v>15</v>
      </c>
      <c r="C268" s="2">
        <v>44901.093958333331</v>
      </c>
      <c r="D268">
        <v>0</v>
      </c>
      <c r="E268">
        <v>386</v>
      </c>
      <c r="F268" t="s">
        <v>28</v>
      </c>
      <c r="G268" t="s">
        <v>316</v>
      </c>
      <c r="H268" t="str">
        <f>HYPERLINK("https://video.twimg.com/ext_tw_video/1599803617195839493/pu/vid/1280x720/xRuconil493M21OR.mp4?tag=12", "https://video.twimg.com/ext_tw_video/1599803617195839493/pu/vid/1280x720/xRuconil493M21OR.mp4?tag=12")</f>
        <v>https://video.twimg.com/ext_tw_video/1599803617195839493/pu/vid/1280x720/xRuconil493M21OR.mp4?tag=12</v>
      </c>
      <c r="L268">
        <v>0</v>
      </c>
      <c r="M268">
        <v>0</v>
      </c>
      <c r="N268">
        <v>1</v>
      </c>
      <c r="O268">
        <v>0</v>
      </c>
    </row>
    <row r="269" spans="1:15" x14ac:dyDescent="0.2">
      <c r="A269" s="1" t="str">
        <f>HYPERLINK("http://www.twitter.com/banuakdenizli/status/1599950544872779776", "1599950544872779776")</f>
        <v>1599950544872779776</v>
      </c>
      <c r="B269" t="s">
        <v>15</v>
      </c>
      <c r="C269" s="2">
        <v>44901.093865740739</v>
      </c>
      <c r="D269">
        <v>0</v>
      </c>
      <c r="E269">
        <v>64</v>
      </c>
      <c r="F269" t="s">
        <v>28</v>
      </c>
      <c r="G269" t="s">
        <v>317</v>
      </c>
      <c r="L269">
        <v>0</v>
      </c>
      <c r="M269">
        <v>0</v>
      </c>
      <c r="N269">
        <v>1</v>
      </c>
      <c r="O269">
        <v>0</v>
      </c>
    </row>
    <row r="270" spans="1:15" x14ac:dyDescent="0.2">
      <c r="A270" s="1" t="str">
        <f>HYPERLINK("http://www.twitter.com/banuakdenizli/status/1599062040949448704", "1599062040949448704")</f>
        <v>1599062040949448704</v>
      </c>
      <c r="B270" t="s">
        <v>15</v>
      </c>
      <c r="C270" s="2">
        <v>44898.642060185193</v>
      </c>
      <c r="D270">
        <v>0</v>
      </c>
      <c r="E270">
        <v>15</v>
      </c>
      <c r="F270" t="s">
        <v>17</v>
      </c>
      <c r="G270" t="s">
        <v>318</v>
      </c>
      <c r="H270" t="str">
        <f>HYPERLINK("http://pbs.twimg.com/media/FjCazChWAAEJgdH.jpg", "http://pbs.twimg.com/media/FjCazChWAAEJgdH.jpg")</f>
        <v>http://pbs.twimg.com/media/FjCazChWAAEJgdH.jpg</v>
      </c>
      <c r="L270">
        <v>-0.51060000000000005</v>
      </c>
      <c r="M270">
        <v>0.23100000000000001</v>
      </c>
      <c r="N270">
        <v>0.76900000000000002</v>
      </c>
      <c r="O270">
        <v>0</v>
      </c>
    </row>
    <row r="271" spans="1:15" x14ac:dyDescent="0.2">
      <c r="A271" s="1" t="str">
        <f>HYPERLINK("http://www.twitter.com/banuakdenizli/status/1599061881607495682", "1599061881607495682")</f>
        <v>1599061881607495682</v>
      </c>
      <c r="B271" t="s">
        <v>15</v>
      </c>
      <c r="C271" s="2">
        <v>44898.64162037037</v>
      </c>
      <c r="D271">
        <v>0</v>
      </c>
      <c r="E271">
        <v>15</v>
      </c>
      <c r="F271" t="s">
        <v>16</v>
      </c>
      <c r="G271" t="s">
        <v>319</v>
      </c>
      <c r="H271" t="str">
        <f>HYPERLINK("http://pbs.twimg.com/media/FjCagR4XwAAUKrK.jpg", "http://pbs.twimg.com/media/FjCagR4XwAAUKrK.jpg")</f>
        <v>http://pbs.twimg.com/media/FjCagR4XwAAUKrK.jpg</v>
      </c>
      <c r="L271">
        <v>0</v>
      </c>
      <c r="M271">
        <v>0</v>
      </c>
      <c r="N271">
        <v>1</v>
      </c>
      <c r="O271">
        <v>0</v>
      </c>
    </row>
    <row r="272" spans="1:15" x14ac:dyDescent="0.2">
      <c r="A272" s="1" t="str">
        <f>HYPERLINK("http://www.twitter.com/banuakdenizli/status/1599061804868435969", "1599061804868435969")</f>
        <v>1599061804868435969</v>
      </c>
      <c r="B272" t="s">
        <v>15</v>
      </c>
      <c r="C272" s="2">
        <v>44898.641412037039</v>
      </c>
      <c r="D272">
        <v>0</v>
      </c>
      <c r="E272">
        <v>4</v>
      </c>
      <c r="F272" t="s">
        <v>20</v>
      </c>
      <c r="G272" t="s">
        <v>320</v>
      </c>
      <c r="H272" t="str">
        <f>HYPERLINK("http://pbs.twimg.com/media/FjDILmiWAAEj_FW.jpg", "http://pbs.twimg.com/media/FjDILmiWAAEj_FW.jpg")</f>
        <v>http://pbs.twimg.com/media/FjDILmiWAAEj_FW.jpg</v>
      </c>
      <c r="L272">
        <v>0</v>
      </c>
      <c r="M272">
        <v>0</v>
      </c>
      <c r="N272">
        <v>1</v>
      </c>
      <c r="O272">
        <v>0</v>
      </c>
    </row>
    <row r="273" spans="1:15" x14ac:dyDescent="0.2">
      <c r="A273" s="1" t="str">
        <f>HYPERLINK("http://www.twitter.com/banuakdenizli/status/1598869060397445120", "1598869060397445120")</f>
        <v>1598869060397445120</v>
      </c>
      <c r="B273" t="s">
        <v>15</v>
      </c>
      <c r="C273" s="2">
        <v>44898.109537037039</v>
      </c>
      <c r="D273">
        <v>0</v>
      </c>
      <c r="E273">
        <v>17</v>
      </c>
      <c r="F273" t="s">
        <v>16</v>
      </c>
      <c r="G273" t="s">
        <v>321</v>
      </c>
      <c r="H273" t="str">
        <f>HYPERLINK("http://pbs.twimg.com/media/Fi-Mu7mX0AQoFZ-.jpg", "http://pbs.twimg.com/media/Fi-Mu7mX0AQoFZ-.jpg")</f>
        <v>http://pbs.twimg.com/media/Fi-Mu7mX0AQoFZ-.jpg</v>
      </c>
      <c r="I273" t="str">
        <f>HYPERLINK("http://pbs.twimg.com/media/Fi-Mu9TXwAwF-oE.jpg", "http://pbs.twimg.com/media/Fi-Mu9TXwAwF-oE.jpg")</f>
        <v>http://pbs.twimg.com/media/Fi-Mu9TXwAwF-oE.jpg</v>
      </c>
      <c r="L273">
        <v>0</v>
      </c>
      <c r="M273">
        <v>0</v>
      </c>
      <c r="N273">
        <v>1</v>
      </c>
      <c r="O273">
        <v>0</v>
      </c>
    </row>
    <row r="274" spans="1:15" x14ac:dyDescent="0.2">
      <c r="A274" s="1" t="str">
        <f>HYPERLINK("http://www.twitter.com/banuakdenizli/status/1598868566484209666", "1598868566484209666")</f>
        <v>1598868566484209666</v>
      </c>
      <c r="B274" t="s">
        <v>15</v>
      </c>
      <c r="C274" s="2">
        <v>44898.108171296299</v>
      </c>
      <c r="D274">
        <v>0</v>
      </c>
      <c r="E274">
        <v>38</v>
      </c>
      <c r="F274" t="s">
        <v>51</v>
      </c>
      <c r="G274" t="s">
        <v>322</v>
      </c>
      <c r="H274" t="str">
        <f>HYPERLINK("https://video.twimg.com/ext_tw_video/1598663735333339147/pu/vid/480x852/kw773Hqekq7oAO8w.mp4?tag=12", "https://video.twimg.com/ext_tw_video/1598663735333339147/pu/vid/480x852/kw773Hqekq7oAO8w.mp4?tag=12")</f>
        <v>https://video.twimg.com/ext_tw_video/1598663735333339147/pu/vid/480x852/kw773Hqekq7oAO8w.mp4?tag=12</v>
      </c>
      <c r="L274">
        <v>0</v>
      </c>
      <c r="M274">
        <v>0</v>
      </c>
      <c r="N274">
        <v>1</v>
      </c>
      <c r="O274">
        <v>0</v>
      </c>
    </row>
    <row r="275" spans="1:15" x14ac:dyDescent="0.2">
      <c r="A275" s="1" t="str">
        <f>HYPERLINK("http://www.twitter.com/banuakdenizli/status/1598731755598614528", "1598731755598614528")</f>
        <v>1598731755598614528</v>
      </c>
      <c r="B275" t="s">
        <v>15</v>
      </c>
      <c r="C275" s="2">
        <v>44897.73064814815</v>
      </c>
      <c r="D275">
        <v>0</v>
      </c>
      <c r="E275">
        <v>23</v>
      </c>
      <c r="F275" t="s">
        <v>28</v>
      </c>
      <c r="G275" t="s">
        <v>323</v>
      </c>
      <c r="L275">
        <v>0</v>
      </c>
      <c r="M275">
        <v>0</v>
      </c>
      <c r="N275">
        <v>1</v>
      </c>
      <c r="O275">
        <v>0</v>
      </c>
    </row>
    <row r="276" spans="1:15" x14ac:dyDescent="0.2">
      <c r="A276" s="1" t="str">
        <f>HYPERLINK("http://www.twitter.com/banuakdenizli/status/1598731742487220225", "1598731742487220225")</f>
        <v>1598731742487220225</v>
      </c>
      <c r="B276" t="s">
        <v>15</v>
      </c>
      <c r="C276" s="2">
        <v>44897.730613425927</v>
      </c>
      <c r="D276">
        <v>0</v>
      </c>
      <c r="E276">
        <v>2759</v>
      </c>
      <c r="F276" t="s">
        <v>27</v>
      </c>
      <c r="G276" t="s">
        <v>324</v>
      </c>
      <c r="L276">
        <v>0</v>
      </c>
      <c r="M276">
        <v>0</v>
      </c>
      <c r="N276">
        <v>1</v>
      </c>
      <c r="O276">
        <v>0</v>
      </c>
    </row>
    <row r="277" spans="1:15" x14ac:dyDescent="0.2">
      <c r="A277" s="1" t="str">
        <f>HYPERLINK("http://www.twitter.com/banuakdenizli/status/1598731723717709826", "1598731723717709826")</f>
        <v>1598731723717709826</v>
      </c>
      <c r="B277" t="s">
        <v>15</v>
      </c>
      <c r="C277" s="2">
        <v>44897.730555555558</v>
      </c>
      <c r="D277">
        <v>0</v>
      </c>
      <c r="E277">
        <v>45</v>
      </c>
      <c r="F277" t="s">
        <v>18</v>
      </c>
      <c r="G277" t="s">
        <v>325</v>
      </c>
      <c r="L277">
        <v>0</v>
      </c>
      <c r="M277">
        <v>0</v>
      </c>
      <c r="N277">
        <v>1</v>
      </c>
      <c r="O277">
        <v>0</v>
      </c>
    </row>
    <row r="278" spans="1:15" x14ac:dyDescent="0.2">
      <c r="A278" s="1" t="str">
        <f>HYPERLINK("http://www.twitter.com/banuakdenizli/status/1598731649189122055", "1598731649189122055")</f>
        <v>1598731649189122055</v>
      </c>
      <c r="B278" t="s">
        <v>15</v>
      </c>
      <c r="C278" s="2">
        <v>44897.730347222219</v>
      </c>
      <c r="D278">
        <v>0</v>
      </c>
      <c r="E278">
        <v>9</v>
      </c>
      <c r="F278" t="s">
        <v>17</v>
      </c>
      <c r="G278" t="s">
        <v>326</v>
      </c>
      <c r="H278" t="str">
        <f>HYPERLINK("http://pbs.twimg.com/media/Fi_RDAxXgAAYbsb.jpg", "http://pbs.twimg.com/media/Fi_RDAxXgAAYbsb.jpg")</f>
        <v>http://pbs.twimg.com/media/Fi_RDAxXgAAYbsb.jpg</v>
      </c>
      <c r="I278" t="str">
        <f>HYPERLINK("http://pbs.twimg.com/media/Fi_RDA1XkAI49up.jpg", "http://pbs.twimg.com/media/Fi_RDA1XkAI49up.jpg")</f>
        <v>http://pbs.twimg.com/media/Fi_RDA1XkAI49up.jpg</v>
      </c>
      <c r="L278">
        <v>-0.73509999999999998</v>
      </c>
      <c r="M278">
        <v>0.34100000000000003</v>
      </c>
      <c r="N278">
        <v>0.65900000000000003</v>
      </c>
      <c r="O278">
        <v>0</v>
      </c>
    </row>
    <row r="279" spans="1:15" x14ac:dyDescent="0.2">
      <c r="A279" s="1" t="str">
        <f>HYPERLINK("http://www.twitter.com/banuakdenizli/status/1598731579215470592", "1598731579215470592")</f>
        <v>1598731579215470592</v>
      </c>
      <c r="B279" t="s">
        <v>15</v>
      </c>
      <c r="C279" s="2">
        <v>44897.730162037027</v>
      </c>
      <c r="D279">
        <v>0</v>
      </c>
      <c r="E279">
        <v>2</v>
      </c>
      <c r="F279" t="s">
        <v>16</v>
      </c>
      <c r="G279" t="s">
        <v>327</v>
      </c>
      <c r="H279" t="str">
        <f>HYPERLINK("http://pbs.twimg.com/media/Fi-hzq6XgAA-Cz_.jpg", "http://pbs.twimg.com/media/Fi-hzq6XgAA-Cz_.jpg")</f>
        <v>http://pbs.twimg.com/media/Fi-hzq6XgAA-Cz_.jpg</v>
      </c>
      <c r="L279">
        <v>0</v>
      </c>
      <c r="M279">
        <v>0</v>
      </c>
      <c r="N279">
        <v>1</v>
      </c>
      <c r="O279">
        <v>0</v>
      </c>
    </row>
    <row r="280" spans="1:15" x14ac:dyDescent="0.2">
      <c r="A280" s="1" t="str">
        <f>HYPERLINK("http://www.twitter.com/banuakdenizli/status/1598386915321204736", "1598386915321204736")</f>
        <v>1598386915321204736</v>
      </c>
      <c r="B280" t="s">
        <v>15</v>
      </c>
      <c r="C280" s="2">
        <v>44896.779062499998</v>
      </c>
      <c r="D280">
        <v>0</v>
      </c>
      <c r="E280">
        <v>4</v>
      </c>
      <c r="F280" t="s">
        <v>20</v>
      </c>
      <c r="G280" t="s">
        <v>328</v>
      </c>
      <c r="H280" t="str">
        <f>HYPERLINK("http://pbs.twimg.com/media/Fi6avjCXgAoUAoW.jpg", "http://pbs.twimg.com/media/Fi6avjCXgAoUAoW.jpg")</f>
        <v>http://pbs.twimg.com/media/Fi6avjCXgAoUAoW.jpg</v>
      </c>
      <c r="L280">
        <v>0</v>
      </c>
      <c r="M280">
        <v>0</v>
      </c>
      <c r="N280">
        <v>1</v>
      </c>
      <c r="O280">
        <v>0</v>
      </c>
    </row>
    <row r="281" spans="1:15" x14ac:dyDescent="0.2">
      <c r="A281" s="1" t="str">
        <f>HYPERLINK("http://www.twitter.com/banuakdenizli/status/1598386867904434176", "1598386867904434176")</f>
        <v>1598386867904434176</v>
      </c>
      <c r="B281" t="s">
        <v>15</v>
      </c>
      <c r="C281" s="2">
        <v>44896.778935185182</v>
      </c>
      <c r="D281">
        <v>0</v>
      </c>
      <c r="E281">
        <v>14</v>
      </c>
      <c r="F281" t="s">
        <v>17</v>
      </c>
      <c r="G281" t="s">
        <v>329</v>
      </c>
      <c r="H281" t="str">
        <f>HYPERLINK("http://pbs.twimg.com/media/Fi6V6_1XEA0mUvm.jpg", "http://pbs.twimg.com/media/Fi6V6_1XEA0mUvm.jpg")</f>
        <v>http://pbs.twimg.com/media/Fi6V6_1XEA0mUvm.jpg</v>
      </c>
      <c r="L281">
        <v>0.40189999999999998</v>
      </c>
      <c r="M281">
        <v>6.5000000000000002E-2</v>
      </c>
      <c r="N281">
        <v>0.80200000000000005</v>
      </c>
      <c r="O281">
        <v>0.13300000000000001</v>
      </c>
    </row>
    <row r="282" spans="1:15" x14ac:dyDescent="0.2">
      <c r="A282" s="1" t="str">
        <f>HYPERLINK("http://www.twitter.com/banuakdenizli/status/1598375695175929858", "1598375695175929858")</f>
        <v>1598375695175929858</v>
      </c>
      <c r="B282" t="s">
        <v>15</v>
      </c>
      <c r="C282" s="2">
        <v>44896.748101851852</v>
      </c>
      <c r="D282">
        <v>0</v>
      </c>
      <c r="E282">
        <v>9</v>
      </c>
      <c r="F282" t="s">
        <v>17</v>
      </c>
      <c r="G282" t="s">
        <v>330</v>
      </c>
      <c r="H282" t="str">
        <f>HYPERLINK("http://pbs.twimg.com/media/Fi6Hca_WAAAXWdQ.jpg", "http://pbs.twimg.com/media/Fi6Hca_WAAAXWdQ.jpg")</f>
        <v>http://pbs.twimg.com/media/Fi6Hca_WAAAXWdQ.jpg</v>
      </c>
      <c r="L282">
        <v>-0.38179999999999997</v>
      </c>
      <c r="M282">
        <v>8.5000000000000006E-2</v>
      </c>
      <c r="N282">
        <v>0.91500000000000004</v>
      </c>
      <c r="O282">
        <v>0</v>
      </c>
    </row>
    <row r="283" spans="1:15" x14ac:dyDescent="0.2">
      <c r="A283" s="1" t="str">
        <f>HYPERLINK("http://www.twitter.com/banuakdenizli/status/1598356090097266689", "1598356090097266689")</f>
        <v>1598356090097266689</v>
      </c>
      <c r="B283" t="s">
        <v>15</v>
      </c>
      <c r="C283" s="2">
        <v>44896.694004629629</v>
      </c>
      <c r="D283">
        <v>0</v>
      </c>
      <c r="E283">
        <v>10</v>
      </c>
      <c r="F283" t="s">
        <v>16</v>
      </c>
      <c r="G283" t="s">
        <v>331</v>
      </c>
      <c r="H283" t="str">
        <f>HYPERLINK("http://pbs.twimg.com/media/Fi5q8suXwAEKPgO.jpg", "http://pbs.twimg.com/media/Fi5q8suXwAEKPgO.jpg")</f>
        <v>http://pbs.twimg.com/media/Fi5q8suXwAEKPgO.jpg</v>
      </c>
      <c r="L283">
        <v>0</v>
      </c>
      <c r="M283">
        <v>0</v>
      </c>
      <c r="N283">
        <v>1</v>
      </c>
      <c r="O283">
        <v>0</v>
      </c>
    </row>
    <row r="284" spans="1:15" x14ac:dyDescent="0.2">
      <c r="A284" s="1" t="str">
        <f>HYPERLINK("http://www.twitter.com/banuakdenizli/status/1598356068660580352", "1598356068660580352")</f>
        <v>1598356068660580352</v>
      </c>
      <c r="B284" t="s">
        <v>15</v>
      </c>
      <c r="C284" s="2">
        <v>44896.69394675926</v>
      </c>
      <c r="D284">
        <v>0</v>
      </c>
      <c r="E284">
        <v>400</v>
      </c>
      <c r="F284" t="s">
        <v>28</v>
      </c>
      <c r="G284" t="s">
        <v>332</v>
      </c>
      <c r="H284" t="str">
        <f>HYPERLINK("http://pbs.twimg.com/media/Fi5yJnnWIAAtc24.jpg", "http://pbs.twimg.com/media/Fi5yJnnWIAAtc24.jpg")</f>
        <v>http://pbs.twimg.com/media/Fi5yJnnWIAAtc24.jpg</v>
      </c>
      <c r="L284">
        <v>0</v>
      </c>
      <c r="M284">
        <v>0</v>
      </c>
      <c r="N284">
        <v>1</v>
      </c>
      <c r="O284">
        <v>0</v>
      </c>
    </row>
    <row r="285" spans="1:15" x14ac:dyDescent="0.2">
      <c r="A285" s="1" t="str">
        <f>HYPERLINK("http://www.twitter.com/banuakdenizli/status/1598356039501488128", "1598356039501488128")</f>
        <v>1598356039501488128</v>
      </c>
      <c r="B285" t="s">
        <v>15</v>
      </c>
      <c r="C285" s="2">
        <v>44896.693865740737</v>
      </c>
      <c r="D285">
        <v>0</v>
      </c>
      <c r="E285">
        <v>14</v>
      </c>
      <c r="F285" t="s">
        <v>16</v>
      </c>
      <c r="G285" t="s">
        <v>333</v>
      </c>
      <c r="H285" t="str">
        <f>HYPERLINK("http://pbs.twimg.com/media/Fi5-yzMXkAc04Pa.jpg", "http://pbs.twimg.com/media/Fi5-yzMXkAc04Pa.jpg")</f>
        <v>http://pbs.twimg.com/media/Fi5-yzMXkAc04Pa.jpg</v>
      </c>
      <c r="L285">
        <v>0</v>
      </c>
      <c r="M285">
        <v>0</v>
      </c>
      <c r="N285">
        <v>1</v>
      </c>
      <c r="O285">
        <v>0</v>
      </c>
    </row>
    <row r="286" spans="1:15" x14ac:dyDescent="0.2">
      <c r="A286" s="1" t="str">
        <f>HYPERLINK("http://www.twitter.com/banuakdenizli/status/1598355912980307969", "1598355912980307969")</f>
        <v>1598355912980307969</v>
      </c>
      <c r="B286" t="s">
        <v>15</v>
      </c>
      <c r="C286" s="2">
        <v>44896.693518518521</v>
      </c>
      <c r="D286">
        <v>0</v>
      </c>
      <c r="E286">
        <v>13</v>
      </c>
      <c r="F286" t="s">
        <v>17</v>
      </c>
      <c r="G286" t="s">
        <v>334</v>
      </c>
      <c r="H286" t="str">
        <f>HYPERLINK("http://pbs.twimg.com/media/Fi56xGkWQAEY9FU.jpg", "http://pbs.twimg.com/media/Fi56xGkWQAEY9FU.jpg")</f>
        <v>http://pbs.twimg.com/media/Fi56xGkWQAEY9FU.jpg</v>
      </c>
      <c r="L286">
        <v>0.75060000000000004</v>
      </c>
      <c r="M286">
        <v>0</v>
      </c>
      <c r="N286">
        <v>0.65400000000000003</v>
      </c>
      <c r="O286">
        <v>0.34599999999999997</v>
      </c>
    </row>
    <row r="287" spans="1:15" x14ac:dyDescent="0.2">
      <c r="A287" s="1" t="str">
        <f>HYPERLINK("http://www.twitter.com/banuakdenizli/status/1598318081062961154", "1598318081062961154")</f>
        <v>1598318081062961154</v>
      </c>
      <c r="B287" t="s">
        <v>15</v>
      </c>
      <c r="C287" s="2">
        <v>44896.589120370372</v>
      </c>
      <c r="D287">
        <v>0</v>
      </c>
      <c r="E287">
        <v>8</v>
      </c>
      <c r="F287" t="s">
        <v>17</v>
      </c>
      <c r="G287" t="s">
        <v>335</v>
      </c>
      <c r="H287" t="str">
        <f>HYPERLINK("http://pbs.twimg.com/media/Fi5NRxRWIAgRDbK.jpg", "http://pbs.twimg.com/media/Fi5NRxRWIAgRDbK.jpg")</f>
        <v>http://pbs.twimg.com/media/Fi5NRxRWIAgRDbK.jpg</v>
      </c>
      <c r="L287">
        <v>0.29599999999999999</v>
      </c>
      <c r="M287">
        <v>0</v>
      </c>
      <c r="N287">
        <v>0.86399999999999999</v>
      </c>
      <c r="O287">
        <v>0.13600000000000001</v>
      </c>
    </row>
    <row r="288" spans="1:15" x14ac:dyDescent="0.2">
      <c r="A288" s="1" t="str">
        <f>HYPERLINK("http://www.twitter.com/banuakdenizli/status/1598318037639348228", "1598318037639348228")</f>
        <v>1598318037639348228</v>
      </c>
      <c r="B288" t="s">
        <v>15</v>
      </c>
      <c r="C288" s="2">
        <v>44896.589004629634</v>
      </c>
      <c r="D288">
        <v>0</v>
      </c>
      <c r="E288">
        <v>16</v>
      </c>
      <c r="F288" t="s">
        <v>16</v>
      </c>
      <c r="G288" t="s">
        <v>336</v>
      </c>
      <c r="H288" t="str">
        <f>HYPERLINK("http://pbs.twimg.com/media/Fi41Py-WIAAfgYT.jpg", "http://pbs.twimg.com/media/Fi41Py-WIAAfgYT.jpg")</f>
        <v>http://pbs.twimg.com/media/Fi41Py-WIAAfgYT.jpg</v>
      </c>
      <c r="L288">
        <v>0</v>
      </c>
      <c r="M288">
        <v>0</v>
      </c>
      <c r="N288">
        <v>1</v>
      </c>
      <c r="O288">
        <v>0</v>
      </c>
    </row>
    <row r="289" spans="1:15" x14ac:dyDescent="0.2">
      <c r="A289" s="1" t="str">
        <f>HYPERLINK("http://www.twitter.com/banuakdenizli/status/1598318024242741249", "1598318024242741249")</f>
        <v>1598318024242741249</v>
      </c>
      <c r="B289" t="s">
        <v>15</v>
      </c>
      <c r="C289" s="2">
        <v>44896.588958333326</v>
      </c>
      <c r="D289">
        <v>0</v>
      </c>
      <c r="E289">
        <v>43</v>
      </c>
      <c r="F289" t="s">
        <v>16</v>
      </c>
      <c r="G289" t="s">
        <v>337</v>
      </c>
      <c r="H289" t="str">
        <f>HYPERLINK("http://pbs.twimg.com/media/Fi5KpG4WAAInnfz.jpg", "http://pbs.twimg.com/media/Fi5KpG4WAAInnfz.jpg")</f>
        <v>http://pbs.twimg.com/media/Fi5KpG4WAAInnfz.jpg</v>
      </c>
      <c r="L289">
        <v>0</v>
      </c>
      <c r="M289">
        <v>0</v>
      </c>
      <c r="N289">
        <v>1</v>
      </c>
      <c r="O289">
        <v>0</v>
      </c>
    </row>
    <row r="290" spans="1:15" x14ac:dyDescent="0.2">
      <c r="A290" s="1" t="str">
        <f>HYPERLINK("http://www.twitter.com/banuakdenizli/status/1598318006811115521", "1598318006811115521")</f>
        <v>1598318006811115521</v>
      </c>
      <c r="B290" t="s">
        <v>15</v>
      </c>
      <c r="C290" s="2">
        <v>44896.588912037027</v>
      </c>
      <c r="D290">
        <v>0</v>
      </c>
      <c r="E290">
        <v>19</v>
      </c>
      <c r="F290" t="s">
        <v>25</v>
      </c>
      <c r="G290" t="s">
        <v>338</v>
      </c>
      <c r="L290">
        <v>0</v>
      </c>
      <c r="M290">
        <v>0</v>
      </c>
      <c r="N290">
        <v>1</v>
      </c>
      <c r="O290">
        <v>0</v>
      </c>
    </row>
    <row r="291" spans="1:15" x14ac:dyDescent="0.2">
      <c r="A291" s="1" t="str">
        <f>HYPERLINK("http://www.twitter.com/banuakdenizli/status/1598269732565966850", "1598269732565966850")</f>
        <v>1598269732565966850</v>
      </c>
      <c r="B291" t="s">
        <v>15</v>
      </c>
      <c r="C291" s="2">
        <v>44896.455706018518</v>
      </c>
      <c r="D291">
        <v>0</v>
      </c>
      <c r="E291">
        <v>9</v>
      </c>
      <c r="F291" t="s">
        <v>16</v>
      </c>
      <c r="G291" t="s">
        <v>339</v>
      </c>
      <c r="H291" t="str">
        <f>HYPERLINK("http://pbs.twimg.com/media/Fi4fFKxWQAAuVVv.jpg", "http://pbs.twimg.com/media/Fi4fFKxWQAAuVVv.jpg")</f>
        <v>http://pbs.twimg.com/media/Fi4fFKxWQAAuVVv.jpg</v>
      </c>
      <c r="L291">
        <v>0</v>
      </c>
      <c r="M291">
        <v>0</v>
      </c>
      <c r="N291">
        <v>1</v>
      </c>
      <c r="O291">
        <v>0</v>
      </c>
    </row>
    <row r="292" spans="1:15" x14ac:dyDescent="0.2">
      <c r="A292" s="1" t="str">
        <f>HYPERLINK("http://www.twitter.com/banuakdenizli/status/1598242146238476293", "1598242146238476293")</f>
        <v>1598242146238476293</v>
      </c>
      <c r="B292" t="s">
        <v>15</v>
      </c>
      <c r="C292" s="2">
        <v>44896.379583333342</v>
      </c>
      <c r="D292">
        <v>0</v>
      </c>
      <c r="E292">
        <v>11</v>
      </c>
      <c r="F292" t="s">
        <v>16</v>
      </c>
      <c r="G292" t="s">
        <v>340</v>
      </c>
      <c r="H292" t="str">
        <f>HYPERLINK("http://pbs.twimg.com/media/Fi11HRtXwAALuQI.jpg", "http://pbs.twimg.com/media/Fi11HRtXwAALuQI.jpg")</f>
        <v>http://pbs.twimg.com/media/Fi11HRtXwAALuQI.jpg</v>
      </c>
      <c r="L292">
        <v>0</v>
      </c>
      <c r="M292">
        <v>0</v>
      </c>
      <c r="N292">
        <v>1</v>
      </c>
      <c r="O292">
        <v>0</v>
      </c>
    </row>
    <row r="293" spans="1:15" x14ac:dyDescent="0.2">
      <c r="A293" s="1" t="str">
        <f>HYPERLINK("http://www.twitter.com/banuakdenizli/status/1598242078127005696", "1598242078127005696")</f>
        <v>1598242078127005696</v>
      </c>
      <c r="B293" t="s">
        <v>15</v>
      </c>
      <c r="C293" s="2">
        <v>44896.379386574074</v>
      </c>
      <c r="D293">
        <v>0</v>
      </c>
      <c r="E293">
        <v>11</v>
      </c>
      <c r="F293" t="s">
        <v>17</v>
      </c>
      <c r="G293" t="s">
        <v>341</v>
      </c>
      <c r="H293" t="str">
        <f>HYPERLINK("http://pbs.twimg.com/media/Fi2OjsgX0AI-8Q7.jpg", "http://pbs.twimg.com/media/Fi2OjsgX0AI-8Q7.jpg")</f>
        <v>http://pbs.twimg.com/media/Fi2OjsgX0AI-8Q7.jpg</v>
      </c>
      <c r="L293">
        <v>-0.51060000000000005</v>
      </c>
      <c r="M293">
        <v>0.35499999999999998</v>
      </c>
      <c r="N293">
        <v>0.64500000000000002</v>
      </c>
      <c r="O293">
        <v>0</v>
      </c>
    </row>
    <row r="294" spans="1:15" x14ac:dyDescent="0.2">
      <c r="A294" s="1" t="str">
        <f>HYPERLINK("http://www.twitter.com/banuakdenizli/status/1598241697242427392", "1598241697242427392")</f>
        <v>1598241697242427392</v>
      </c>
      <c r="B294" t="s">
        <v>15</v>
      </c>
      <c r="C294" s="2">
        <v>44896.378344907411</v>
      </c>
      <c r="D294">
        <v>0</v>
      </c>
      <c r="E294">
        <v>111</v>
      </c>
      <c r="F294" t="s">
        <v>51</v>
      </c>
      <c r="G294" t="s">
        <v>342</v>
      </c>
      <c r="H294" t="str">
        <f>HYPERLINK("https://video.twimg.com/ext_tw_video/1598176505867259906/pu/vid/480x272/5GX00HUgsHuXtSCq.mp4?tag=12", "https://video.twimg.com/ext_tw_video/1598176505867259906/pu/vid/480x272/5GX00HUgsHuXtSCq.mp4?tag=12")</f>
        <v>https://video.twimg.com/ext_tw_video/1598176505867259906/pu/vid/480x272/5GX00HUgsHuXtSCq.mp4?tag=12</v>
      </c>
      <c r="L294">
        <v>0.69079999999999997</v>
      </c>
      <c r="M294">
        <v>4.7E-2</v>
      </c>
      <c r="N294">
        <v>0.80500000000000005</v>
      </c>
      <c r="O294">
        <v>0.14799999999999999</v>
      </c>
    </row>
    <row r="295" spans="1:15" x14ac:dyDescent="0.2">
      <c r="A295" s="1" t="str">
        <f>HYPERLINK("http://www.twitter.com/banuakdenizli/status/1598240593809149954", "1598240593809149954")</f>
        <v>1598240593809149954</v>
      </c>
      <c r="B295" t="s">
        <v>15</v>
      </c>
      <c r="C295" s="2">
        <v>44896.375300925924</v>
      </c>
      <c r="D295">
        <v>0</v>
      </c>
      <c r="E295">
        <v>19</v>
      </c>
      <c r="F295" t="s">
        <v>33</v>
      </c>
      <c r="G295" t="s">
        <v>343</v>
      </c>
      <c r="H295" t="str">
        <f>HYPERLINK("http://pbs.twimg.com/media/Fi1-iL6XgA8eqyF.jpg", "http://pbs.twimg.com/media/Fi1-iL6XgA8eqyF.jpg")</f>
        <v>http://pbs.twimg.com/media/Fi1-iL6XgA8eqyF.jpg</v>
      </c>
      <c r="L295">
        <v>0</v>
      </c>
      <c r="M295">
        <v>0</v>
      </c>
      <c r="N295">
        <v>1</v>
      </c>
      <c r="O295">
        <v>0</v>
      </c>
    </row>
    <row r="296" spans="1:15" x14ac:dyDescent="0.2">
      <c r="A296" s="1" t="str">
        <f>HYPERLINK("http://www.twitter.com/banuakdenizli/status/1598007816576303104", "1598007816576303104")</f>
        <v>1598007816576303104</v>
      </c>
      <c r="B296" t="s">
        <v>15</v>
      </c>
      <c r="C296" s="2">
        <v>44895.732951388891</v>
      </c>
      <c r="D296">
        <v>0</v>
      </c>
      <c r="E296">
        <v>4</v>
      </c>
      <c r="F296" t="s">
        <v>21</v>
      </c>
      <c r="G296" t="s">
        <v>344</v>
      </c>
      <c r="H296" t="str">
        <f>HYPERLINK("http://pbs.twimg.com/media/Fi0yjTXXoAAsv1H.jpg", "http://pbs.twimg.com/media/Fi0yjTXXoAAsv1H.jpg")</f>
        <v>http://pbs.twimg.com/media/Fi0yjTXXoAAsv1H.jpg</v>
      </c>
      <c r="I296" t="str">
        <f>HYPERLINK("http://pbs.twimg.com/media/Fi0yjTYWYAoiCJP.jpg", "http://pbs.twimg.com/media/Fi0yjTYWYAoiCJP.jpg")</f>
        <v>http://pbs.twimg.com/media/Fi0yjTYWYAoiCJP.jpg</v>
      </c>
      <c r="J296" t="str">
        <f>HYPERLINK("http://pbs.twimg.com/media/Fi0yjTjXkAAyLK0.jpg", "http://pbs.twimg.com/media/Fi0yjTjXkAAyLK0.jpg")</f>
        <v>http://pbs.twimg.com/media/Fi0yjTjXkAAyLK0.jpg</v>
      </c>
      <c r="L296">
        <v>0</v>
      </c>
      <c r="M296">
        <v>0</v>
      </c>
      <c r="N296">
        <v>1</v>
      </c>
      <c r="O296">
        <v>0</v>
      </c>
    </row>
    <row r="297" spans="1:15" x14ac:dyDescent="0.2">
      <c r="A297" s="1" t="str">
        <f>HYPERLINK("http://www.twitter.com/banuakdenizli/status/1598007792350416896", "1598007792350416896")</f>
        <v>1598007792350416896</v>
      </c>
      <c r="B297" t="s">
        <v>15</v>
      </c>
      <c r="C297" s="2">
        <v>44895.732881944437</v>
      </c>
      <c r="D297">
        <v>0</v>
      </c>
      <c r="E297">
        <v>6</v>
      </c>
      <c r="F297" t="s">
        <v>17</v>
      </c>
      <c r="G297" t="s">
        <v>345</v>
      </c>
      <c r="H297" t="str">
        <f>HYPERLINK("http://pbs.twimg.com/media/Fi0juGiWQAA_2hk.jpg", "http://pbs.twimg.com/media/Fi0juGiWQAA_2hk.jpg")</f>
        <v>http://pbs.twimg.com/media/Fi0juGiWQAA_2hk.jpg</v>
      </c>
      <c r="L297">
        <v>0.62490000000000001</v>
      </c>
      <c r="M297">
        <v>0.108</v>
      </c>
      <c r="N297">
        <v>0.59499999999999997</v>
      </c>
      <c r="O297">
        <v>0.29699999999999999</v>
      </c>
    </row>
    <row r="298" spans="1:15" x14ac:dyDescent="0.2">
      <c r="A298" s="1" t="str">
        <f>HYPERLINK("http://www.twitter.com/banuakdenizli/status/1597959197425295360", "1597959197425295360")</f>
        <v>1597959197425295360</v>
      </c>
      <c r="B298" t="s">
        <v>15</v>
      </c>
      <c r="C298" s="2">
        <v>44895.59878472222</v>
      </c>
      <c r="D298">
        <v>0</v>
      </c>
      <c r="E298">
        <v>20</v>
      </c>
      <c r="F298" t="s">
        <v>28</v>
      </c>
      <c r="G298" t="s">
        <v>346</v>
      </c>
      <c r="L298">
        <v>0</v>
      </c>
      <c r="M298">
        <v>0</v>
      </c>
      <c r="N298">
        <v>1</v>
      </c>
      <c r="O298">
        <v>0</v>
      </c>
    </row>
    <row r="299" spans="1:15" x14ac:dyDescent="0.2">
      <c r="A299" s="1" t="str">
        <f>HYPERLINK("http://www.twitter.com/banuakdenizli/status/1597959164667404289", "1597959164667404289")</f>
        <v>1597959164667404289</v>
      </c>
      <c r="B299" t="s">
        <v>15</v>
      </c>
      <c r="C299" s="2">
        <v>44895.598703703698</v>
      </c>
      <c r="D299">
        <v>0</v>
      </c>
      <c r="E299">
        <v>5</v>
      </c>
      <c r="F299" t="s">
        <v>16</v>
      </c>
      <c r="G299" t="s">
        <v>347</v>
      </c>
      <c r="H299" t="str">
        <f>HYPERLINK("http://pbs.twimg.com/media/Fiy9fjsXEAEGphV.jpg", "http://pbs.twimg.com/media/Fiy9fjsXEAEGphV.jpg")</f>
        <v>http://pbs.twimg.com/media/Fiy9fjsXEAEGphV.jpg</v>
      </c>
      <c r="I299" t="str">
        <f>HYPERLINK("http://pbs.twimg.com/media/Fiy9flrX0AEAmU0.jpg", "http://pbs.twimg.com/media/Fiy9flrX0AEAmU0.jpg")</f>
        <v>http://pbs.twimg.com/media/Fiy9flrX0AEAmU0.jpg</v>
      </c>
      <c r="L299">
        <v>0</v>
      </c>
      <c r="M299">
        <v>0</v>
      </c>
      <c r="N299">
        <v>1</v>
      </c>
      <c r="O299">
        <v>0</v>
      </c>
    </row>
    <row r="300" spans="1:15" x14ac:dyDescent="0.2">
      <c r="A300" s="1" t="str">
        <f>HYPERLINK("http://www.twitter.com/banuakdenizli/status/1597959145034256384", "1597959145034256384")</f>
        <v>1597959145034256384</v>
      </c>
      <c r="B300" t="s">
        <v>15</v>
      </c>
      <c r="C300" s="2">
        <v>44895.598645833343</v>
      </c>
      <c r="D300">
        <v>0</v>
      </c>
      <c r="E300">
        <v>6</v>
      </c>
      <c r="F300" t="s">
        <v>16</v>
      </c>
      <c r="G300" t="s">
        <v>348</v>
      </c>
      <c r="H300" t="str">
        <f>HYPERLINK("http://pbs.twimg.com/media/Fi0BldTXoAAQmiz.jpg", "http://pbs.twimg.com/media/Fi0BldTXoAAQmiz.jpg")</f>
        <v>http://pbs.twimg.com/media/Fi0BldTXoAAQmiz.jpg</v>
      </c>
      <c r="L300">
        <v>0</v>
      </c>
      <c r="M300">
        <v>0</v>
      </c>
      <c r="N300">
        <v>1</v>
      </c>
      <c r="O300">
        <v>0</v>
      </c>
    </row>
    <row r="301" spans="1:15" x14ac:dyDescent="0.2">
      <c r="A301" s="1" t="str">
        <f>HYPERLINK("http://www.twitter.com/banuakdenizli/status/1597955280423489536", "1597955280423489536")</f>
        <v>1597955280423489536</v>
      </c>
      <c r="B301" t="s">
        <v>15</v>
      </c>
      <c r="C301" s="2">
        <v>44895.58798611111</v>
      </c>
      <c r="D301">
        <v>0</v>
      </c>
      <c r="E301">
        <v>2</v>
      </c>
      <c r="F301" t="s">
        <v>19</v>
      </c>
      <c r="G301" t="s">
        <v>349</v>
      </c>
      <c r="H301" t="str">
        <f>HYPERLINK("http://pbs.twimg.com/media/FixtMyJXkAII77A.jpg", "http://pbs.twimg.com/media/FixtMyJXkAII77A.jpg")</f>
        <v>http://pbs.twimg.com/media/FixtMyJXkAII77A.jpg</v>
      </c>
      <c r="L301">
        <v>0.9022</v>
      </c>
      <c r="M301">
        <v>0</v>
      </c>
      <c r="N301">
        <v>0.74399999999999999</v>
      </c>
      <c r="O301">
        <v>0.25600000000000001</v>
      </c>
    </row>
    <row r="302" spans="1:15" x14ac:dyDescent="0.2">
      <c r="A302" s="1" t="str">
        <f>HYPERLINK("http://www.twitter.com/banuakdenizli/status/1597955262971006976", "1597955262971006976")</f>
        <v>1597955262971006976</v>
      </c>
      <c r="B302" t="s">
        <v>15</v>
      </c>
      <c r="C302" s="2">
        <v>44895.58792824074</v>
      </c>
      <c r="D302">
        <v>0</v>
      </c>
      <c r="E302">
        <v>3</v>
      </c>
      <c r="F302" t="s">
        <v>20</v>
      </c>
      <c r="G302" t="s">
        <v>350</v>
      </c>
      <c r="H302" t="str">
        <f>HYPERLINK("http://pbs.twimg.com/media/FizMh1qXgAAFJ5M.jpg", "http://pbs.twimg.com/media/FizMh1qXgAAFJ5M.jpg")</f>
        <v>http://pbs.twimg.com/media/FizMh1qXgAAFJ5M.jpg</v>
      </c>
      <c r="L302">
        <v>0</v>
      </c>
      <c r="M302">
        <v>0</v>
      </c>
      <c r="N302">
        <v>1</v>
      </c>
      <c r="O302">
        <v>0</v>
      </c>
    </row>
    <row r="303" spans="1:15" x14ac:dyDescent="0.2">
      <c r="A303" s="1" t="str">
        <f>HYPERLINK("http://www.twitter.com/banuakdenizli/status/1597955133723537412", "1597955133723537412")</f>
        <v>1597955133723537412</v>
      </c>
      <c r="B303" t="s">
        <v>15</v>
      </c>
      <c r="C303" s="2">
        <v>44895.587581018517</v>
      </c>
      <c r="D303">
        <v>0</v>
      </c>
      <c r="E303">
        <v>4</v>
      </c>
      <c r="F303" t="s">
        <v>20</v>
      </c>
      <c r="G303" t="s">
        <v>351</v>
      </c>
      <c r="H303" t="str">
        <f>HYPERLINK("http://pbs.twimg.com/media/FizPI5JWQAEQOFW.jpg", "http://pbs.twimg.com/media/FizPI5JWQAEQOFW.jpg")</f>
        <v>http://pbs.twimg.com/media/FizPI5JWQAEQOFW.jpg</v>
      </c>
      <c r="L303">
        <v>0</v>
      </c>
      <c r="M303">
        <v>0</v>
      </c>
      <c r="N303">
        <v>1</v>
      </c>
      <c r="O303">
        <v>0</v>
      </c>
    </row>
    <row r="304" spans="1:15" x14ac:dyDescent="0.2">
      <c r="A304" s="1" t="str">
        <f>HYPERLINK("http://www.twitter.com/banuakdenizli/status/1597955118023909377", "1597955118023909377")</f>
        <v>1597955118023909377</v>
      </c>
      <c r="B304" t="s">
        <v>15</v>
      </c>
      <c r="C304" s="2">
        <v>44895.587534722217</v>
      </c>
      <c r="D304">
        <v>0</v>
      </c>
      <c r="E304">
        <v>8</v>
      </c>
      <c r="F304" t="s">
        <v>19</v>
      </c>
      <c r="G304" t="s">
        <v>352</v>
      </c>
      <c r="H304" t="str">
        <f>HYPERLINK("http://pbs.twimg.com/media/Fixv315XgAAAqb2.jpg", "http://pbs.twimg.com/media/Fixv315XgAAAqb2.jpg")</f>
        <v>http://pbs.twimg.com/media/Fixv315XgAAAqb2.jpg</v>
      </c>
      <c r="L304">
        <v>0.55740000000000001</v>
      </c>
      <c r="M304">
        <v>0</v>
      </c>
      <c r="N304">
        <v>0.88900000000000001</v>
      </c>
      <c r="O304">
        <v>0.111</v>
      </c>
    </row>
    <row r="305" spans="1:15" x14ac:dyDescent="0.2">
      <c r="A305" s="1" t="str">
        <f>HYPERLINK("http://www.twitter.com/banuakdenizli/status/1597954718785208321", "1597954718785208321")</f>
        <v>1597954718785208321</v>
      </c>
      <c r="B305" t="s">
        <v>15</v>
      </c>
      <c r="C305" s="2">
        <v>44895.586435185192</v>
      </c>
      <c r="D305">
        <v>0</v>
      </c>
      <c r="E305">
        <v>5</v>
      </c>
      <c r="F305" t="s">
        <v>20</v>
      </c>
      <c r="G305" t="s">
        <v>353</v>
      </c>
      <c r="H305" t="str">
        <f>HYPERLINK("http://pbs.twimg.com/media/FizNvHCWQAAy7Is.jpg", "http://pbs.twimg.com/media/FizNvHCWQAAy7Is.jpg")</f>
        <v>http://pbs.twimg.com/media/FizNvHCWQAAy7Is.jpg</v>
      </c>
      <c r="L305">
        <v>0.34</v>
      </c>
      <c r="M305">
        <v>0</v>
      </c>
      <c r="N305">
        <v>0.94699999999999995</v>
      </c>
      <c r="O305">
        <v>5.2999999999999999E-2</v>
      </c>
    </row>
    <row r="306" spans="1:15" x14ac:dyDescent="0.2">
      <c r="A306" s="1" t="str">
        <f>HYPERLINK("http://www.twitter.com/banuakdenizli/status/1597954685335654405", "1597954685335654405")</f>
        <v>1597954685335654405</v>
      </c>
      <c r="B306" t="s">
        <v>15</v>
      </c>
      <c r="C306" s="2">
        <v>44895.586342592593</v>
      </c>
      <c r="D306">
        <v>0</v>
      </c>
      <c r="E306">
        <v>6</v>
      </c>
      <c r="F306" t="s">
        <v>17</v>
      </c>
      <c r="G306" t="s">
        <v>354</v>
      </c>
      <c r="H306" t="str">
        <f>HYPERLINK("http://pbs.twimg.com/media/Fiy9oXzX0AE33TV.jpg", "http://pbs.twimg.com/media/Fiy9oXzX0AE33TV.jpg")</f>
        <v>http://pbs.twimg.com/media/Fiy9oXzX0AE33TV.jpg</v>
      </c>
      <c r="I306" t="str">
        <f>HYPERLINK("http://pbs.twimg.com/media/Fiy9oZsWIAA7G2k.jpg", "http://pbs.twimg.com/media/Fiy9oZsWIAA7G2k.jpg")</f>
        <v>http://pbs.twimg.com/media/Fiy9oZsWIAA7G2k.jpg</v>
      </c>
      <c r="L306">
        <v>0</v>
      </c>
      <c r="M306">
        <v>0</v>
      </c>
      <c r="N306">
        <v>1</v>
      </c>
      <c r="O306">
        <v>0</v>
      </c>
    </row>
    <row r="307" spans="1:15" x14ac:dyDescent="0.2">
      <c r="A307" s="1" t="str">
        <f>HYPERLINK("http://www.twitter.com/banuakdenizli/status/1597678864368795648", "1597678864368795648")</f>
        <v>1597678864368795648</v>
      </c>
      <c r="B307" t="s">
        <v>15</v>
      </c>
      <c r="C307" s="2">
        <v>44894.825219907398</v>
      </c>
      <c r="D307">
        <v>0</v>
      </c>
      <c r="E307">
        <v>9</v>
      </c>
      <c r="F307" t="s">
        <v>24</v>
      </c>
      <c r="G307" t="s">
        <v>355</v>
      </c>
      <c r="H307" t="str">
        <f>HYPERLINK("http://pbs.twimg.com/media/Fiv53HPWIAE44l8.jpg", "http://pbs.twimg.com/media/Fiv53HPWIAE44l8.jpg")</f>
        <v>http://pbs.twimg.com/media/Fiv53HPWIAE44l8.jpg</v>
      </c>
      <c r="L307">
        <v>0.77170000000000005</v>
      </c>
      <c r="M307">
        <v>0</v>
      </c>
      <c r="N307">
        <v>0.79500000000000004</v>
      </c>
      <c r="O307">
        <v>0.20499999999999999</v>
      </c>
    </row>
    <row r="308" spans="1:15" x14ac:dyDescent="0.2">
      <c r="A308" s="1" t="str">
        <f>HYPERLINK("http://www.twitter.com/banuakdenizli/status/1597678413221093376", "1597678413221093376")</f>
        <v>1597678413221093376</v>
      </c>
      <c r="B308" t="s">
        <v>15</v>
      </c>
      <c r="C308" s="2">
        <v>44894.823969907397</v>
      </c>
      <c r="D308">
        <v>0</v>
      </c>
      <c r="E308">
        <v>7</v>
      </c>
      <c r="F308" t="s">
        <v>17</v>
      </c>
      <c r="G308" t="s">
        <v>356</v>
      </c>
      <c r="H308" t="str">
        <f>HYPERLINK("http://pbs.twimg.com/media/FiwMjJmWYAAep8w.jpg", "http://pbs.twimg.com/media/FiwMjJmWYAAep8w.jpg")</f>
        <v>http://pbs.twimg.com/media/FiwMjJmWYAAep8w.jpg</v>
      </c>
      <c r="L308">
        <v>0</v>
      </c>
      <c r="M308">
        <v>0</v>
      </c>
      <c r="N308">
        <v>1</v>
      </c>
      <c r="O308">
        <v>0</v>
      </c>
    </row>
    <row r="309" spans="1:15" x14ac:dyDescent="0.2">
      <c r="A309" s="1" t="str">
        <f>HYPERLINK("http://www.twitter.com/banuakdenizli/status/1597651966666379264", "1597651966666379264")</f>
        <v>1597651966666379264</v>
      </c>
      <c r="B309" t="s">
        <v>15</v>
      </c>
      <c r="C309" s="2">
        <v>44894.75099537037</v>
      </c>
      <c r="D309">
        <v>0</v>
      </c>
      <c r="E309">
        <v>6</v>
      </c>
      <c r="F309" t="s">
        <v>16</v>
      </c>
      <c r="G309" t="s">
        <v>357</v>
      </c>
      <c r="H309" t="str">
        <f>HYPERLINK("http://pbs.twimg.com/media/Fiv6NkuXkAIaM7y.jpg", "http://pbs.twimg.com/media/Fiv6NkuXkAIaM7y.jpg")</f>
        <v>http://pbs.twimg.com/media/Fiv6NkuXkAIaM7y.jpg</v>
      </c>
      <c r="L309">
        <v>0</v>
      </c>
      <c r="M309">
        <v>0</v>
      </c>
      <c r="N309">
        <v>1</v>
      </c>
      <c r="O309">
        <v>0</v>
      </c>
    </row>
    <row r="310" spans="1:15" x14ac:dyDescent="0.2">
      <c r="A310" s="1" t="str">
        <f>HYPERLINK("http://www.twitter.com/banuakdenizli/status/1597635305875468288", "1597635305875468288")</f>
        <v>1597635305875468288</v>
      </c>
      <c r="B310" t="s">
        <v>15</v>
      </c>
      <c r="C310" s="2">
        <v>44894.705023148148</v>
      </c>
      <c r="D310">
        <v>0</v>
      </c>
      <c r="E310">
        <v>16</v>
      </c>
      <c r="F310" t="s">
        <v>25</v>
      </c>
      <c r="G310" t="s">
        <v>358</v>
      </c>
      <c r="L310">
        <v>0</v>
      </c>
      <c r="M310">
        <v>0</v>
      </c>
      <c r="N310">
        <v>1</v>
      </c>
      <c r="O310">
        <v>0</v>
      </c>
    </row>
    <row r="311" spans="1:15" x14ac:dyDescent="0.2">
      <c r="A311" s="1" t="str">
        <f>HYPERLINK("http://www.twitter.com/banuakdenizli/status/1597605520789102592", "1597605520789102592")</f>
        <v>1597605520789102592</v>
      </c>
      <c r="B311" t="s">
        <v>15</v>
      </c>
      <c r="C311" s="2">
        <v>44894.622824074067</v>
      </c>
      <c r="D311">
        <v>0</v>
      </c>
      <c r="E311">
        <v>17</v>
      </c>
      <c r="F311" t="s">
        <v>51</v>
      </c>
      <c r="G311" t="s">
        <v>359</v>
      </c>
      <c r="H311" t="str">
        <f>HYPERLINK("https://video.twimg.com/ext_tw_video/1597568121761632258/pu/vid/720x1280/s16Na4N09MSKtmiO.mp4?tag=12", "https://video.twimg.com/ext_tw_video/1597568121761632258/pu/vid/720x1280/s16Na4N09MSKtmiO.mp4?tag=12")</f>
        <v>https://video.twimg.com/ext_tw_video/1597568121761632258/pu/vid/720x1280/s16Na4N09MSKtmiO.mp4?tag=12</v>
      </c>
      <c r="L311">
        <v>-0.29599999999999999</v>
      </c>
      <c r="M311">
        <v>4.5999999999999999E-2</v>
      </c>
      <c r="N311">
        <v>0.95399999999999996</v>
      </c>
      <c r="O311">
        <v>0</v>
      </c>
    </row>
    <row r="312" spans="1:15" x14ac:dyDescent="0.2">
      <c r="A312" s="1" t="str">
        <f>HYPERLINK("http://www.twitter.com/banuakdenizli/status/1597602939245584386", "1597602939245584386")</f>
        <v>1597602939245584386</v>
      </c>
      <c r="B312" t="s">
        <v>15</v>
      </c>
      <c r="C312" s="2">
        <v>44894.615706018521</v>
      </c>
      <c r="D312">
        <v>0</v>
      </c>
      <c r="E312">
        <v>4</v>
      </c>
      <c r="F312" t="s">
        <v>16</v>
      </c>
      <c r="G312" t="s">
        <v>360</v>
      </c>
      <c r="H312" t="str">
        <f>HYPERLINK("https://video.twimg.com/ext_tw_video/1597576137894404098/pu/vid/1280x720/34XH0xaAIC3JJVhR.mp4?tag=12", "https://video.twimg.com/ext_tw_video/1597576137894404098/pu/vid/1280x720/34XH0xaAIC3JJVhR.mp4?tag=12")</f>
        <v>https://video.twimg.com/ext_tw_video/1597576137894404098/pu/vid/1280x720/34XH0xaAIC3JJVhR.mp4?tag=12</v>
      </c>
      <c r="L312">
        <v>0</v>
      </c>
      <c r="M312">
        <v>0</v>
      </c>
      <c r="N312">
        <v>1</v>
      </c>
      <c r="O312">
        <v>0</v>
      </c>
    </row>
    <row r="313" spans="1:15" x14ac:dyDescent="0.2">
      <c r="A313" s="1" t="str">
        <f>HYPERLINK("http://www.twitter.com/banuakdenizli/status/1597602898997055493", "1597602898997055493")</f>
        <v>1597602898997055493</v>
      </c>
      <c r="B313" t="s">
        <v>15</v>
      </c>
      <c r="C313" s="2">
        <v>44894.615590277783</v>
      </c>
      <c r="D313">
        <v>0</v>
      </c>
      <c r="E313">
        <v>12</v>
      </c>
      <c r="F313" t="s">
        <v>26</v>
      </c>
      <c r="G313" t="s">
        <v>361</v>
      </c>
      <c r="L313">
        <v>0.76500000000000001</v>
      </c>
      <c r="M313">
        <v>0</v>
      </c>
      <c r="N313">
        <v>0.82599999999999996</v>
      </c>
      <c r="O313">
        <v>0.17399999999999999</v>
      </c>
    </row>
    <row r="314" spans="1:15" x14ac:dyDescent="0.2">
      <c r="A314" s="1" t="str">
        <f>HYPERLINK("http://www.twitter.com/banuakdenizli/status/1597602868563161090", "1597602868563161090")</f>
        <v>1597602868563161090</v>
      </c>
      <c r="B314" t="s">
        <v>15</v>
      </c>
      <c r="C314" s="2">
        <v>44894.61550925926</v>
      </c>
      <c r="D314">
        <v>0</v>
      </c>
      <c r="E314">
        <v>14</v>
      </c>
      <c r="F314" t="s">
        <v>26</v>
      </c>
      <c r="G314" t="s">
        <v>362</v>
      </c>
      <c r="L314">
        <v>0</v>
      </c>
      <c r="M314">
        <v>0</v>
      </c>
      <c r="N314">
        <v>1</v>
      </c>
      <c r="O314">
        <v>0</v>
      </c>
    </row>
    <row r="315" spans="1:15" x14ac:dyDescent="0.2">
      <c r="A315" s="1" t="str">
        <f>HYPERLINK("http://www.twitter.com/banuakdenizli/status/1597602825936470018", "1597602825936470018")</f>
        <v>1597602825936470018</v>
      </c>
      <c r="B315" t="s">
        <v>15</v>
      </c>
      <c r="C315" s="2">
        <v>44894.615393518521</v>
      </c>
      <c r="D315">
        <v>0</v>
      </c>
      <c r="E315">
        <v>10</v>
      </c>
      <c r="F315" t="s">
        <v>16</v>
      </c>
      <c r="G315" t="s">
        <v>363</v>
      </c>
      <c r="H315" t="str">
        <f>HYPERLINK("http://pbs.twimg.com/media/FivNoP3WIAEvPos.jpg", "http://pbs.twimg.com/media/FivNoP3WIAEvPos.jpg")</f>
        <v>http://pbs.twimg.com/media/FivNoP3WIAEvPos.jpg</v>
      </c>
      <c r="L315">
        <v>0</v>
      </c>
      <c r="M315">
        <v>0</v>
      </c>
      <c r="N315">
        <v>1</v>
      </c>
      <c r="O315">
        <v>0</v>
      </c>
    </row>
    <row r="316" spans="1:15" x14ac:dyDescent="0.2">
      <c r="A316" s="1" t="str">
        <f>HYPERLINK("http://www.twitter.com/banuakdenizli/status/1597602805929627649", "1597602805929627649")</f>
        <v>1597602805929627649</v>
      </c>
      <c r="B316" t="s">
        <v>15</v>
      </c>
      <c r="C316" s="2">
        <v>44894.615335648137</v>
      </c>
      <c r="D316">
        <v>0</v>
      </c>
      <c r="E316">
        <v>90</v>
      </c>
      <c r="F316" t="s">
        <v>28</v>
      </c>
      <c r="G316" t="s">
        <v>364</v>
      </c>
      <c r="L316">
        <v>0</v>
      </c>
      <c r="M316">
        <v>0</v>
      </c>
      <c r="N316">
        <v>1</v>
      </c>
      <c r="O316">
        <v>0</v>
      </c>
    </row>
    <row r="317" spans="1:15" x14ac:dyDescent="0.2">
      <c r="A317" s="1" t="str">
        <f>HYPERLINK("http://www.twitter.com/banuakdenizli/status/1597602688875008002", "1597602688875008002")</f>
        <v>1597602688875008002</v>
      </c>
      <c r="B317" t="s">
        <v>15</v>
      </c>
      <c r="C317" s="2">
        <v>44894.615011574067</v>
      </c>
      <c r="D317">
        <v>0</v>
      </c>
      <c r="E317">
        <v>13</v>
      </c>
      <c r="F317" t="s">
        <v>16</v>
      </c>
      <c r="G317" t="s">
        <v>365</v>
      </c>
      <c r="H317" t="str">
        <f>HYPERLINK("http://pbs.twimg.com/media/FiuC7lhX0AAYCkz.jpg", "http://pbs.twimg.com/media/FiuC7lhX0AAYCkz.jpg")</f>
        <v>http://pbs.twimg.com/media/FiuC7lhX0AAYCkz.jpg</v>
      </c>
      <c r="L317">
        <v>0</v>
      </c>
      <c r="M317">
        <v>0</v>
      </c>
      <c r="N317">
        <v>1</v>
      </c>
      <c r="O317">
        <v>0</v>
      </c>
    </row>
    <row r="318" spans="1:15" x14ac:dyDescent="0.2">
      <c r="A318" s="1" t="str">
        <f>HYPERLINK("http://www.twitter.com/banuakdenizli/status/1597602626002391040", "1597602626002391040")</f>
        <v>1597602626002391040</v>
      </c>
      <c r="B318" t="s">
        <v>15</v>
      </c>
      <c r="C318" s="2">
        <v>44894.614837962959</v>
      </c>
      <c r="D318">
        <v>0</v>
      </c>
      <c r="E318">
        <v>39</v>
      </c>
      <c r="F318" t="s">
        <v>16</v>
      </c>
      <c r="G318" t="s">
        <v>366</v>
      </c>
      <c r="H318" t="str">
        <f>HYPERLINK("http://pbs.twimg.com/media/FiugGIUWAAAIfXz.jpg", "http://pbs.twimg.com/media/FiugGIUWAAAIfXz.jpg")</f>
        <v>http://pbs.twimg.com/media/FiugGIUWAAAIfXz.jpg</v>
      </c>
      <c r="L318">
        <v>0</v>
      </c>
      <c r="M318">
        <v>0</v>
      </c>
      <c r="N318">
        <v>1</v>
      </c>
      <c r="O318">
        <v>0</v>
      </c>
    </row>
    <row r="319" spans="1:15" x14ac:dyDescent="0.2">
      <c r="A319" s="1" t="str">
        <f>HYPERLINK("http://www.twitter.com/banuakdenizli/status/1597602617970266116", "1597602617970266116")</f>
        <v>1597602617970266116</v>
      </c>
      <c r="B319" t="s">
        <v>15</v>
      </c>
      <c r="C319" s="2">
        <v>44894.614814814813</v>
      </c>
      <c r="D319">
        <v>0</v>
      </c>
      <c r="E319">
        <v>14</v>
      </c>
      <c r="F319" t="s">
        <v>17</v>
      </c>
      <c r="G319" t="s">
        <v>367</v>
      </c>
      <c r="H319" t="str">
        <f>HYPERLINK("http://pbs.twimg.com/media/FiuDSnoXoAAwLRX.jpg", "http://pbs.twimg.com/media/FiuDSnoXoAAwLRX.jpg")</f>
        <v>http://pbs.twimg.com/media/FiuDSnoXoAAwLRX.jpg</v>
      </c>
      <c r="L319">
        <v>0</v>
      </c>
      <c r="M319">
        <v>0</v>
      </c>
      <c r="N319">
        <v>1</v>
      </c>
      <c r="O319">
        <v>0</v>
      </c>
    </row>
    <row r="320" spans="1:15" x14ac:dyDescent="0.2">
      <c r="A320" s="1" t="str">
        <f>HYPERLINK("http://www.twitter.com/banuakdenizli/status/1597602583153197057", "1597602583153197057")</f>
        <v>1597602583153197057</v>
      </c>
      <c r="B320" t="s">
        <v>15</v>
      </c>
      <c r="C320" s="2">
        <v>44894.614722222221</v>
      </c>
      <c r="D320">
        <v>0</v>
      </c>
      <c r="E320">
        <v>13</v>
      </c>
      <c r="F320" t="s">
        <v>16</v>
      </c>
      <c r="G320" t="s">
        <v>368</v>
      </c>
      <c r="H320" t="str">
        <f>HYPERLINK("https://video.twimg.com/ext_tw_video/1597575819571912704/pu/vid/1280x720/dUTrnbsZV-W2_iW8.mp4?tag=12", "https://video.twimg.com/ext_tw_video/1597575819571912704/pu/vid/1280x720/dUTrnbsZV-W2_iW8.mp4?tag=12")</f>
        <v>https://video.twimg.com/ext_tw_video/1597575819571912704/pu/vid/1280x720/dUTrnbsZV-W2_iW8.mp4?tag=12</v>
      </c>
      <c r="L320">
        <v>0</v>
      </c>
      <c r="M320">
        <v>0</v>
      </c>
      <c r="N320">
        <v>1</v>
      </c>
      <c r="O320">
        <v>0</v>
      </c>
    </row>
    <row r="321" spans="1:15" x14ac:dyDescent="0.2">
      <c r="A321" s="1" t="str">
        <f>HYPERLINK("http://www.twitter.com/banuakdenizli/status/1597602262423326720", "1597602262423326720")</f>
        <v>1597602262423326720</v>
      </c>
      <c r="B321" t="s">
        <v>15</v>
      </c>
      <c r="C321" s="2">
        <v>44894.613842592589</v>
      </c>
      <c r="D321">
        <v>0</v>
      </c>
      <c r="E321">
        <v>26</v>
      </c>
      <c r="F321" t="s">
        <v>16</v>
      </c>
      <c r="G321" t="s">
        <v>369</v>
      </c>
      <c r="H321" t="str">
        <f>HYPERLINK("http://pbs.twimg.com/media/Fius0HeXwAAwykG.jpg", "http://pbs.twimg.com/media/Fius0HeXwAAwykG.jpg")</f>
        <v>http://pbs.twimg.com/media/Fius0HeXwAAwykG.jpg</v>
      </c>
      <c r="L321">
        <v>0</v>
      </c>
      <c r="M321">
        <v>0</v>
      </c>
      <c r="N321">
        <v>1</v>
      </c>
      <c r="O321">
        <v>0</v>
      </c>
    </row>
    <row r="322" spans="1:15" x14ac:dyDescent="0.2">
      <c r="A322" s="1" t="str">
        <f>HYPERLINK("http://www.twitter.com/banuakdenizli/status/1597602232593428480", "1597602232593428480")</f>
        <v>1597602232593428480</v>
      </c>
      <c r="B322" t="s">
        <v>15</v>
      </c>
      <c r="C322" s="2">
        <v>44894.613749999997</v>
      </c>
      <c r="D322">
        <v>0</v>
      </c>
      <c r="E322">
        <v>15</v>
      </c>
      <c r="F322" t="s">
        <v>17</v>
      </c>
      <c r="G322" t="s">
        <v>370</v>
      </c>
      <c r="H322" t="str">
        <f>HYPERLINK("http://pbs.twimg.com/media/FiugjEDWIAAO5Ws.jpg", "http://pbs.twimg.com/media/FiugjEDWIAAO5Ws.jpg")</f>
        <v>http://pbs.twimg.com/media/FiugjEDWIAAO5Ws.jpg</v>
      </c>
      <c r="L322">
        <v>0.51060000000000005</v>
      </c>
      <c r="M322">
        <v>5.3999999999999999E-2</v>
      </c>
      <c r="N322">
        <v>0.82099999999999995</v>
      </c>
      <c r="O322">
        <v>0.125</v>
      </c>
    </row>
    <row r="323" spans="1:15" x14ac:dyDescent="0.2">
      <c r="A323" s="1" t="str">
        <f>HYPERLINK("http://www.twitter.com/banuakdenizli/status/1597602195343814656", "1597602195343814656")</f>
        <v>1597602195343814656</v>
      </c>
      <c r="B323" t="s">
        <v>15</v>
      </c>
      <c r="C323" s="2">
        <v>44894.613657407397</v>
      </c>
      <c r="D323">
        <v>0</v>
      </c>
      <c r="E323">
        <v>10</v>
      </c>
      <c r="F323" t="s">
        <v>17</v>
      </c>
      <c r="G323" t="s">
        <v>371</v>
      </c>
      <c r="H323" t="str">
        <f>HYPERLINK("http://pbs.twimg.com/media/Fiutf-iWYAEz_Q3.jpg", "http://pbs.twimg.com/media/Fiutf-iWYAEz_Q3.jpg")</f>
        <v>http://pbs.twimg.com/media/Fiutf-iWYAEz_Q3.jpg</v>
      </c>
      <c r="L323">
        <v>0.40189999999999998</v>
      </c>
      <c r="M323">
        <v>0</v>
      </c>
      <c r="N323">
        <v>0.94299999999999995</v>
      </c>
      <c r="O323">
        <v>5.7000000000000002E-2</v>
      </c>
    </row>
    <row r="324" spans="1:15" x14ac:dyDescent="0.2">
      <c r="A324" s="1" t="str">
        <f>HYPERLINK("http://www.twitter.com/banuakdenizli/status/1597291799114297345", "1597291799114297345")</f>
        <v>1597291799114297345</v>
      </c>
      <c r="B324" t="s">
        <v>15</v>
      </c>
      <c r="C324" s="2">
        <v>44893.757118055553</v>
      </c>
      <c r="D324">
        <v>0</v>
      </c>
      <c r="E324">
        <v>1</v>
      </c>
      <c r="F324" t="s">
        <v>29</v>
      </c>
      <c r="G324" t="s">
        <v>372</v>
      </c>
      <c r="H324" t="str">
        <f>HYPERLINK("https://video.twimg.com/ext_tw_video/1597276449630822401/pu/vid/1280x720/nWl3F0Gnfa5nXQfz.mp4?tag=12", "https://video.twimg.com/ext_tw_video/1597276449630822401/pu/vid/1280x720/nWl3F0Gnfa5nXQfz.mp4?tag=12")</f>
        <v>https://video.twimg.com/ext_tw_video/1597276449630822401/pu/vid/1280x720/nWl3F0Gnfa5nXQfz.mp4?tag=12</v>
      </c>
      <c r="L324">
        <v>0.40189999999999998</v>
      </c>
      <c r="M324">
        <v>0</v>
      </c>
      <c r="N324">
        <v>0.84699999999999998</v>
      </c>
      <c r="O324">
        <v>0.153</v>
      </c>
    </row>
    <row r="325" spans="1:15" x14ac:dyDescent="0.2">
      <c r="A325" s="1" t="str">
        <f>HYPERLINK("http://www.twitter.com/banuakdenizli/status/1597291782232215552", "1597291782232215552")</f>
        <v>1597291782232215552</v>
      </c>
      <c r="B325" t="s">
        <v>15</v>
      </c>
      <c r="C325" s="2">
        <v>44893.757071759261</v>
      </c>
      <c r="D325">
        <v>0</v>
      </c>
      <c r="E325">
        <v>1</v>
      </c>
      <c r="F325" t="s">
        <v>29</v>
      </c>
      <c r="G325" t="s">
        <v>373</v>
      </c>
      <c r="H325" t="str">
        <f>HYPERLINK("http://pbs.twimg.com/media/FiqgvP2WAAEGWgB.jpg", "http://pbs.twimg.com/media/FiqgvP2WAAEGWgB.jpg")</f>
        <v>http://pbs.twimg.com/media/FiqgvP2WAAEGWgB.jpg</v>
      </c>
      <c r="I325" t="str">
        <f>HYPERLINK("http://pbs.twimg.com/media/FiqgvP0XEAATlpL.jpg", "http://pbs.twimg.com/media/FiqgvP0XEAATlpL.jpg")</f>
        <v>http://pbs.twimg.com/media/FiqgvP0XEAATlpL.jpg</v>
      </c>
      <c r="J325" t="str">
        <f>HYPERLINK("http://pbs.twimg.com/media/FiqgvPaXEAATCb8.jpg", "http://pbs.twimg.com/media/FiqgvPaXEAATCb8.jpg")</f>
        <v>http://pbs.twimg.com/media/FiqgvPaXEAATCb8.jpg</v>
      </c>
      <c r="K325" t="str">
        <f>HYPERLINK("http://pbs.twimg.com/media/FiqgvQNWQAApIdc.jpg", "http://pbs.twimg.com/media/FiqgvQNWQAApIdc.jpg")</f>
        <v>http://pbs.twimg.com/media/FiqgvQNWQAApIdc.jpg</v>
      </c>
      <c r="L325">
        <v>0.52669999999999995</v>
      </c>
      <c r="M325">
        <v>0</v>
      </c>
      <c r="N325">
        <v>0.83299999999999996</v>
      </c>
      <c r="O325">
        <v>0.16700000000000001</v>
      </c>
    </row>
    <row r="326" spans="1:15" x14ac:dyDescent="0.2">
      <c r="A326" s="1" t="str">
        <f>HYPERLINK("http://www.twitter.com/banuakdenizli/status/1597291521698844672", "1597291521698844672")</f>
        <v>1597291521698844672</v>
      </c>
      <c r="B326" t="s">
        <v>15</v>
      </c>
      <c r="C326" s="2">
        <v>44893.756354166668</v>
      </c>
      <c r="D326">
        <v>0</v>
      </c>
      <c r="E326">
        <v>10</v>
      </c>
      <c r="F326" t="s">
        <v>17</v>
      </c>
      <c r="G326" t="s">
        <v>374</v>
      </c>
      <c r="H326" t="str">
        <f>HYPERLINK("http://pbs.twimg.com/media/FiqqoL3XoAEOT1s.jpg", "http://pbs.twimg.com/media/FiqqoL3XoAEOT1s.jpg")</f>
        <v>http://pbs.twimg.com/media/FiqqoL3XoAEOT1s.jpg</v>
      </c>
      <c r="L326">
        <v>0</v>
      </c>
      <c r="M326">
        <v>0</v>
      </c>
      <c r="N326">
        <v>1</v>
      </c>
      <c r="O326">
        <v>0</v>
      </c>
    </row>
    <row r="327" spans="1:15" x14ac:dyDescent="0.2">
      <c r="A327" s="1" t="str">
        <f>HYPERLINK("http://www.twitter.com/banuakdenizli/status/1597291505823383552", "1597291505823383552")</f>
        <v>1597291505823383552</v>
      </c>
      <c r="B327" t="s">
        <v>15</v>
      </c>
      <c r="C327" s="2">
        <v>44893.756307870368</v>
      </c>
      <c r="D327">
        <v>0</v>
      </c>
      <c r="E327">
        <v>15</v>
      </c>
      <c r="F327" t="s">
        <v>17</v>
      </c>
      <c r="G327" t="s">
        <v>375</v>
      </c>
      <c r="H327" t="str">
        <f>HYPERLINK("http://pbs.twimg.com/media/FiqprQTXoAw8Iqd.jpg", "http://pbs.twimg.com/media/FiqprQTXoAw8Iqd.jpg")</f>
        <v>http://pbs.twimg.com/media/FiqprQTXoAw8Iqd.jpg</v>
      </c>
      <c r="L327">
        <v>-0.64859999999999995</v>
      </c>
      <c r="M327">
        <v>0.441</v>
      </c>
      <c r="N327">
        <v>0.41399999999999998</v>
      </c>
      <c r="O327">
        <v>0.14499999999999999</v>
      </c>
    </row>
    <row r="328" spans="1:15" x14ac:dyDescent="0.2">
      <c r="A328" s="1" t="str">
        <f>HYPERLINK("http://www.twitter.com/banuakdenizli/status/1597265555396112385", "1597265555396112385")</f>
        <v>1597265555396112385</v>
      </c>
      <c r="B328" t="s">
        <v>15</v>
      </c>
      <c r="C328" s="2">
        <v>44893.684699074067</v>
      </c>
      <c r="D328">
        <v>0</v>
      </c>
      <c r="E328">
        <v>6</v>
      </c>
      <c r="F328" t="s">
        <v>16</v>
      </c>
      <c r="G328" t="s">
        <v>376</v>
      </c>
      <c r="H328" t="str">
        <f>HYPERLINK("http://pbs.twimg.com/media/FiqYqziXgAA3WwA.jpg", "http://pbs.twimg.com/media/FiqYqziXgAA3WwA.jpg")</f>
        <v>http://pbs.twimg.com/media/FiqYqziXgAA3WwA.jpg</v>
      </c>
      <c r="L328">
        <v>0</v>
      </c>
      <c r="M328">
        <v>0</v>
      </c>
      <c r="N328">
        <v>1</v>
      </c>
      <c r="O328">
        <v>0</v>
      </c>
    </row>
    <row r="329" spans="1:15" x14ac:dyDescent="0.2">
      <c r="A329" s="1" t="str">
        <f>HYPERLINK("http://www.twitter.com/banuakdenizli/status/1597265540674125824", "1597265540674125824")</f>
        <v>1597265540674125824</v>
      </c>
      <c r="B329" t="s">
        <v>15</v>
      </c>
      <c r="C329" s="2">
        <v>44893.684664351851</v>
      </c>
      <c r="D329">
        <v>0</v>
      </c>
      <c r="E329">
        <v>17</v>
      </c>
      <c r="F329" t="s">
        <v>16</v>
      </c>
      <c r="G329" t="s">
        <v>377</v>
      </c>
      <c r="H329" t="str">
        <f>HYPERLINK("http://pbs.twimg.com/media/FiqY0uyXoAMxXo5.jpg", "http://pbs.twimg.com/media/FiqY0uyXoAMxXo5.jpg")</f>
        <v>http://pbs.twimg.com/media/FiqY0uyXoAMxXo5.jpg</v>
      </c>
      <c r="L329">
        <v>0</v>
      </c>
      <c r="M329">
        <v>0</v>
      </c>
      <c r="N329">
        <v>1</v>
      </c>
      <c r="O329">
        <v>0</v>
      </c>
    </row>
    <row r="330" spans="1:15" x14ac:dyDescent="0.2">
      <c r="A330" s="1" t="str">
        <f>HYPERLINK("http://www.twitter.com/banuakdenizli/status/1597230213741805568", "1597230213741805568")</f>
        <v>1597230213741805568</v>
      </c>
      <c r="B330" t="s">
        <v>15</v>
      </c>
      <c r="C330" s="2">
        <v>44893.587175925917</v>
      </c>
      <c r="D330">
        <v>0</v>
      </c>
      <c r="E330">
        <v>8</v>
      </c>
      <c r="F330" t="s">
        <v>17</v>
      </c>
      <c r="G330" t="s">
        <v>378</v>
      </c>
      <c r="H330" t="str">
        <f>HYPERLINK("http://pbs.twimg.com/media/Fip7ZeaWQAA_xOa.jpg", "http://pbs.twimg.com/media/Fip7ZeaWQAA_xOa.jpg")</f>
        <v>http://pbs.twimg.com/media/Fip7ZeaWQAA_xOa.jpg</v>
      </c>
      <c r="I330" t="str">
        <f>HYPERLINK("http://pbs.twimg.com/media/Fip7Zg7WYAE4MvV.jpg", "http://pbs.twimg.com/media/Fip7Zg7WYAE4MvV.jpg")</f>
        <v>http://pbs.twimg.com/media/Fip7Zg7WYAE4MvV.jpg</v>
      </c>
      <c r="L330">
        <v>0.128</v>
      </c>
      <c r="M330">
        <v>0</v>
      </c>
      <c r="N330">
        <v>0.90300000000000002</v>
      </c>
      <c r="O330">
        <v>9.7000000000000003E-2</v>
      </c>
    </row>
    <row r="331" spans="1:15" x14ac:dyDescent="0.2">
      <c r="A331" s="1" t="str">
        <f>HYPERLINK("http://www.twitter.com/banuakdenizli/status/1597230152949280768", "1597230152949280768")</f>
        <v>1597230152949280768</v>
      </c>
      <c r="B331" t="s">
        <v>15</v>
      </c>
      <c r="C331" s="2">
        <v>44893.587013888893</v>
      </c>
      <c r="D331">
        <v>0</v>
      </c>
      <c r="E331">
        <v>7</v>
      </c>
      <c r="F331" t="s">
        <v>16</v>
      </c>
      <c r="G331" t="s">
        <v>379</v>
      </c>
      <c r="H331" t="str">
        <f>HYPERLINK("https://video.twimg.com/ext_tw_video/1597225540313833472/pu/vid/1280x720/mXBLgI7b4L-V0mN9.mp4?tag=12", "https://video.twimg.com/ext_tw_video/1597225540313833472/pu/vid/1280x720/mXBLgI7b4L-V0mN9.mp4?tag=12")</f>
        <v>https://video.twimg.com/ext_tw_video/1597225540313833472/pu/vid/1280x720/mXBLgI7b4L-V0mN9.mp4?tag=12</v>
      </c>
      <c r="L331">
        <v>0</v>
      </c>
      <c r="M331">
        <v>0</v>
      </c>
      <c r="N331">
        <v>1</v>
      </c>
      <c r="O331">
        <v>0</v>
      </c>
    </row>
    <row r="332" spans="1:15" x14ac:dyDescent="0.2">
      <c r="A332" s="1" t="str">
        <f>HYPERLINK("http://www.twitter.com/banuakdenizli/status/1597216795907477504", "1597216795907477504")</f>
        <v>1597216795907477504</v>
      </c>
      <c r="B332" t="s">
        <v>15</v>
      </c>
      <c r="C332" s="2">
        <v>44893.550150462957</v>
      </c>
      <c r="D332">
        <v>0</v>
      </c>
      <c r="E332">
        <v>7</v>
      </c>
      <c r="F332" t="s">
        <v>16</v>
      </c>
      <c r="G332" t="s">
        <v>380</v>
      </c>
      <c r="H332" t="str">
        <f>HYPERLINK("http://pbs.twimg.com/media/Fipd3ZTWQAI-Lvn.jpg", "http://pbs.twimg.com/media/Fipd3ZTWQAI-Lvn.jpg")</f>
        <v>http://pbs.twimg.com/media/Fipd3ZTWQAI-Lvn.jpg</v>
      </c>
      <c r="L332">
        <v>0</v>
      </c>
      <c r="M332">
        <v>0</v>
      </c>
      <c r="N332">
        <v>1</v>
      </c>
      <c r="O332">
        <v>0</v>
      </c>
    </row>
    <row r="333" spans="1:15" x14ac:dyDescent="0.2">
      <c r="A333" s="1" t="str">
        <f>HYPERLINK("http://www.twitter.com/banuakdenizli/status/1597216775761842176", "1597216775761842176")</f>
        <v>1597216775761842176</v>
      </c>
      <c r="B333" t="s">
        <v>15</v>
      </c>
      <c r="C333" s="2">
        <v>44893.550092592603</v>
      </c>
      <c r="D333">
        <v>0</v>
      </c>
      <c r="E333">
        <v>6</v>
      </c>
      <c r="F333" t="s">
        <v>16</v>
      </c>
      <c r="G333" t="s">
        <v>381</v>
      </c>
      <c r="H333" t="str">
        <f>HYPERLINK("http://pbs.twimg.com/media/FipisMQXwAUgYjS.jpg", "http://pbs.twimg.com/media/FipisMQXwAUgYjS.jpg")</f>
        <v>http://pbs.twimg.com/media/FipisMQXwAUgYjS.jpg</v>
      </c>
      <c r="I333" t="str">
        <f>HYPERLINK("http://pbs.twimg.com/media/FipisOuXwAErjlK.jpg", "http://pbs.twimg.com/media/FipisOuXwAErjlK.jpg")</f>
        <v>http://pbs.twimg.com/media/FipisOuXwAErjlK.jpg</v>
      </c>
      <c r="L333">
        <v>0</v>
      </c>
      <c r="M333">
        <v>0</v>
      </c>
      <c r="N333">
        <v>1</v>
      </c>
      <c r="O333">
        <v>0</v>
      </c>
    </row>
    <row r="334" spans="1:15" x14ac:dyDescent="0.2">
      <c r="A334" s="1" t="str">
        <f>HYPERLINK("http://www.twitter.com/banuakdenizli/status/1597216749543632896", "1597216749543632896")</f>
        <v>1597216749543632896</v>
      </c>
      <c r="B334" t="s">
        <v>15</v>
      </c>
      <c r="C334" s="2">
        <v>44893.550023148149</v>
      </c>
      <c r="D334">
        <v>0</v>
      </c>
      <c r="E334">
        <v>6</v>
      </c>
      <c r="F334" t="s">
        <v>17</v>
      </c>
      <c r="G334" t="s">
        <v>382</v>
      </c>
      <c r="H334" t="str">
        <f>HYPERLINK("http://pbs.twimg.com/media/FipoRzBX0AEogdd.jpg", "http://pbs.twimg.com/media/FipoRzBX0AEogdd.jpg")</f>
        <v>http://pbs.twimg.com/media/FipoRzBX0AEogdd.jpg</v>
      </c>
      <c r="L334">
        <v>0</v>
      </c>
      <c r="M334">
        <v>0</v>
      </c>
      <c r="N334">
        <v>1</v>
      </c>
      <c r="O334">
        <v>0</v>
      </c>
    </row>
    <row r="335" spans="1:15" x14ac:dyDescent="0.2">
      <c r="A335" s="1" t="str">
        <f>HYPERLINK("http://www.twitter.com/banuakdenizli/status/1596914737098346498", "1596914737098346498")</f>
        <v>1596914737098346498</v>
      </c>
      <c r="B335" t="s">
        <v>15</v>
      </c>
      <c r="C335" s="2">
        <v>44892.716631944437</v>
      </c>
      <c r="D335">
        <v>0</v>
      </c>
      <c r="E335">
        <v>26</v>
      </c>
      <c r="F335" t="s">
        <v>18</v>
      </c>
      <c r="G335" t="s">
        <v>383</v>
      </c>
      <c r="H335" t="str">
        <f>HYPERLINK("http://pbs.twimg.com/media/Fij9B6MXkAQhpBm.jpg", "http://pbs.twimg.com/media/Fij9B6MXkAQhpBm.jpg")</f>
        <v>http://pbs.twimg.com/media/Fij9B6MXkAQhpBm.jpg</v>
      </c>
      <c r="L335">
        <v>0.7964</v>
      </c>
      <c r="M335">
        <v>0</v>
      </c>
      <c r="N335">
        <v>0.83499999999999996</v>
      </c>
      <c r="O335">
        <v>0.16500000000000001</v>
      </c>
    </row>
    <row r="336" spans="1:15" x14ac:dyDescent="0.2">
      <c r="A336" s="1" t="str">
        <f>HYPERLINK("http://www.twitter.com/banuakdenizli/status/1596914706354438144", "1596914706354438144")</f>
        <v>1596914706354438144</v>
      </c>
      <c r="B336" t="s">
        <v>15</v>
      </c>
      <c r="C336" s="2">
        <v>44892.716539351852</v>
      </c>
      <c r="D336">
        <v>0</v>
      </c>
      <c r="E336">
        <v>3</v>
      </c>
      <c r="F336" t="s">
        <v>16</v>
      </c>
      <c r="G336" t="s">
        <v>384</v>
      </c>
      <c r="H336" t="str">
        <f>HYPERLINK("https://video.twimg.com/ext_tw_video/1596865564978331650/pu/vid/1272x720/mXo6BP12hRifpMld.mp4?tag=12", "https://video.twimg.com/ext_tw_video/1596865564978331650/pu/vid/1272x720/mXo6BP12hRifpMld.mp4?tag=12")</f>
        <v>https://video.twimg.com/ext_tw_video/1596865564978331650/pu/vid/1272x720/mXo6BP12hRifpMld.mp4?tag=12</v>
      </c>
      <c r="L336">
        <v>0</v>
      </c>
      <c r="M336">
        <v>0</v>
      </c>
      <c r="N336">
        <v>1</v>
      </c>
      <c r="O336">
        <v>0</v>
      </c>
    </row>
    <row r="337" spans="1:15" x14ac:dyDescent="0.2">
      <c r="A337" s="1" t="str">
        <f>HYPERLINK("http://www.twitter.com/banuakdenizli/status/1596914683289964545", "1596914683289964545")</f>
        <v>1596914683289964545</v>
      </c>
      <c r="B337" t="s">
        <v>15</v>
      </c>
      <c r="C337" s="2">
        <v>44892.716481481482</v>
      </c>
      <c r="D337">
        <v>0</v>
      </c>
      <c r="E337">
        <v>45</v>
      </c>
      <c r="F337" t="s">
        <v>18</v>
      </c>
      <c r="G337" t="s">
        <v>385</v>
      </c>
      <c r="H337" t="str">
        <f>HYPERLINK("http://pbs.twimg.com/media/Fij37jTXgAEyzL0.jpg", "http://pbs.twimg.com/media/Fij37jTXgAEyzL0.jpg")</f>
        <v>http://pbs.twimg.com/media/Fij37jTXgAEyzL0.jpg</v>
      </c>
      <c r="L337">
        <v>0</v>
      </c>
      <c r="M337">
        <v>0</v>
      </c>
      <c r="N337">
        <v>1</v>
      </c>
      <c r="O337">
        <v>0</v>
      </c>
    </row>
    <row r="338" spans="1:15" x14ac:dyDescent="0.2">
      <c r="A338" s="1" t="str">
        <f>HYPERLINK("http://www.twitter.com/banuakdenizli/status/1596914624284471296", "1596914624284471296")</f>
        <v>1596914624284471296</v>
      </c>
      <c r="B338" t="s">
        <v>15</v>
      </c>
      <c r="C338" s="2">
        <v>44892.716319444437</v>
      </c>
      <c r="D338">
        <v>0</v>
      </c>
      <c r="E338">
        <v>8</v>
      </c>
      <c r="F338" t="s">
        <v>17</v>
      </c>
      <c r="G338" t="s">
        <v>386</v>
      </c>
      <c r="H338" t="str">
        <f>HYPERLINK("http://pbs.twimg.com/media/FikDKMsXkAEbxEy.jpg", "http://pbs.twimg.com/media/FikDKMsXkAEbxEy.jpg")</f>
        <v>http://pbs.twimg.com/media/FikDKMsXkAEbxEy.jpg</v>
      </c>
      <c r="I338" t="str">
        <f>HYPERLINK("http://pbs.twimg.com/media/FikDKMtXoAA4Fgi.jpg", "http://pbs.twimg.com/media/FikDKMtXoAA4Fgi.jpg")</f>
        <v>http://pbs.twimg.com/media/FikDKMtXoAA4Fgi.jpg</v>
      </c>
      <c r="J338" t="str">
        <f>HYPERLINK("http://pbs.twimg.com/media/FikDKMqWQAAb9aq.jpg", "http://pbs.twimg.com/media/FikDKMqWQAAb9aq.jpg")</f>
        <v>http://pbs.twimg.com/media/FikDKMqWQAAb9aq.jpg</v>
      </c>
      <c r="L338">
        <v>0</v>
      </c>
      <c r="M338">
        <v>0</v>
      </c>
      <c r="N338">
        <v>1</v>
      </c>
      <c r="O338">
        <v>0</v>
      </c>
    </row>
    <row r="339" spans="1:15" x14ac:dyDescent="0.2">
      <c r="A339" s="1" t="str">
        <f>HYPERLINK("http://www.twitter.com/banuakdenizli/status/1596914590721384449", "1596914590721384449")</f>
        <v>1596914590721384449</v>
      </c>
      <c r="B339" t="s">
        <v>15</v>
      </c>
      <c r="C339" s="2">
        <v>44892.716226851851</v>
      </c>
      <c r="D339">
        <v>0</v>
      </c>
      <c r="E339">
        <v>31</v>
      </c>
      <c r="F339" t="s">
        <v>18</v>
      </c>
      <c r="G339" t="s">
        <v>387</v>
      </c>
      <c r="H339" t="str">
        <f>HYPERLINK("http://pbs.twimg.com/media/FilHsR2XoAEr9N4.jpg", "http://pbs.twimg.com/media/FilHsR2XoAEr9N4.jpg")</f>
        <v>http://pbs.twimg.com/media/FilHsR2XoAEr9N4.jpg</v>
      </c>
      <c r="L339">
        <v>0.70960000000000001</v>
      </c>
      <c r="M339">
        <v>0</v>
      </c>
      <c r="N339">
        <v>0.879</v>
      </c>
      <c r="O339">
        <v>0.121</v>
      </c>
    </row>
    <row r="340" spans="1:15" x14ac:dyDescent="0.2">
      <c r="A340" s="1" t="str">
        <f>HYPERLINK("http://www.twitter.com/banuakdenizli/status/1596914577807400960", "1596914577807400960")</f>
        <v>1596914577807400960</v>
      </c>
      <c r="B340" t="s">
        <v>15</v>
      </c>
      <c r="C340" s="2">
        <v>44892.716192129628</v>
      </c>
      <c r="D340">
        <v>0</v>
      </c>
      <c r="E340">
        <v>6</v>
      </c>
      <c r="F340" t="s">
        <v>16</v>
      </c>
      <c r="G340" t="s">
        <v>388</v>
      </c>
      <c r="H340" t="str">
        <f>HYPERLINK("http://pbs.twimg.com/media/Fik-YlHWIAAy-Te.jpg", "http://pbs.twimg.com/media/Fik-YlHWIAAy-Te.jpg")</f>
        <v>http://pbs.twimg.com/media/Fik-YlHWIAAy-Te.jpg</v>
      </c>
      <c r="I340" t="str">
        <f>HYPERLINK("http://pbs.twimg.com/media/Fik-YlKXgAALsn5.jpg", "http://pbs.twimg.com/media/Fik-YlKXgAALsn5.jpg")</f>
        <v>http://pbs.twimg.com/media/Fik-YlKXgAALsn5.jpg</v>
      </c>
      <c r="L340">
        <v>0</v>
      </c>
      <c r="M340">
        <v>0</v>
      </c>
      <c r="N340">
        <v>1</v>
      </c>
      <c r="O340">
        <v>0</v>
      </c>
    </row>
    <row r="341" spans="1:15" x14ac:dyDescent="0.2">
      <c r="A341" s="1" t="str">
        <f>HYPERLINK("http://www.twitter.com/banuakdenizli/status/1596914553396219907", "1596914553396219907")</f>
        <v>1596914553396219907</v>
      </c>
      <c r="B341" t="s">
        <v>15</v>
      </c>
      <c r="C341" s="2">
        <v>44892.716122685182</v>
      </c>
      <c r="D341">
        <v>0</v>
      </c>
      <c r="E341">
        <v>35</v>
      </c>
      <c r="F341" t="s">
        <v>18</v>
      </c>
      <c r="G341" t="s">
        <v>389</v>
      </c>
      <c r="H341" t="str">
        <f>HYPERLINK("http://pbs.twimg.com/media/FilAtyxXkAAIC_W.jpg", "http://pbs.twimg.com/media/FilAtyxXkAAIC_W.jpg")</f>
        <v>http://pbs.twimg.com/media/FilAtyxXkAAIC_W.jpg</v>
      </c>
      <c r="L341">
        <v>0</v>
      </c>
      <c r="M341">
        <v>0</v>
      </c>
      <c r="N341">
        <v>1</v>
      </c>
      <c r="O341">
        <v>0</v>
      </c>
    </row>
    <row r="342" spans="1:15" x14ac:dyDescent="0.2">
      <c r="A342" s="1" t="str">
        <f>HYPERLINK("http://www.twitter.com/banuakdenizli/status/1596914526628503552", "1596914526628503552")</f>
        <v>1596914526628503552</v>
      </c>
      <c r="B342" t="s">
        <v>15</v>
      </c>
      <c r="C342" s="2">
        <v>44892.716053240743</v>
      </c>
      <c r="D342">
        <v>0</v>
      </c>
      <c r="E342">
        <v>5</v>
      </c>
      <c r="F342" t="s">
        <v>20</v>
      </c>
      <c r="G342" t="s">
        <v>390</v>
      </c>
      <c r="H342" t="str">
        <f>HYPERLINK("http://pbs.twimg.com/media/FikQ0p9XgAcLspk.jpg", "http://pbs.twimg.com/media/FikQ0p9XgAcLspk.jpg")</f>
        <v>http://pbs.twimg.com/media/FikQ0p9XgAcLspk.jpg</v>
      </c>
      <c r="L342">
        <v>0</v>
      </c>
      <c r="M342">
        <v>0</v>
      </c>
      <c r="N342">
        <v>1</v>
      </c>
      <c r="O342">
        <v>0</v>
      </c>
    </row>
    <row r="343" spans="1:15" x14ac:dyDescent="0.2">
      <c r="A343" s="1" t="str">
        <f>HYPERLINK("http://www.twitter.com/banuakdenizli/status/1596914510006476800", "1596914510006476800")</f>
        <v>1596914510006476800</v>
      </c>
      <c r="B343" t="s">
        <v>15</v>
      </c>
      <c r="C343" s="2">
        <v>44892.716006944444</v>
      </c>
      <c r="D343">
        <v>0</v>
      </c>
      <c r="E343">
        <v>7</v>
      </c>
      <c r="F343" t="s">
        <v>17</v>
      </c>
      <c r="G343" t="s">
        <v>391</v>
      </c>
      <c r="H343" t="str">
        <f>HYPERLINK("http://pbs.twimg.com/media/FilZ5NKXEAgFk8B.jpg", "http://pbs.twimg.com/media/FilZ5NKXEAgFk8B.jpg")</f>
        <v>http://pbs.twimg.com/media/FilZ5NKXEAgFk8B.jpg</v>
      </c>
      <c r="I343" t="str">
        <f>HYPERLINK("http://pbs.twimg.com/media/FilZ5NLXkAAExah.jpg", "http://pbs.twimg.com/media/FilZ5NLXkAAExah.jpg")</f>
        <v>http://pbs.twimg.com/media/FilZ5NLXkAAExah.jpg</v>
      </c>
      <c r="L343">
        <v>0</v>
      </c>
      <c r="M343">
        <v>0</v>
      </c>
      <c r="N343">
        <v>1</v>
      </c>
      <c r="O343">
        <v>0</v>
      </c>
    </row>
    <row r="344" spans="1:15" x14ac:dyDescent="0.2">
      <c r="A344" s="1" t="str">
        <f>HYPERLINK("http://www.twitter.com/banuakdenizli/status/1596914491635081216", "1596914491635081216")</f>
        <v>1596914491635081216</v>
      </c>
      <c r="B344" t="s">
        <v>15</v>
      </c>
      <c r="C344" s="2">
        <v>44892.715949074067</v>
      </c>
      <c r="D344">
        <v>0</v>
      </c>
      <c r="E344">
        <v>52</v>
      </c>
      <c r="F344" t="s">
        <v>28</v>
      </c>
      <c r="G344" t="s">
        <v>392</v>
      </c>
      <c r="H344" t="str">
        <f>HYPERLINK("http://pbs.twimg.com/media/FilC781XkAAYuP_.jpg", "http://pbs.twimg.com/media/FilC781XkAAYuP_.jpg")</f>
        <v>http://pbs.twimg.com/media/FilC781XkAAYuP_.jpg</v>
      </c>
      <c r="L344">
        <v>0</v>
      </c>
      <c r="M344">
        <v>0</v>
      </c>
      <c r="N344">
        <v>1</v>
      </c>
      <c r="O344">
        <v>0</v>
      </c>
    </row>
    <row r="345" spans="1:15" x14ac:dyDescent="0.2">
      <c r="A345" s="1" t="str">
        <f>HYPERLINK("http://www.twitter.com/banuakdenizli/status/1596914310240165888", "1596914310240165888")</f>
        <v>1596914310240165888</v>
      </c>
      <c r="B345" t="s">
        <v>15</v>
      </c>
      <c r="C345" s="2">
        <v>44892.715451388889</v>
      </c>
      <c r="D345">
        <v>0</v>
      </c>
      <c r="E345">
        <v>7</v>
      </c>
      <c r="F345" t="s">
        <v>16</v>
      </c>
      <c r="G345" t="s">
        <v>393</v>
      </c>
      <c r="H345" t="str">
        <f>HYPERLINK("http://pbs.twimg.com/media/FikP6vtXkAA6H1e.jpg", "http://pbs.twimg.com/media/FikP6vtXkAA6H1e.jpg")</f>
        <v>http://pbs.twimg.com/media/FikP6vtXkAA6H1e.jpg</v>
      </c>
      <c r="L345">
        <v>0</v>
      </c>
      <c r="M345">
        <v>0</v>
      </c>
      <c r="N345">
        <v>1</v>
      </c>
      <c r="O345">
        <v>0</v>
      </c>
    </row>
    <row r="346" spans="1:15" x14ac:dyDescent="0.2">
      <c r="A346" s="1" t="str">
        <f>HYPERLINK("http://www.twitter.com/banuakdenizli/status/1596914207764934657", "1596914207764934657")</f>
        <v>1596914207764934657</v>
      </c>
      <c r="B346" t="s">
        <v>15</v>
      </c>
      <c r="C346" s="2">
        <v>44892.715173611112</v>
      </c>
      <c r="D346">
        <v>0</v>
      </c>
      <c r="E346">
        <v>9</v>
      </c>
      <c r="F346" t="s">
        <v>16</v>
      </c>
      <c r="G346" t="s">
        <v>394</v>
      </c>
      <c r="H346" t="str">
        <f>HYPERLINK("https://video.twimg.com/ext_tw_video/1596815031076851715/pu/vid/1280x720/Pg-2QW9x3212E8QF.mp4?tag=12", "https://video.twimg.com/ext_tw_video/1596815031076851715/pu/vid/1280x720/Pg-2QW9x3212E8QF.mp4?tag=12")</f>
        <v>https://video.twimg.com/ext_tw_video/1596815031076851715/pu/vid/1280x720/Pg-2QW9x3212E8QF.mp4?tag=12</v>
      </c>
      <c r="L346">
        <v>0</v>
      </c>
      <c r="M346">
        <v>0</v>
      </c>
      <c r="N346">
        <v>1</v>
      </c>
      <c r="O346">
        <v>0</v>
      </c>
    </row>
    <row r="347" spans="1:15" x14ac:dyDescent="0.2">
      <c r="A347" s="1" t="str">
        <f>HYPERLINK("http://www.twitter.com/banuakdenizli/status/1596914136344137728", "1596914136344137728")</f>
        <v>1596914136344137728</v>
      </c>
      <c r="B347" t="s">
        <v>15</v>
      </c>
      <c r="C347" s="2">
        <v>44892.714965277781</v>
      </c>
      <c r="D347">
        <v>0</v>
      </c>
      <c r="E347">
        <v>15</v>
      </c>
      <c r="F347" t="s">
        <v>17</v>
      </c>
      <c r="G347" t="s">
        <v>395</v>
      </c>
      <c r="H347" t="str">
        <f>HYPERLINK("http://pbs.twimg.com/media/FikQF04WIAIhMse.jpg", "http://pbs.twimg.com/media/FikQF04WIAIhMse.jpg")</f>
        <v>http://pbs.twimg.com/media/FikQF04WIAIhMse.jpg</v>
      </c>
      <c r="L347">
        <v>0.65969999999999995</v>
      </c>
      <c r="M347">
        <v>0</v>
      </c>
      <c r="N347">
        <v>0.77900000000000003</v>
      </c>
      <c r="O347">
        <v>0.221</v>
      </c>
    </row>
    <row r="348" spans="1:15" x14ac:dyDescent="0.2">
      <c r="A348" s="1" t="str">
        <f>HYPERLINK("http://www.twitter.com/banuakdenizli/status/1596646829755621376", "1596646829755621376")</f>
        <v>1596646829755621376</v>
      </c>
      <c r="B348" t="s">
        <v>15</v>
      </c>
      <c r="C348" s="2">
        <v>44891.977349537039</v>
      </c>
      <c r="D348">
        <v>0</v>
      </c>
      <c r="E348">
        <v>15</v>
      </c>
      <c r="F348" t="s">
        <v>17</v>
      </c>
      <c r="G348" t="s">
        <v>396</v>
      </c>
      <c r="H348" t="str">
        <f>HYPERLINK("http://pbs.twimg.com/media/Fig_rfYWIAcwRJ9.jpg", "http://pbs.twimg.com/media/Fig_rfYWIAcwRJ9.jpg")</f>
        <v>http://pbs.twimg.com/media/Fig_rfYWIAcwRJ9.jpg</v>
      </c>
      <c r="L348">
        <v>0.34</v>
      </c>
      <c r="M348">
        <v>0</v>
      </c>
      <c r="N348">
        <v>0.90600000000000003</v>
      </c>
      <c r="O348">
        <v>9.4E-2</v>
      </c>
    </row>
    <row r="349" spans="1:15" x14ac:dyDescent="0.2">
      <c r="A349" s="1" t="str">
        <f>HYPERLINK("http://www.twitter.com/banuakdenizli/status/1596646815042076672", "1596646815042076672")</f>
        <v>1596646815042076672</v>
      </c>
      <c r="B349" t="s">
        <v>15</v>
      </c>
      <c r="C349" s="2">
        <v>44891.977303240739</v>
      </c>
      <c r="D349">
        <v>0</v>
      </c>
      <c r="E349">
        <v>19</v>
      </c>
      <c r="F349" t="s">
        <v>17</v>
      </c>
      <c r="G349" t="s">
        <v>397</v>
      </c>
      <c r="H349" t="str">
        <f>HYPERLINK("https://video.twimg.com/ext_tw_video/1596583874116583425/pu/vid/1280x720/2c79P4X58pchy3-_.mp4?tag=12", "https://video.twimg.com/ext_tw_video/1596583874116583425/pu/vid/1280x720/2c79P4X58pchy3-_.mp4?tag=12")</f>
        <v>https://video.twimg.com/ext_tw_video/1596583874116583425/pu/vid/1280x720/2c79P4X58pchy3-_.mp4?tag=12</v>
      </c>
      <c r="L349">
        <v>0.80200000000000005</v>
      </c>
      <c r="M349">
        <v>0</v>
      </c>
      <c r="N349">
        <v>0.76400000000000001</v>
      </c>
      <c r="O349">
        <v>0.23599999999999999</v>
      </c>
    </row>
    <row r="350" spans="1:15" x14ac:dyDescent="0.2">
      <c r="A350" s="1" t="str">
        <f>HYPERLINK("http://www.twitter.com/banuakdenizli/status/1596646790484336640", "1596646790484336640")</f>
        <v>1596646790484336640</v>
      </c>
      <c r="B350" t="s">
        <v>15</v>
      </c>
      <c r="C350" s="2">
        <v>44891.977233796293</v>
      </c>
      <c r="D350">
        <v>0</v>
      </c>
      <c r="E350">
        <v>25</v>
      </c>
      <c r="F350" t="s">
        <v>16</v>
      </c>
      <c r="G350" t="s">
        <v>398</v>
      </c>
      <c r="H350" t="str">
        <f>HYPERLINK("https://video.twimg.com/ext_tw_video/1596583326856486919/pu/vid/1280x720/HaJeTKpaxoXPfCLo.mp4?tag=12", "https://video.twimg.com/ext_tw_video/1596583326856486919/pu/vid/1280x720/HaJeTKpaxoXPfCLo.mp4?tag=12")</f>
        <v>https://video.twimg.com/ext_tw_video/1596583326856486919/pu/vid/1280x720/HaJeTKpaxoXPfCLo.mp4?tag=12</v>
      </c>
      <c r="L350">
        <v>0</v>
      </c>
      <c r="M350">
        <v>0</v>
      </c>
      <c r="N350">
        <v>1</v>
      </c>
      <c r="O350">
        <v>0</v>
      </c>
    </row>
    <row r="351" spans="1:15" x14ac:dyDescent="0.2">
      <c r="A351" s="1" t="str">
        <f>HYPERLINK("http://www.twitter.com/banuakdenizli/status/1596568755114475523", "1596568755114475523")</f>
        <v>1596568755114475523</v>
      </c>
      <c r="B351" t="s">
        <v>15</v>
      </c>
      <c r="C351" s="2">
        <v>44891.76189814815</v>
      </c>
      <c r="D351">
        <v>0</v>
      </c>
      <c r="E351">
        <v>20</v>
      </c>
      <c r="F351" t="s">
        <v>16</v>
      </c>
      <c r="G351" t="s">
        <v>399</v>
      </c>
      <c r="H351" t="str">
        <f>HYPERLINK("http://pbs.twimg.com/media/FigFQ0QWYAEYymv.jpg", "http://pbs.twimg.com/media/FigFQ0QWYAEYymv.jpg")</f>
        <v>http://pbs.twimg.com/media/FigFQ0QWYAEYymv.jpg</v>
      </c>
      <c r="I351" t="str">
        <f>HYPERLINK("http://pbs.twimg.com/media/FigFQ0cXEAAEeTe.jpg", "http://pbs.twimg.com/media/FigFQ0cXEAAEeTe.jpg")</f>
        <v>http://pbs.twimg.com/media/FigFQ0cXEAAEeTe.jpg</v>
      </c>
      <c r="L351">
        <v>0</v>
      </c>
      <c r="M351">
        <v>0</v>
      </c>
      <c r="N351">
        <v>1</v>
      </c>
      <c r="O351">
        <v>0</v>
      </c>
    </row>
    <row r="352" spans="1:15" x14ac:dyDescent="0.2">
      <c r="A352" s="1" t="str">
        <f>HYPERLINK("http://www.twitter.com/banuakdenizli/status/1596558737057386497", "1596558737057386497")</f>
        <v>1596558737057386497</v>
      </c>
      <c r="B352" t="s">
        <v>15</v>
      </c>
      <c r="C352" s="2">
        <v>44891.734259259261</v>
      </c>
      <c r="D352">
        <v>0</v>
      </c>
      <c r="E352">
        <v>18</v>
      </c>
      <c r="F352" t="s">
        <v>16</v>
      </c>
      <c r="G352" t="s">
        <v>400</v>
      </c>
      <c r="H352" t="str">
        <f>HYPERLINK("https://video.twimg.com/ext_tw_video/1596535058726375429/pu/vid/1280x720/TSFjp8S3F6c9JLXY.mp4?tag=12", "https://video.twimg.com/ext_tw_video/1596535058726375429/pu/vid/1280x720/TSFjp8S3F6c9JLXY.mp4?tag=12")</f>
        <v>https://video.twimg.com/ext_tw_video/1596535058726375429/pu/vid/1280x720/TSFjp8S3F6c9JLXY.mp4?tag=12</v>
      </c>
      <c r="L352">
        <v>0</v>
      </c>
      <c r="M352">
        <v>0</v>
      </c>
      <c r="N352">
        <v>1</v>
      </c>
      <c r="O352">
        <v>0</v>
      </c>
    </row>
    <row r="353" spans="1:15" x14ac:dyDescent="0.2">
      <c r="A353" s="1" t="str">
        <f>HYPERLINK("http://www.twitter.com/banuakdenizli/status/1596558718686048256", "1596558718686048256")</f>
        <v>1596558718686048256</v>
      </c>
      <c r="B353" t="s">
        <v>15</v>
      </c>
      <c r="C353" s="2">
        <v>44891.734201388892</v>
      </c>
      <c r="D353">
        <v>0</v>
      </c>
      <c r="E353">
        <v>90</v>
      </c>
      <c r="F353" t="s">
        <v>18</v>
      </c>
      <c r="G353" t="s">
        <v>401</v>
      </c>
      <c r="H353" t="str">
        <f>HYPERLINK("http://pbs.twimg.com/media/FigJpTyXEAA7H9m.jpg", "http://pbs.twimg.com/media/FigJpTyXEAA7H9m.jpg")</f>
        <v>http://pbs.twimg.com/media/FigJpTyXEAA7H9m.jpg</v>
      </c>
      <c r="L353">
        <v>0</v>
      </c>
      <c r="M353">
        <v>0</v>
      </c>
      <c r="N353">
        <v>1</v>
      </c>
      <c r="O353">
        <v>0</v>
      </c>
    </row>
    <row r="354" spans="1:15" x14ac:dyDescent="0.2">
      <c r="A354" s="1" t="str">
        <f>HYPERLINK("http://www.twitter.com/banuakdenizli/status/1596558709395976193", "1596558709395976193")</f>
        <v>1596558709395976193</v>
      </c>
      <c r="B354" t="s">
        <v>15</v>
      </c>
      <c r="C354" s="2">
        <v>44891.734178240738</v>
      </c>
      <c r="D354">
        <v>0</v>
      </c>
      <c r="E354">
        <v>24</v>
      </c>
      <c r="F354" t="s">
        <v>25</v>
      </c>
      <c r="G354" t="s">
        <v>402</v>
      </c>
      <c r="L354">
        <v>0</v>
      </c>
      <c r="M354">
        <v>0</v>
      </c>
      <c r="N354">
        <v>1</v>
      </c>
      <c r="O354">
        <v>0</v>
      </c>
    </row>
    <row r="355" spans="1:15" x14ac:dyDescent="0.2">
      <c r="A355" s="1" t="str">
        <f>HYPERLINK("http://www.twitter.com/banuakdenizli/status/1596558691276554241", "1596558691276554241")</f>
        <v>1596558691276554241</v>
      </c>
      <c r="B355" t="s">
        <v>15</v>
      </c>
      <c r="C355" s="2">
        <v>44891.734131944453</v>
      </c>
      <c r="D355">
        <v>0</v>
      </c>
      <c r="E355">
        <v>10</v>
      </c>
      <c r="F355" t="s">
        <v>16</v>
      </c>
      <c r="G355" t="s">
        <v>403</v>
      </c>
      <c r="H355" t="str">
        <f>HYPERLINK("http://pbs.twimg.com/media/FigcDF7WYAEqhA9.jpg", "http://pbs.twimg.com/media/FigcDF7WYAEqhA9.jpg")</f>
        <v>http://pbs.twimg.com/media/FigcDF7WYAEqhA9.jpg</v>
      </c>
      <c r="L355">
        <v>0</v>
      </c>
      <c r="M355">
        <v>0</v>
      </c>
      <c r="N355">
        <v>1</v>
      </c>
      <c r="O355">
        <v>0</v>
      </c>
    </row>
    <row r="356" spans="1:15" x14ac:dyDescent="0.2">
      <c r="A356" s="1" t="str">
        <f>HYPERLINK("http://www.twitter.com/banuakdenizli/status/1596558617125298177", "1596558617125298177")</f>
        <v>1596558617125298177</v>
      </c>
      <c r="B356" t="s">
        <v>15</v>
      </c>
      <c r="C356" s="2">
        <v>44891.733923611107</v>
      </c>
      <c r="D356">
        <v>0</v>
      </c>
      <c r="E356">
        <v>44</v>
      </c>
      <c r="F356" t="s">
        <v>18</v>
      </c>
      <c r="G356" t="s">
        <v>404</v>
      </c>
      <c r="H356" t="str">
        <f>HYPERLINK("http://pbs.twimg.com/media/FigOQxNXwAILEtU.jpg", "http://pbs.twimg.com/media/FigOQxNXwAILEtU.jpg")</f>
        <v>http://pbs.twimg.com/media/FigOQxNXwAILEtU.jpg</v>
      </c>
      <c r="L356">
        <v>0.47670000000000001</v>
      </c>
      <c r="M356">
        <v>0.08</v>
      </c>
      <c r="N356">
        <v>0.77700000000000002</v>
      </c>
      <c r="O356">
        <v>0.14299999999999999</v>
      </c>
    </row>
    <row r="357" spans="1:15" x14ac:dyDescent="0.2">
      <c r="A357" s="1" t="str">
        <f>HYPERLINK("http://www.twitter.com/banuakdenizli/status/1596558600318640128", "1596558600318640128")</f>
        <v>1596558600318640128</v>
      </c>
      <c r="B357" t="s">
        <v>15</v>
      </c>
      <c r="C357" s="2">
        <v>44891.733877314808</v>
      </c>
      <c r="D357">
        <v>0</v>
      </c>
      <c r="E357">
        <v>16</v>
      </c>
      <c r="F357" t="s">
        <v>17</v>
      </c>
      <c r="G357" t="s">
        <v>405</v>
      </c>
      <c r="H357" t="str">
        <f>HYPERLINK("http://pbs.twimg.com/media/FigaPh2WYAM6ax2.jpg", "http://pbs.twimg.com/media/FigaPh2WYAM6ax2.jpg")</f>
        <v>http://pbs.twimg.com/media/FigaPh2WYAM6ax2.jpg</v>
      </c>
      <c r="I357" t="str">
        <f>HYPERLINK("http://pbs.twimg.com/media/FigaPhwXgAMpTKU.jpg", "http://pbs.twimg.com/media/FigaPhwXgAMpTKU.jpg")</f>
        <v>http://pbs.twimg.com/media/FigaPhwXgAMpTKU.jpg</v>
      </c>
      <c r="L357">
        <v>0.40189999999999998</v>
      </c>
      <c r="M357">
        <v>0</v>
      </c>
      <c r="N357">
        <v>0.86299999999999999</v>
      </c>
      <c r="O357">
        <v>0.13700000000000001</v>
      </c>
    </row>
    <row r="358" spans="1:15" x14ac:dyDescent="0.2">
      <c r="A358" s="1" t="str">
        <f>HYPERLINK("http://www.twitter.com/banuakdenizli/status/1596558573949034497", "1596558573949034497")</f>
        <v>1596558573949034497</v>
      </c>
      <c r="B358" t="s">
        <v>15</v>
      </c>
      <c r="C358" s="2">
        <v>44891.733807870369</v>
      </c>
      <c r="D358">
        <v>0</v>
      </c>
      <c r="E358">
        <v>28</v>
      </c>
      <c r="F358" t="s">
        <v>17</v>
      </c>
      <c r="G358" t="s">
        <v>406</v>
      </c>
      <c r="H358" t="str">
        <f>HYPERLINK("https://video.twimg.com/ext_tw_video/1596557262482538504/pu/vid/1280x720/pIjeEVLBcAOb4DHI.mp4?tag=12", "https://video.twimg.com/ext_tw_video/1596557262482538504/pu/vid/1280x720/pIjeEVLBcAOb4DHI.mp4?tag=12")</f>
        <v>https://video.twimg.com/ext_tw_video/1596557262482538504/pu/vid/1280x720/pIjeEVLBcAOb4DHI.mp4?tag=12</v>
      </c>
      <c r="L358">
        <v>0.82250000000000001</v>
      </c>
      <c r="M358">
        <v>0</v>
      </c>
      <c r="N358">
        <v>0.81899999999999995</v>
      </c>
      <c r="O358">
        <v>0.18099999999999999</v>
      </c>
    </row>
    <row r="359" spans="1:15" x14ac:dyDescent="0.2">
      <c r="A359" s="1" t="str">
        <f>HYPERLINK("http://www.twitter.com/banuakdenizli/status/1595968404510212096", "1595968404510212096")</f>
        <v>1595968404510212096</v>
      </c>
      <c r="B359" t="s">
        <v>15</v>
      </c>
      <c r="C359" s="2">
        <v>44890.105243055557</v>
      </c>
      <c r="D359">
        <v>0</v>
      </c>
      <c r="E359">
        <v>5</v>
      </c>
      <c r="F359" t="s">
        <v>17</v>
      </c>
      <c r="G359" t="s">
        <v>407</v>
      </c>
      <c r="H359" t="str">
        <f>HYPERLINK("http://pbs.twimg.com/media/FiSAlqdXwAEXFv8.jpg", "http://pbs.twimg.com/media/FiSAlqdXwAEXFv8.jpg")</f>
        <v>http://pbs.twimg.com/media/FiSAlqdXwAEXFv8.jpg</v>
      </c>
      <c r="L359">
        <v>0</v>
      </c>
      <c r="M359">
        <v>0</v>
      </c>
      <c r="N359">
        <v>1</v>
      </c>
      <c r="O359">
        <v>0</v>
      </c>
    </row>
    <row r="360" spans="1:15" x14ac:dyDescent="0.2">
      <c r="A360" s="1" t="str">
        <f>HYPERLINK("http://www.twitter.com/banuakdenizli/status/1595549097049690112", "1595549097049690112")</f>
        <v>1595549097049690112</v>
      </c>
      <c r="B360" t="s">
        <v>15</v>
      </c>
      <c r="C360" s="2">
        <v>44888.948182870372</v>
      </c>
      <c r="D360">
        <v>0</v>
      </c>
      <c r="E360">
        <v>1</v>
      </c>
      <c r="F360" t="s">
        <v>20</v>
      </c>
      <c r="G360" t="s">
        <v>408</v>
      </c>
      <c r="H360" t="str">
        <f>HYPERLINK("http://pbs.twimg.com/media/FiSCDomWYAA_zZd.jpg", "http://pbs.twimg.com/media/FiSCDomWYAA_zZd.jpg")</f>
        <v>http://pbs.twimg.com/media/FiSCDomWYAA_zZd.jpg</v>
      </c>
      <c r="I360" t="str">
        <f>HYPERLINK("http://pbs.twimg.com/media/FiSCDqkWIAMUDJc.jpg", "http://pbs.twimg.com/media/FiSCDqkWIAMUDJc.jpg")</f>
        <v>http://pbs.twimg.com/media/FiSCDqkWIAMUDJc.jpg</v>
      </c>
      <c r="L360">
        <v>0</v>
      </c>
      <c r="M360">
        <v>0</v>
      </c>
      <c r="N360">
        <v>1</v>
      </c>
      <c r="O360">
        <v>0</v>
      </c>
    </row>
    <row r="361" spans="1:15" x14ac:dyDescent="0.2">
      <c r="A361" s="1" t="str">
        <f>HYPERLINK("http://www.twitter.com/banuakdenizli/status/1595542692095729665", "1595542692095729665")</f>
        <v>1595542692095729665</v>
      </c>
      <c r="B361" t="s">
        <v>15</v>
      </c>
      <c r="C361" s="2">
        <v>44888.930509259262</v>
      </c>
      <c r="D361">
        <v>0</v>
      </c>
      <c r="E361">
        <v>10</v>
      </c>
      <c r="F361" t="s">
        <v>17</v>
      </c>
      <c r="G361" t="s">
        <v>409</v>
      </c>
      <c r="H361" t="str">
        <f>HYPERLINK("http://pbs.twimg.com/media/FiR-s9sWAAA9OCs.jpg", "http://pbs.twimg.com/media/FiR-s9sWAAA9OCs.jpg")</f>
        <v>http://pbs.twimg.com/media/FiR-s9sWAAA9OCs.jpg</v>
      </c>
      <c r="I361" t="str">
        <f>HYPERLINK("http://pbs.twimg.com/media/FiR-s90WIAAXE71.jpg", "http://pbs.twimg.com/media/FiR-s90WIAAXE71.jpg")</f>
        <v>http://pbs.twimg.com/media/FiR-s90WIAAXE71.jpg</v>
      </c>
      <c r="J361" t="str">
        <f>HYPERLINK("http://pbs.twimg.com/media/FiR-s9rXkAIW9dT.jpg", "http://pbs.twimg.com/media/FiR-s9rXkAIW9dT.jpg")</f>
        <v>http://pbs.twimg.com/media/FiR-s9rXkAIW9dT.jpg</v>
      </c>
      <c r="K361" t="str">
        <f>HYPERLINK("http://pbs.twimg.com/media/FiR-s9rWAAAVUzx.jpg", "http://pbs.twimg.com/media/FiR-s9rWAAAVUzx.jpg")</f>
        <v>http://pbs.twimg.com/media/FiR-s9rWAAAVUzx.jpg</v>
      </c>
      <c r="L361">
        <v>0</v>
      </c>
      <c r="M361">
        <v>0</v>
      </c>
      <c r="N361">
        <v>1</v>
      </c>
      <c r="O361">
        <v>0</v>
      </c>
    </row>
    <row r="362" spans="1:15" x14ac:dyDescent="0.2">
      <c r="A362" s="1" t="str">
        <f>HYPERLINK("http://www.twitter.com/banuakdenizli/status/1595542673326227456", "1595542673326227456")</f>
        <v>1595542673326227456</v>
      </c>
      <c r="B362" t="s">
        <v>15</v>
      </c>
      <c r="C362" s="2">
        <v>44888.930451388893</v>
      </c>
      <c r="D362">
        <v>0</v>
      </c>
      <c r="E362">
        <v>6</v>
      </c>
      <c r="F362" t="s">
        <v>17</v>
      </c>
      <c r="G362" t="s">
        <v>410</v>
      </c>
      <c r="H362" t="str">
        <f>HYPERLINK("http://pbs.twimg.com/media/FiR_vmUXoAAwhlT.jpg", "http://pbs.twimg.com/media/FiR_vmUXoAAwhlT.jpg")</f>
        <v>http://pbs.twimg.com/media/FiR_vmUXoAAwhlT.jpg</v>
      </c>
      <c r="I362" t="str">
        <f>HYPERLINK("http://pbs.twimg.com/media/FiR_vmRWAAA-HmJ.jpg", "http://pbs.twimg.com/media/FiR_vmRWAAA-HmJ.jpg")</f>
        <v>http://pbs.twimg.com/media/FiR_vmRWAAA-HmJ.jpg</v>
      </c>
      <c r="L362">
        <v>0</v>
      </c>
      <c r="M362">
        <v>0</v>
      </c>
      <c r="N362">
        <v>1</v>
      </c>
      <c r="O362">
        <v>0</v>
      </c>
    </row>
    <row r="363" spans="1:15" x14ac:dyDescent="0.2">
      <c r="A363" s="1" t="str">
        <f>HYPERLINK("http://www.twitter.com/banuakdenizli/status/1595480971071168517", "1595480971071168517")</f>
        <v>1595480971071168517</v>
      </c>
      <c r="B363" t="s">
        <v>15</v>
      </c>
      <c r="C363" s="2">
        <v>44888.760185185187</v>
      </c>
      <c r="D363">
        <v>0</v>
      </c>
      <c r="E363">
        <v>10</v>
      </c>
      <c r="F363" t="s">
        <v>16</v>
      </c>
      <c r="G363" t="s">
        <v>411</v>
      </c>
      <c r="H363" t="str">
        <f>HYPERLINK("https://video.twimg.com/ext_tw_video/1595477580538429450/pu/vid/1280x720/VCijZ-NkS8uHyKsC.mp4?tag=12", "https://video.twimg.com/ext_tw_video/1595477580538429450/pu/vid/1280x720/VCijZ-NkS8uHyKsC.mp4?tag=12")</f>
        <v>https://video.twimg.com/ext_tw_video/1595477580538429450/pu/vid/1280x720/VCijZ-NkS8uHyKsC.mp4?tag=12</v>
      </c>
      <c r="L363">
        <v>0</v>
      </c>
      <c r="M363">
        <v>0</v>
      </c>
      <c r="N363">
        <v>1</v>
      </c>
      <c r="O363">
        <v>0</v>
      </c>
    </row>
    <row r="364" spans="1:15" x14ac:dyDescent="0.2">
      <c r="A364" s="1" t="str">
        <f>HYPERLINK("http://www.twitter.com/banuakdenizli/status/1595473909205602304", "1595473909205602304")</f>
        <v>1595473909205602304</v>
      </c>
      <c r="B364" t="s">
        <v>15</v>
      </c>
      <c r="C364" s="2">
        <v>44888.740706018521</v>
      </c>
      <c r="D364">
        <v>0</v>
      </c>
      <c r="E364">
        <v>6</v>
      </c>
      <c r="F364" t="s">
        <v>16</v>
      </c>
      <c r="G364" t="s">
        <v>412</v>
      </c>
      <c r="H364" t="str">
        <f>HYPERLINK("http://pbs.twimg.com/media/FiRC9fwXwAYUl80.jpg", "http://pbs.twimg.com/media/FiRC9fwXwAYUl80.jpg")</f>
        <v>http://pbs.twimg.com/media/FiRC9fwXwAYUl80.jpg</v>
      </c>
      <c r="L364">
        <v>0</v>
      </c>
      <c r="M364">
        <v>0</v>
      </c>
      <c r="N364">
        <v>1</v>
      </c>
      <c r="O364">
        <v>0</v>
      </c>
    </row>
    <row r="365" spans="1:15" x14ac:dyDescent="0.2">
      <c r="A365" s="1" t="str">
        <f>HYPERLINK("http://www.twitter.com/banuakdenizli/status/1595473066271936518", "1595473066271936518")</f>
        <v>1595473066271936518</v>
      </c>
      <c r="B365" t="s">
        <v>15</v>
      </c>
      <c r="C365" s="2">
        <v>44888.738379629627</v>
      </c>
      <c r="D365">
        <v>0</v>
      </c>
      <c r="E365">
        <v>8</v>
      </c>
      <c r="F365" t="s">
        <v>16</v>
      </c>
      <c r="G365" t="s">
        <v>413</v>
      </c>
      <c r="H365" t="str">
        <f>HYPERLINK("http://pbs.twimg.com/media/FiQ0etMWAAAgz1v.jpg", "http://pbs.twimg.com/media/FiQ0etMWAAAgz1v.jpg")</f>
        <v>http://pbs.twimg.com/media/FiQ0etMWAAAgz1v.jpg</v>
      </c>
      <c r="I365" t="str">
        <f>HYPERLINK("http://pbs.twimg.com/media/FiQ0jv8WQAIXcxs.jpg", "http://pbs.twimg.com/media/FiQ0jv8WQAIXcxs.jpg")</f>
        <v>http://pbs.twimg.com/media/FiQ0jv8WQAIXcxs.jpg</v>
      </c>
      <c r="J365" t="str">
        <f>HYPERLINK("http://pbs.twimg.com/media/FiQ0jwVWYAMiEoX.jpg", "http://pbs.twimg.com/media/FiQ0jwVWYAMiEoX.jpg")</f>
        <v>http://pbs.twimg.com/media/FiQ0jwVWYAMiEoX.jpg</v>
      </c>
      <c r="K365" t="str">
        <f>HYPERLINK("http://pbs.twimg.com/media/FiQ0jwkWYAAcwPo.jpg", "http://pbs.twimg.com/media/FiQ0jwkWYAAcwPo.jpg")</f>
        <v>http://pbs.twimg.com/media/FiQ0jwkWYAAcwPo.jpg</v>
      </c>
      <c r="L365">
        <v>0</v>
      </c>
      <c r="M365">
        <v>0</v>
      </c>
      <c r="N365">
        <v>1</v>
      </c>
      <c r="O365">
        <v>0</v>
      </c>
    </row>
    <row r="366" spans="1:15" x14ac:dyDescent="0.2">
      <c r="A366" s="1" t="str">
        <f>HYPERLINK("http://www.twitter.com/banuakdenizli/status/1595473012283039744", "1595473012283039744")</f>
        <v>1595473012283039744</v>
      </c>
      <c r="B366" t="s">
        <v>15</v>
      </c>
      <c r="C366" s="2">
        <v>44888.738229166673</v>
      </c>
      <c r="D366">
        <v>0</v>
      </c>
      <c r="E366">
        <v>5</v>
      </c>
      <c r="F366" t="s">
        <v>16</v>
      </c>
      <c r="G366" t="s">
        <v>414</v>
      </c>
      <c r="H366" t="str">
        <f>HYPERLINK("http://pbs.twimg.com/media/FiQ4FF5WIAMgVYI.jpg", "http://pbs.twimg.com/media/FiQ4FF5WIAMgVYI.jpg")</f>
        <v>http://pbs.twimg.com/media/FiQ4FF5WIAMgVYI.jpg</v>
      </c>
      <c r="I366" t="str">
        <f>HYPERLINK("http://pbs.twimg.com/media/FiQ4FF8XoAUZsTI.jpg", "http://pbs.twimg.com/media/FiQ4FF8XoAUZsTI.jpg")</f>
        <v>http://pbs.twimg.com/media/FiQ4FF8XoAUZsTI.jpg</v>
      </c>
      <c r="L366">
        <v>0</v>
      </c>
      <c r="M366">
        <v>0</v>
      </c>
      <c r="N366">
        <v>1</v>
      </c>
      <c r="O366">
        <v>0</v>
      </c>
    </row>
    <row r="367" spans="1:15" x14ac:dyDescent="0.2">
      <c r="A367" s="1" t="str">
        <f>HYPERLINK("http://www.twitter.com/banuakdenizli/status/1595472982520246272", "1595472982520246272")</f>
        <v>1595472982520246272</v>
      </c>
      <c r="B367" t="s">
        <v>15</v>
      </c>
      <c r="C367" s="2">
        <v>44888.73814814815</v>
      </c>
      <c r="D367">
        <v>0</v>
      </c>
      <c r="E367">
        <v>4</v>
      </c>
      <c r="F367" t="s">
        <v>16</v>
      </c>
      <c r="G367" t="s">
        <v>415</v>
      </c>
      <c r="H367" t="str">
        <f>HYPERLINK("https://video.twimg.com/ext_tw_video/1595469953020354560/pu/vid/1280x720/EYo1NoDXNoOnwEoQ.mp4?tag=12", "https://video.twimg.com/ext_tw_video/1595469953020354560/pu/vid/1280x720/EYo1NoDXNoOnwEoQ.mp4?tag=12")</f>
        <v>https://video.twimg.com/ext_tw_video/1595469953020354560/pu/vid/1280x720/EYo1NoDXNoOnwEoQ.mp4?tag=12</v>
      </c>
      <c r="L367">
        <v>0</v>
      </c>
      <c r="M367">
        <v>0</v>
      </c>
      <c r="N367">
        <v>1</v>
      </c>
      <c r="O367">
        <v>0</v>
      </c>
    </row>
    <row r="368" spans="1:15" x14ac:dyDescent="0.2">
      <c r="A368" s="1" t="str">
        <f>HYPERLINK("http://www.twitter.com/banuakdenizli/status/1595472897983889415", "1595472897983889415")</f>
        <v>1595472897983889415</v>
      </c>
      <c r="B368" t="s">
        <v>15</v>
      </c>
      <c r="C368" s="2">
        <v>44888.737905092603</v>
      </c>
      <c r="D368">
        <v>0</v>
      </c>
      <c r="E368">
        <v>28</v>
      </c>
      <c r="F368" t="s">
        <v>18</v>
      </c>
      <c r="G368" t="s">
        <v>416</v>
      </c>
      <c r="H368" t="str">
        <f>HYPERLINK("http://pbs.twimg.com/media/FiQzLXOWQAMYVSZ.jpg", "http://pbs.twimg.com/media/FiQzLXOWQAMYVSZ.jpg")</f>
        <v>http://pbs.twimg.com/media/FiQzLXOWQAMYVSZ.jpg</v>
      </c>
      <c r="L368">
        <v>0</v>
      </c>
      <c r="M368">
        <v>0</v>
      </c>
      <c r="N368">
        <v>1</v>
      </c>
      <c r="O368">
        <v>0</v>
      </c>
    </row>
    <row r="369" spans="1:15" x14ac:dyDescent="0.2">
      <c r="A369" s="1" t="str">
        <f>HYPERLINK("http://www.twitter.com/banuakdenizli/status/1595472880736899074", "1595472880736899074")</f>
        <v>1595472880736899074</v>
      </c>
      <c r="B369" t="s">
        <v>15</v>
      </c>
      <c r="C369" s="2">
        <v>44888.737858796303</v>
      </c>
      <c r="D369">
        <v>0</v>
      </c>
      <c r="E369">
        <v>23</v>
      </c>
      <c r="F369" t="s">
        <v>18</v>
      </c>
      <c r="G369" t="s">
        <v>417</v>
      </c>
      <c r="H369" t="str">
        <f>HYPERLINK("http://pbs.twimg.com/media/FiQ3WntXgAA6dUK.jpg", "http://pbs.twimg.com/media/FiQ3WntXgAA6dUK.jpg")</f>
        <v>http://pbs.twimg.com/media/FiQ3WntXgAA6dUK.jpg</v>
      </c>
      <c r="L369">
        <v>0.84809999999999997</v>
      </c>
      <c r="M369">
        <v>0</v>
      </c>
      <c r="N369">
        <v>0.81299999999999994</v>
      </c>
      <c r="O369">
        <v>0.187</v>
      </c>
    </row>
    <row r="370" spans="1:15" x14ac:dyDescent="0.2">
      <c r="A370" s="1" t="str">
        <f>HYPERLINK("http://www.twitter.com/banuakdenizli/status/1595472870494404609", "1595472870494404609")</f>
        <v>1595472870494404609</v>
      </c>
      <c r="B370" t="s">
        <v>15</v>
      </c>
      <c r="C370" s="2">
        <v>44888.737835648149</v>
      </c>
      <c r="D370">
        <v>0</v>
      </c>
      <c r="E370">
        <v>24</v>
      </c>
      <c r="F370" t="s">
        <v>18</v>
      </c>
      <c r="G370" t="s">
        <v>418</v>
      </c>
      <c r="H370" t="str">
        <f>HYPERLINK("http://pbs.twimg.com/media/FiQ9HipWQAE_7SG.jpg", "http://pbs.twimg.com/media/FiQ9HipWQAE_7SG.jpg")</f>
        <v>http://pbs.twimg.com/media/FiQ9HipWQAE_7SG.jpg</v>
      </c>
      <c r="L370">
        <v>0</v>
      </c>
      <c r="M370">
        <v>0</v>
      </c>
      <c r="N370">
        <v>1</v>
      </c>
      <c r="O370">
        <v>0</v>
      </c>
    </row>
    <row r="371" spans="1:15" x14ac:dyDescent="0.2">
      <c r="A371" s="1" t="str">
        <f>HYPERLINK("http://www.twitter.com/banuakdenizli/status/1595472862546214912", "1595472862546214912")</f>
        <v>1595472862546214912</v>
      </c>
      <c r="B371" t="s">
        <v>15</v>
      </c>
      <c r="C371" s="2">
        <v>44888.737812500003</v>
      </c>
      <c r="D371">
        <v>0</v>
      </c>
      <c r="E371">
        <v>27</v>
      </c>
      <c r="F371" t="s">
        <v>18</v>
      </c>
      <c r="G371" t="s">
        <v>419</v>
      </c>
      <c r="H371" t="str">
        <f>HYPERLINK("http://pbs.twimg.com/media/FiRBc0qXwA0qO1E.jpg", "http://pbs.twimg.com/media/FiRBc0qXwA0qO1E.jpg")</f>
        <v>http://pbs.twimg.com/media/FiRBc0qXwA0qO1E.jpg</v>
      </c>
      <c r="L371">
        <v>0.89339999999999997</v>
      </c>
      <c r="M371">
        <v>0</v>
      </c>
      <c r="N371">
        <v>0.749</v>
      </c>
      <c r="O371">
        <v>0.251</v>
      </c>
    </row>
    <row r="372" spans="1:15" x14ac:dyDescent="0.2">
      <c r="A372" s="1" t="str">
        <f>HYPERLINK("http://www.twitter.com/banuakdenizli/status/1595405108401303553", "1595405108401303553")</f>
        <v>1595405108401303553</v>
      </c>
      <c r="B372" t="s">
        <v>15</v>
      </c>
      <c r="C372" s="2">
        <v>44888.550844907397</v>
      </c>
      <c r="D372">
        <v>0</v>
      </c>
      <c r="E372">
        <v>4</v>
      </c>
      <c r="F372" t="s">
        <v>17</v>
      </c>
      <c r="G372" t="s">
        <v>420</v>
      </c>
      <c r="H372" t="str">
        <f>HYPERLINK("http://pbs.twimg.com/media/FiP4YbDWIAIlG6B.jpg", "http://pbs.twimg.com/media/FiP4YbDWIAIlG6B.jpg")</f>
        <v>http://pbs.twimg.com/media/FiP4YbDWIAIlG6B.jpg</v>
      </c>
      <c r="L372">
        <v>0</v>
      </c>
      <c r="M372">
        <v>0</v>
      </c>
      <c r="N372">
        <v>1</v>
      </c>
      <c r="O372">
        <v>0</v>
      </c>
    </row>
    <row r="373" spans="1:15" x14ac:dyDescent="0.2">
      <c r="A373" s="1" t="str">
        <f>HYPERLINK("http://www.twitter.com/banuakdenizli/status/1595405075979157505", "1595405075979157505")</f>
        <v>1595405075979157505</v>
      </c>
      <c r="B373" t="s">
        <v>15</v>
      </c>
      <c r="C373" s="2">
        <v>44888.550752314812</v>
      </c>
      <c r="D373">
        <v>0</v>
      </c>
      <c r="E373">
        <v>3</v>
      </c>
      <c r="F373" t="s">
        <v>16</v>
      </c>
      <c r="G373" t="s">
        <v>421</v>
      </c>
      <c r="H373" t="str">
        <f>HYPERLINK("http://pbs.twimg.com/media/FiP4w6BWIAYN5ti.jpg", "http://pbs.twimg.com/media/FiP4w6BWIAYN5ti.jpg")</f>
        <v>http://pbs.twimg.com/media/FiP4w6BWIAYN5ti.jpg</v>
      </c>
      <c r="L373">
        <v>0</v>
      </c>
      <c r="M373">
        <v>0</v>
      </c>
      <c r="N373">
        <v>1</v>
      </c>
      <c r="O373">
        <v>0</v>
      </c>
    </row>
    <row r="374" spans="1:15" x14ac:dyDescent="0.2">
      <c r="A374" s="1" t="str">
        <f>HYPERLINK("http://www.twitter.com/banuakdenizli/status/1595405038339428353", "1595405038339428353")</f>
        <v>1595405038339428353</v>
      </c>
      <c r="B374" t="s">
        <v>15</v>
      </c>
      <c r="C374" s="2">
        <v>44888.55064814815</v>
      </c>
      <c r="D374">
        <v>0</v>
      </c>
      <c r="E374">
        <v>5</v>
      </c>
      <c r="F374" t="s">
        <v>17</v>
      </c>
      <c r="G374" t="s">
        <v>422</v>
      </c>
      <c r="H374" t="str">
        <f>HYPERLINK("http://pbs.twimg.com/media/FiP5DjuX0AAyy4T.jpg", "http://pbs.twimg.com/media/FiP5DjuX0AAyy4T.jpg")</f>
        <v>http://pbs.twimg.com/media/FiP5DjuX0AAyy4T.jpg</v>
      </c>
      <c r="L374">
        <v>0</v>
      </c>
      <c r="M374">
        <v>0</v>
      </c>
      <c r="N374">
        <v>1</v>
      </c>
      <c r="O374">
        <v>0</v>
      </c>
    </row>
    <row r="375" spans="1:15" x14ac:dyDescent="0.2">
      <c r="A375" s="1" t="str">
        <f>HYPERLINK("http://www.twitter.com/banuakdenizli/status/1595405019494449153", "1595405019494449153")</f>
        <v>1595405019494449153</v>
      </c>
      <c r="B375" t="s">
        <v>15</v>
      </c>
      <c r="C375" s="2">
        <v>44888.55060185185</v>
      </c>
      <c r="D375">
        <v>0</v>
      </c>
      <c r="E375">
        <v>1</v>
      </c>
      <c r="F375" t="s">
        <v>16</v>
      </c>
      <c r="G375" t="s">
        <v>423</v>
      </c>
      <c r="H375" t="str">
        <f>HYPERLINK("http://pbs.twimg.com/media/FiP4OqQWYAAiaUi.jpg", "http://pbs.twimg.com/media/FiP4OqQWYAAiaUi.jpg")</f>
        <v>http://pbs.twimg.com/media/FiP4OqQWYAAiaUi.jpg</v>
      </c>
      <c r="L375">
        <v>0</v>
      </c>
      <c r="M375">
        <v>0</v>
      </c>
      <c r="N375">
        <v>1</v>
      </c>
      <c r="O375">
        <v>0</v>
      </c>
    </row>
    <row r="376" spans="1:15" x14ac:dyDescent="0.2">
      <c r="A376" s="1" t="str">
        <f>HYPERLINK("http://www.twitter.com/banuakdenizli/status/1595376877979443201", "1595376877979443201")</f>
        <v>1595376877979443201</v>
      </c>
      <c r="B376" t="s">
        <v>15</v>
      </c>
      <c r="C376" s="2">
        <v>44888.472951388889</v>
      </c>
      <c r="D376">
        <v>0</v>
      </c>
      <c r="E376">
        <v>3</v>
      </c>
      <c r="F376" t="s">
        <v>20</v>
      </c>
      <c r="G376" t="s">
        <v>424</v>
      </c>
      <c r="H376" t="str">
        <f>HYPERLINK("http://pbs.twimg.com/media/FiPpLVvXoAIyAPQ.jpg", "http://pbs.twimg.com/media/FiPpLVvXoAIyAPQ.jpg")</f>
        <v>http://pbs.twimg.com/media/FiPpLVvXoAIyAPQ.jpg</v>
      </c>
      <c r="L376">
        <v>0</v>
      </c>
      <c r="M376">
        <v>0</v>
      </c>
      <c r="N376">
        <v>1</v>
      </c>
      <c r="O376">
        <v>0</v>
      </c>
    </row>
    <row r="377" spans="1:15" x14ac:dyDescent="0.2">
      <c r="A377" s="1" t="str">
        <f>HYPERLINK("http://www.twitter.com/banuakdenizli/status/1595376860694708226", "1595376860694708226")</f>
        <v>1595376860694708226</v>
      </c>
      <c r="B377" t="s">
        <v>15</v>
      </c>
      <c r="C377" s="2">
        <v>44888.472893518519</v>
      </c>
      <c r="D377">
        <v>0</v>
      </c>
      <c r="E377">
        <v>3</v>
      </c>
      <c r="F377" t="s">
        <v>20</v>
      </c>
      <c r="G377" t="s">
        <v>425</v>
      </c>
      <c r="H377" t="str">
        <f>HYPERLINK("http://pbs.twimg.com/media/FiPqaeDWYAEy493.jpg", "http://pbs.twimg.com/media/FiPqaeDWYAEy493.jpg")</f>
        <v>http://pbs.twimg.com/media/FiPqaeDWYAEy493.jpg</v>
      </c>
      <c r="L377">
        <v>0</v>
      </c>
      <c r="M377">
        <v>0</v>
      </c>
      <c r="N377">
        <v>1</v>
      </c>
      <c r="O377">
        <v>0</v>
      </c>
    </row>
    <row r="378" spans="1:15" x14ac:dyDescent="0.2">
      <c r="A378" s="1" t="str">
        <f>HYPERLINK("http://www.twitter.com/banuakdenizli/status/1595376198204510210", "1595376198204510210")</f>
        <v>1595376198204510210</v>
      </c>
      <c r="B378" t="s">
        <v>15</v>
      </c>
      <c r="C378" s="2">
        <v>44888.471064814818</v>
      </c>
      <c r="D378">
        <v>0</v>
      </c>
      <c r="E378">
        <v>4</v>
      </c>
      <c r="F378" t="s">
        <v>16</v>
      </c>
      <c r="G378" t="s">
        <v>426</v>
      </c>
      <c r="H378" t="str">
        <f>HYPERLINK("http://pbs.twimg.com/media/FiOwZ3zWIAAEkuG.jpg", "http://pbs.twimg.com/media/FiOwZ3zWIAAEkuG.jpg")</f>
        <v>http://pbs.twimg.com/media/FiOwZ3zWIAAEkuG.jpg</v>
      </c>
      <c r="L378">
        <v>0</v>
      </c>
      <c r="M378">
        <v>0</v>
      </c>
      <c r="N378">
        <v>1</v>
      </c>
      <c r="O378">
        <v>0</v>
      </c>
    </row>
    <row r="379" spans="1:15" x14ac:dyDescent="0.2">
      <c r="A379" s="1" t="str">
        <f>HYPERLINK("http://www.twitter.com/banuakdenizli/status/1595376132777451522", "1595376132777451522")</f>
        <v>1595376132777451522</v>
      </c>
      <c r="B379" t="s">
        <v>15</v>
      </c>
      <c r="C379" s="2">
        <v>44888.470891203702</v>
      </c>
      <c r="D379">
        <v>0</v>
      </c>
      <c r="E379">
        <v>16</v>
      </c>
      <c r="F379" t="s">
        <v>16</v>
      </c>
      <c r="G379" t="s">
        <v>427</v>
      </c>
      <c r="H379" t="str">
        <f>HYPERLINK("http://pbs.twimg.com/media/FiOqngLX0AElyLZ.jpg", "http://pbs.twimg.com/media/FiOqngLX0AElyLZ.jpg")</f>
        <v>http://pbs.twimg.com/media/FiOqngLX0AElyLZ.jpg</v>
      </c>
      <c r="L379">
        <v>0</v>
      </c>
      <c r="M379">
        <v>0</v>
      </c>
      <c r="N379">
        <v>1</v>
      </c>
      <c r="O379">
        <v>0</v>
      </c>
    </row>
    <row r="380" spans="1:15" x14ac:dyDescent="0.2">
      <c r="A380" s="1" t="str">
        <f>HYPERLINK("http://www.twitter.com/banuakdenizli/status/1595376106789552128", "1595376106789552128")</f>
        <v>1595376106789552128</v>
      </c>
      <c r="B380" t="s">
        <v>15</v>
      </c>
      <c r="C380" s="2">
        <v>44888.470821759263</v>
      </c>
      <c r="D380">
        <v>0</v>
      </c>
      <c r="E380">
        <v>23</v>
      </c>
      <c r="F380" t="s">
        <v>16</v>
      </c>
      <c r="G380" t="s">
        <v>428</v>
      </c>
      <c r="H380" t="str">
        <f>HYPERLINK("http://pbs.twimg.com/media/FiOjTMyXwAA0V53.jpg", "http://pbs.twimg.com/media/FiOjTMyXwAA0V53.jpg")</f>
        <v>http://pbs.twimg.com/media/FiOjTMyXwAA0V53.jpg</v>
      </c>
      <c r="L380">
        <v>0</v>
      </c>
      <c r="M380">
        <v>0</v>
      </c>
      <c r="N380">
        <v>1</v>
      </c>
      <c r="O380">
        <v>0</v>
      </c>
    </row>
    <row r="381" spans="1:15" x14ac:dyDescent="0.2">
      <c r="A381" s="1" t="str">
        <f>HYPERLINK("http://www.twitter.com/banuakdenizli/status/1595376080982265858", "1595376080982265858")</f>
        <v>1595376080982265858</v>
      </c>
      <c r="B381" t="s">
        <v>15</v>
      </c>
      <c r="C381" s="2">
        <v>44888.470752314817</v>
      </c>
      <c r="D381">
        <v>0</v>
      </c>
      <c r="E381">
        <v>3</v>
      </c>
      <c r="F381" t="s">
        <v>20</v>
      </c>
      <c r="G381" t="s">
        <v>429</v>
      </c>
      <c r="H381" t="str">
        <f>HYPERLINK("http://pbs.twimg.com/media/FiPp2L5XEAASKGX.jpg", "http://pbs.twimg.com/media/FiPp2L5XEAASKGX.jpg")</f>
        <v>http://pbs.twimg.com/media/FiPp2L5XEAASKGX.jpg</v>
      </c>
      <c r="L381">
        <v>0</v>
      </c>
      <c r="M381">
        <v>0</v>
      </c>
      <c r="N381">
        <v>1</v>
      </c>
      <c r="O381">
        <v>0</v>
      </c>
    </row>
    <row r="382" spans="1:15" x14ac:dyDescent="0.2">
      <c r="A382" s="1" t="str">
        <f>HYPERLINK("http://www.twitter.com/banuakdenizli/status/1595376005232853000", "1595376005232853000")</f>
        <v>1595376005232853000</v>
      </c>
      <c r="B382" t="s">
        <v>15</v>
      </c>
      <c r="C382" s="2">
        <v>44888.470532407409</v>
      </c>
      <c r="D382">
        <v>0</v>
      </c>
      <c r="E382">
        <v>10</v>
      </c>
      <c r="F382" t="s">
        <v>17</v>
      </c>
      <c r="G382" t="s">
        <v>430</v>
      </c>
      <c r="H382" t="str">
        <f>HYPERLINK("http://pbs.twimg.com/media/FiOjyeHWAAAX91V.jpg", "http://pbs.twimg.com/media/FiOjyeHWAAAX91V.jpg")</f>
        <v>http://pbs.twimg.com/media/FiOjyeHWAAAX91V.jpg</v>
      </c>
      <c r="L382">
        <v>0.42149999999999999</v>
      </c>
      <c r="M382">
        <v>0</v>
      </c>
      <c r="N382">
        <v>0.92200000000000004</v>
      </c>
      <c r="O382">
        <v>7.8E-2</v>
      </c>
    </row>
    <row r="383" spans="1:15" x14ac:dyDescent="0.2">
      <c r="A383" s="1" t="str">
        <f>HYPERLINK("http://www.twitter.com/banuakdenizli/status/1595375973918445569", "1595375973918445569")</f>
        <v>1595375973918445569</v>
      </c>
      <c r="B383" t="s">
        <v>15</v>
      </c>
      <c r="C383" s="2">
        <v>44888.470451388886</v>
      </c>
      <c r="D383">
        <v>0</v>
      </c>
      <c r="E383">
        <v>13</v>
      </c>
      <c r="F383" t="s">
        <v>17</v>
      </c>
      <c r="G383" t="s">
        <v>431</v>
      </c>
      <c r="H383" t="str">
        <f>HYPERLINK("http://pbs.twimg.com/media/FiOqwV_WIAA9HK9.jpg", "http://pbs.twimg.com/media/FiOqwV_WIAA9HK9.jpg")</f>
        <v>http://pbs.twimg.com/media/FiOqwV_WIAA9HK9.jpg</v>
      </c>
      <c r="L383">
        <v>0.59840000000000004</v>
      </c>
      <c r="M383">
        <v>0</v>
      </c>
      <c r="N383">
        <v>0.83099999999999996</v>
      </c>
      <c r="O383">
        <v>0.16900000000000001</v>
      </c>
    </row>
    <row r="384" spans="1:15" x14ac:dyDescent="0.2">
      <c r="A384" s="1" t="str">
        <f>HYPERLINK("http://www.twitter.com/banuakdenizli/status/1595375957774327811", "1595375957774327811")</f>
        <v>1595375957774327811</v>
      </c>
      <c r="B384" t="s">
        <v>15</v>
      </c>
      <c r="C384" s="2">
        <v>44888.470405092587</v>
      </c>
      <c r="D384">
        <v>0</v>
      </c>
      <c r="E384">
        <v>9</v>
      </c>
      <c r="F384" t="s">
        <v>17</v>
      </c>
      <c r="G384" t="s">
        <v>432</v>
      </c>
      <c r="H384" t="str">
        <f>HYPERLINK("http://pbs.twimg.com/media/FiOwh7fXoAEE22-.jpg", "http://pbs.twimg.com/media/FiOwh7fXoAEE22-.jpg")</f>
        <v>http://pbs.twimg.com/media/FiOwh7fXoAEE22-.jpg</v>
      </c>
      <c r="L384">
        <v>0.42149999999999999</v>
      </c>
      <c r="M384">
        <v>0</v>
      </c>
      <c r="N384">
        <v>0.86499999999999999</v>
      </c>
      <c r="O384">
        <v>0.13500000000000001</v>
      </c>
    </row>
    <row r="385" spans="1:15" x14ac:dyDescent="0.2">
      <c r="A385" s="1" t="str">
        <f>HYPERLINK("http://www.twitter.com/banuakdenizli/status/1595240616354611200", "1595240616354611200")</f>
        <v>1595240616354611200</v>
      </c>
      <c r="B385" t="s">
        <v>15</v>
      </c>
      <c r="C385" s="2">
        <v>44888.096932870372</v>
      </c>
      <c r="D385">
        <v>0</v>
      </c>
      <c r="E385">
        <v>5</v>
      </c>
      <c r="F385" t="s">
        <v>17</v>
      </c>
      <c r="G385" t="s">
        <v>433</v>
      </c>
      <c r="H385" t="str">
        <f>HYPERLINK("http://pbs.twimg.com/media/FiMP42-WQAAuGF-.jpg", "http://pbs.twimg.com/media/FiMP42-WQAAuGF-.jpg")</f>
        <v>http://pbs.twimg.com/media/FiMP42-WQAAuGF-.jpg</v>
      </c>
      <c r="I385" t="str">
        <f>HYPERLINK("http://pbs.twimg.com/media/FiMP43DXwAAQvBH.jpg", "http://pbs.twimg.com/media/FiMP43DXwAAQvBH.jpg")</f>
        <v>http://pbs.twimg.com/media/FiMP43DXwAAQvBH.jpg</v>
      </c>
      <c r="J385" t="str">
        <f>HYPERLINK("http://pbs.twimg.com/media/FiMP43QXgAAUVZT.jpg", "http://pbs.twimg.com/media/FiMP43QXgAAUVZT.jpg")</f>
        <v>http://pbs.twimg.com/media/FiMP43QXgAAUVZT.jpg</v>
      </c>
      <c r="K385" t="str">
        <f>HYPERLINK("http://pbs.twimg.com/media/FiMP43KXwAI7jGb.jpg", "http://pbs.twimg.com/media/FiMP43KXwAI7jGb.jpg")</f>
        <v>http://pbs.twimg.com/media/FiMP43KXwAI7jGb.jpg</v>
      </c>
      <c r="L385">
        <v>0</v>
      </c>
      <c r="M385">
        <v>0</v>
      </c>
      <c r="N385">
        <v>1</v>
      </c>
      <c r="O385">
        <v>0</v>
      </c>
    </row>
    <row r="386" spans="1:15" x14ac:dyDescent="0.2">
      <c r="A386" s="1" t="str">
        <f>HYPERLINK("http://www.twitter.com/banuakdenizli/status/1595224978332749824", "1595224978332749824")</f>
        <v>1595224978332749824</v>
      </c>
      <c r="B386" t="s">
        <v>15</v>
      </c>
      <c r="C386" s="2">
        <v>44888.053784722222</v>
      </c>
      <c r="D386">
        <v>0</v>
      </c>
      <c r="E386">
        <v>7</v>
      </c>
      <c r="F386" t="s">
        <v>17</v>
      </c>
      <c r="G386" t="s">
        <v>434</v>
      </c>
      <c r="H386" t="str">
        <f>HYPERLINK("http://pbs.twimg.com/media/FiNRepwXwAYz7D8.jpg", "http://pbs.twimg.com/media/FiNRepwXwAYz7D8.jpg")</f>
        <v>http://pbs.twimg.com/media/FiNRepwXwAYz7D8.jpg</v>
      </c>
      <c r="L386">
        <v>0.42149999999999999</v>
      </c>
      <c r="M386">
        <v>0</v>
      </c>
      <c r="N386">
        <v>0.86499999999999999</v>
      </c>
      <c r="O386">
        <v>0.13500000000000001</v>
      </c>
    </row>
    <row r="387" spans="1:15" x14ac:dyDescent="0.2">
      <c r="A387" s="1" t="str">
        <f>HYPERLINK("http://www.twitter.com/banuakdenizli/status/1595161958029832192", "1595161958029832192")</f>
        <v>1595161958029832192</v>
      </c>
      <c r="B387" t="s">
        <v>15</v>
      </c>
      <c r="C387" s="2">
        <v>44887.879884259259</v>
      </c>
      <c r="D387">
        <v>0</v>
      </c>
      <c r="E387">
        <v>7</v>
      </c>
      <c r="F387" t="s">
        <v>17</v>
      </c>
      <c r="G387" t="s">
        <v>435</v>
      </c>
      <c r="H387" t="str">
        <f>HYPERLINK("http://pbs.twimg.com/media/FiMS_ifXwAkLMJj.jpg", "http://pbs.twimg.com/media/FiMS_ifXwAkLMJj.jpg")</f>
        <v>http://pbs.twimg.com/media/FiMS_ifXwAkLMJj.jpg</v>
      </c>
      <c r="I387" t="str">
        <f>HYPERLINK("http://pbs.twimg.com/media/FiMS_ieXwAUvJ0h.jpg", "http://pbs.twimg.com/media/FiMS_ieXwAUvJ0h.jpg")</f>
        <v>http://pbs.twimg.com/media/FiMS_ieXwAUvJ0h.jpg</v>
      </c>
      <c r="J387" t="str">
        <f>HYPERLINK("http://pbs.twimg.com/media/FiMS_ibXwAgCr8W.jpg", "http://pbs.twimg.com/media/FiMS_ibXwAgCr8W.jpg")</f>
        <v>http://pbs.twimg.com/media/FiMS_ibXwAgCr8W.jpg</v>
      </c>
      <c r="K387" t="str">
        <f>HYPERLINK("http://pbs.twimg.com/media/FiMS_idXwBEOUXl.jpg", "http://pbs.twimg.com/media/FiMS_idXwBEOUXl.jpg")</f>
        <v>http://pbs.twimg.com/media/FiMS_idXwBEOUXl.jpg</v>
      </c>
      <c r="L387">
        <v>0</v>
      </c>
      <c r="M387">
        <v>0</v>
      </c>
      <c r="N387">
        <v>1</v>
      </c>
      <c r="O387">
        <v>0</v>
      </c>
    </row>
    <row r="388" spans="1:15" x14ac:dyDescent="0.2">
      <c r="A388" s="1" t="str">
        <f>HYPERLINK("http://www.twitter.com/banuakdenizli/status/1595161945900199936", "1595161945900199936")</f>
        <v>1595161945900199936</v>
      </c>
      <c r="B388" t="s">
        <v>15</v>
      </c>
      <c r="C388" s="2">
        <v>44887.879849537043</v>
      </c>
      <c r="D388">
        <v>0</v>
      </c>
      <c r="E388">
        <v>23</v>
      </c>
      <c r="F388" t="s">
        <v>16</v>
      </c>
      <c r="G388" t="s">
        <v>436</v>
      </c>
      <c r="H388" t="str">
        <f>HYPERLINK("https://video.twimg.com/ext_tw_video/1595093703902773250/pu/vid/1280x720/pE8jkq2ROFZNEHEe.mp4?tag=12", "https://video.twimg.com/ext_tw_video/1595093703902773250/pu/vid/1280x720/pE8jkq2ROFZNEHEe.mp4?tag=12")</f>
        <v>https://video.twimg.com/ext_tw_video/1595093703902773250/pu/vid/1280x720/pE8jkq2ROFZNEHEe.mp4?tag=12</v>
      </c>
      <c r="L388">
        <v>0</v>
      </c>
      <c r="M388">
        <v>0</v>
      </c>
      <c r="N388">
        <v>1</v>
      </c>
      <c r="O388">
        <v>0</v>
      </c>
    </row>
    <row r="389" spans="1:15" x14ac:dyDescent="0.2">
      <c r="A389" s="1" t="str">
        <f>HYPERLINK("http://www.twitter.com/banuakdenizli/status/1595129611943555073", "1595129611943555073")</f>
        <v>1595129611943555073</v>
      </c>
      <c r="B389" t="s">
        <v>15</v>
      </c>
      <c r="C389" s="2">
        <v>44887.790625000001</v>
      </c>
      <c r="D389">
        <v>0</v>
      </c>
      <c r="E389">
        <v>6</v>
      </c>
      <c r="F389" t="s">
        <v>17</v>
      </c>
      <c r="G389" t="s">
        <v>437</v>
      </c>
      <c r="H389" t="str">
        <f>HYPERLINK("http://pbs.twimg.com/media/FiMHQh8XwAAfU2W.jpg", "http://pbs.twimg.com/media/FiMHQh8XwAAfU2W.jpg")</f>
        <v>http://pbs.twimg.com/media/FiMHQh8XwAAfU2W.jpg</v>
      </c>
      <c r="I389" t="str">
        <f>HYPERLINK("http://pbs.twimg.com/media/FiMHQh1XwAISPa9.jpg", "http://pbs.twimg.com/media/FiMHQh1XwAISPa9.jpg")</f>
        <v>http://pbs.twimg.com/media/FiMHQh1XwAISPa9.jpg</v>
      </c>
      <c r="L389">
        <v>0</v>
      </c>
      <c r="M389">
        <v>0</v>
      </c>
      <c r="N389">
        <v>1</v>
      </c>
      <c r="O389">
        <v>0</v>
      </c>
    </row>
    <row r="390" spans="1:15" x14ac:dyDescent="0.2">
      <c r="A390" s="1" t="str">
        <f>HYPERLINK("http://www.twitter.com/banuakdenizli/status/1595129574462935040", "1595129574462935040")</f>
        <v>1595129574462935040</v>
      </c>
      <c r="B390" t="s">
        <v>15</v>
      </c>
      <c r="C390" s="2">
        <v>44887.790520833332</v>
      </c>
      <c r="D390">
        <v>0</v>
      </c>
      <c r="E390">
        <v>5</v>
      </c>
      <c r="F390" t="s">
        <v>16</v>
      </c>
      <c r="G390" t="s">
        <v>438</v>
      </c>
      <c r="H390" t="str">
        <f>HYPERLINK("http://pbs.twimg.com/media/FiMIty-XwAk-aQP.jpg", "http://pbs.twimg.com/media/FiMIty-XwAk-aQP.jpg")</f>
        <v>http://pbs.twimg.com/media/FiMIty-XwAk-aQP.jpg</v>
      </c>
      <c r="L390">
        <v>0</v>
      </c>
      <c r="M390">
        <v>0</v>
      </c>
      <c r="N390">
        <v>1</v>
      </c>
      <c r="O390">
        <v>0</v>
      </c>
    </row>
    <row r="391" spans="1:15" x14ac:dyDescent="0.2">
      <c r="A391" s="1" t="str">
        <f>HYPERLINK("http://www.twitter.com/banuakdenizli/status/1595118530248441856", "1595118530248441856")</f>
        <v>1595118530248441856</v>
      </c>
      <c r="B391" t="s">
        <v>15</v>
      </c>
      <c r="C391" s="2">
        <v>44887.760046296287</v>
      </c>
      <c r="D391">
        <v>0</v>
      </c>
      <c r="E391">
        <v>4</v>
      </c>
      <c r="F391" t="s">
        <v>29</v>
      </c>
      <c r="G391" t="s">
        <v>439</v>
      </c>
      <c r="H391" t="str">
        <f>HYPERLINK("https://video.twimg.com/ext_tw_video/1595103264311238657/pu/vid/1280x720/wrLLYpBDQr04ObTp.mp4?tag=12", "https://video.twimg.com/ext_tw_video/1595103264311238657/pu/vid/1280x720/wrLLYpBDQr04ObTp.mp4?tag=12")</f>
        <v>https://video.twimg.com/ext_tw_video/1595103264311238657/pu/vid/1280x720/wrLLYpBDQr04ObTp.mp4?tag=12</v>
      </c>
      <c r="L391">
        <v>0</v>
      </c>
      <c r="M391">
        <v>0</v>
      </c>
      <c r="N391">
        <v>1</v>
      </c>
      <c r="O391">
        <v>0</v>
      </c>
    </row>
    <row r="392" spans="1:15" x14ac:dyDescent="0.2">
      <c r="A392" s="1" t="str">
        <f>HYPERLINK("http://www.twitter.com/banuakdenizli/status/1595118489748279296", "1595118489748279296")</f>
        <v>1595118489748279296</v>
      </c>
      <c r="B392" t="s">
        <v>15</v>
      </c>
      <c r="C392" s="2">
        <v>44887.759930555563</v>
      </c>
      <c r="D392">
        <v>0</v>
      </c>
      <c r="E392">
        <v>9</v>
      </c>
      <c r="F392" t="s">
        <v>16</v>
      </c>
      <c r="G392" t="s">
        <v>440</v>
      </c>
      <c r="H392" t="str">
        <f>HYPERLINK("http://pbs.twimg.com/media/FiLsRG3X0AItnKl.jpg", "http://pbs.twimg.com/media/FiLsRG3X0AItnKl.jpg")</f>
        <v>http://pbs.twimg.com/media/FiLsRG3X0AItnKl.jpg</v>
      </c>
      <c r="I392" t="str">
        <f>HYPERLINK("http://pbs.twimg.com/media/FiLsRG6X0AIB2GB.jpg", "http://pbs.twimg.com/media/FiLsRG6X0AIB2GB.jpg")</f>
        <v>http://pbs.twimg.com/media/FiLsRG6X0AIB2GB.jpg</v>
      </c>
      <c r="L392">
        <v>0</v>
      </c>
      <c r="M392">
        <v>0</v>
      </c>
      <c r="N392">
        <v>1</v>
      </c>
      <c r="O392">
        <v>0</v>
      </c>
    </row>
    <row r="393" spans="1:15" x14ac:dyDescent="0.2">
      <c r="A393" s="1" t="str">
        <f>HYPERLINK("http://www.twitter.com/banuakdenizli/status/1595118452892921856", "1595118452892921856")</f>
        <v>1595118452892921856</v>
      </c>
      <c r="B393" t="s">
        <v>15</v>
      </c>
      <c r="C393" s="2">
        <v>44887.759826388887</v>
      </c>
      <c r="D393">
        <v>0</v>
      </c>
      <c r="E393">
        <v>52</v>
      </c>
      <c r="F393" t="s">
        <v>18</v>
      </c>
      <c r="G393" t="s">
        <v>441</v>
      </c>
      <c r="H393" t="str">
        <f>HYPERLINK("http://pbs.twimg.com/media/FiLm_iNX0A0esrw.jpg", "http://pbs.twimg.com/media/FiLm_iNX0A0esrw.jpg")</f>
        <v>http://pbs.twimg.com/media/FiLm_iNX0A0esrw.jpg</v>
      </c>
      <c r="I393" t="str">
        <f>HYPERLINK("http://pbs.twimg.com/media/FiLm_iLXoAMmcSf.jpg", "http://pbs.twimg.com/media/FiLm_iLXoAMmcSf.jpg")</f>
        <v>http://pbs.twimg.com/media/FiLm_iLXoAMmcSf.jpg</v>
      </c>
      <c r="J393" t="str">
        <f>HYPERLINK("http://pbs.twimg.com/media/FiLm_iJXoAAtVd0.jpg", "http://pbs.twimg.com/media/FiLm_iJXoAAtVd0.jpg")</f>
        <v>http://pbs.twimg.com/media/FiLm_iJXoAAtVd0.jpg</v>
      </c>
      <c r="L393">
        <v>0</v>
      </c>
      <c r="M393">
        <v>0</v>
      </c>
      <c r="N393">
        <v>1</v>
      </c>
      <c r="O393">
        <v>0</v>
      </c>
    </row>
    <row r="394" spans="1:15" x14ac:dyDescent="0.2">
      <c r="A394" s="1" t="str">
        <f>HYPERLINK("http://www.twitter.com/banuakdenizli/status/1595113302769946631", "1595113302769946631")</f>
        <v>1595113302769946631</v>
      </c>
      <c r="B394" t="s">
        <v>15</v>
      </c>
      <c r="C394" s="2">
        <v>44887.745613425926</v>
      </c>
      <c r="D394">
        <v>0</v>
      </c>
      <c r="E394">
        <v>33</v>
      </c>
      <c r="F394" t="s">
        <v>18</v>
      </c>
      <c r="G394" t="s">
        <v>442</v>
      </c>
      <c r="H394" t="str">
        <f>HYPERLINK("http://pbs.twimg.com/media/FiLrV9mWIAYpiiR.jpg", "http://pbs.twimg.com/media/FiLrV9mWIAYpiiR.jpg")</f>
        <v>http://pbs.twimg.com/media/FiLrV9mWIAYpiiR.jpg</v>
      </c>
      <c r="I394" t="str">
        <f>HYPERLINK("http://pbs.twimg.com/media/FiLrV90XoAEyg13.jpg", "http://pbs.twimg.com/media/FiLrV90XoAEyg13.jpg")</f>
        <v>http://pbs.twimg.com/media/FiLrV90XoAEyg13.jpg</v>
      </c>
      <c r="J394" t="str">
        <f>HYPERLINK("http://pbs.twimg.com/media/FiLrV9lWAAAgOun.jpg", "http://pbs.twimg.com/media/FiLrV9lWAAAgOun.jpg")</f>
        <v>http://pbs.twimg.com/media/FiLrV9lWAAAgOun.jpg</v>
      </c>
      <c r="L394">
        <v>0.87790000000000001</v>
      </c>
      <c r="M394">
        <v>0</v>
      </c>
      <c r="N394">
        <v>0.754</v>
      </c>
      <c r="O394">
        <v>0.246</v>
      </c>
    </row>
    <row r="395" spans="1:15" x14ac:dyDescent="0.2">
      <c r="A395" s="1" t="str">
        <f>HYPERLINK("http://www.twitter.com/banuakdenizli/status/1595112674819706880", "1595112674819706880")</f>
        <v>1595112674819706880</v>
      </c>
      <c r="B395" t="s">
        <v>15</v>
      </c>
      <c r="C395" s="2">
        <v>44887.743888888886</v>
      </c>
      <c r="D395">
        <v>0</v>
      </c>
      <c r="E395">
        <v>7</v>
      </c>
      <c r="F395" t="s">
        <v>17</v>
      </c>
      <c r="G395" t="s">
        <v>443</v>
      </c>
      <c r="H395" t="str">
        <f>HYPERLINK("http://pbs.twimg.com/media/FiL3aFRXkAoW0mN.jpg", "http://pbs.twimg.com/media/FiL3aFRXkAoW0mN.jpg")</f>
        <v>http://pbs.twimg.com/media/FiL3aFRXkAoW0mN.jpg</v>
      </c>
      <c r="I395" t="str">
        <f>HYPERLINK("http://pbs.twimg.com/media/FiL3aFRXwAAZoWs.jpg", "http://pbs.twimg.com/media/FiL3aFRXwAAZoWs.jpg")</f>
        <v>http://pbs.twimg.com/media/FiL3aFRXwAAZoWs.jpg</v>
      </c>
      <c r="J395" t="str">
        <f>HYPERLINK("http://pbs.twimg.com/media/FiL3aFUXkAAlxc1.jpg", "http://pbs.twimg.com/media/FiL3aFUXkAAlxc1.jpg")</f>
        <v>http://pbs.twimg.com/media/FiL3aFUXkAAlxc1.jpg</v>
      </c>
      <c r="L395">
        <v>0</v>
      </c>
      <c r="M395">
        <v>0</v>
      </c>
      <c r="N395">
        <v>1</v>
      </c>
      <c r="O395">
        <v>0</v>
      </c>
    </row>
    <row r="396" spans="1:15" x14ac:dyDescent="0.2">
      <c r="A396" s="1" t="str">
        <f>HYPERLINK("http://www.twitter.com/banuakdenizli/status/1595090039863758848", "1595090039863758848")</f>
        <v>1595090039863758848</v>
      </c>
      <c r="B396" t="s">
        <v>15</v>
      </c>
      <c r="C396" s="2">
        <v>44887.681423611109</v>
      </c>
      <c r="D396">
        <v>0</v>
      </c>
      <c r="E396">
        <v>9</v>
      </c>
      <c r="F396" t="s">
        <v>16</v>
      </c>
      <c r="G396" t="s">
        <v>444</v>
      </c>
      <c r="H396" t="str">
        <f>HYPERLINK("http://pbs.twimg.com/media/FiLZBO6X0AI0MPj.jpg", "http://pbs.twimg.com/media/FiLZBO6X0AI0MPj.jpg")</f>
        <v>http://pbs.twimg.com/media/FiLZBO6X0AI0MPj.jpg</v>
      </c>
      <c r="I396" t="str">
        <f>HYPERLINK("http://pbs.twimg.com/media/FiLZBO3WYAAvKgd.jpg", "http://pbs.twimg.com/media/FiLZBO3WYAAvKgd.jpg")</f>
        <v>http://pbs.twimg.com/media/FiLZBO3WYAAvKgd.jpg</v>
      </c>
      <c r="J396" t="str">
        <f>HYPERLINK("http://pbs.twimg.com/media/FiLZBO7X0AAVgfY.jpg", "http://pbs.twimg.com/media/FiLZBO7X0AAVgfY.jpg")</f>
        <v>http://pbs.twimg.com/media/FiLZBO7X0AAVgfY.jpg</v>
      </c>
      <c r="L396">
        <v>0</v>
      </c>
      <c r="M396">
        <v>0</v>
      </c>
      <c r="N396">
        <v>1</v>
      </c>
      <c r="O396">
        <v>0</v>
      </c>
    </row>
    <row r="397" spans="1:15" x14ac:dyDescent="0.2">
      <c r="A397" s="1" t="str">
        <f>HYPERLINK("http://www.twitter.com/banuakdenizli/status/1595090021354463235", "1595090021354463235")</f>
        <v>1595090021354463235</v>
      </c>
      <c r="B397" t="s">
        <v>15</v>
      </c>
      <c r="C397" s="2">
        <v>44887.681377314817</v>
      </c>
      <c r="D397">
        <v>0</v>
      </c>
      <c r="E397">
        <v>8</v>
      </c>
      <c r="F397" t="s">
        <v>16</v>
      </c>
      <c r="G397" t="s">
        <v>445</v>
      </c>
      <c r="H397" t="str">
        <f>HYPERLINK("http://pbs.twimg.com/media/FiLaPkBWQAQKlUr.jpg", "http://pbs.twimg.com/media/FiLaPkBWQAQKlUr.jpg")</f>
        <v>http://pbs.twimg.com/media/FiLaPkBWQAQKlUr.jpg</v>
      </c>
      <c r="I397" t="str">
        <f>HYPERLINK("http://pbs.twimg.com/media/FiLaPkKXEAAjTMy.jpg", "http://pbs.twimg.com/media/FiLaPkKXEAAjTMy.jpg")</f>
        <v>http://pbs.twimg.com/media/FiLaPkKXEAAjTMy.jpg</v>
      </c>
      <c r="J397" t="str">
        <f>HYPERLINK("http://pbs.twimg.com/media/FiLaPkLWYAMwOUV.jpg", "http://pbs.twimg.com/media/FiLaPkLWYAMwOUV.jpg")</f>
        <v>http://pbs.twimg.com/media/FiLaPkLWYAMwOUV.jpg</v>
      </c>
      <c r="K397" t="str">
        <f>HYPERLINK("http://pbs.twimg.com/media/FiLaPkJXEAEppZb.jpg", "http://pbs.twimg.com/media/FiLaPkJXEAEppZb.jpg")</f>
        <v>http://pbs.twimg.com/media/FiLaPkJXEAEppZb.jpg</v>
      </c>
      <c r="L397">
        <v>0</v>
      </c>
      <c r="M397">
        <v>0</v>
      </c>
      <c r="N397">
        <v>1</v>
      </c>
      <c r="O397">
        <v>0</v>
      </c>
    </row>
    <row r="398" spans="1:15" x14ac:dyDescent="0.2">
      <c r="A398" s="1" t="str">
        <f>HYPERLINK("http://www.twitter.com/banuakdenizli/status/1595089880413274113", "1595089880413274113")</f>
        <v>1595089880413274113</v>
      </c>
      <c r="B398" t="s">
        <v>15</v>
      </c>
      <c r="C398" s="2">
        <v>44887.680983796286</v>
      </c>
      <c r="D398">
        <v>0</v>
      </c>
      <c r="E398">
        <v>8</v>
      </c>
      <c r="F398" t="s">
        <v>16</v>
      </c>
      <c r="G398" t="s">
        <v>446</v>
      </c>
      <c r="H398" t="str">
        <f>HYPERLINK("http://pbs.twimg.com/media/FiLfm27XgAEQOzX.jpg", "http://pbs.twimg.com/media/FiLfm27XgAEQOzX.jpg")</f>
        <v>http://pbs.twimg.com/media/FiLfm27XgAEQOzX.jpg</v>
      </c>
      <c r="I398" t="str">
        <f>HYPERLINK("http://pbs.twimg.com/media/FiLfm23WQAEQw7F.jpg", "http://pbs.twimg.com/media/FiLfm23WQAEQw7F.jpg")</f>
        <v>http://pbs.twimg.com/media/FiLfm23WQAEQw7F.jpg</v>
      </c>
      <c r="J398" t="str">
        <f>HYPERLINK("http://pbs.twimg.com/media/FiLfm2zXkAEJa2y.jpg", "http://pbs.twimg.com/media/FiLfm2zXkAEJa2y.jpg")</f>
        <v>http://pbs.twimg.com/media/FiLfm2zXkAEJa2y.jpg</v>
      </c>
      <c r="K398" t="str">
        <f>HYPERLINK("http://pbs.twimg.com/media/FiLfm27WYAE9Rq5.jpg", "http://pbs.twimg.com/media/FiLfm27WYAE9Rq5.jpg")</f>
        <v>http://pbs.twimg.com/media/FiLfm27WYAE9Rq5.jpg</v>
      </c>
      <c r="L398">
        <v>0</v>
      </c>
      <c r="M398">
        <v>0</v>
      </c>
      <c r="N398">
        <v>1</v>
      </c>
      <c r="O398">
        <v>0</v>
      </c>
    </row>
    <row r="399" spans="1:15" x14ac:dyDescent="0.2">
      <c r="A399" s="1" t="str">
        <f>HYPERLINK("http://www.twitter.com/banuakdenizli/status/1595089496496050179", "1595089496496050179")</f>
        <v>1595089496496050179</v>
      </c>
      <c r="B399" t="s">
        <v>15</v>
      </c>
      <c r="C399" s="2">
        <v>44887.679918981477</v>
      </c>
      <c r="D399">
        <v>0</v>
      </c>
      <c r="E399">
        <v>15</v>
      </c>
      <c r="F399" t="s">
        <v>16</v>
      </c>
      <c r="G399" t="s">
        <v>447</v>
      </c>
      <c r="H399" t="str">
        <f>HYPERLINK("http://pbs.twimg.com/media/FiLh3gyXwAAitdi.jpg", "http://pbs.twimg.com/media/FiLh3gyXwAAitdi.jpg")</f>
        <v>http://pbs.twimg.com/media/FiLh3gyXwAAitdi.jpg</v>
      </c>
      <c r="I399" t="str">
        <f>HYPERLINK("http://pbs.twimg.com/media/FiLh3g1XwAICE5T.jpg", "http://pbs.twimg.com/media/FiLh3g1XwAICE5T.jpg")</f>
        <v>http://pbs.twimg.com/media/FiLh3g1XwAICE5T.jpg</v>
      </c>
      <c r="J399" t="str">
        <f>HYPERLINK("http://pbs.twimg.com/media/FiLh3hHXkAAhZvp.jpg", "http://pbs.twimg.com/media/FiLh3hHXkAAhZvp.jpg")</f>
        <v>http://pbs.twimg.com/media/FiLh3hHXkAAhZvp.jpg</v>
      </c>
      <c r="K399" t="str">
        <f>HYPERLINK("http://pbs.twimg.com/media/FiLh3hKWQAAs3FG.jpg", "http://pbs.twimg.com/media/FiLh3hKWQAAs3FG.jpg")</f>
        <v>http://pbs.twimg.com/media/FiLh3hKWQAAs3FG.jpg</v>
      </c>
      <c r="L399">
        <v>0</v>
      </c>
      <c r="M399">
        <v>0</v>
      </c>
      <c r="N399">
        <v>1</v>
      </c>
      <c r="O399">
        <v>0</v>
      </c>
    </row>
    <row r="400" spans="1:15" x14ac:dyDescent="0.2">
      <c r="A400" s="1" t="str">
        <f>HYPERLINK("http://www.twitter.com/banuakdenizli/status/1595069492530495489", "1595069492530495489")</f>
        <v>1595069492530495489</v>
      </c>
      <c r="B400" t="s">
        <v>15</v>
      </c>
      <c r="C400" s="2">
        <v>44887.624722222223</v>
      </c>
      <c r="D400">
        <v>0</v>
      </c>
      <c r="E400">
        <v>13</v>
      </c>
      <c r="F400" t="s">
        <v>17</v>
      </c>
      <c r="G400" t="s">
        <v>448</v>
      </c>
      <c r="H400" t="str">
        <f>HYPERLINK("https://video.twimg.com/ext_tw_video/1595061564033437696/pu/vid/1280x720/aJn9yloP1Yk7tIfF.mp4?tag=12", "https://video.twimg.com/ext_tw_video/1595061564033437696/pu/vid/1280x720/aJn9yloP1Yk7tIfF.mp4?tag=12")</f>
        <v>https://video.twimg.com/ext_tw_video/1595061564033437696/pu/vid/1280x720/aJn9yloP1Yk7tIfF.mp4?tag=12</v>
      </c>
      <c r="L400">
        <v>0.64859999999999995</v>
      </c>
      <c r="M400">
        <v>0</v>
      </c>
      <c r="N400">
        <v>0.875</v>
      </c>
      <c r="O400">
        <v>0.125</v>
      </c>
    </row>
    <row r="401" spans="1:15" x14ac:dyDescent="0.2">
      <c r="A401" s="1" t="str">
        <f>HYPERLINK("http://www.twitter.com/banuakdenizli/status/1595069472750141442", "1595069472750141442")</f>
        <v>1595069472750141442</v>
      </c>
      <c r="B401" t="s">
        <v>15</v>
      </c>
      <c r="C401" s="2">
        <v>44887.624664351853</v>
      </c>
      <c r="D401">
        <v>0</v>
      </c>
      <c r="E401">
        <v>14</v>
      </c>
      <c r="F401" t="s">
        <v>17</v>
      </c>
      <c r="G401" t="s">
        <v>449</v>
      </c>
      <c r="H401" t="str">
        <f>HYPERLINK("https://video.twimg.com/ext_tw_video/1595063140928163840/pu/vid/1280x720/TvCBuijkAIVjAKxR.mp4?tag=12", "https://video.twimg.com/ext_tw_video/1595063140928163840/pu/vid/1280x720/TvCBuijkAIVjAKxR.mp4?tag=12")</f>
        <v>https://video.twimg.com/ext_tw_video/1595063140928163840/pu/vid/1280x720/TvCBuijkAIVjAKxR.mp4?tag=12</v>
      </c>
      <c r="L401">
        <v>5.16E-2</v>
      </c>
      <c r="M401">
        <v>0.13</v>
      </c>
      <c r="N401">
        <v>0.75600000000000001</v>
      </c>
      <c r="O401">
        <v>0.114</v>
      </c>
    </row>
    <row r="402" spans="1:15" x14ac:dyDescent="0.2">
      <c r="A402" s="1" t="str">
        <f>HYPERLINK("http://www.twitter.com/banuakdenizli/status/1595069457776447488", "1595069457776447488")</f>
        <v>1595069457776447488</v>
      </c>
      <c r="B402" t="s">
        <v>15</v>
      </c>
      <c r="C402" s="2">
        <v>44887.62462962963</v>
      </c>
      <c r="D402">
        <v>0</v>
      </c>
      <c r="E402">
        <v>11</v>
      </c>
      <c r="F402" t="s">
        <v>17</v>
      </c>
      <c r="G402" t="s">
        <v>450</v>
      </c>
      <c r="H402" t="str">
        <f>HYPERLINK("https://video.twimg.com/ext_tw_video/1595064103483097091/pu/vid/1280x720/m2w0iyaErqkzv0XH.mp4?tag=12", "https://video.twimg.com/ext_tw_video/1595064103483097091/pu/vid/1280x720/m2w0iyaErqkzv0XH.mp4?tag=12")</f>
        <v>https://video.twimg.com/ext_tw_video/1595064103483097091/pu/vid/1280x720/m2w0iyaErqkzv0XH.mp4?tag=12</v>
      </c>
      <c r="L402">
        <v>0.70960000000000001</v>
      </c>
      <c r="M402">
        <v>0</v>
      </c>
      <c r="N402">
        <v>0.81299999999999994</v>
      </c>
      <c r="O402">
        <v>0.187</v>
      </c>
    </row>
    <row r="403" spans="1:15" x14ac:dyDescent="0.2">
      <c r="A403" s="1" t="str">
        <f>HYPERLINK("http://www.twitter.com/banuakdenizli/status/1595059854472876035", "1595059854472876035")</f>
        <v>1595059854472876035</v>
      </c>
      <c r="B403" t="s">
        <v>15</v>
      </c>
      <c r="C403" s="2">
        <v>44887.598124999997</v>
      </c>
      <c r="D403">
        <v>0</v>
      </c>
      <c r="E403">
        <v>29</v>
      </c>
      <c r="F403" t="s">
        <v>16</v>
      </c>
      <c r="G403" t="s">
        <v>451</v>
      </c>
      <c r="H403" t="str">
        <f>HYPERLINK("https://video.twimg.com/ext_tw_video/1595048298867564545/pu/vid/1280x720/9ThB-R2Fz4AL2FDd.mp4?tag=12", "https://video.twimg.com/ext_tw_video/1595048298867564545/pu/vid/1280x720/9ThB-R2Fz4AL2FDd.mp4?tag=12")</f>
        <v>https://video.twimg.com/ext_tw_video/1595048298867564545/pu/vid/1280x720/9ThB-R2Fz4AL2FDd.mp4?tag=12</v>
      </c>
      <c r="L403">
        <v>0</v>
      </c>
      <c r="M403">
        <v>0</v>
      </c>
      <c r="N403">
        <v>1</v>
      </c>
      <c r="O403">
        <v>0</v>
      </c>
    </row>
    <row r="404" spans="1:15" x14ac:dyDescent="0.2">
      <c r="A404" s="1" t="str">
        <f>HYPERLINK("http://www.twitter.com/banuakdenizli/status/1595054086940143617", "1595054086940143617")</f>
        <v>1595054086940143617</v>
      </c>
      <c r="B404" t="s">
        <v>15</v>
      </c>
      <c r="C404" s="2">
        <v>44887.58221064815</v>
      </c>
      <c r="D404">
        <v>0</v>
      </c>
      <c r="E404">
        <v>5</v>
      </c>
      <c r="F404" t="s">
        <v>25</v>
      </c>
      <c r="G404" t="s">
        <v>452</v>
      </c>
      <c r="L404">
        <v>0</v>
      </c>
      <c r="M404">
        <v>0</v>
      </c>
      <c r="N404">
        <v>1</v>
      </c>
      <c r="O404">
        <v>0</v>
      </c>
    </row>
    <row r="405" spans="1:15" x14ac:dyDescent="0.2">
      <c r="A405" s="1" t="str">
        <f>HYPERLINK("http://www.twitter.com/banuakdenizli/status/1595049963750408193", "1595049963750408193")</f>
        <v>1595049963750408193</v>
      </c>
      <c r="B405" t="s">
        <v>15</v>
      </c>
      <c r="C405" s="2">
        <v>44887.570833333331</v>
      </c>
      <c r="D405">
        <v>0</v>
      </c>
      <c r="E405">
        <v>11</v>
      </c>
      <c r="F405" t="s">
        <v>17</v>
      </c>
      <c r="G405" t="s">
        <v>453</v>
      </c>
      <c r="L405">
        <v>0</v>
      </c>
      <c r="M405">
        <v>0</v>
      </c>
      <c r="N405">
        <v>1</v>
      </c>
      <c r="O405">
        <v>0</v>
      </c>
    </row>
    <row r="406" spans="1:15" x14ac:dyDescent="0.2">
      <c r="A406" s="1" t="str">
        <f>HYPERLINK("http://www.twitter.com/banuakdenizli/status/1595049890517815299", "1595049890517815299")</f>
        <v>1595049890517815299</v>
      </c>
      <c r="B406" t="s">
        <v>15</v>
      </c>
      <c r="C406" s="2">
        <v>44887.570636574077</v>
      </c>
      <c r="D406">
        <v>0</v>
      </c>
      <c r="E406">
        <v>71</v>
      </c>
      <c r="F406" t="s">
        <v>28</v>
      </c>
      <c r="G406" t="s">
        <v>454</v>
      </c>
      <c r="H406" t="str">
        <f>HYPERLINK("http://pbs.twimg.com/media/FiKRubiX0AAsdvb.jpg", "http://pbs.twimg.com/media/FiKRubiX0AAsdvb.jpg")</f>
        <v>http://pbs.twimg.com/media/FiKRubiX0AAsdvb.jpg</v>
      </c>
      <c r="L406">
        <v>0</v>
      </c>
      <c r="M406">
        <v>0</v>
      </c>
      <c r="N406">
        <v>1</v>
      </c>
      <c r="O406">
        <v>0</v>
      </c>
    </row>
    <row r="407" spans="1:15" x14ac:dyDescent="0.2">
      <c r="A407" s="1" t="str">
        <f>HYPERLINK("http://www.twitter.com/banuakdenizli/status/1595047395255001088", "1595047395255001088")</f>
        <v>1595047395255001088</v>
      </c>
      <c r="B407" t="s">
        <v>15</v>
      </c>
      <c r="C407" s="2">
        <v>44887.563750000001</v>
      </c>
      <c r="D407">
        <v>0</v>
      </c>
      <c r="E407">
        <v>46</v>
      </c>
      <c r="F407" t="s">
        <v>18</v>
      </c>
      <c r="G407" t="s">
        <v>455</v>
      </c>
      <c r="L407">
        <v>0</v>
      </c>
      <c r="M407">
        <v>0</v>
      </c>
      <c r="N407">
        <v>1</v>
      </c>
      <c r="O407">
        <v>0</v>
      </c>
    </row>
    <row r="408" spans="1:15" x14ac:dyDescent="0.2">
      <c r="A408" s="1" t="str">
        <f>HYPERLINK("http://www.twitter.com/banuakdenizli/status/1595047374392532996", "1595047374392532996")</f>
        <v>1595047374392532996</v>
      </c>
      <c r="B408" t="s">
        <v>15</v>
      </c>
      <c r="C408" s="2">
        <v>44887.563692129632</v>
      </c>
      <c r="D408">
        <v>0</v>
      </c>
      <c r="E408">
        <v>6</v>
      </c>
      <c r="F408" t="s">
        <v>16</v>
      </c>
      <c r="G408" t="s">
        <v>456</v>
      </c>
      <c r="L408">
        <v>0</v>
      </c>
      <c r="M408">
        <v>0</v>
      </c>
      <c r="N408">
        <v>1</v>
      </c>
      <c r="O408">
        <v>0</v>
      </c>
    </row>
    <row r="409" spans="1:15" x14ac:dyDescent="0.2">
      <c r="A409" s="1" t="str">
        <f>HYPERLINK("http://www.twitter.com/banuakdenizli/status/1595047327470964737", "1595047327470964737")</f>
        <v>1595047327470964737</v>
      </c>
      <c r="B409" t="s">
        <v>15</v>
      </c>
      <c r="C409" s="2">
        <v>44887.563564814824</v>
      </c>
      <c r="D409">
        <v>0</v>
      </c>
      <c r="E409">
        <v>10</v>
      </c>
      <c r="F409" t="s">
        <v>16</v>
      </c>
      <c r="G409" t="s">
        <v>457</v>
      </c>
      <c r="L409">
        <v>0</v>
      </c>
      <c r="M409">
        <v>0</v>
      </c>
      <c r="N409">
        <v>1</v>
      </c>
      <c r="O409">
        <v>0</v>
      </c>
    </row>
    <row r="410" spans="1:15" x14ac:dyDescent="0.2">
      <c r="A410" s="1" t="str">
        <f>HYPERLINK("http://www.twitter.com/banuakdenizli/status/1595047287113269250", "1595047287113269250")</f>
        <v>1595047287113269250</v>
      </c>
      <c r="B410" t="s">
        <v>15</v>
      </c>
      <c r="C410" s="2">
        <v>44887.563449074078</v>
      </c>
      <c r="D410">
        <v>0</v>
      </c>
      <c r="E410">
        <v>12</v>
      </c>
      <c r="F410" t="s">
        <v>16</v>
      </c>
      <c r="G410" t="s">
        <v>458</v>
      </c>
      <c r="H410" t="str">
        <f>HYPERLINK("https://video.twimg.com/ext_tw_video/1595040963562536961/pu/vid/1280x720/02raS1juYXQ2LOhB.mp4?tag=12", "https://video.twimg.com/ext_tw_video/1595040963562536961/pu/vid/1280x720/02raS1juYXQ2LOhB.mp4?tag=12")</f>
        <v>https://video.twimg.com/ext_tw_video/1595040963562536961/pu/vid/1280x720/02raS1juYXQ2LOhB.mp4?tag=12</v>
      </c>
      <c r="L410">
        <v>0</v>
      </c>
      <c r="M410">
        <v>0</v>
      </c>
      <c r="N410">
        <v>1</v>
      </c>
      <c r="O410">
        <v>0</v>
      </c>
    </row>
    <row r="411" spans="1:15" x14ac:dyDescent="0.2">
      <c r="A411" s="1" t="str">
        <f>HYPERLINK("http://www.twitter.com/banuakdenizli/status/1595047247045341184", "1595047247045341184")</f>
        <v>1595047247045341184</v>
      </c>
      <c r="B411" t="s">
        <v>15</v>
      </c>
      <c r="C411" s="2">
        <v>44887.563333333332</v>
      </c>
      <c r="D411">
        <v>0</v>
      </c>
      <c r="E411">
        <v>15</v>
      </c>
      <c r="F411" t="s">
        <v>16</v>
      </c>
      <c r="G411" t="s">
        <v>459</v>
      </c>
      <c r="H411" t="str">
        <f>HYPERLINK("https://video.twimg.com/ext_tw_video/1595041593849008130/pu/vid/1280x720/rOpWoFfAxd2KqBs2.mp4?tag=12", "https://video.twimg.com/ext_tw_video/1595041593849008130/pu/vid/1280x720/rOpWoFfAxd2KqBs2.mp4?tag=12")</f>
        <v>https://video.twimg.com/ext_tw_video/1595041593849008130/pu/vid/1280x720/rOpWoFfAxd2KqBs2.mp4?tag=12</v>
      </c>
      <c r="L411">
        <v>0</v>
      </c>
      <c r="M411">
        <v>0</v>
      </c>
      <c r="N411">
        <v>1</v>
      </c>
      <c r="O411">
        <v>0</v>
      </c>
    </row>
    <row r="412" spans="1:15" x14ac:dyDescent="0.2">
      <c r="A412" s="1" t="str">
        <f>HYPERLINK("http://www.twitter.com/banuakdenizli/status/1595047225616470017", "1595047225616470017")</f>
        <v>1595047225616470017</v>
      </c>
      <c r="B412" t="s">
        <v>15</v>
      </c>
      <c r="C412" s="2">
        <v>44887.563275462962</v>
      </c>
      <c r="D412">
        <v>0</v>
      </c>
      <c r="E412">
        <v>16</v>
      </c>
      <c r="F412" t="s">
        <v>16</v>
      </c>
      <c r="G412" t="s">
        <v>460</v>
      </c>
      <c r="H412" t="str">
        <f>HYPERLINK("https://video.twimg.com/ext_tw_video/1595042171912175622/pu/vid/1280x720/Y_742EiObHF5EDXV.mp4?tag=12", "https://video.twimg.com/ext_tw_video/1595042171912175622/pu/vid/1280x720/Y_742EiObHF5EDXV.mp4?tag=12")</f>
        <v>https://video.twimg.com/ext_tw_video/1595042171912175622/pu/vid/1280x720/Y_742EiObHF5EDXV.mp4?tag=12</v>
      </c>
      <c r="L412">
        <v>0</v>
      </c>
      <c r="M412">
        <v>0</v>
      </c>
      <c r="N412">
        <v>1</v>
      </c>
      <c r="O412">
        <v>0</v>
      </c>
    </row>
    <row r="413" spans="1:15" x14ac:dyDescent="0.2">
      <c r="A413" s="1" t="str">
        <f>HYPERLINK("http://www.twitter.com/banuakdenizli/status/1595029799478722560", "1595029799478722560")</f>
        <v>1595029799478722560</v>
      </c>
      <c r="B413" t="s">
        <v>15</v>
      </c>
      <c r="C413" s="2">
        <v>44887.515196759261</v>
      </c>
      <c r="D413">
        <v>0</v>
      </c>
      <c r="E413">
        <v>19</v>
      </c>
      <c r="F413" t="s">
        <v>16</v>
      </c>
      <c r="G413" t="s">
        <v>461</v>
      </c>
      <c r="H413" t="str">
        <f>HYPERLINK("http://pbs.twimg.com/media/FiKC9IfXgAAgtXG.jpg", "http://pbs.twimg.com/media/FiKC9IfXgAAgtXG.jpg")</f>
        <v>http://pbs.twimg.com/media/FiKC9IfXgAAgtXG.jpg</v>
      </c>
      <c r="L413">
        <v>0</v>
      </c>
      <c r="M413">
        <v>0</v>
      </c>
      <c r="N413">
        <v>1</v>
      </c>
      <c r="O413">
        <v>0</v>
      </c>
    </row>
    <row r="414" spans="1:15" x14ac:dyDescent="0.2">
      <c r="A414" s="1" t="str">
        <f>HYPERLINK("http://www.twitter.com/banuakdenizli/status/1595029770487664643", "1595029770487664643")</f>
        <v>1595029770487664643</v>
      </c>
      <c r="B414" t="s">
        <v>15</v>
      </c>
      <c r="C414" s="2">
        <v>44887.515115740738</v>
      </c>
      <c r="D414">
        <v>0</v>
      </c>
      <c r="E414">
        <v>5</v>
      </c>
      <c r="F414" t="s">
        <v>17</v>
      </c>
      <c r="G414" t="s">
        <v>462</v>
      </c>
      <c r="H414" t="str">
        <f>HYPERLINK("http://pbs.twimg.com/media/FiKG_48WYAAzPQK.jpg", "http://pbs.twimg.com/media/FiKG_48WYAAzPQK.jpg")</f>
        <v>http://pbs.twimg.com/media/FiKG_48WYAAzPQK.jpg</v>
      </c>
      <c r="L414">
        <v>0</v>
      </c>
      <c r="M414">
        <v>0</v>
      </c>
      <c r="N414">
        <v>1</v>
      </c>
      <c r="O414">
        <v>0</v>
      </c>
    </row>
    <row r="415" spans="1:15" x14ac:dyDescent="0.2">
      <c r="A415" s="1" t="str">
        <f>HYPERLINK("http://www.twitter.com/banuakdenizli/status/1594803668523814913", "1594803668523814913")</f>
        <v>1594803668523814913</v>
      </c>
      <c r="B415" t="s">
        <v>15</v>
      </c>
      <c r="C415" s="2">
        <v>44886.891192129631</v>
      </c>
      <c r="D415">
        <v>0</v>
      </c>
      <c r="E415">
        <v>9</v>
      </c>
      <c r="F415" t="s">
        <v>16</v>
      </c>
      <c r="G415" t="s">
        <v>463</v>
      </c>
      <c r="H415" t="str">
        <f>HYPERLINK("http://pbs.twimg.com/media/FiHascBXkAEN97E.jpg", "http://pbs.twimg.com/media/FiHascBXkAEN97E.jpg")</f>
        <v>http://pbs.twimg.com/media/FiHascBXkAEN97E.jpg</v>
      </c>
      <c r="I415" t="str">
        <f>HYPERLINK("http://pbs.twimg.com/media/FiHasb3WIBkgGRV.jpg", "http://pbs.twimg.com/media/FiHasb3WIBkgGRV.jpg")</f>
        <v>http://pbs.twimg.com/media/FiHasb3WIBkgGRV.jpg</v>
      </c>
      <c r="L415">
        <v>0</v>
      </c>
      <c r="M415">
        <v>0</v>
      </c>
      <c r="N415">
        <v>1</v>
      </c>
      <c r="O415">
        <v>0</v>
      </c>
    </row>
    <row r="416" spans="1:15" x14ac:dyDescent="0.2">
      <c r="A416" s="1" t="str">
        <f>HYPERLINK("http://www.twitter.com/banuakdenizli/status/1594803646688010240", "1594803646688010240")</f>
        <v>1594803646688010240</v>
      </c>
      <c r="B416" t="s">
        <v>15</v>
      </c>
      <c r="C416" s="2">
        <v>44886.891134259262</v>
      </c>
      <c r="D416">
        <v>0</v>
      </c>
      <c r="E416">
        <v>9</v>
      </c>
      <c r="F416" t="s">
        <v>17</v>
      </c>
      <c r="G416" t="s">
        <v>464</v>
      </c>
      <c r="H416" t="str">
        <f>HYPERLINK("http://pbs.twimg.com/media/FiHa1VQXkAYEOdQ.jpg", "http://pbs.twimg.com/media/FiHa1VQXkAYEOdQ.jpg")</f>
        <v>http://pbs.twimg.com/media/FiHa1VQXkAYEOdQ.jpg</v>
      </c>
      <c r="I416" t="str">
        <f>HYPERLINK("http://pbs.twimg.com/media/FiHa1VLXgAAxnEb.jpg", "http://pbs.twimg.com/media/FiHa1VLXgAAxnEb.jpg")</f>
        <v>http://pbs.twimg.com/media/FiHa1VLXgAAxnEb.jpg</v>
      </c>
      <c r="L416">
        <v>0</v>
      </c>
      <c r="M416">
        <v>0</v>
      </c>
      <c r="N416">
        <v>1</v>
      </c>
      <c r="O416">
        <v>0</v>
      </c>
    </row>
    <row r="417" spans="1:15" x14ac:dyDescent="0.2">
      <c r="A417" s="1" t="str">
        <f>HYPERLINK("http://www.twitter.com/banuakdenizli/status/1594715009044869120", "1594715009044869120")</f>
        <v>1594715009044869120</v>
      </c>
      <c r="B417" t="s">
        <v>15</v>
      </c>
      <c r="C417" s="2">
        <v>44886.646539351852</v>
      </c>
      <c r="D417">
        <v>0</v>
      </c>
      <c r="E417">
        <v>115</v>
      </c>
      <c r="F417" t="s">
        <v>28</v>
      </c>
      <c r="G417" t="s">
        <v>465</v>
      </c>
      <c r="L417">
        <v>0</v>
      </c>
      <c r="M417">
        <v>0</v>
      </c>
      <c r="N417">
        <v>1</v>
      </c>
      <c r="O417">
        <v>0</v>
      </c>
    </row>
    <row r="418" spans="1:15" x14ac:dyDescent="0.2">
      <c r="A418" s="1" t="str">
        <f>HYPERLINK("http://www.twitter.com/banuakdenizli/status/1594714270712963074", "1594714270712963074")</f>
        <v>1594714270712963074</v>
      </c>
      <c r="B418" t="s">
        <v>15</v>
      </c>
      <c r="C418" s="2">
        <v>44886.644502314812</v>
      </c>
      <c r="D418">
        <v>0</v>
      </c>
      <c r="E418">
        <v>11</v>
      </c>
      <c r="F418" t="s">
        <v>25</v>
      </c>
      <c r="G418" t="s">
        <v>466</v>
      </c>
      <c r="L418">
        <v>0</v>
      </c>
      <c r="M418">
        <v>0</v>
      </c>
      <c r="N418">
        <v>1</v>
      </c>
      <c r="O418">
        <v>0</v>
      </c>
    </row>
    <row r="419" spans="1:15" x14ac:dyDescent="0.2">
      <c r="A419" s="1" t="str">
        <f>HYPERLINK("http://www.twitter.com/banuakdenizli/status/1594714257127505920", "1594714257127505920")</f>
        <v>1594714257127505920</v>
      </c>
      <c r="B419" t="s">
        <v>15</v>
      </c>
      <c r="C419" s="2">
        <v>44886.644456018519</v>
      </c>
      <c r="D419">
        <v>0</v>
      </c>
      <c r="E419">
        <v>6</v>
      </c>
      <c r="F419" t="s">
        <v>25</v>
      </c>
      <c r="G419" t="s">
        <v>467</v>
      </c>
      <c r="L419">
        <v>0.68079999999999996</v>
      </c>
      <c r="M419">
        <v>0</v>
      </c>
      <c r="N419">
        <v>0.85899999999999999</v>
      </c>
      <c r="O419">
        <v>0.14099999999999999</v>
      </c>
    </row>
    <row r="420" spans="1:15" x14ac:dyDescent="0.2">
      <c r="A420" s="1" t="str">
        <f>HYPERLINK("http://www.twitter.com/banuakdenizli/status/1594690681469009920", "1594690681469009920")</f>
        <v>1594690681469009920</v>
      </c>
      <c r="B420" t="s">
        <v>15</v>
      </c>
      <c r="C420" s="2">
        <v>44886.579409722217</v>
      </c>
      <c r="D420">
        <v>0</v>
      </c>
      <c r="E420">
        <v>5</v>
      </c>
      <c r="F420" t="s">
        <v>25</v>
      </c>
      <c r="G420" t="s">
        <v>468</v>
      </c>
      <c r="L420">
        <v>0</v>
      </c>
      <c r="M420">
        <v>0</v>
      </c>
      <c r="N420">
        <v>1</v>
      </c>
      <c r="O420">
        <v>0</v>
      </c>
    </row>
    <row r="421" spans="1:15" x14ac:dyDescent="0.2">
      <c r="A421" s="1" t="str">
        <f>HYPERLINK("http://www.twitter.com/banuakdenizli/status/1594690644408156162", "1594690644408156162")</f>
        <v>1594690644408156162</v>
      </c>
      <c r="B421" t="s">
        <v>15</v>
      </c>
      <c r="C421" s="2">
        <v>44886.579305555562</v>
      </c>
      <c r="D421">
        <v>0</v>
      </c>
      <c r="E421">
        <v>8</v>
      </c>
      <c r="F421" t="s">
        <v>17</v>
      </c>
      <c r="G421" t="s">
        <v>469</v>
      </c>
      <c r="H421" t="str">
        <f>HYPERLINK("https://video.twimg.com/amplify_video/1594681592374386688/vid/1280x720/YLiLjWPKdBVZes83.mp4?tag=14", "https://video.twimg.com/amplify_video/1594681592374386688/vid/1280x720/YLiLjWPKdBVZes83.mp4?tag=14")</f>
        <v>https://video.twimg.com/amplify_video/1594681592374386688/vid/1280x720/YLiLjWPKdBVZes83.mp4?tag=14</v>
      </c>
      <c r="L421">
        <v>0.69079999999999997</v>
      </c>
      <c r="M421">
        <v>0</v>
      </c>
      <c r="N421">
        <v>0.72499999999999998</v>
      </c>
      <c r="O421">
        <v>0.27500000000000002</v>
      </c>
    </row>
    <row r="422" spans="1:15" x14ac:dyDescent="0.2">
      <c r="A422" s="1" t="str">
        <f>HYPERLINK("http://www.twitter.com/banuakdenizli/status/1594690616939757570", "1594690616939757570")</f>
        <v>1594690616939757570</v>
      </c>
      <c r="B422" t="s">
        <v>15</v>
      </c>
      <c r="C422" s="2">
        <v>44886.579224537039</v>
      </c>
      <c r="D422">
        <v>0</v>
      </c>
      <c r="E422">
        <v>8</v>
      </c>
      <c r="F422" t="s">
        <v>17</v>
      </c>
      <c r="G422" t="s">
        <v>470</v>
      </c>
      <c r="H422" t="str">
        <f>HYPERLINK("http://pbs.twimg.com/media/FiF3G8vWAAIg3VR.jpg", "http://pbs.twimg.com/media/FiF3G8vWAAIg3VR.jpg")</f>
        <v>http://pbs.twimg.com/media/FiF3G8vWAAIg3VR.jpg</v>
      </c>
      <c r="L422">
        <v>0</v>
      </c>
      <c r="M422">
        <v>0</v>
      </c>
      <c r="N422">
        <v>1</v>
      </c>
      <c r="O422">
        <v>0</v>
      </c>
    </row>
    <row r="423" spans="1:15" x14ac:dyDescent="0.2">
      <c r="A423" s="1" t="str">
        <f>HYPERLINK("http://www.twitter.com/banuakdenizli/status/1594685332657942530", "1594685332657942530")</f>
        <v>1594685332657942530</v>
      </c>
      <c r="B423" t="s">
        <v>15</v>
      </c>
      <c r="C423" s="2">
        <v>44886.564641203702</v>
      </c>
      <c r="D423">
        <v>0</v>
      </c>
      <c r="E423">
        <v>3</v>
      </c>
      <c r="F423" t="s">
        <v>17</v>
      </c>
      <c r="G423" t="s">
        <v>471</v>
      </c>
      <c r="H423" t="str">
        <f>HYPERLINK("http://pbs.twimg.com/media/FiFQDRpXEAA6qhe.jpg", "http://pbs.twimg.com/media/FiFQDRpXEAA6qhe.jpg")</f>
        <v>http://pbs.twimg.com/media/FiFQDRpXEAA6qhe.jpg</v>
      </c>
      <c r="L423">
        <v>0</v>
      </c>
      <c r="M423">
        <v>0</v>
      </c>
      <c r="N423">
        <v>1</v>
      </c>
      <c r="O423">
        <v>0</v>
      </c>
    </row>
    <row r="424" spans="1:15" x14ac:dyDescent="0.2">
      <c r="A424" s="1" t="str">
        <f>HYPERLINK("http://www.twitter.com/banuakdenizli/status/1594684730423009282", "1594684730423009282")</f>
        <v>1594684730423009282</v>
      </c>
      <c r="B424" t="s">
        <v>15</v>
      </c>
      <c r="C424" s="2">
        <v>44886.562986111108</v>
      </c>
      <c r="D424">
        <v>0</v>
      </c>
      <c r="E424">
        <v>5</v>
      </c>
      <c r="F424" t="s">
        <v>16</v>
      </c>
      <c r="G424" t="s">
        <v>472</v>
      </c>
      <c r="H424" t="str">
        <f>HYPERLINK("https://video.twimg.com/amplify_video/1594674680715415552/vid/1280x720/yXID4GMqCl3Ibhg-.mp4?tag=14", "https://video.twimg.com/amplify_video/1594674680715415552/vid/1280x720/yXID4GMqCl3Ibhg-.mp4?tag=14")</f>
        <v>https://video.twimg.com/amplify_video/1594674680715415552/vid/1280x720/yXID4GMqCl3Ibhg-.mp4?tag=14</v>
      </c>
      <c r="L424">
        <v>0</v>
      </c>
      <c r="M424">
        <v>0</v>
      </c>
      <c r="N424">
        <v>1</v>
      </c>
      <c r="O424">
        <v>0</v>
      </c>
    </row>
    <row r="425" spans="1:15" x14ac:dyDescent="0.2">
      <c r="A425" s="1" t="str">
        <f>HYPERLINK("http://www.twitter.com/banuakdenizli/status/1594684697983983618", "1594684697983983618")</f>
        <v>1594684697983983618</v>
      </c>
      <c r="B425" t="s">
        <v>15</v>
      </c>
      <c r="C425" s="2">
        <v>44886.562893518523</v>
      </c>
      <c r="D425">
        <v>0</v>
      </c>
      <c r="E425">
        <v>10</v>
      </c>
      <c r="F425" t="s">
        <v>25</v>
      </c>
      <c r="G425" t="s">
        <v>473</v>
      </c>
      <c r="L425">
        <v>0</v>
      </c>
      <c r="M425">
        <v>0</v>
      </c>
      <c r="N425">
        <v>1</v>
      </c>
      <c r="O425">
        <v>0</v>
      </c>
    </row>
    <row r="426" spans="1:15" x14ac:dyDescent="0.2">
      <c r="A426" s="1" t="str">
        <f>HYPERLINK("http://www.twitter.com/banuakdenizli/status/1594676638788292608", "1594676638788292608")</f>
        <v>1594676638788292608</v>
      </c>
      <c r="B426" t="s">
        <v>15</v>
      </c>
      <c r="C426" s="2">
        <v>44886.540659722217</v>
      </c>
      <c r="D426">
        <v>0</v>
      </c>
      <c r="E426">
        <v>26</v>
      </c>
      <c r="F426" t="s">
        <v>18</v>
      </c>
      <c r="G426" t="s">
        <v>474</v>
      </c>
      <c r="L426">
        <v>0.63690000000000002</v>
      </c>
      <c r="M426">
        <v>0</v>
      </c>
      <c r="N426">
        <v>0.88500000000000001</v>
      </c>
      <c r="O426">
        <v>0.115</v>
      </c>
    </row>
    <row r="427" spans="1:15" x14ac:dyDescent="0.2">
      <c r="A427" s="1" t="str">
        <f>HYPERLINK("http://www.twitter.com/banuakdenizli/status/1594676619847032837", "1594676619847032837")</f>
        <v>1594676619847032837</v>
      </c>
      <c r="B427" t="s">
        <v>15</v>
      </c>
      <c r="C427" s="2">
        <v>44886.540601851862</v>
      </c>
      <c r="D427">
        <v>0</v>
      </c>
      <c r="E427">
        <v>34</v>
      </c>
      <c r="F427" t="s">
        <v>18</v>
      </c>
      <c r="G427" t="s">
        <v>475</v>
      </c>
      <c r="H427" t="str">
        <f>HYPERLINK("http://pbs.twimg.com/media/FiFnEd3XgAsNYaD.jpg", "http://pbs.twimg.com/media/FiFnEd3XgAsNYaD.jpg")</f>
        <v>http://pbs.twimg.com/media/FiFnEd3XgAsNYaD.jpg</v>
      </c>
      <c r="L427">
        <v>0.94320000000000004</v>
      </c>
      <c r="M427">
        <v>0</v>
      </c>
      <c r="N427">
        <v>0.67300000000000004</v>
      </c>
      <c r="O427">
        <v>0.32700000000000001</v>
      </c>
    </row>
    <row r="428" spans="1:15" x14ac:dyDescent="0.2">
      <c r="A428" s="1" t="str">
        <f>HYPERLINK("http://www.twitter.com/banuakdenizli/status/1594675416299601921", "1594675416299601921")</f>
        <v>1594675416299601921</v>
      </c>
      <c r="B428" t="s">
        <v>15</v>
      </c>
      <c r="C428" s="2">
        <v>44886.537280092591</v>
      </c>
      <c r="D428">
        <v>0</v>
      </c>
      <c r="E428">
        <v>43</v>
      </c>
      <c r="F428" t="s">
        <v>18</v>
      </c>
      <c r="G428" t="s">
        <v>476</v>
      </c>
      <c r="H428" t="str">
        <f>HYPERLINK("http://pbs.twimg.com/media/FiFgu7-XEAE10uB.jpg", "http://pbs.twimg.com/media/FiFgu7-XEAE10uB.jpg")</f>
        <v>http://pbs.twimg.com/media/FiFgu7-XEAE10uB.jpg</v>
      </c>
      <c r="L428">
        <v>0</v>
      </c>
      <c r="M428">
        <v>0</v>
      </c>
      <c r="N428">
        <v>1</v>
      </c>
      <c r="O428">
        <v>0</v>
      </c>
    </row>
    <row r="429" spans="1:15" x14ac:dyDescent="0.2">
      <c r="A429" s="1" t="str">
        <f>HYPERLINK("http://www.twitter.com/banuakdenizli/status/1594674857345798144", "1594674857345798144")</f>
        <v>1594674857345798144</v>
      </c>
      <c r="B429" t="s">
        <v>15</v>
      </c>
      <c r="C429" s="2">
        <v>44886.535740740743</v>
      </c>
      <c r="D429">
        <v>0</v>
      </c>
      <c r="E429">
        <v>8</v>
      </c>
      <c r="F429" t="s">
        <v>16</v>
      </c>
      <c r="G429" t="s">
        <v>477</v>
      </c>
      <c r="H429" t="str">
        <f>HYPERLINK("http://pbs.twimg.com/media/FiFMXLRXwAAcl_V.jpg", "http://pbs.twimg.com/media/FiFMXLRXwAAcl_V.jpg")</f>
        <v>http://pbs.twimg.com/media/FiFMXLRXwAAcl_V.jpg</v>
      </c>
      <c r="L429">
        <v>0</v>
      </c>
      <c r="M429">
        <v>0</v>
      </c>
      <c r="N429">
        <v>1</v>
      </c>
      <c r="O429">
        <v>0</v>
      </c>
    </row>
    <row r="430" spans="1:15" x14ac:dyDescent="0.2">
      <c r="A430" s="1" t="str">
        <f>HYPERLINK("http://www.twitter.com/banuakdenizli/status/1594674811682308097", "1594674811682308097")</f>
        <v>1594674811682308097</v>
      </c>
      <c r="B430" t="s">
        <v>15</v>
      </c>
      <c r="C430" s="2">
        <v>44886.535613425927</v>
      </c>
      <c r="D430">
        <v>0</v>
      </c>
      <c r="E430">
        <v>50</v>
      </c>
      <c r="F430" t="s">
        <v>18</v>
      </c>
      <c r="G430" t="s">
        <v>478</v>
      </c>
      <c r="L430">
        <v>0</v>
      </c>
      <c r="M430">
        <v>0</v>
      </c>
      <c r="N430">
        <v>1</v>
      </c>
      <c r="O430">
        <v>0</v>
      </c>
    </row>
    <row r="431" spans="1:15" x14ac:dyDescent="0.2">
      <c r="A431" s="1" t="str">
        <f>HYPERLINK("http://www.twitter.com/banuakdenizli/status/1594674788588552193", "1594674788588552193")</f>
        <v>1594674788588552193</v>
      </c>
      <c r="B431" t="s">
        <v>15</v>
      </c>
      <c r="C431" s="2">
        <v>44886.535543981481</v>
      </c>
      <c r="D431">
        <v>0</v>
      </c>
      <c r="E431">
        <v>8</v>
      </c>
      <c r="F431" t="s">
        <v>16</v>
      </c>
      <c r="G431" t="s">
        <v>479</v>
      </c>
      <c r="H431" t="str">
        <f>HYPERLINK("http://pbs.twimg.com/media/FiFaNuGWQAQi2xX.jpg", "http://pbs.twimg.com/media/FiFaNuGWQAQi2xX.jpg")</f>
        <v>http://pbs.twimg.com/media/FiFaNuGWQAQi2xX.jpg</v>
      </c>
      <c r="L431">
        <v>0</v>
      </c>
      <c r="M431">
        <v>0</v>
      </c>
      <c r="N431">
        <v>1</v>
      </c>
      <c r="O431">
        <v>0</v>
      </c>
    </row>
    <row r="432" spans="1:15" x14ac:dyDescent="0.2">
      <c r="A432" s="1" t="str">
        <f>HYPERLINK("http://www.twitter.com/banuakdenizli/status/1594651540261945344", "1594651540261945344")</f>
        <v>1594651540261945344</v>
      </c>
      <c r="B432" t="s">
        <v>15</v>
      </c>
      <c r="C432" s="2">
        <v>44886.471400462957</v>
      </c>
      <c r="D432">
        <v>0</v>
      </c>
      <c r="E432">
        <v>6</v>
      </c>
      <c r="F432" t="s">
        <v>17</v>
      </c>
      <c r="G432" t="s">
        <v>480</v>
      </c>
      <c r="H432" t="str">
        <f>HYPERLINK("http://pbs.twimg.com/media/FiFQyB0XgAAJwAJ.jpg", "http://pbs.twimg.com/media/FiFQyB0XgAAJwAJ.jpg")</f>
        <v>http://pbs.twimg.com/media/FiFQyB0XgAAJwAJ.jpg</v>
      </c>
      <c r="L432">
        <v>0</v>
      </c>
      <c r="M432">
        <v>0</v>
      </c>
      <c r="N432">
        <v>1</v>
      </c>
      <c r="O432">
        <v>0</v>
      </c>
    </row>
    <row r="433" spans="1:15" x14ac:dyDescent="0.2">
      <c r="A433" s="1" t="str">
        <f>HYPERLINK("http://www.twitter.com/banuakdenizli/status/1594424183907155968", "1594424183907155968")</f>
        <v>1594424183907155968</v>
      </c>
      <c r="B433" t="s">
        <v>15</v>
      </c>
      <c r="C433" s="2">
        <v>44885.8440162037</v>
      </c>
      <c r="D433">
        <v>0</v>
      </c>
      <c r="E433">
        <v>21</v>
      </c>
      <c r="F433" t="s">
        <v>51</v>
      </c>
      <c r="G433" t="s">
        <v>481</v>
      </c>
      <c r="H433" t="str">
        <f>HYPERLINK("http://pbs.twimg.com/media/FiCDR0oXgAM-gdP.jpg", "http://pbs.twimg.com/media/FiCDR0oXgAM-gdP.jpg")</f>
        <v>http://pbs.twimg.com/media/FiCDR0oXgAM-gdP.jpg</v>
      </c>
      <c r="I433" t="str">
        <f>HYPERLINK("http://pbs.twimg.com/media/FiCDR2fXkAAS3pb.jpg", "http://pbs.twimg.com/media/FiCDR2fXkAAS3pb.jpg")</f>
        <v>http://pbs.twimg.com/media/FiCDR2fXkAAS3pb.jpg</v>
      </c>
      <c r="J433" t="str">
        <f>HYPERLINK("http://pbs.twimg.com/media/FiCDR0pXwAMbrSb.jpg", "http://pbs.twimg.com/media/FiCDR0pXwAMbrSb.jpg")</f>
        <v>http://pbs.twimg.com/media/FiCDR0pXwAMbrSb.jpg</v>
      </c>
      <c r="K433" t="str">
        <f>HYPERLINK("http://pbs.twimg.com/media/FiCDR0lXgAM3ZRh.jpg", "http://pbs.twimg.com/media/FiCDR0lXgAM3ZRh.jpg")</f>
        <v>http://pbs.twimg.com/media/FiCDR0lXgAM3ZRh.jpg</v>
      </c>
      <c r="L433">
        <v>0</v>
      </c>
      <c r="M433">
        <v>0</v>
      </c>
      <c r="N433">
        <v>1</v>
      </c>
      <c r="O433">
        <v>0</v>
      </c>
    </row>
    <row r="434" spans="1:15" x14ac:dyDescent="0.2">
      <c r="A434" s="1" t="str">
        <f>HYPERLINK("http://www.twitter.com/banuakdenizli/status/1594423599355527172", "1594423599355527172")</f>
        <v>1594423599355527172</v>
      </c>
      <c r="B434" t="s">
        <v>15</v>
      </c>
      <c r="C434" s="2">
        <v>44885.842395833337</v>
      </c>
      <c r="D434">
        <v>0</v>
      </c>
      <c r="E434">
        <v>42</v>
      </c>
      <c r="F434" t="s">
        <v>25</v>
      </c>
      <c r="G434" t="s">
        <v>482</v>
      </c>
      <c r="L434">
        <v>0</v>
      </c>
      <c r="M434">
        <v>0</v>
      </c>
      <c r="N434">
        <v>1</v>
      </c>
      <c r="O434">
        <v>0</v>
      </c>
    </row>
    <row r="435" spans="1:15" x14ac:dyDescent="0.2">
      <c r="A435" s="1" t="str">
        <f>HYPERLINK("http://www.twitter.com/banuakdenizli/status/1594413366428270592", "1594413366428270592")</f>
        <v>1594413366428270592</v>
      </c>
      <c r="B435" t="s">
        <v>15</v>
      </c>
      <c r="C435" s="2">
        <v>44885.814155092587</v>
      </c>
      <c r="D435">
        <v>0</v>
      </c>
      <c r="E435">
        <v>141</v>
      </c>
      <c r="F435" t="s">
        <v>28</v>
      </c>
      <c r="G435" t="s">
        <v>483</v>
      </c>
      <c r="H435" t="str">
        <f>HYPERLINK("http://pbs.twimg.com/media/FiBoyzHXkAIAlLY.jpg", "http://pbs.twimg.com/media/FiBoyzHXkAIAlLY.jpg")</f>
        <v>http://pbs.twimg.com/media/FiBoyzHXkAIAlLY.jpg</v>
      </c>
      <c r="I435" t="str">
        <f>HYPERLINK("http://pbs.twimg.com/media/FiBoyzGXoAAcvhJ.jpg", "http://pbs.twimg.com/media/FiBoyzGXoAAcvhJ.jpg")</f>
        <v>http://pbs.twimg.com/media/FiBoyzGXoAAcvhJ.jpg</v>
      </c>
      <c r="J435" t="str">
        <f>HYPERLINK("http://pbs.twimg.com/media/FiBoyzJXgAAoNgA.jpg", "http://pbs.twimg.com/media/FiBoyzJXgAAoNgA.jpg")</f>
        <v>http://pbs.twimg.com/media/FiBoyzJXgAAoNgA.jpg</v>
      </c>
      <c r="K435" t="str">
        <f>HYPERLINK("http://pbs.twimg.com/media/FiBoyzDWQAE7zr-.jpg", "http://pbs.twimg.com/media/FiBoyzDWQAE7zr-.jpg")</f>
        <v>http://pbs.twimg.com/media/FiBoyzDWQAE7zr-.jpg</v>
      </c>
      <c r="L435">
        <v>0</v>
      </c>
      <c r="M435">
        <v>0</v>
      </c>
      <c r="N435">
        <v>1</v>
      </c>
      <c r="O435">
        <v>0</v>
      </c>
    </row>
    <row r="436" spans="1:15" x14ac:dyDescent="0.2">
      <c r="A436" s="1" t="str">
        <f>HYPERLINK("http://www.twitter.com/banuakdenizli/status/1594413354386587650", "1594413354386587650")</f>
        <v>1594413354386587650</v>
      </c>
      <c r="B436" t="s">
        <v>15</v>
      </c>
      <c r="C436" s="2">
        <v>44885.814131944448</v>
      </c>
      <c r="D436">
        <v>0</v>
      </c>
      <c r="E436">
        <v>11495</v>
      </c>
      <c r="F436" t="s">
        <v>27</v>
      </c>
      <c r="G436" t="s">
        <v>484</v>
      </c>
      <c r="H436" t="str">
        <f>HYPERLINK("http://pbs.twimg.com/media/FiBxWObWIAE8gpl.jpg", "http://pbs.twimg.com/media/FiBxWObWIAE8gpl.jpg")</f>
        <v>http://pbs.twimg.com/media/FiBxWObWIAE8gpl.jpg</v>
      </c>
      <c r="I436" t="str">
        <f>HYPERLINK("http://pbs.twimg.com/media/FiBxWOcXwAwOB1Z.jpg", "http://pbs.twimg.com/media/FiBxWOcXwAwOB1Z.jpg")</f>
        <v>http://pbs.twimg.com/media/FiBxWOcXwAwOB1Z.jpg</v>
      </c>
      <c r="L436">
        <v>0</v>
      </c>
      <c r="M436">
        <v>0</v>
      </c>
      <c r="N436">
        <v>1</v>
      </c>
      <c r="O436">
        <v>0</v>
      </c>
    </row>
    <row r="437" spans="1:15" x14ac:dyDescent="0.2">
      <c r="A437" s="1" t="str">
        <f>HYPERLINK("http://www.twitter.com/banuakdenizli/status/1594375061175238661", "1594375061175238661")</f>
        <v>1594375061175238661</v>
      </c>
      <c r="B437" t="s">
        <v>15</v>
      </c>
      <c r="C437" s="2">
        <v>44885.708460648151</v>
      </c>
      <c r="D437">
        <v>0</v>
      </c>
      <c r="E437">
        <v>45</v>
      </c>
      <c r="F437" t="s">
        <v>28</v>
      </c>
      <c r="G437" t="s">
        <v>485</v>
      </c>
      <c r="H437" t="str">
        <f>HYPERLINK("http://pbs.twimg.com/media/FiBZ6BoWYAA_vCn.jpg", "http://pbs.twimg.com/media/FiBZ6BoWYAA_vCn.jpg")</f>
        <v>http://pbs.twimg.com/media/FiBZ6BoWYAA_vCn.jpg</v>
      </c>
      <c r="I437" t="str">
        <f>HYPERLINK("http://pbs.twimg.com/media/FiBZ5_kWQAAbPZW.jpg", "http://pbs.twimg.com/media/FiBZ5_kWQAAbPZW.jpg")</f>
        <v>http://pbs.twimg.com/media/FiBZ5_kWQAAbPZW.jpg</v>
      </c>
      <c r="J437" t="str">
        <f>HYPERLINK("http://pbs.twimg.com/media/FiBZ5_iX0AEaWL5.jpg", "http://pbs.twimg.com/media/FiBZ5_iX0AEaWL5.jpg")</f>
        <v>http://pbs.twimg.com/media/FiBZ5_iX0AEaWL5.jpg</v>
      </c>
      <c r="K437" t="str">
        <f>HYPERLINK("http://pbs.twimg.com/media/FiBZ6BhXgA0JqVn.jpg", "http://pbs.twimg.com/media/FiBZ6BhXgA0JqVn.jpg")</f>
        <v>http://pbs.twimg.com/media/FiBZ6BhXgA0JqVn.jpg</v>
      </c>
      <c r="L437">
        <v>0</v>
      </c>
      <c r="M437">
        <v>0</v>
      </c>
      <c r="N437">
        <v>1</v>
      </c>
      <c r="O437">
        <v>0</v>
      </c>
    </row>
    <row r="438" spans="1:15" x14ac:dyDescent="0.2">
      <c r="A438" s="1" t="str">
        <f>HYPERLINK("http://www.twitter.com/banuakdenizli/status/1594375051612241921", "1594375051612241921")</f>
        <v>1594375051612241921</v>
      </c>
      <c r="B438" t="s">
        <v>15</v>
      </c>
      <c r="C438" s="2">
        <v>44885.708437499998</v>
      </c>
      <c r="D438">
        <v>0</v>
      </c>
      <c r="E438">
        <v>50</v>
      </c>
      <c r="F438" t="s">
        <v>28</v>
      </c>
      <c r="G438" t="s">
        <v>486</v>
      </c>
      <c r="H438" t="str">
        <f>HYPERLINK("http://pbs.twimg.com/media/FiBZ4iiWAAAy8lx.jpg", "http://pbs.twimg.com/media/FiBZ4iiWAAAy8lx.jpg")</f>
        <v>http://pbs.twimg.com/media/FiBZ4iiWAAAy8lx.jpg</v>
      </c>
      <c r="I438" t="str">
        <f>HYPERLINK("http://pbs.twimg.com/media/FiBZ4krXEAEVhzi.jpg", "http://pbs.twimg.com/media/FiBZ4krXEAEVhzi.jpg")</f>
        <v>http://pbs.twimg.com/media/FiBZ4krXEAEVhzi.jpg</v>
      </c>
      <c r="J438" t="str">
        <f>HYPERLINK("http://pbs.twimg.com/media/FiBZ4ktXkAEpv1t.jpg", "http://pbs.twimg.com/media/FiBZ4ktXkAEpv1t.jpg")</f>
        <v>http://pbs.twimg.com/media/FiBZ4ktXkAEpv1t.jpg</v>
      </c>
      <c r="K438" t="str">
        <f>HYPERLINK("http://pbs.twimg.com/media/FiBZ4koX0AAh4g6.jpg", "http://pbs.twimg.com/media/FiBZ4koX0AAh4g6.jpg")</f>
        <v>http://pbs.twimg.com/media/FiBZ4koX0AAh4g6.jpg</v>
      </c>
      <c r="L438">
        <v>0</v>
      </c>
      <c r="M438">
        <v>0</v>
      </c>
      <c r="N438">
        <v>1</v>
      </c>
      <c r="O438">
        <v>0</v>
      </c>
    </row>
    <row r="439" spans="1:15" x14ac:dyDescent="0.2">
      <c r="A439" s="1" t="str">
        <f>HYPERLINK("http://www.twitter.com/banuakdenizli/status/1594375042380480515", "1594375042380480515")</f>
        <v>1594375042380480515</v>
      </c>
      <c r="B439" t="s">
        <v>15</v>
      </c>
      <c r="C439" s="2">
        <v>44885.708402777767</v>
      </c>
      <c r="D439">
        <v>0</v>
      </c>
      <c r="E439">
        <v>89</v>
      </c>
      <c r="F439" t="s">
        <v>28</v>
      </c>
      <c r="G439" t="s">
        <v>487</v>
      </c>
      <c r="H439" t="str">
        <f>HYPERLINK("http://pbs.twimg.com/media/FiBZ1U-XkAAd_lV.jpg", "http://pbs.twimg.com/media/FiBZ1U-XkAAd_lV.jpg")</f>
        <v>http://pbs.twimg.com/media/FiBZ1U-XkAAd_lV.jpg</v>
      </c>
      <c r="I439" t="str">
        <f>HYPERLINK("http://pbs.twimg.com/media/FiBZ1VBXkAEWL5W.jpg", "http://pbs.twimg.com/media/FiBZ1VBXkAEWL5W.jpg")</f>
        <v>http://pbs.twimg.com/media/FiBZ1VBXkAEWL5W.jpg</v>
      </c>
      <c r="J439" t="str">
        <f>HYPERLINK("http://pbs.twimg.com/media/FiBZ1U7WAAE8Agq.jpg", "http://pbs.twimg.com/media/FiBZ1U7WAAE8Agq.jpg")</f>
        <v>http://pbs.twimg.com/media/FiBZ1U7WAAE8Agq.jpg</v>
      </c>
      <c r="K439" t="str">
        <f>HYPERLINK("http://pbs.twimg.com/media/FiBZ1VCXoAAuJGX.jpg", "http://pbs.twimg.com/media/FiBZ1VCXoAAuJGX.jpg")</f>
        <v>http://pbs.twimg.com/media/FiBZ1VCXoAAuJGX.jpg</v>
      </c>
      <c r="L439">
        <v>0</v>
      </c>
      <c r="M439">
        <v>0</v>
      </c>
      <c r="N439">
        <v>1</v>
      </c>
      <c r="O439">
        <v>0</v>
      </c>
    </row>
    <row r="440" spans="1:15" x14ac:dyDescent="0.2">
      <c r="A440" s="1" t="str">
        <f>HYPERLINK("http://www.twitter.com/banuakdenizli/status/1594336377730002944", "1594336377730002944")</f>
        <v>1594336377730002944</v>
      </c>
      <c r="B440" t="s">
        <v>15</v>
      </c>
      <c r="C440" s="2">
        <v>44885.601712962962</v>
      </c>
      <c r="D440">
        <v>0</v>
      </c>
      <c r="E440">
        <v>79</v>
      </c>
      <c r="F440" t="s">
        <v>28</v>
      </c>
      <c r="G440" t="s">
        <v>488</v>
      </c>
      <c r="H440" t="str">
        <f>HYPERLINK("http://pbs.twimg.com/media/FiAY_xCX0AEFgQ2.jpg", "http://pbs.twimg.com/media/FiAY_xCX0AEFgQ2.jpg")</f>
        <v>http://pbs.twimg.com/media/FiAY_xCX0AEFgQ2.jpg</v>
      </c>
      <c r="I440" t="str">
        <f>HYPERLINK("http://pbs.twimg.com/media/FiAY_xFXwAETsc7.jpg", "http://pbs.twimg.com/media/FiAY_xFXwAETsc7.jpg")</f>
        <v>http://pbs.twimg.com/media/FiAY_xFXwAETsc7.jpg</v>
      </c>
      <c r="L440">
        <v>0</v>
      </c>
      <c r="M440">
        <v>0</v>
      </c>
      <c r="N440">
        <v>1</v>
      </c>
      <c r="O440">
        <v>0</v>
      </c>
    </row>
    <row r="441" spans="1:15" x14ac:dyDescent="0.2">
      <c r="A441" s="1" t="str">
        <f>HYPERLINK("http://www.twitter.com/banuakdenizli/status/1594336281785683968", "1594336281785683968")</f>
        <v>1594336281785683968</v>
      </c>
      <c r="B441" t="s">
        <v>15</v>
      </c>
      <c r="C441" s="2">
        <v>44885.601446759261</v>
      </c>
      <c r="D441">
        <v>0</v>
      </c>
      <c r="E441">
        <v>62</v>
      </c>
      <c r="F441" t="s">
        <v>28</v>
      </c>
      <c r="G441" t="s">
        <v>489</v>
      </c>
      <c r="H441" t="str">
        <f>HYPERLINK("http://pbs.twimg.com/media/FiAi1LsWIAEsVqW.jpg", "http://pbs.twimg.com/media/FiAi1LsWIAEsVqW.jpg")</f>
        <v>http://pbs.twimg.com/media/FiAi1LsWIAEsVqW.jpg</v>
      </c>
      <c r="I441" t="str">
        <f>HYPERLINK("http://pbs.twimg.com/media/FiAi1LuWIAEjK0f.jpg", "http://pbs.twimg.com/media/FiAi1LuWIAEjK0f.jpg")</f>
        <v>http://pbs.twimg.com/media/FiAi1LuWIAEjK0f.jpg</v>
      </c>
      <c r="L441">
        <v>0</v>
      </c>
      <c r="M441">
        <v>0</v>
      </c>
      <c r="N441">
        <v>1</v>
      </c>
      <c r="O441">
        <v>0</v>
      </c>
    </row>
    <row r="442" spans="1:15" x14ac:dyDescent="0.2">
      <c r="A442" s="1" t="str">
        <f>HYPERLINK("http://www.twitter.com/banuakdenizli/status/1594336110129602560", "1594336110129602560")</f>
        <v>1594336110129602560</v>
      </c>
      <c r="B442" t="s">
        <v>15</v>
      </c>
      <c r="C442" s="2">
        <v>44885.600972222222</v>
      </c>
      <c r="D442">
        <v>0</v>
      </c>
      <c r="E442">
        <v>10</v>
      </c>
      <c r="F442" t="s">
        <v>26</v>
      </c>
      <c r="G442" t="s">
        <v>490</v>
      </c>
      <c r="H442" t="str">
        <f>HYPERLINK("http://pbs.twimg.com/media/FiAWca4XgAECGFa.jpg", "http://pbs.twimg.com/media/FiAWca4XgAECGFa.jpg")</f>
        <v>http://pbs.twimg.com/media/FiAWca4XgAECGFa.jpg</v>
      </c>
      <c r="L442">
        <v>0</v>
      </c>
      <c r="M442">
        <v>0</v>
      </c>
      <c r="N442">
        <v>1</v>
      </c>
      <c r="O442">
        <v>0</v>
      </c>
    </row>
    <row r="443" spans="1:15" x14ac:dyDescent="0.2">
      <c r="A443" s="1" t="str">
        <f>HYPERLINK("http://www.twitter.com/banuakdenizli/status/1594336086473728001", "1594336086473728001")</f>
        <v>1594336086473728001</v>
      </c>
      <c r="B443" t="s">
        <v>15</v>
      </c>
      <c r="C443" s="2">
        <v>44885.600914351853</v>
      </c>
      <c r="D443">
        <v>0</v>
      </c>
      <c r="E443">
        <v>36</v>
      </c>
      <c r="F443" t="s">
        <v>18</v>
      </c>
      <c r="G443" t="s">
        <v>491</v>
      </c>
      <c r="H443" t="str">
        <f>HYPERLINK("http://pbs.twimg.com/media/FiAMBIWXoAEgyy_.jpg", "http://pbs.twimg.com/media/FiAMBIWXoAEgyy_.jpg")</f>
        <v>http://pbs.twimg.com/media/FiAMBIWXoAEgyy_.jpg</v>
      </c>
      <c r="L443">
        <v>0</v>
      </c>
      <c r="M443">
        <v>0</v>
      </c>
      <c r="N443">
        <v>1</v>
      </c>
      <c r="O443">
        <v>0</v>
      </c>
    </row>
    <row r="444" spans="1:15" x14ac:dyDescent="0.2">
      <c r="A444" s="1" t="str">
        <f>HYPERLINK("http://www.twitter.com/banuakdenizli/status/1594336074800812033", "1594336074800812033")</f>
        <v>1594336074800812033</v>
      </c>
      <c r="B444" t="s">
        <v>15</v>
      </c>
      <c r="C444" s="2">
        <v>44885.60087962963</v>
      </c>
      <c r="D444">
        <v>0</v>
      </c>
      <c r="E444">
        <v>7</v>
      </c>
      <c r="F444" t="s">
        <v>16</v>
      </c>
      <c r="G444" t="s">
        <v>492</v>
      </c>
      <c r="H444" t="str">
        <f>HYPERLINK("https://video.twimg.com/ext_tw_video/1594311153676599300/pu/vid/1280x720/sVwY9XgIJoS0GsNl.mp4?tag=12", "https://video.twimg.com/ext_tw_video/1594311153676599300/pu/vid/1280x720/sVwY9XgIJoS0GsNl.mp4?tag=12")</f>
        <v>https://video.twimg.com/ext_tw_video/1594311153676599300/pu/vid/1280x720/sVwY9XgIJoS0GsNl.mp4?tag=12</v>
      </c>
      <c r="L444">
        <v>0</v>
      </c>
      <c r="M444">
        <v>0</v>
      </c>
      <c r="N444">
        <v>1</v>
      </c>
      <c r="O444">
        <v>0</v>
      </c>
    </row>
    <row r="445" spans="1:15" x14ac:dyDescent="0.2">
      <c r="A445" s="1" t="str">
        <f>HYPERLINK("http://www.twitter.com/banuakdenizli/status/1594335929636114438", "1594335929636114438")</f>
        <v>1594335929636114438</v>
      </c>
      <c r="B445" t="s">
        <v>15</v>
      </c>
      <c r="C445" s="2">
        <v>44885.600474537037</v>
      </c>
      <c r="D445">
        <v>0</v>
      </c>
      <c r="E445">
        <v>112</v>
      </c>
      <c r="F445" t="s">
        <v>28</v>
      </c>
      <c r="G445" t="s">
        <v>493</v>
      </c>
      <c r="H445" t="str">
        <f>HYPERLINK("http://pbs.twimg.com/media/FiAP_cdWQAAgnVj.jpg", "http://pbs.twimg.com/media/FiAP_cdWQAAgnVj.jpg")</f>
        <v>http://pbs.twimg.com/media/FiAP_cdWQAAgnVj.jpg</v>
      </c>
      <c r="I445" t="str">
        <f>HYPERLINK("http://pbs.twimg.com/media/FiAP_clX0AAjjf_.jpg", "http://pbs.twimg.com/media/FiAP_clX0AAjjf_.jpg")</f>
        <v>http://pbs.twimg.com/media/FiAP_clX0AAjjf_.jpg</v>
      </c>
      <c r="J445" t="str">
        <f>HYPERLINK("http://pbs.twimg.com/media/FiAP_cgXoAIubYE.jpg", "http://pbs.twimg.com/media/FiAP_cgXoAIubYE.jpg")</f>
        <v>http://pbs.twimg.com/media/FiAP_cgXoAIubYE.jpg</v>
      </c>
      <c r="L445">
        <v>0</v>
      </c>
      <c r="M445">
        <v>0</v>
      </c>
      <c r="N445">
        <v>1</v>
      </c>
      <c r="O445">
        <v>0</v>
      </c>
    </row>
    <row r="446" spans="1:15" x14ac:dyDescent="0.2">
      <c r="A446" s="1" t="str">
        <f>HYPERLINK("http://www.twitter.com/banuakdenizli/status/1594335890624548864", "1594335890624548864")</f>
        <v>1594335890624548864</v>
      </c>
      <c r="B446" t="s">
        <v>15</v>
      </c>
      <c r="C446" s="2">
        <v>44885.600370370368</v>
      </c>
      <c r="D446">
        <v>0</v>
      </c>
      <c r="E446">
        <v>7</v>
      </c>
      <c r="F446" t="s">
        <v>17</v>
      </c>
      <c r="G446" t="s">
        <v>494</v>
      </c>
      <c r="H446" t="str">
        <f>HYPERLINK("http://pbs.twimg.com/media/FiAPL_uXEAMs7Ki.jpg", "http://pbs.twimg.com/media/FiAPL_uXEAMs7Ki.jpg")</f>
        <v>http://pbs.twimg.com/media/FiAPL_uXEAMs7Ki.jpg</v>
      </c>
      <c r="L446">
        <v>-0.52669999999999995</v>
      </c>
      <c r="M446">
        <v>0.21099999999999999</v>
      </c>
      <c r="N446">
        <v>0.68799999999999994</v>
      </c>
      <c r="O446">
        <v>0.10100000000000001</v>
      </c>
    </row>
    <row r="447" spans="1:15" x14ac:dyDescent="0.2">
      <c r="A447" s="1" t="str">
        <f>HYPERLINK("http://www.twitter.com/banuakdenizli/status/1594335868780793858", "1594335868780793858")</f>
        <v>1594335868780793858</v>
      </c>
      <c r="B447" t="s">
        <v>15</v>
      </c>
      <c r="C447" s="2">
        <v>44885.600312499999</v>
      </c>
      <c r="D447">
        <v>0</v>
      </c>
      <c r="E447">
        <v>9</v>
      </c>
      <c r="F447" t="s">
        <v>16</v>
      </c>
      <c r="G447" t="s">
        <v>495</v>
      </c>
      <c r="H447" t="str">
        <f>HYPERLINK("http://pbs.twimg.com/media/FiAMy9bXEAINPn5.jpg", "http://pbs.twimg.com/media/FiAMy9bXEAINPn5.jpg")</f>
        <v>http://pbs.twimg.com/media/FiAMy9bXEAINPn5.jpg</v>
      </c>
      <c r="L447">
        <v>0</v>
      </c>
      <c r="M447">
        <v>0</v>
      </c>
      <c r="N447">
        <v>1</v>
      </c>
      <c r="O447">
        <v>0</v>
      </c>
    </row>
    <row r="448" spans="1:15" x14ac:dyDescent="0.2">
      <c r="A448" s="1" t="str">
        <f>HYPERLINK("http://www.twitter.com/banuakdenizli/status/1594335854129881089", "1594335854129881089")</f>
        <v>1594335854129881089</v>
      </c>
      <c r="B448" t="s">
        <v>15</v>
      </c>
      <c r="C448" s="2">
        <v>44885.600266203714</v>
      </c>
      <c r="D448">
        <v>0</v>
      </c>
      <c r="E448">
        <v>35</v>
      </c>
      <c r="F448" t="s">
        <v>18</v>
      </c>
      <c r="G448" t="s">
        <v>496</v>
      </c>
      <c r="H448" t="str">
        <f>HYPERLINK("http://pbs.twimg.com/media/FiATteXWAAE8Lfx.jpg", "http://pbs.twimg.com/media/FiATteXWAAE8Lfx.jpg")</f>
        <v>http://pbs.twimg.com/media/FiATteXWAAE8Lfx.jpg</v>
      </c>
      <c r="L448">
        <v>0.87090000000000001</v>
      </c>
      <c r="M448">
        <v>0</v>
      </c>
      <c r="N448">
        <v>0.77300000000000002</v>
      </c>
      <c r="O448">
        <v>0.22700000000000001</v>
      </c>
    </row>
    <row r="449" spans="1:15" x14ac:dyDescent="0.2">
      <c r="A449" s="1" t="str">
        <f>HYPERLINK("http://www.twitter.com/banuakdenizli/status/1594335840951492611", "1594335840951492611")</f>
        <v>1594335840951492611</v>
      </c>
      <c r="B449" t="s">
        <v>15</v>
      </c>
      <c r="C449" s="2">
        <v>44885.600231481483</v>
      </c>
      <c r="D449">
        <v>0</v>
      </c>
      <c r="E449">
        <v>8</v>
      </c>
      <c r="F449" t="s">
        <v>17</v>
      </c>
      <c r="G449" t="s">
        <v>497</v>
      </c>
      <c r="H449" t="str">
        <f>HYPERLINK("http://pbs.twimg.com/media/FiAXVCoWQAE0qz3.jpg", "http://pbs.twimg.com/media/FiAXVCoWQAE0qz3.jpg")</f>
        <v>http://pbs.twimg.com/media/FiAXVCoWQAE0qz3.jpg</v>
      </c>
      <c r="L449">
        <v>0</v>
      </c>
      <c r="M449">
        <v>0</v>
      </c>
      <c r="N449">
        <v>1</v>
      </c>
      <c r="O449">
        <v>0</v>
      </c>
    </row>
    <row r="450" spans="1:15" x14ac:dyDescent="0.2">
      <c r="A450" s="1" t="str">
        <f>HYPERLINK("http://www.twitter.com/banuakdenizli/status/1594132615296348161", "1594132615296348161")</f>
        <v>1594132615296348161</v>
      </c>
      <c r="B450" t="s">
        <v>15</v>
      </c>
      <c r="C450" s="2">
        <v>44885.03943287037</v>
      </c>
      <c r="D450">
        <v>0</v>
      </c>
      <c r="E450">
        <v>4</v>
      </c>
      <c r="F450" t="s">
        <v>17</v>
      </c>
      <c r="G450" t="s">
        <v>498</v>
      </c>
      <c r="H450" t="str">
        <f>HYPERLINK("http://pbs.twimg.com/media/Fh93aq3XoAEzZIN.jpg", "http://pbs.twimg.com/media/Fh93aq3XoAEzZIN.jpg")</f>
        <v>http://pbs.twimg.com/media/Fh93aq3XoAEzZIN.jpg</v>
      </c>
      <c r="L450">
        <v>0.5423</v>
      </c>
      <c r="M450">
        <v>0</v>
      </c>
      <c r="N450">
        <v>0.71</v>
      </c>
      <c r="O450">
        <v>0.28999999999999998</v>
      </c>
    </row>
    <row r="451" spans="1:15" x14ac:dyDescent="0.2">
      <c r="A451" s="1" t="str">
        <f>HYPERLINK("http://www.twitter.com/banuakdenizli/status/1594132599890272258", "1594132599890272258")</f>
        <v>1594132599890272258</v>
      </c>
      <c r="B451" t="s">
        <v>15</v>
      </c>
      <c r="C451" s="2">
        <v>44885.039398148147</v>
      </c>
      <c r="D451">
        <v>0</v>
      </c>
      <c r="E451">
        <v>8</v>
      </c>
      <c r="F451" t="s">
        <v>17</v>
      </c>
      <c r="G451" t="s">
        <v>499</v>
      </c>
      <c r="H451" t="str">
        <f>HYPERLINK("http://pbs.twimg.com/media/Fh9390oXkAET9NQ.jpg", "http://pbs.twimg.com/media/Fh9390oXkAET9NQ.jpg")</f>
        <v>http://pbs.twimg.com/media/Fh9390oXkAET9NQ.jpg</v>
      </c>
      <c r="L451">
        <v>0.40189999999999998</v>
      </c>
      <c r="M451">
        <v>0</v>
      </c>
      <c r="N451">
        <v>0.748</v>
      </c>
      <c r="O451">
        <v>0.252</v>
      </c>
    </row>
    <row r="452" spans="1:15" x14ac:dyDescent="0.2">
      <c r="A452" s="1" t="str">
        <f>HYPERLINK("http://www.twitter.com/banuakdenizli/status/1594123760600219649", "1594123760600219649")</f>
        <v>1594123760600219649</v>
      </c>
      <c r="B452" t="s">
        <v>15</v>
      </c>
      <c r="C452" s="2">
        <v>44885.014999999999</v>
      </c>
      <c r="D452">
        <v>0</v>
      </c>
      <c r="E452">
        <v>6</v>
      </c>
      <c r="F452" t="s">
        <v>17</v>
      </c>
      <c r="G452" t="s">
        <v>500</v>
      </c>
      <c r="H452" t="str">
        <f>HYPERLINK("http://pbs.twimg.com/media/Fh929_mWAAAgI5Y.jpg", "http://pbs.twimg.com/media/Fh929_mWAAAgI5Y.jpg")</f>
        <v>http://pbs.twimg.com/media/Fh929_mWAAAgI5Y.jpg</v>
      </c>
      <c r="L452">
        <v>0.40189999999999998</v>
      </c>
      <c r="M452">
        <v>0</v>
      </c>
      <c r="N452">
        <v>0.748</v>
      </c>
      <c r="O452">
        <v>0.252</v>
      </c>
    </row>
    <row r="453" spans="1:15" x14ac:dyDescent="0.2">
      <c r="A453" s="1" t="str">
        <f>HYPERLINK("http://www.twitter.com/banuakdenizli/status/1594077805637095424", "1594077805637095424")</f>
        <v>1594077805637095424</v>
      </c>
      <c r="B453" t="s">
        <v>15</v>
      </c>
      <c r="C453" s="2">
        <v>44884.888194444437</v>
      </c>
      <c r="D453">
        <v>0</v>
      </c>
      <c r="E453">
        <v>3</v>
      </c>
      <c r="F453" t="s">
        <v>16</v>
      </c>
      <c r="G453" t="s">
        <v>501</v>
      </c>
      <c r="H453" t="str">
        <f>HYPERLINK("http://pbs.twimg.com/media/Fh7jOY_WQAIVvgJ.jpg", "http://pbs.twimg.com/media/Fh7jOY_WQAIVvgJ.jpg")</f>
        <v>http://pbs.twimg.com/media/Fh7jOY_WQAIVvgJ.jpg</v>
      </c>
      <c r="L453">
        <v>0</v>
      </c>
      <c r="M453">
        <v>0</v>
      </c>
      <c r="N453">
        <v>1</v>
      </c>
      <c r="O453">
        <v>0</v>
      </c>
    </row>
    <row r="454" spans="1:15" x14ac:dyDescent="0.2">
      <c r="A454" s="1" t="str">
        <f>HYPERLINK("http://www.twitter.com/banuakdenizli/status/1594077728080384004", "1594077728080384004")</f>
        <v>1594077728080384004</v>
      </c>
      <c r="B454" t="s">
        <v>15</v>
      </c>
      <c r="C454" s="2">
        <v>44884.887974537043</v>
      </c>
      <c r="D454">
        <v>0</v>
      </c>
      <c r="E454">
        <v>278</v>
      </c>
      <c r="F454" t="s">
        <v>28</v>
      </c>
      <c r="G454" t="s">
        <v>502</v>
      </c>
      <c r="L454">
        <v>0</v>
      </c>
      <c r="M454">
        <v>0</v>
      </c>
      <c r="N454">
        <v>1</v>
      </c>
      <c r="O454">
        <v>0</v>
      </c>
    </row>
    <row r="455" spans="1:15" x14ac:dyDescent="0.2">
      <c r="A455" s="1" t="str">
        <f>HYPERLINK("http://www.twitter.com/banuakdenizli/status/1594077627215917056", "1594077627215917056")</f>
        <v>1594077627215917056</v>
      </c>
      <c r="B455" t="s">
        <v>15</v>
      </c>
      <c r="C455" s="2">
        <v>44884.887696759259</v>
      </c>
      <c r="D455">
        <v>0</v>
      </c>
      <c r="E455">
        <v>578</v>
      </c>
      <c r="F455" t="s">
        <v>503</v>
      </c>
      <c r="G455" t="s">
        <v>504</v>
      </c>
      <c r="H455" t="str">
        <f>HYPERLINK("https://video.twimg.com/amplify_video/1593898739537571840/vid/1280x720/19qFHyhK2G5rv3qd.mp4?tag=14", "https://video.twimg.com/amplify_video/1593898739537571840/vid/1280x720/19qFHyhK2G5rv3qd.mp4?tag=14")</f>
        <v>https://video.twimg.com/amplify_video/1593898739537571840/vid/1280x720/19qFHyhK2G5rv3qd.mp4?tag=14</v>
      </c>
      <c r="L455">
        <v>0</v>
      </c>
      <c r="M455">
        <v>0</v>
      </c>
      <c r="N455">
        <v>1</v>
      </c>
      <c r="O455">
        <v>0</v>
      </c>
    </row>
    <row r="456" spans="1:15" x14ac:dyDescent="0.2">
      <c r="A456" s="1" t="str">
        <f>HYPERLINK("http://www.twitter.com/banuakdenizli/status/1594062392689926144", "1594062392689926144")</f>
        <v>1594062392689926144</v>
      </c>
      <c r="B456" t="s">
        <v>15</v>
      </c>
      <c r="C456" s="2">
        <v>44884.845659722218</v>
      </c>
      <c r="D456">
        <v>0</v>
      </c>
      <c r="E456">
        <v>5</v>
      </c>
      <c r="F456" t="s">
        <v>16</v>
      </c>
      <c r="G456" t="s">
        <v>505</v>
      </c>
      <c r="H456" t="str">
        <f>HYPERLINK("http://pbs.twimg.com/media/Fh8kHaZXgAEvdmn.jpg", "http://pbs.twimg.com/media/Fh8kHaZXgAEvdmn.jpg")</f>
        <v>http://pbs.twimg.com/media/Fh8kHaZXgAEvdmn.jpg</v>
      </c>
      <c r="L456">
        <v>0</v>
      </c>
      <c r="M456">
        <v>0</v>
      </c>
      <c r="N456">
        <v>1</v>
      </c>
      <c r="O456">
        <v>0</v>
      </c>
    </row>
    <row r="457" spans="1:15" x14ac:dyDescent="0.2">
      <c r="A457" s="1" t="str">
        <f>HYPERLINK("http://www.twitter.com/banuakdenizli/status/1594061093265182724", "1594061093265182724")</f>
        <v>1594061093265182724</v>
      </c>
      <c r="B457" t="s">
        <v>15</v>
      </c>
      <c r="C457" s="2">
        <v>44884.84207175926</v>
      </c>
      <c r="D457">
        <v>0</v>
      </c>
      <c r="E457">
        <v>7</v>
      </c>
      <c r="F457" t="s">
        <v>16</v>
      </c>
      <c r="G457" t="s">
        <v>506</v>
      </c>
      <c r="H457" t="str">
        <f>HYPERLINK("http://pbs.twimg.com/media/Fh8r_36X0AAnUw4.jpg", "http://pbs.twimg.com/media/Fh8r_36X0AAnUw4.jpg")</f>
        <v>http://pbs.twimg.com/media/Fh8r_36X0AAnUw4.jpg</v>
      </c>
      <c r="L457">
        <v>0</v>
      </c>
      <c r="M457">
        <v>0</v>
      </c>
      <c r="N457">
        <v>1</v>
      </c>
      <c r="O457">
        <v>0</v>
      </c>
    </row>
    <row r="458" spans="1:15" x14ac:dyDescent="0.2">
      <c r="A458" s="1" t="str">
        <f>HYPERLINK("http://www.twitter.com/banuakdenizli/status/1594061042925113345", "1594061042925113345")</f>
        <v>1594061042925113345</v>
      </c>
      <c r="B458" t="s">
        <v>15</v>
      </c>
      <c r="C458" s="2">
        <v>44884.841932870368</v>
      </c>
      <c r="D458">
        <v>0</v>
      </c>
      <c r="E458">
        <v>4</v>
      </c>
      <c r="F458" t="s">
        <v>16</v>
      </c>
      <c r="G458" t="s">
        <v>507</v>
      </c>
      <c r="H458" t="str">
        <f>HYPERLINK("http://pbs.twimg.com/media/Fh8sbo9XwAMfvYl.jpg", "http://pbs.twimg.com/media/Fh8sbo9XwAMfvYl.jpg")</f>
        <v>http://pbs.twimg.com/media/Fh8sbo9XwAMfvYl.jpg</v>
      </c>
      <c r="L458">
        <v>0</v>
      </c>
      <c r="M458">
        <v>0</v>
      </c>
      <c r="N458">
        <v>1</v>
      </c>
      <c r="O458">
        <v>0</v>
      </c>
    </row>
    <row r="459" spans="1:15" x14ac:dyDescent="0.2">
      <c r="A459" s="1" t="str">
        <f>HYPERLINK("http://www.twitter.com/banuakdenizli/status/1594060954421334016", "1594060954421334016")</f>
        <v>1594060954421334016</v>
      </c>
      <c r="B459" t="s">
        <v>15</v>
      </c>
      <c r="C459" s="2">
        <v>44884.841689814813</v>
      </c>
      <c r="D459">
        <v>0</v>
      </c>
      <c r="E459">
        <v>6</v>
      </c>
      <c r="F459" t="s">
        <v>17</v>
      </c>
      <c r="G459" t="s">
        <v>508</v>
      </c>
      <c r="H459" t="str">
        <f>HYPERLINK("http://pbs.twimg.com/media/Fh8ktF2WAAAztfL.jpg", "http://pbs.twimg.com/media/Fh8ktF2WAAAztfL.jpg")</f>
        <v>http://pbs.twimg.com/media/Fh8ktF2WAAAztfL.jpg</v>
      </c>
      <c r="L459">
        <v>0</v>
      </c>
      <c r="M459">
        <v>0</v>
      </c>
      <c r="N459">
        <v>1</v>
      </c>
      <c r="O459">
        <v>0</v>
      </c>
    </row>
    <row r="460" spans="1:15" x14ac:dyDescent="0.2">
      <c r="A460" s="1" t="str">
        <f>HYPERLINK("http://www.twitter.com/banuakdenizli/status/1594060942446411776", "1594060942446411776")</f>
        <v>1594060942446411776</v>
      </c>
      <c r="B460" t="s">
        <v>15</v>
      </c>
      <c r="C460" s="2">
        <v>44884.84165509259</v>
      </c>
      <c r="D460">
        <v>0</v>
      </c>
      <c r="E460">
        <v>8</v>
      </c>
      <c r="F460" t="s">
        <v>16</v>
      </c>
      <c r="G460" t="s">
        <v>509</v>
      </c>
      <c r="H460" t="str">
        <f>HYPERLINK("http://pbs.twimg.com/media/Fh8svWrXwAQGwz4.jpg", "http://pbs.twimg.com/media/Fh8svWrXwAQGwz4.jpg")</f>
        <v>http://pbs.twimg.com/media/Fh8svWrXwAQGwz4.jpg</v>
      </c>
      <c r="L460">
        <v>0</v>
      </c>
      <c r="M460">
        <v>0</v>
      </c>
      <c r="N460">
        <v>1</v>
      </c>
      <c r="O460">
        <v>0</v>
      </c>
    </row>
    <row r="461" spans="1:15" x14ac:dyDescent="0.2">
      <c r="A461" s="1" t="str">
        <f>HYPERLINK("http://www.twitter.com/banuakdenizli/status/1594060858652471298", "1594060858652471298")</f>
        <v>1594060858652471298</v>
      </c>
      <c r="B461" t="s">
        <v>15</v>
      </c>
      <c r="C461" s="2">
        <v>44884.841423611113</v>
      </c>
      <c r="D461">
        <v>0</v>
      </c>
      <c r="E461">
        <v>20</v>
      </c>
      <c r="F461" t="s">
        <v>17</v>
      </c>
      <c r="G461" t="s">
        <v>510</v>
      </c>
      <c r="H461" t="str">
        <f>HYPERLINK("http://pbs.twimg.com/media/Fh8MM1MXEAkRu8O.jpg", "http://pbs.twimg.com/media/Fh8MM1MXEAkRu8O.jpg")</f>
        <v>http://pbs.twimg.com/media/Fh8MM1MXEAkRu8O.jpg</v>
      </c>
      <c r="L461">
        <v>0.45879999999999999</v>
      </c>
      <c r="M461">
        <v>0.14799999999999999</v>
      </c>
      <c r="N461">
        <v>0.58599999999999997</v>
      </c>
      <c r="O461">
        <v>0.26600000000000001</v>
      </c>
    </row>
    <row r="462" spans="1:15" x14ac:dyDescent="0.2">
      <c r="A462" s="1" t="str">
        <f>HYPERLINK("http://www.twitter.com/banuakdenizli/status/1594060821336051712", "1594060821336051712")</f>
        <v>1594060821336051712</v>
      </c>
      <c r="B462" t="s">
        <v>15</v>
      </c>
      <c r="C462" s="2">
        <v>44884.841319444437</v>
      </c>
      <c r="D462">
        <v>0</v>
      </c>
      <c r="E462">
        <v>22</v>
      </c>
      <c r="F462" t="s">
        <v>16</v>
      </c>
      <c r="G462" t="s">
        <v>511</v>
      </c>
      <c r="H462" t="str">
        <f>HYPERLINK("http://pbs.twimg.com/media/Fh7rLQwX0AEAEs0.jpg", "http://pbs.twimg.com/media/Fh7rLQwX0AEAEs0.jpg")</f>
        <v>http://pbs.twimg.com/media/Fh7rLQwX0AEAEs0.jpg</v>
      </c>
      <c r="L462">
        <v>0</v>
      </c>
      <c r="M462">
        <v>0</v>
      </c>
      <c r="N462">
        <v>1</v>
      </c>
      <c r="O462">
        <v>0</v>
      </c>
    </row>
    <row r="463" spans="1:15" x14ac:dyDescent="0.2">
      <c r="A463" s="1" t="str">
        <f>HYPERLINK("http://www.twitter.com/banuakdenizli/status/1594055362696691715", "1594055362696691715")</f>
        <v>1594055362696691715</v>
      </c>
      <c r="B463" t="s">
        <v>15</v>
      </c>
      <c r="C463" s="2">
        <v>44884.826261574082</v>
      </c>
      <c r="D463">
        <v>0</v>
      </c>
      <c r="E463">
        <v>7</v>
      </c>
      <c r="F463" t="s">
        <v>20</v>
      </c>
      <c r="G463" t="s">
        <v>512</v>
      </c>
      <c r="H463" t="str">
        <f>HYPERLINK("http://pbs.twimg.com/media/Fh72K9CXgAA347R.jpg", "http://pbs.twimg.com/media/Fh72K9CXgAA347R.jpg")</f>
        <v>http://pbs.twimg.com/media/Fh72K9CXgAA347R.jpg</v>
      </c>
      <c r="L463">
        <v>0</v>
      </c>
      <c r="M463">
        <v>0</v>
      </c>
      <c r="N463">
        <v>1</v>
      </c>
      <c r="O463">
        <v>0</v>
      </c>
    </row>
    <row r="464" spans="1:15" x14ac:dyDescent="0.2">
      <c r="A464" s="1" t="str">
        <f>HYPERLINK("http://www.twitter.com/banuakdenizli/status/1593945964619907073", "1593945964619907073")</f>
        <v>1593945964619907073</v>
      </c>
      <c r="B464" t="s">
        <v>15</v>
      </c>
      <c r="C464" s="2">
        <v>44884.524375000001</v>
      </c>
      <c r="D464">
        <v>0</v>
      </c>
      <c r="E464">
        <v>11</v>
      </c>
      <c r="F464" t="s">
        <v>16</v>
      </c>
      <c r="G464" t="s">
        <v>513</v>
      </c>
      <c r="H464" t="str">
        <f>HYPERLINK("http://pbs.twimg.com/media/Fh7OSwwXwAAja3l.jpg", "http://pbs.twimg.com/media/Fh7OSwwXwAAja3l.jpg")</f>
        <v>http://pbs.twimg.com/media/Fh7OSwwXwAAja3l.jpg</v>
      </c>
      <c r="L464">
        <v>0</v>
      </c>
      <c r="M464">
        <v>0</v>
      </c>
      <c r="N464">
        <v>1</v>
      </c>
      <c r="O464">
        <v>0</v>
      </c>
    </row>
    <row r="465" spans="1:15" x14ac:dyDescent="0.2">
      <c r="A465" s="1" t="str">
        <f>HYPERLINK("http://www.twitter.com/banuakdenizli/status/1593945160517287937", "1593945160517287937")</f>
        <v>1593945160517287937</v>
      </c>
      <c r="B465" t="s">
        <v>15</v>
      </c>
      <c r="C465" s="2">
        <v>44884.522152777783</v>
      </c>
      <c r="D465">
        <v>0</v>
      </c>
      <c r="E465">
        <v>9</v>
      </c>
      <c r="F465" t="s">
        <v>17</v>
      </c>
      <c r="G465" t="s">
        <v>514</v>
      </c>
      <c r="H465" t="str">
        <f>HYPERLINK("https://video.twimg.com/ext_tw_video/1593912673892286464/pu/vid/1280x720/DdDDk8BpfSMW78cf.mp4?tag=12", "https://video.twimg.com/ext_tw_video/1593912673892286464/pu/vid/1280x720/DdDDk8BpfSMW78cf.mp4?tag=12")</f>
        <v>https://video.twimg.com/ext_tw_video/1593912673892286464/pu/vid/1280x720/DdDDk8BpfSMW78cf.mp4?tag=12</v>
      </c>
      <c r="L465">
        <v>0.86250000000000004</v>
      </c>
      <c r="M465">
        <v>6.0999999999999999E-2</v>
      </c>
      <c r="N465">
        <v>0.69399999999999995</v>
      </c>
      <c r="O465">
        <v>0.245</v>
      </c>
    </row>
    <row r="466" spans="1:15" x14ac:dyDescent="0.2">
      <c r="A466" s="1" t="str">
        <f>HYPERLINK("http://www.twitter.com/banuakdenizli/status/1593945141831958528", "1593945141831958528")</f>
        <v>1593945141831958528</v>
      </c>
      <c r="B466" t="s">
        <v>15</v>
      </c>
      <c r="C466" s="2">
        <v>44884.522106481483</v>
      </c>
      <c r="D466">
        <v>0</v>
      </c>
      <c r="E466">
        <v>20</v>
      </c>
      <c r="F466" t="s">
        <v>17</v>
      </c>
      <c r="G466" t="s">
        <v>515</v>
      </c>
      <c r="H466" t="str">
        <f>HYPERLINK("https://video.twimg.com/ext_tw_video/1593912227349815302/pu/vid/1280x720/PgpnZqSffbHchb_p.mp4?tag=12", "https://video.twimg.com/ext_tw_video/1593912227349815302/pu/vid/1280x720/PgpnZqSffbHchb_p.mp4?tag=12")</f>
        <v>https://video.twimg.com/ext_tw_video/1593912227349815302/pu/vid/1280x720/PgpnZqSffbHchb_p.mp4?tag=12</v>
      </c>
      <c r="L466">
        <v>-0.84419999999999995</v>
      </c>
      <c r="M466">
        <v>0.29499999999999998</v>
      </c>
      <c r="N466">
        <v>0.61799999999999999</v>
      </c>
      <c r="O466">
        <v>8.6999999999999994E-2</v>
      </c>
    </row>
    <row r="467" spans="1:15" x14ac:dyDescent="0.2">
      <c r="A467" s="1" t="str">
        <f>HYPERLINK("http://www.twitter.com/banuakdenizli/status/1593945118620487683", "1593945118620487683")</f>
        <v>1593945118620487683</v>
      </c>
      <c r="B467" t="s">
        <v>15</v>
      </c>
      <c r="C467" s="2">
        <v>44884.522048611107</v>
      </c>
      <c r="D467">
        <v>0</v>
      </c>
      <c r="E467">
        <v>55</v>
      </c>
      <c r="F467" t="s">
        <v>17</v>
      </c>
      <c r="G467" t="s">
        <v>516</v>
      </c>
      <c r="H467" t="str">
        <f>HYPERLINK("https://video.twimg.com/ext_tw_video/1593911827913707522/pu/vid/1280x720/tKIS7TL7xpzI5cve.mp4?tag=12", "https://video.twimg.com/ext_tw_video/1593911827913707522/pu/vid/1280x720/tKIS7TL7xpzI5cve.mp4?tag=12")</f>
        <v>https://video.twimg.com/ext_tw_video/1593911827913707522/pu/vid/1280x720/tKIS7TL7xpzI5cve.mp4?tag=12</v>
      </c>
      <c r="L467">
        <v>0.80740000000000001</v>
      </c>
      <c r="M467">
        <v>0</v>
      </c>
      <c r="N467">
        <v>0.82799999999999996</v>
      </c>
      <c r="O467">
        <v>0.17199999999999999</v>
      </c>
    </row>
    <row r="468" spans="1:15" x14ac:dyDescent="0.2">
      <c r="A468" s="1" t="str">
        <f>HYPERLINK("http://www.twitter.com/banuakdenizli/status/1593760996371435520", "1593760996371435520")</f>
        <v>1593760996371435520</v>
      </c>
      <c r="B468" t="s">
        <v>15</v>
      </c>
      <c r="C468" s="2">
        <v>44884.013958333337</v>
      </c>
      <c r="D468">
        <v>0</v>
      </c>
      <c r="E468">
        <v>17</v>
      </c>
      <c r="F468" t="s">
        <v>51</v>
      </c>
      <c r="G468" t="s">
        <v>517</v>
      </c>
      <c r="L468">
        <v>0</v>
      </c>
      <c r="M468">
        <v>0</v>
      </c>
      <c r="N468">
        <v>1</v>
      </c>
      <c r="O468">
        <v>0</v>
      </c>
    </row>
    <row r="469" spans="1:15" x14ac:dyDescent="0.2">
      <c r="A469" s="1" t="str">
        <f>HYPERLINK("http://www.twitter.com/banuakdenizli/status/1593706368560660485", "1593706368560660485")</f>
        <v>1593706368560660485</v>
      </c>
      <c r="B469" t="s">
        <v>15</v>
      </c>
      <c r="C469" s="2">
        <v>44883.863217592603</v>
      </c>
      <c r="D469">
        <v>0</v>
      </c>
      <c r="E469">
        <v>20</v>
      </c>
      <c r="F469" t="s">
        <v>16</v>
      </c>
      <c r="G469" t="s">
        <v>518</v>
      </c>
      <c r="H469" t="str">
        <f>HYPERLINK("https://video.twimg.com/ext_tw_video/1593685405597155328/pu/vid/1280x720/c-RskuSDNoCWGWZZ.mp4?tag=12", "https://video.twimg.com/ext_tw_video/1593685405597155328/pu/vid/1280x720/c-RskuSDNoCWGWZZ.mp4?tag=12")</f>
        <v>https://video.twimg.com/ext_tw_video/1593685405597155328/pu/vid/1280x720/c-RskuSDNoCWGWZZ.mp4?tag=12</v>
      </c>
      <c r="L469">
        <v>0</v>
      </c>
      <c r="M469">
        <v>0</v>
      </c>
      <c r="N469">
        <v>1</v>
      </c>
      <c r="O469">
        <v>0</v>
      </c>
    </row>
    <row r="470" spans="1:15" x14ac:dyDescent="0.2">
      <c r="A470" s="1" t="str">
        <f>HYPERLINK("http://www.twitter.com/banuakdenizli/status/1593706358234234880", "1593706358234234880")</f>
        <v>1593706358234234880</v>
      </c>
      <c r="B470" t="s">
        <v>15</v>
      </c>
      <c r="C470" s="2">
        <v>44883.863194444442</v>
      </c>
      <c r="D470">
        <v>0</v>
      </c>
      <c r="E470">
        <v>21</v>
      </c>
      <c r="F470" t="s">
        <v>16</v>
      </c>
      <c r="G470" t="s">
        <v>519</v>
      </c>
      <c r="H470" t="str">
        <f>HYPERLINK("https://video.twimg.com/ext_tw_video/1593681542185947140/pu/vid/1280x720/oRDQ7sWJzCf-m_W7.mp4?tag=12", "https://video.twimg.com/ext_tw_video/1593681542185947140/pu/vid/1280x720/oRDQ7sWJzCf-m_W7.mp4?tag=12")</f>
        <v>https://video.twimg.com/ext_tw_video/1593681542185947140/pu/vid/1280x720/oRDQ7sWJzCf-m_W7.mp4?tag=12</v>
      </c>
      <c r="L470">
        <v>0</v>
      </c>
      <c r="M470">
        <v>0</v>
      </c>
      <c r="N470">
        <v>1</v>
      </c>
      <c r="O470">
        <v>0</v>
      </c>
    </row>
    <row r="471" spans="1:15" x14ac:dyDescent="0.2">
      <c r="A471" s="1" t="str">
        <f>HYPERLINK("http://www.twitter.com/banuakdenizli/status/1593706343646597122", "1593706343646597122")</f>
        <v>1593706343646597122</v>
      </c>
      <c r="B471" t="s">
        <v>15</v>
      </c>
      <c r="C471" s="2">
        <v>44883.86314814815</v>
      </c>
      <c r="D471">
        <v>0</v>
      </c>
      <c r="E471">
        <v>60</v>
      </c>
      <c r="F471" t="s">
        <v>16</v>
      </c>
      <c r="G471" t="s">
        <v>520</v>
      </c>
      <c r="H471" t="str">
        <f>HYPERLINK("https://video.twimg.com/ext_tw_video/1593679657009831937/pu/vid/1280x720/e6NYNlAdka4587oh.mp4?tag=12", "https://video.twimg.com/ext_tw_video/1593679657009831937/pu/vid/1280x720/e6NYNlAdka4587oh.mp4?tag=12")</f>
        <v>https://video.twimg.com/ext_tw_video/1593679657009831937/pu/vid/1280x720/e6NYNlAdka4587oh.mp4?tag=12</v>
      </c>
      <c r="L471">
        <v>0</v>
      </c>
      <c r="M471">
        <v>0</v>
      </c>
      <c r="N471">
        <v>1</v>
      </c>
      <c r="O471">
        <v>0</v>
      </c>
    </row>
    <row r="472" spans="1:15" x14ac:dyDescent="0.2">
      <c r="A472" s="1" t="str">
        <f>HYPERLINK("http://www.twitter.com/banuakdenizli/status/1593668332997124096", "1593668332997124096")</f>
        <v>1593668332997124096</v>
      </c>
      <c r="B472" t="s">
        <v>15</v>
      </c>
      <c r="C472" s="2">
        <v>44883.758263888893</v>
      </c>
      <c r="D472">
        <v>0</v>
      </c>
      <c r="E472">
        <v>3</v>
      </c>
      <c r="F472" t="s">
        <v>29</v>
      </c>
      <c r="G472" t="s">
        <v>521</v>
      </c>
      <c r="H472" t="str">
        <f>HYPERLINK("http://pbs.twimg.com/media/Fh3K8jXWAAAI9nN.jpg", "http://pbs.twimg.com/media/Fh3K8jXWAAAI9nN.jpg")</f>
        <v>http://pbs.twimg.com/media/Fh3K8jXWAAAI9nN.jpg</v>
      </c>
      <c r="I472" t="str">
        <f>HYPERLINK("http://pbs.twimg.com/media/Fh3K8kKX0AAuZqd.jpg", "http://pbs.twimg.com/media/Fh3K8kKX0AAuZqd.jpg")</f>
        <v>http://pbs.twimg.com/media/Fh3K8kKX0AAuZqd.jpg</v>
      </c>
      <c r="L472">
        <v>0</v>
      </c>
      <c r="M472">
        <v>0</v>
      </c>
      <c r="N472">
        <v>1</v>
      </c>
      <c r="O472">
        <v>0</v>
      </c>
    </row>
    <row r="473" spans="1:15" x14ac:dyDescent="0.2">
      <c r="A473" s="1" t="str">
        <f>HYPERLINK("http://www.twitter.com/banuakdenizli/status/1593668246305230849", "1593668246305230849")</f>
        <v>1593668246305230849</v>
      </c>
      <c r="B473" t="s">
        <v>15</v>
      </c>
      <c r="C473" s="2">
        <v>44883.758020833331</v>
      </c>
      <c r="D473">
        <v>0</v>
      </c>
      <c r="E473">
        <v>60</v>
      </c>
      <c r="F473" t="s">
        <v>28</v>
      </c>
      <c r="G473" t="s">
        <v>522</v>
      </c>
      <c r="L473">
        <v>0</v>
      </c>
      <c r="M473">
        <v>0</v>
      </c>
      <c r="N473">
        <v>1</v>
      </c>
      <c r="O473">
        <v>0</v>
      </c>
    </row>
    <row r="474" spans="1:15" x14ac:dyDescent="0.2">
      <c r="A474" s="1" t="str">
        <f>HYPERLINK("http://www.twitter.com/banuakdenizli/status/1593642685541367809", "1593642685541367809")</f>
        <v>1593642685541367809</v>
      </c>
      <c r="B474" t="s">
        <v>15</v>
      </c>
      <c r="C474" s="2">
        <v>44883.687488425923</v>
      </c>
      <c r="D474">
        <v>0</v>
      </c>
      <c r="E474">
        <v>23</v>
      </c>
      <c r="F474" t="s">
        <v>18</v>
      </c>
      <c r="G474" t="s">
        <v>523</v>
      </c>
      <c r="L474">
        <v>0.73</v>
      </c>
      <c r="M474">
        <v>8.8999999999999996E-2</v>
      </c>
      <c r="N474">
        <v>0.67500000000000004</v>
      </c>
      <c r="O474">
        <v>0.23499999999999999</v>
      </c>
    </row>
    <row r="475" spans="1:15" x14ac:dyDescent="0.2">
      <c r="A475" s="1" t="str">
        <f>HYPERLINK("http://www.twitter.com/banuakdenizli/status/1593642669129011201", "1593642669129011201")</f>
        <v>1593642669129011201</v>
      </c>
      <c r="B475" t="s">
        <v>15</v>
      </c>
      <c r="C475" s="2">
        <v>44883.687442129631</v>
      </c>
      <c r="D475">
        <v>0</v>
      </c>
      <c r="E475">
        <v>4</v>
      </c>
      <c r="F475" t="s">
        <v>17</v>
      </c>
      <c r="G475" t="s">
        <v>524</v>
      </c>
      <c r="H475" t="str">
        <f>HYPERLINK("http://pbs.twimg.com/media/Fh29_WaXwAIic_-.jpg", "http://pbs.twimg.com/media/Fh29_WaXwAIic_-.jpg")</f>
        <v>http://pbs.twimg.com/media/Fh29_WaXwAIic_-.jpg</v>
      </c>
      <c r="I475" t="str">
        <f>HYPERLINK("http://pbs.twimg.com/media/Fh2-ArcXkAA3pi3.jpg", "http://pbs.twimg.com/media/Fh2-ArcXkAA3pi3.jpg")</f>
        <v>http://pbs.twimg.com/media/Fh2-ArcXkAA3pi3.jpg</v>
      </c>
      <c r="J475" t="str">
        <f>HYPERLINK("http://pbs.twimg.com/media/Fh2-CL3XkAAkRoJ.jpg", "http://pbs.twimg.com/media/Fh2-CL3XkAAkRoJ.jpg")</f>
        <v>http://pbs.twimg.com/media/Fh2-CL3XkAAkRoJ.jpg</v>
      </c>
      <c r="L475">
        <v>0.34</v>
      </c>
      <c r="M475">
        <v>0</v>
      </c>
      <c r="N475">
        <v>0.88200000000000001</v>
      </c>
      <c r="O475">
        <v>0.11799999999999999</v>
      </c>
    </row>
    <row r="476" spans="1:15" x14ac:dyDescent="0.2">
      <c r="A476" s="1" t="str">
        <f>HYPERLINK("http://www.twitter.com/banuakdenizli/status/1593629590584434691", "1593629590584434691")</f>
        <v>1593629590584434691</v>
      </c>
      <c r="B476" t="s">
        <v>15</v>
      </c>
      <c r="C476" s="2">
        <v>44883.651354166657</v>
      </c>
      <c r="D476">
        <v>0</v>
      </c>
      <c r="E476">
        <v>33</v>
      </c>
      <c r="F476" t="s">
        <v>18</v>
      </c>
      <c r="G476" t="s">
        <v>525</v>
      </c>
      <c r="L476">
        <v>0</v>
      </c>
      <c r="M476">
        <v>0</v>
      </c>
      <c r="N476">
        <v>1</v>
      </c>
      <c r="O476">
        <v>0</v>
      </c>
    </row>
    <row r="477" spans="1:15" x14ac:dyDescent="0.2">
      <c r="A477" s="1" t="str">
        <f>HYPERLINK("http://www.twitter.com/banuakdenizli/status/1593622801088397320", "1593622801088397320")</f>
        <v>1593622801088397320</v>
      </c>
      <c r="B477" t="s">
        <v>15</v>
      </c>
      <c r="C477" s="2">
        <v>44883.632615740738</v>
      </c>
      <c r="D477">
        <v>0</v>
      </c>
      <c r="E477">
        <v>4</v>
      </c>
      <c r="F477" t="s">
        <v>17</v>
      </c>
      <c r="G477" t="s">
        <v>526</v>
      </c>
      <c r="H477" t="str">
        <f>HYPERLINK("http://pbs.twimg.com/media/Fh2l38bWYAAFKDg.jpg", "http://pbs.twimg.com/media/Fh2l38bWYAAFKDg.jpg")</f>
        <v>http://pbs.twimg.com/media/Fh2l38bWYAAFKDg.jpg</v>
      </c>
      <c r="L477">
        <v>0</v>
      </c>
      <c r="M477">
        <v>0</v>
      </c>
      <c r="N477">
        <v>1</v>
      </c>
      <c r="O477">
        <v>0</v>
      </c>
    </row>
    <row r="478" spans="1:15" x14ac:dyDescent="0.2">
      <c r="A478" s="1" t="str">
        <f>HYPERLINK("http://www.twitter.com/banuakdenizli/status/1593622749863452673", "1593622749863452673")</f>
        <v>1593622749863452673</v>
      </c>
      <c r="B478" t="s">
        <v>15</v>
      </c>
      <c r="C478" s="2">
        <v>44883.632476851853</v>
      </c>
      <c r="D478">
        <v>0</v>
      </c>
      <c r="E478">
        <v>6</v>
      </c>
      <c r="F478" t="s">
        <v>17</v>
      </c>
      <c r="G478" t="s">
        <v>527</v>
      </c>
      <c r="H478" t="str">
        <f>HYPERLINK("http://pbs.twimg.com/media/Fh2nphHWAAMeWj8.jpg", "http://pbs.twimg.com/media/Fh2nphHWAAMeWj8.jpg")</f>
        <v>http://pbs.twimg.com/media/Fh2nphHWAAMeWj8.jpg</v>
      </c>
      <c r="L478">
        <v>0.72689999999999999</v>
      </c>
      <c r="M478">
        <v>0</v>
      </c>
      <c r="N478">
        <v>0.68100000000000005</v>
      </c>
      <c r="O478">
        <v>0.31900000000000001</v>
      </c>
    </row>
    <row r="479" spans="1:15" x14ac:dyDescent="0.2">
      <c r="A479" s="1" t="str">
        <f>HYPERLINK("http://www.twitter.com/banuakdenizli/status/1593622680770695168", "1593622680770695168")</f>
        <v>1593622680770695168</v>
      </c>
      <c r="B479" t="s">
        <v>15</v>
      </c>
      <c r="C479" s="2">
        <v>44883.632280092592</v>
      </c>
      <c r="D479">
        <v>0</v>
      </c>
      <c r="E479">
        <v>3</v>
      </c>
      <c r="F479" t="s">
        <v>16</v>
      </c>
      <c r="G479" t="s">
        <v>528</v>
      </c>
      <c r="H479" t="str">
        <f>HYPERLINK("http://pbs.twimg.com/media/Fh2rcpkXoAMqblS.jpg", "http://pbs.twimg.com/media/Fh2rcpkXoAMqblS.jpg")</f>
        <v>http://pbs.twimg.com/media/Fh2rcpkXoAMqblS.jpg</v>
      </c>
      <c r="I479" t="str">
        <f>HYPERLINK("http://pbs.twimg.com/media/Fh2rgW5XwAA-0GQ.jpg", "http://pbs.twimg.com/media/Fh2rgW5XwAA-0GQ.jpg")</f>
        <v>http://pbs.twimg.com/media/Fh2rgW5XwAA-0GQ.jpg</v>
      </c>
      <c r="J479" t="str">
        <f>HYPERLINK("http://pbs.twimg.com/media/Fh2rhr1XoAAaVk4.jpg", "http://pbs.twimg.com/media/Fh2rhr1XoAAaVk4.jpg")</f>
        <v>http://pbs.twimg.com/media/Fh2rhr1XoAAaVk4.jpg</v>
      </c>
      <c r="L479">
        <v>0</v>
      </c>
      <c r="M479">
        <v>0</v>
      </c>
      <c r="N479">
        <v>1</v>
      </c>
      <c r="O479">
        <v>0</v>
      </c>
    </row>
    <row r="480" spans="1:15" x14ac:dyDescent="0.2">
      <c r="A480" s="1" t="str">
        <f>HYPERLINK("http://www.twitter.com/banuakdenizli/status/1593599631140831234", "1593599631140831234")</f>
        <v>1593599631140831234</v>
      </c>
      <c r="B480" t="s">
        <v>15</v>
      </c>
      <c r="C480" s="2">
        <v>44883.568680555552</v>
      </c>
      <c r="D480">
        <v>0</v>
      </c>
      <c r="E480">
        <v>3</v>
      </c>
      <c r="F480" t="s">
        <v>16</v>
      </c>
      <c r="G480" t="s">
        <v>529</v>
      </c>
      <c r="H480" t="str">
        <f>HYPERLINK("http://pbs.twimg.com/media/Fh2QDDcXwAAHVe0.jpg", "http://pbs.twimg.com/media/Fh2QDDcXwAAHVe0.jpg")</f>
        <v>http://pbs.twimg.com/media/Fh2QDDcXwAAHVe0.jpg</v>
      </c>
      <c r="L480">
        <v>0</v>
      </c>
      <c r="M480">
        <v>0</v>
      </c>
      <c r="N480">
        <v>1</v>
      </c>
      <c r="O480">
        <v>0</v>
      </c>
    </row>
    <row r="481" spans="1:15" x14ac:dyDescent="0.2">
      <c r="A481" s="1" t="str">
        <f>HYPERLINK("http://www.twitter.com/banuakdenizli/status/1593585569501794304", "1593585569501794304")</f>
        <v>1593585569501794304</v>
      </c>
      <c r="B481" t="s">
        <v>15</v>
      </c>
      <c r="C481" s="2">
        <v>44883.529872685183</v>
      </c>
      <c r="D481">
        <v>0</v>
      </c>
      <c r="E481">
        <v>3</v>
      </c>
      <c r="F481" t="s">
        <v>38</v>
      </c>
      <c r="G481" t="s">
        <v>530</v>
      </c>
      <c r="H481" t="str">
        <f>HYPERLINK("http://pbs.twimg.com/media/Fh00PEEX0AAd_Es.jpg", "http://pbs.twimg.com/media/Fh00PEEX0AAd_Es.jpg")</f>
        <v>http://pbs.twimg.com/media/Fh00PEEX0AAd_Es.jpg</v>
      </c>
      <c r="I481" t="str">
        <f>HYPERLINK("http://pbs.twimg.com/media/Fh00PEMXwAEsF62.jpg", "http://pbs.twimg.com/media/Fh00PEMXwAEsF62.jpg")</f>
        <v>http://pbs.twimg.com/media/Fh00PEMXwAEsF62.jpg</v>
      </c>
      <c r="L481">
        <v>0</v>
      </c>
      <c r="M481">
        <v>0</v>
      </c>
      <c r="N481">
        <v>1</v>
      </c>
      <c r="O481">
        <v>0</v>
      </c>
    </row>
    <row r="482" spans="1:15" x14ac:dyDescent="0.2">
      <c r="A482" s="1" t="str">
        <f>HYPERLINK("http://www.twitter.com/banuakdenizli/status/1593585558965600257", "1593585558965600257")</f>
        <v>1593585558965600257</v>
      </c>
      <c r="B482" t="s">
        <v>15</v>
      </c>
      <c r="C482" s="2">
        <v>44883.529849537037</v>
      </c>
      <c r="D482">
        <v>0</v>
      </c>
      <c r="E482">
        <v>2</v>
      </c>
      <c r="F482" t="s">
        <v>29</v>
      </c>
      <c r="G482" t="s">
        <v>531</v>
      </c>
      <c r="H482" t="str">
        <f>HYPERLINK("http://pbs.twimg.com/media/Fh1cMnuXoAEgRqq.jpg", "http://pbs.twimg.com/media/Fh1cMnuXoAEgRqq.jpg")</f>
        <v>http://pbs.twimg.com/media/Fh1cMnuXoAEgRqq.jpg</v>
      </c>
      <c r="I482" t="str">
        <f>HYPERLINK("http://pbs.twimg.com/media/Fh1cMoiWQAICwuQ.jpg", "http://pbs.twimg.com/media/Fh1cMoiWQAICwuQ.jpg")</f>
        <v>http://pbs.twimg.com/media/Fh1cMoiWQAICwuQ.jpg</v>
      </c>
      <c r="L482">
        <v>0.59940000000000004</v>
      </c>
      <c r="M482">
        <v>0</v>
      </c>
      <c r="N482">
        <v>0.87</v>
      </c>
      <c r="O482">
        <v>0.13</v>
      </c>
    </row>
    <row r="483" spans="1:15" x14ac:dyDescent="0.2">
      <c r="A483" s="1" t="str">
        <f>HYPERLINK("http://www.twitter.com/banuakdenizli/status/1593583847962296320", "1593583847962296320")</f>
        <v>1593583847962296320</v>
      </c>
      <c r="B483" t="s">
        <v>15</v>
      </c>
      <c r="C483" s="2">
        <v>44883.525127314817</v>
      </c>
      <c r="D483">
        <v>0</v>
      </c>
      <c r="E483">
        <v>6</v>
      </c>
      <c r="F483" t="s">
        <v>16</v>
      </c>
      <c r="G483" t="s">
        <v>532</v>
      </c>
      <c r="H483" t="str">
        <f>HYPERLINK("http://pbs.twimg.com/media/Fh2DkEBXEAAtH9o.jpg", "http://pbs.twimg.com/media/Fh2DkEBXEAAtH9o.jpg")</f>
        <v>http://pbs.twimg.com/media/Fh2DkEBXEAAtH9o.jpg</v>
      </c>
      <c r="L483">
        <v>0</v>
      </c>
      <c r="M483">
        <v>0</v>
      </c>
      <c r="N483">
        <v>1</v>
      </c>
      <c r="O483">
        <v>0</v>
      </c>
    </row>
    <row r="484" spans="1:15" x14ac:dyDescent="0.2">
      <c r="A484" s="1" t="str">
        <f>HYPERLINK("http://www.twitter.com/banuakdenizli/status/1593571432071585793", "1593571432071585793")</f>
        <v>1593571432071585793</v>
      </c>
      <c r="B484" t="s">
        <v>15</v>
      </c>
      <c r="C484" s="2">
        <v>44883.490868055553</v>
      </c>
      <c r="D484">
        <v>0</v>
      </c>
      <c r="E484">
        <v>133</v>
      </c>
      <c r="F484" t="s">
        <v>18</v>
      </c>
      <c r="G484" t="s">
        <v>533</v>
      </c>
      <c r="L484">
        <v>0</v>
      </c>
      <c r="M484">
        <v>0</v>
      </c>
      <c r="N484">
        <v>1</v>
      </c>
      <c r="O484">
        <v>0</v>
      </c>
    </row>
    <row r="485" spans="1:15" x14ac:dyDescent="0.2">
      <c r="A485" s="1" t="str">
        <f>HYPERLINK("http://www.twitter.com/banuakdenizli/status/1593571425788444673", "1593571425788444673")</f>
        <v>1593571425788444673</v>
      </c>
      <c r="B485" t="s">
        <v>15</v>
      </c>
      <c r="C485" s="2">
        <v>44883.490844907406</v>
      </c>
      <c r="D485">
        <v>0</v>
      </c>
      <c r="E485">
        <v>85</v>
      </c>
      <c r="F485" t="s">
        <v>18</v>
      </c>
      <c r="G485" t="s">
        <v>534</v>
      </c>
      <c r="L485">
        <v>0</v>
      </c>
      <c r="M485">
        <v>0</v>
      </c>
      <c r="N485">
        <v>1</v>
      </c>
      <c r="O485">
        <v>0</v>
      </c>
    </row>
    <row r="486" spans="1:15" x14ac:dyDescent="0.2">
      <c r="A486" s="1" t="str">
        <f>HYPERLINK("http://www.twitter.com/banuakdenizli/status/1593377285742235649", "1593377285742235649")</f>
        <v>1593377285742235649</v>
      </c>
      <c r="B486" t="s">
        <v>15</v>
      </c>
      <c r="C486" s="2">
        <v>44882.955127314817</v>
      </c>
      <c r="D486">
        <v>0</v>
      </c>
      <c r="E486">
        <v>7</v>
      </c>
      <c r="F486" t="s">
        <v>17</v>
      </c>
      <c r="G486" t="s">
        <v>535</v>
      </c>
      <c r="H486" t="str">
        <f>HYPERLINK("http://pbs.twimg.com/media/FhzO6HXXgAEEC4X.jpg", "http://pbs.twimg.com/media/FhzO6HXXgAEEC4X.jpg")</f>
        <v>http://pbs.twimg.com/media/FhzO6HXXgAEEC4X.jpg</v>
      </c>
      <c r="I486" t="str">
        <f>HYPERLINK("http://pbs.twimg.com/media/FhzO6HaXEAAyfcg.jpg", "http://pbs.twimg.com/media/FhzO6HaXEAAyfcg.jpg")</f>
        <v>http://pbs.twimg.com/media/FhzO6HaXEAAyfcg.jpg</v>
      </c>
      <c r="J486" t="str">
        <f>HYPERLINK("http://pbs.twimg.com/media/FhzO6HWWIAUlNr0.jpg", "http://pbs.twimg.com/media/FhzO6HWWIAUlNr0.jpg")</f>
        <v>http://pbs.twimg.com/media/FhzO6HWWIAUlNr0.jpg</v>
      </c>
      <c r="L486">
        <v>0</v>
      </c>
      <c r="M486">
        <v>0</v>
      </c>
      <c r="N486">
        <v>1</v>
      </c>
      <c r="O486">
        <v>0</v>
      </c>
    </row>
    <row r="487" spans="1:15" x14ac:dyDescent="0.2">
      <c r="A487" s="1" t="str">
        <f>HYPERLINK("http://www.twitter.com/banuakdenizli/status/1593361103593119744", "1593361103593119744")</f>
        <v>1593361103593119744</v>
      </c>
      <c r="B487" t="s">
        <v>15</v>
      </c>
      <c r="C487" s="2">
        <v>44882.910462962973</v>
      </c>
      <c r="D487">
        <v>0</v>
      </c>
      <c r="E487">
        <v>3</v>
      </c>
      <c r="F487" t="s">
        <v>16</v>
      </c>
      <c r="G487" t="s">
        <v>536</v>
      </c>
      <c r="H487" t="str">
        <f>HYPERLINK("http://pbs.twimg.com/media/FhyxCzVXgAMyL13.jpg", "http://pbs.twimg.com/media/FhyxCzVXgAMyL13.jpg")</f>
        <v>http://pbs.twimg.com/media/FhyxCzVXgAMyL13.jpg</v>
      </c>
      <c r="I487" t="str">
        <f>HYPERLINK("http://pbs.twimg.com/media/FhyxCzPXEAQvozj.jpg", "http://pbs.twimg.com/media/FhyxCzPXEAQvozj.jpg")</f>
        <v>http://pbs.twimg.com/media/FhyxCzPXEAQvozj.jpg</v>
      </c>
      <c r="J487" t="str">
        <f>HYPERLINK("http://pbs.twimg.com/media/FhyxCzWXkAIoCHB.jpg", "http://pbs.twimg.com/media/FhyxCzWXkAIoCHB.jpg")</f>
        <v>http://pbs.twimg.com/media/FhyxCzWXkAIoCHB.jpg</v>
      </c>
      <c r="L487">
        <v>0</v>
      </c>
      <c r="M487">
        <v>0</v>
      </c>
      <c r="N487">
        <v>1</v>
      </c>
      <c r="O487">
        <v>0</v>
      </c>
    </row>
    <row r="488" spans="1:15" x14ac:dyDescent="0.2">
      <c r="A488" s="1" t="str">
        <f>HYPERLINK("http://www.twitter.com/banuakdenizli/status/1593360931572142081", "1593360931572142081")</f>
        <v>1593360931572142081</v>
      </c>
      <c r="B488" t="s">
        <v>15</v>
      </c>
      <c r="C488" s="2">
        <v>44882.909988425927</v>
      </c>
      <c r="D488">
        <v>0</v>
      </c>
      <c r="E488">
        <v>4</v>
      </c>
      <c r="F488" t="s">
        <v>16</v>
      </c>
      <c r="G488" t="s">
        <v>537</v>
      </c>
      <c r="H488" t="str">
        <f>HYPERLINK("http://pbs.twimg.com/media/FhyxQJUWAAAtwuP.jpg", "http://pbs.twimg.com/media/FhyxQJUWAAAtwuP.jpg")</f>
        <v>http://pbs.twimg.com/media/FhyxQJUWAAAtwuP.jpg</v>
      </c>
      <c r="I488" t="str">
        <f>HYPERLINK("http://pbs.twimg.com/media/FhyxQJJWIAAIPvd.jpg", "http://pbs.twimg.com/media/FhyxQJJWIAAIPvd.jpg")</f>
        <v>http://pbs.twimg.com/media/FhyxQJJWIAAIPvd.jpg</v>
      </c>
      <c r="J488" t="str">
        <f>HYPERLINK("http://pbs.twimg.com/media/FhyxQJSXEAQILzF.jpg", "http://pbs.twimg.com/media/FhyxQJSXEAQILzF.jpg")</f>
        <v>http://pbs.twimg.com/media/FhyxQJSXEAQILzF.jpg</v>
      </c>
      <c r="L488">
        <v>0</v>
      </c>
      <c r="M488">
        <v>0</v>
      </c>
      <c r="N488">
        <v>1</v>
      </c>
      <c r="O488">
        <v>0</v>
      </c>
    </row>
    <row r="489" spans="1:15" x14ac:dyDescent="0.2">
      <c r="A489" s="1" t="str">
        <f>HYPERLINK("http://www.twitter.com/banuakdenizli/status/1593360902073597952", "1593360902073597952")</f>
        <v>1593360902073597952</v>
      </c>
      <c r="B489" t="s">
        <v>15</v>
      </c>
      <c r="C489" s="2">
        <v>44882.909907407397</v>
      </c>
      <c r="D489">
        <v>0</v>
      </c>
      <c r="E489">
        <v>6</v>
      </c>
      <c r="F489" t="s">
        <v>17</v>
      </c>
      <c r="G489" t="s">
        <v>538</v>
      </c>
      <c r="H489" t="str">
        <f>HYPERLINK("http://pbs.twimg.com/media/FhzANHWXoAAEDv6.jpg", "http://pbs.twimg.com/media/FhzANHWXoAAEDv6.jpg")</f>
        <v>http://pbs.twimg.com/media/FhzANHWXoAAEDv6.jpg</v>
      </c>
      <c r="I489" t="str">
        <f>HYPERLINK("http://pbs.twimg.com/media/FhzANHUXgAEP4OV.jpg", "http://pbs.twimg.com/media/FhzANHUXgAEP4OV.jpg")</f>
        <v>http://pbs.twimg.com/media/FhzANHUXgAEP4OV.jpg</v>
      </c>
      <c r="J489" t="str">
        <f>HYPERLINK("http://pbs.twimg.com/media/FhzANHUX0AEc3eK.jpg", "http://pbs.twimg.com/media/FhzANHUX0AEc3eK.jpg")</f>
        <v>http://pbs.twimg.com/media/FhzANHUX0AEc3eK.jpg</v>
      </c>
      <c r="L489">
        <v>0</v>
      </c>
      <c r="M489">
        <v>0</v>
      </c>
      <c r="N489">
        <v>1</v>
      </c>
      <c r="O489">
        <v>0</v>
      </c>
    </row>
    <row r="490" spans="1:15" x14ac:dyDescent="0.2">
      <c r="A490" s="1" t="str">
        <f>HYPERLINK("http://www.twitter.com/banuakdenizli/status/1593360876400246784", "1593360876400246784")</f>
        <v>1593360876400246784</v>
      </c>
      <c r="B490" t="s">
        <v>15</v>
      </c>
      <c r="C490" s="2">
        <v>44882.909837962958</v>
      </c>
      <c r="D490">
        <v>0</v>
      </c>
      <c r="E490">
        <v>5</v>
      </c>
      <c r="F490" t="s">
        <v>20</v>
      </c>
      <c r="G490" t="s">
        <v>539</v>
      </c>
      <c r="H490" t="str">
        <f>HYPERLINK("http://pbs.twimg.com/media/FhyzjmQX0AAMnz_.jpg", "http://pbs.twimg.com/media/FhyzjmQX0AAMnz_.jpg")</f>
        <v>http://pbs.twimg.com/media/FhyzjmQX0AAMnz_.jpg</v>
      </c>
      <c r="L490">
        <v>0</v>
      </c>
      <c r="M490">
        <v>0</v>
      </c>
      <c r="N490">
        <v>1</v>
      </c>
      <c r="O490">
        <v>0</v>
      </c>
    </row>
    <row r="491" spans="1:15" x14ac:dyDescent="0.2">
      <c r="A491" s="1" t="str">
        <f>HYPERLINK("http://www.twitter.com/banuakdenizli/status/1593288265808896000", "1593288265808896000")</f>
        <v>1593288265808896000</v>
      </c>
      <c r="B491" t="s">
        <v>15</v>
      </c>
      <c r="C491" s="2">
        <v>44882.709479166668</v>
      </c>
      <c r="D491">
        <v>0</v>
      </c>
      <c r="E491">
        <v>8</v>
      </c>
      <c r="F491" t="s">
        <v>17</v>
      </c>
      <c r="G491" t="s">
        <v>540</v>
      </c>
      <c r="H491" t="str">
        <f>HYPERLINK("http://pbs.twimg.com/media/FhxqjFWWAAAiGbP.jpg", "http://pbs.twimg.com/media/FhxqjFWWAAAiGbP.jpg")</f>
        <v>http://pbs.twimg.com/media/FhxqjFWWAAAiGbP.jpg</v>
      </c>
      <c r="L491">
        <v>0.70960000000000001</v>
      </c>
      <c r="M491">
        <v>0</v>
      </c>
      <c r="N491">
        <v>0.71799999999999997</v>
      </c>
      <c r="O491">
        <v>0.28199999999999997</v>
      </c>
    </row>
    <row r="492" spans="1:15" x14ac:dyDescent="0.2">
      <c r="A492" s="1" t="str">
        <f>HYPERLINK("http://www.twitter.com/banuakdenizli/status/1593255936961179649", "1593255936961179649")</f>
        <v>1593255936961179649</v>
      </c>
      <c r="B492" t="s">
        <v>15</v>
      </c>
      <c r="C492" s="2">
        <v>44882.620266203703</v>
      </c>
      <c r="D492">
        <v>0</v>
      </c>
      <c r="E492">
        <v>4</v>
      </c>
      <c r="F492" t="s">
        <v>16</v>
      </c>
      <c r="G492" t="s">
        <v>541</v>
      </c>
      <c r="H492" t="str">
        <f>HYPERLINK("http://pbs.twimg.com/media/FhxTEMUUcAgJT_d.jpg", "http://pbs.twimg.com/media/FhxTEMUUcAgJT_d.jpg")</f>
        <v>http://pbs.twimg.com/media/FhxTEMUUcAgJT_d.jpg</v>
      </c>
      <c r="L492">
        <v>0</v>
      </c>
      <c r="M492">
        <v>0</v>
      </c>
      <c r="N492">
        <v>1</v>
      </c>
      <c r="O492">
        <v>0</v>
      </c>
    </row>
    <row r="493" spans="1:15" x14ac:dyDescent="0.2">
      <c r="A493" s="1" t="str">
        <f>HYPERLINK("http://www.twitter.com/banuakdenizli/status/1593225010889428992", "1593225010889428992")</f>
        <v>1593225010889428992</v>
      </c>
      <c r="B493" t="s">
        <v>15</v>
      </c>
      <c r="C493" s="2">
        <v>44882.534918981481</v>
      </c>
      <c r="D493">
        <v>0</v>
      </c>
      <c r="E493">
        <v>19</v>
      </c>
      <c r="F493" t="s">
        <v>19</v>
      </c>
      <c r="G493" t="s">
        <v>542</v>
      </c>
      <c r="H493" t="str">
        <f>HYPERLINK("http://pbs.twimg.com/media/FhvKIw-XoAAiaI1.jpg", "http://pbs.twimg.com/media/FhvKIw-XoAAiaI1.jpg")</f>
        <v>http://pbs.twimg.com/media/FhvKIw-XoAAiaI1.jpg</v>
      </c>
      <c r="L493">
        <v>0.88070000000000004</v>
      </c>
      <c r="M493">
        <v>0</v>
      </c>
      <c r="N493">
        <v>0.74099999999999999</v>
      </c>
      <c r="O493">
        <v>0.25900000000000001</v>
      </c>
    </row>
    <row r="494" spans="1:15" x14ac:dyDescent="0.2">
      <c r="A494" s="1" t="str">
        <f>HYPERLINK("http://www.twitter.com/banuakdenizli/status/1592892610771038208", "1592892610771038208")</f>
        <v>1592892610771038208</v>
      </c>
      <c r="B494" t="s">
        <v>15</v>
      </c>
      <c r="C494" s="2">
        <v>44881.617673611108</v>
      </c>
      <c r="D494">
        <v>0</v>
      </c>
      <c r="E494">
        <v>5</v>
      </c>
      <c r="F494" t="s">
        <v>16</v>
      </c>
      <c r="G494" t="s">
        <v>543</v>
      </c>
      <c r="H494" t="str">
        <f>HYPERLINK("http://pbs.twimg.com/media/FhqpNcZXoAALTpS.jpg", "http://pbs.twimg.com/media/FhqpNcZXoAALTpS.jpg")</f>
        <v>http://pbs.twimg.com/media/FhqpNcZXoAALTpS.jpg</v>
      </c>
      <c r="I494" t="str">
        <f>HYPERLINK("http://pbs.twimg.com/media/FhqpNcYXEAAQo2O.jpg", "http://pbs.twimg.com/media/FhqpNcYXEAAQo2O.jpg")</f>
        <v>http://pbs.twimg.com/media/FhqpNcYXEAAQo2O.jpg</v>
      </c>
      <c r="L494">
        <v>0</v>
      </c>
      <c r="M494">
        <v>0</v>
      </c>
      <c r="N494">
        <v>1</v>
      </c>
      <c r="O494">
        <v>0</v>
      </c>
    </row>
    <row r="495" spans="1:15" x14ac:dyDescent="0.2">
      <c r="A495" s="1" t="str">
        <f>HYPERLINK("http://www.twitter.com/banuakdenizli/status/1592892515170254848", "1592892515170254848")</f>
        <v>1592892515170254848</v>
      </c>
      <c r="B495" t="s">
        <v>15</v>
      </c>
      <c r="C495" s="2">
        <v>44881.617407407408</v>
      </c>
      <c r="D495">
        <v>0</v>
      </c>
      <c r="E495">
        <v>6</v>
      </c>
      <c r="F495" t="s">
        <v>17</v>
      </c>
      <c r="G495" t="s">
        <v>544</v>
      </c>
      <c r="H495" t="str">
        <f>HYPERLINK("http://pbs.twimg.com/media/Fhq6c-HX0AAOC5F.jpg", "http://pbs.twimg.com/media/Fhq6c-HX0AAOC5F.jpg")</f>
        <v>http://pbs.twimg.com/media/Fhq6c-HX0AAOC5F.jpg</v>
      </c>
      <c r="I495" t="str">
        <f>HYPERLINK("http://pbs.twimg.com/media/Fhq6c7GWAAIuANU.jpg", "http://pbs.twimg.com/media/Fhq6c7GWAAIuANU.jpg")</f>
        <v>http://pbs.twimg.com/media/Fhq6c7GWAAIuANU.jpg</v>
      </c>
      <c r="L495">
        <v>0</v>
      </c>
      <c r="M495">
        <v>0</v>
      </c>
      <c r="N495">
        <v>1</v>
      </c>
      <c r="O495">
        <v>0</v>
      </c>
    </row>
    <row r="496" spans="1:15" x14ac:dyDescent="0.2">
      <c r="A496" s="1" t="str">
        <f>HYPERLINK("http://www.twitter.com/banuakdenizli/status/1592892405573095425", "1592892405573095425")</f>
        <v>1592892405573095425</v>
      </c>
      <c r="B496" t="s">
        <v>15</v>
      </c>
      <c r="C496" s="2">
        <v>44881.617106481477</v>
      </c>
      <c r="D496">
        <v>0</v>
      </c>
      <c r="E496">
        <v>14</v>
      </c>
      <c r="F496" t="s">
        <v>16</v>
      </c>
      <c r="G496" t="s">
        <v>545</v>
      </c>
      <c r="H496" t="str">
        <f>HYPERLINK("http://pbs.twimg.com/media/FhrDKXgX0AET6e8.jpg", "http://pbs.twimg.com/media/FhrDKXgX0AET6e8.jpg")</f>
        <v>http://pbs.twimg.com/media/FhrDKXgX0AET6e8.jpg</v>
      </c>
      <c r="L496">
        <v>0</v>
      </c>
      <c r="M496">
        <v>0</v>
      </c>
      <c r="N496">
        <v>1</v>
      </c>
      <c r="O496">
        <v>0</v>
      </c>
    </row>
    <row r="497" spans="1:15" x14ac:dyDescent="0.2">
      <c r="A497" s="1" t="str">
        <f>HYPERLINK("http://www.twitter.com/banuakdenizli/status/1592892385486589953", "1592892385486589953")</f>
        <v>1592892385486589953</v>
      </c>
      <c r="B497" t="s">
        <v>15</v>
      </c>
      <c r="C497" s="2">
        <v>44881.617048611108</v>
      </c>
      <c r="D497">
        <v>0</v>
      </c>
      <c r="E497">
        <v>10</v>
      </c>
      <c r="F497" t="s">
        <v>17</v>
      </c>
      <c r="G497" t="s">
        <v>546</v>
      </c>
      <c r="H497" t="str">
        <f>HYPERLINK("http://pbs.twimg.com/media/FhrDPL3X0AAoJWS.jpg", "http://pbs.twimg.com/media/FhrDPL3X0AAoJWS.jpg")</f>
        <v>http://pbs.twimg.com/media/FhrDPL3X0AAoJWS.jpg</v>
      </c>
      <c r="L497">
        <v>0</v>
      </c>
      <c r="M497">
        <v>0</v>
      </c>
      <c r="N497">
        <v>1</v>
      </c>
      <c r="O497">
        <v>0</v>
      </c>
    </row>
    <row r="498" spans="1:15" x14ac:dyDescent="0.2">
      <c r="A498" s="1" t="str">
        <f>HYPERLINK("http://www.twitter.com/banuakdenizli/status/1592879003287040000", "1592879003287040000")</f>
        <v>1592879003287040000</v>
      </c>
      <c r="B498" t="s">
        <v>15</v>
      </c>
      <c r="C498" s="2">
        <v>44881.580127314817</v>
      </c>
      <c r="D498">
        <v>0</v>
      </c>
      <c r="E498">
        <v>4</v>
      </c>
      <c r="F498" t="s">
        <v>16</v>
      </c>
      <c r="G498" t="s">
        <v>547</v>
      </c>
      <c r="H498" t="str">
        <f>HYPERLINK("http://pbs.twimg.com/media/FhrYsi4WIAYdIrB.jpg", "http://pbs.twimg.com/media/FhrYsi4WIAYdIrB.jpg")</f>
        <v>http://pbs.twimg.com/media/FhrYsi4WIAYdIrB.jpg</v>
      </c>
      <c r="L498">
        <v>0</v>
      </c>
      <c r="M498">
        <v>0</v>
      </c>
      <c r="N498">
        <v>1</v>
      </c>
      <c r="O498">
        <v>0</v>
      </c>
    </row>
    <row r="499" spans="1:15" x14ac:dyDescent="0.2">
      <c r="A499" s="1" t="str">
        <f>HYPERLINK("http://www.twitter.com/banuakdenizli/status/1592878987428376576", "1592878987428376576")</f>
        <v>1592878987428376576</v>
      </c>
      <c r="B499" t="s">
        <v>15</v>
      </c>
      <c r="C499" s="2">
        <v>44881.580081018517</v>
      </c>
      <c r="D499">
        <v>0</v>
      </c>
      <c r="E499">
        <v>4</v>
      </c>
      <c r="F499" t="s">
        <v>17</v>
      </c>
      <c r="G499" t="s">
        <v>548</v>
      </c>
      <c r="H499" t="str">
        <f>HYPERLINK("http://pbs.twimg.com/media/FhriUYCX0AobOV9.jpg", "http://pbs.twimg.com/media/FhriUYCX0AobOV9.jpg")</f>
        <v>http://pbs.twimg.com/media/FhriUYCX0AobOV9.jpg</v>
      </c>
      <c r="L499">
        <v>0</v>
      </c>
      <c r="M499">
        <v>0</v>
      </c>
      <c r="N499">
        <v>1</v>
      </c>
      <c r="O499">
        <v>0</v>
      </c>
    </row>
    <row r="500" spans="1:15" x14ac:dyDescent="0.2">
      <c r="A500" s="1" t="str">
        <f>HYPERLINK("http://www.twitter.com/banuakdenizli/status/1592719194990477312", "1592719194990477312")</f>
        <v>1592719194990477312</v>
      </c>
      <c r="B500" t="s">
        <v>15</v>
      </c>
      <c r="C500" s="2">
        <v>44881.139143518521</v>
      </c>
      <c r="D500">
        <v>0</v>
      </c>
      <c r="E500">
        <v>7</v>
      </c>
      <c r="F500" t="s">
        <v>17</v>
      </c>
      <c r="G500" t="s">
        <v>549</v>
      </c>
      <c r="H500" t="str">
        <f>HYPERLINK("http://pbs.twimg.com/media/Fhp3YV3X0AEArAX.jpg", "http://pbs.twimg.com/media/Fhp3YV3X0AEArAX.jpg")</f>
        <v>http://pbs.twimg.com/media/Fhp3YV3X0AEArAX.jpg</v>
      </c>
      <c r="L500">
        <v>-0.58589999999999998</v>
      </c>
      <c r="M500">
        <v>0.29599999999999999</v>
      </c>
      <c r="N500">
        <v>0.52500000000000002</v>
      </c>
      <c r="O500">
        <v>0.17899999999999999</v>
      </c>
    </row>
    <row r="501" spans="1:15" x14ac:dyDescent="0.2">
      <c r="A501" s="1" t="str">
        <f>HYPERLINK("http://www.twitter.com/banuakdenizli/status/1592611275661783040", "1592611275661783040")</f>
        <v>1592611275661783040</v>
      </c>
      <c r="B501" t="s">
        <v>15</v>
      </c>
      <c r="C501" s="2">
        <v>44880.84134259259</v>
      </c>
      <c r="D501">
        <v>0</v>
      </c>
      <c r="E501">
        <v>3</v>
      </c>
      <c r="F501" t="s">
        <v>16</v>
      </c>
      <c r="G501" t="s">
        <v>550</v>
      </c>
      <c r="H501" t="str">
        <f>HYPERLINK("https://video.twimg.com/ext_tw_video/1592585565366517761/pu/vid/1280x720/8DHGVbyipI1o2BDm.mp4?tag=12", "https://video.twimg.com/ext_tw_video/1592585565366517761/pu/vid/1280x720/8DHGVbyipI1o2BDm.mp4?tag=12")</f>
        <v>https://video.twimg.com/ext_tw_video/1592585565366517761/pu/vid/1280x720/8DHGVbyipI1o2BDm.mp4?tag=12</v>
      </c>
      <c r="L501">
        <v>0</v>
      </c>
      <c r="M501">
        <v>0</v>
      </c>
      <c r="N501">
        <v>1</v>
      </c>
      <c r="O501">
        <v>0</v>
      </c>
    </row>
    <row r="502" spans="1:15" x14ac:dyDescent="0.2">
      <c r="A502" s="1" t="str">
        <f>HYPERLINK("http://www.twitter.com/banuakdenizli/status/1592611026964721664", "1592611026964721664")</f>
        <v>1592611026964721664</v>
      </c>
      <c r="B502" t="s">
        <v>15</v>
      </c>
      <c r="C502" s="2">
        <v>44880.840648148151</v>
      </c>
      <c r="D502">
        <v>0</v>
      </c>
      <c r="E502">
        <v>6</v>
      </c>
      <c r="F502" t="s">
        <v>16</v>
      </c>
      <c r="G502" t="s">
        <v>551</v>
      </c>
      <c r="H502" t="str">
        <f>HYPERLINK("http://pbs.twimg.com/media/FhoWuUkX0AE1J0v.jpg", "http://pbs.twimg.com/media/FhoWuUkX0AE1J0v.jpg")</f>
        <v>http://pbs.twimg.com/media/FhoWuUkX0AE1J0v.jpg</v>
      </c>
      <c r="L502">
        <v>0</v>
      </c>
      <c r="M502">
        <v>0</v>
      </c>
      <c r="N502">
        <v>1</v>
      </c>
      <c r="O502">
        <v>0</v>
      </c>
    </row>
    <row r="503" spans="1:15" x14ac:dyDescent="0.2">
      <c r="A503" s="1" t="str">
        <f>HYPERLINK("http://www.twitter.com/banuakdenizli/status/1592610788073955329", "1592610788073955329")</f>
        <v>1592610788073955329</v>
      </c>
      <c r="B503" t="s">
        <v>15</v>
      </c>
      <c r="C503" s="2">
        <v>44880.839988425927</v>
      </c>
      <c r="D503">
        <v>0</v>
      </c>
      <c r="E503">
        <v>4</v>
      </c>
      <c r="F503" t="s">
        <v>16</v>
      </c>
      <c r="G503" t="s">
        <v>552</v>
      </c>
      <c r="H503" t="str">
        <f>HYPERLINK("http://pbs.twimg.com/media/Fhn_fuKXoAIohY6.jpg", "http://pbs.twimg.com/media/Fhn_fuKXoAIohY6.jpg")</f>
        <v>http://pbs.twimg.com/media/Fhn_fuKXoAIohY6.jpg</v>
      </c>
      <c r="I503" t="str">
        <f>HYPERLINK("http://pbs.twimg.com/media/Fhn_fuHXoAIyTQ_.jpg", "http://pbs.twimg.com/media/Fhn_fuHXoAIyTQ_.jpg")</f>
        <v>http://pbs.twimg.com/media/Fhn_fuHXoAIyTQ_.jpg</v>
      </c>
      <c r="J503" t="str">
        <f>HYPERLINK("http://pbs.twimg.com/media/Fhn_fuBWIAAbprK.jpg", "http://pbs.twimg.com/media/Fhn_fuBWIAAbprK.jpg")</f>
        <v>http://pbs.twimg.com/media/Fhn_fuBWIAAbprK.jpg</v>
      </c>
      <c r="L503">
        <v>0</v>
      </c>
      <c r="M503">
        <v>0</v>
      </c>
      <c r="N503">
        <v>1</v>
      </c>
      <c r="O503">
        <v>0</v>
      </c>
    </row>
    <row r="504" spans="1:15" x14ac:dyDescent="0.2">
      <c r="A504" s="1" t="str">
        <f>HYPERLINK("http://www.twitter.com/banuakdenizli/status/1592610774027231232", "1592610774027231232")</f>
        <v>1592610774027231232</v>
      </c>
      <c r="B504" t="s">
        <v>15</v>
      </c>
      <c r="C504" s="2">
        <v>44880.839953703697</v>
      </c>
      <c r="D504">
        <v>0</v>
      </c>
      <c r="E504">
        <v>4</v>
      </c>
      <c r="F504" t="s">
        <v>16</v>
      </c>
      <c r="G504" t="s">
        <v>553</v>
      </c>
      <c r="H504" t="str">
        <f>HYPERLINK("http://pbs.twimg.com/media/Fhn-m_ZWAAEmgSj.jpg", "http://pbs.twimg.com/media/Fhn-m_ZWAAEmgSj.jpg")</f>
        <v>http://pbs.twimg.com/media/Fhn-m_ZWAAEmgSj.jpg</v>
      </c>
      <c r="L504">
        <v>0</v>
      </c>
      <c r="M504">
        <v>0</v>
      </c>
      <c r="N504">
        <v>1</v>
      </c>
      <c r="O504">
        <v>0</v>
      </c>
    </row>
    <row r="505" spans="1:15" x14ac:dyDescent="0.2">
      <c r="A505" s="1" t="str">
        <f>HYPERLINK("http://www.twitter.com/banuakdenizli/status/1592610420841672704", "1592610420841672704")</f>
        <v>1592610420841672704</v>
      </c>
      <c r="B505" t="s">
        <v>15</v>
      </c>
      <c r="C505" s="2">
        <v>44880.83898148148</v>
      </c>
      <c r="D505">
        <v>0</v>
      </c>
      <c r="E505">
        <v>19</v>
      </c>
      <c r="F505" t="s">
        <v>17</v>
      </c>
      <c r="G505" t="s">
        <v>554</v>
      </c>
      <c r="H505" t="str">
        <f>HYPERLINK("http://pbs.twimg.com/media/FhoDItPXgAESnGJ.jpg", "http://pbs.twimg.com/media/FhoDItPXgAESnGJ.jpg")</f>
        <v>http://pbs.twimg.com/media/FhoDItPXgAESnGJ.jpg</v>
      </c>
      <c r="I505" t="str">
        <f>HYPERLINK("http://pbs.twimg.com/media/FhoDItOXgAIXXX3.jpg", "http://pbs.twimg.com/media/FhoDItOXgAIXXX3.jpg")</f>
        <v>http://pbs.twimg.com/media/FhoDItOXgAIXXX3.jpg</v>
      </c>
      <c r="J505" t="str">
        <f>HYPERLINK("http://pbs.twimg.com/media/FhoDItTXoA4HcSb.jpg", "http://pbs.twimg.com/media/FhoDItTXoA4HcSb.jpg")</f>
        <v>http://pbs.twimg.com/media/FhoDItTXoA4HcSb.jpg</v>
      </c>
      <c r="L505">
        <v>0</v>
      </c>
      <c r="M505">
        <v>0</v>
      </c>
      <c r="N505">
        <v>1</v>
      </c>
      <c r="O505">
        <v>0</v>
      </c>
    </row>
    <row r="506" spans="1:15" x14ac:dyDescent="0.2">
      <c r="A506" s="1" t="str">
        <f>HYPERLINK("http://www.twitter.com/banuakdenizli/status/1592610403066212353", "1592610403066212353")</f>
        <v>1592610403066212353</v>
      </c>
      <c r="B506" t="s">
        <v>15</v>
      </c>
      <c r="C506" s="2">
        <v>44880.838935185187</v>
      </c>
      <c r="D506">
        <v>0</v>
      </c>
      <c r="E506">
        <v>5</v>
      </c>
      <c r="F506" t="s">
        <v>17</v>
      </c>
      <c r="G506" t="s">
        <v>555</v>
      </c>
      <c r="H506" t="str">
        <f>HYPERLINK("http://pbs.twimg.com/media/FhoT8fWWIAAolia.jpg", "http://pbs.twimg.com/media/FhoT8fWWIAAolia.jpg")</f>
        <v>http://pbs.twimg.com/media/FhoT8fWWIAAolia.jpg</v>
      </c>
      <c r="L506">
        <v>0</v>
      </c>
      <c r="M506">
        <v>0</v>
      </c>
      <c r="N506">
        <v>1</v>
      </c>
      <c r="O506">
        <v>0</v>
      </c>
    </row>
    <row r="507" spans="1:15" x14ac:dyDescent="0.2">
      <c r="A507" s="1" t="str">
        <f>HYPERLINK("http://www.twitter.com/banuakdenizli/status/1592496886367555585", "1592496886367555585")</f>
        <v>1592496886367555585</v>
      </c>
      <c r="B507" t="s">
        <v>15</v>
      </c>
      <c r="C507" s="2">
        <v>44880.525682870371</v>
      </c>
      <c r="D507">
        <v>0</v>
      </c>
      <c r="E507">
        <v>7</v>
      </c>
      <c r="F507" t="s">
        <v>24</v>
      </c>
      <c r="G507" t="s">
        <v>556</v>
      </c>
      <c r="H507" t="str">
        <f>HYPERLINK("http://pbs.twimg.com/media/FhmtrIHXEAEr1PE.jpg", "http://pbs.twimg.com/media/FhmtrIHXEAEr1PE.jpg")</f>
        <v>http://pbs.twimg.com/media/FhmtrIHXEAEr1PE.jpg</v>
      </c>
      <c r="I507" t="str">
        <f>HYPERLINK("http://pbs.twimg.com/media/FhmtrICWAAAAWMf.jpg", "http://pbs.twimg.com/media/FhmtrICWAAAAWMf.jpg")</f>
        <v>http://pbs.twimg.com/media/FhmtrICWAAAAWMf.jpg</v>
      </c>
      <c r="J507" t="str">
        <f>HYPERLINK("http://pbs.twimg.com/media/FhmtrIIWIAE8xMF.jpg", "http://pbs.twimg.com/media/FhmtrIIWIAE8xMF.jpg")</f>
        <v>http://pbs.twimg.com/media/FhmtrIIWIAE8xMF.jpg</v>
      </c>
      <c r="L507">
        <v>0</v>
      </c>
      <c r="M507">
        <v>0</v>
      </c>
      <c r="N507">
        <v>1</v>
      </c>
      <c r="O507">
        <v>0</v>
      </c>
    </row>
    <row r="508" spans="1:15" x14ac:dyDescent="0.2">
      <c r="A508" s="1" t="str">
        <f>HYPERLINK("http://www.twitter.com/banuakdenizli/status/1592496836820217863", "1592496836820217863")</f>
        <v>1592496836820217863</v>
      </c>
      <c r="B508" t="s">
        <v>15</v>
      </c>
      <c r="C508" s="2">
        <v>44880.525543981479</v>
      </c>
      <c r="D508">
        <v>0</v>
      </c>
      <c r="E508">
        <v>3</v>
      </c>
      <c r="F508" t="s">
        <v>37</v>
      </c>
      <c r="G508" t="s">
        <v>557</v>
      </c>
      <c r="H508" t="str">
        <f>HYPERLINK("http://pbs.twimg.com/media/FhmL5I5XEAAZPiT.jpg", "http://pbs.twimg.com/media/FhmL5I5XEAAZPiT.jpg")</f>
        <v>http://pbs.twimg.com/media/FhmL5I5XEAAZPiT.jpg</v>
      </c>
      <c r="L508">
        <v>0.51060000000000005</v>
      </c>
      <c r="M508">
        <v>0</v>
      </c>
      <c r="N508">
        <v>0.90700000000000003</v>
      </c>
      <c r="O508">
        <v>9.2999999999999999E-2</v>
      </c>
    </row>
    <row r="509" spans="1:15" x14ac:dyDescent="0.2">
      <c r="A509" s="1" t="str">
        <f>HYPERLINK("http://www.twitter.com/banuakdenizli/status/1592496631295119362", "1592496631295119362")</f>
        <v>1592496631295119362</v>
      </c>
      <c r="B509" t="s">
        <v>15</v>
      </c>
      <c r="C509" s="2">
        <v>44880.524976851862</v>
      </c>
      <c r="D509">
        <v>0</v>
      </c>
      <c r="E509">
        <v>10</v>
      </c>
      <c r="F509" t="s">
        <v>24</v>
      </c>
      <c r="G509" t="s">
        <v>558</v>
      </c>
      <c r="H509" t="str">
        <f>HYPERLINK("https://video.twimg.com/ext_tw_video/1592449675210145793/pu/vid/1280x720/eQfGCGb02VuiXWH_.mp4?tag=12", "https://video.twimg.com/ext_tw_video/1592449675210145793/pu/vid/1280x720/eQfGCGb02VuiXWH_.mp4?tag=12")</f>
        <v>https://video.twimg.com/ext_tw_video/1592449675210145793/pu/vid/1280x720/eQfGCGb02VuiXWH_.mp4?tag=12</v>
      </c>
      <c r="L509">
        <v>0.73509999999999998</v>
      </c>
      <c r="M509">
        <v>0</v>
      </c>
      <c r="N509">
        <v>0.82499999999999996</v>
      </c>
      <c r="O509">
        <v>0.17499999999999999</v>
      </c>
    </row>
    <row r="510" spans="1:15" x14ac:dyDescent="0.2">
      <c r="A510" s="1" t="str">
        <f>HYPERLINK("http://www.twitter.com/banuakdenizli/status/1592495821504716800", "1592495821504716800")</f>
        <v>1592495821504716800</v>
      </c>
      <c r="B510" t="s">
        <v>15</v>
      </c>
      <c r="C510" s="2">
        <v>44880.522743055553</v>
      </c>
      <c r="D510">
        <v>0</v>
      </c>
      <c r="E510">
        <v>7</v>
      </c>
      <c r="F510" t="s">
        <v>17</v>
      </c>
      <c r="G510" t="s">
        <v>559</v>
      </c>
      <c r="H510" t="str">
        <f>HYPERLINK("http://pbs.twimg.com/media/FhltmGHXgAAxpxc.jpg", "http://pbs.twimg.com/media/FhltmGHXgAAxpxc.jpg")</f>
        <v>http://pbs.twimg.com/media/FhltmGHXgAAxpxc.jpg</v>
      </c>
      <c r="I510" t="str">
        <f>HYPERLINK("http://pbs.twimg.com/media/FhltmGFWAAMZCTV.jpg", "http://pbs.twimg.com/media/FhltmGFWAAMZCTV.jpg")</f>
        <v>http://pbs.twimg.com/media/FhltmGFWAAMZCTV.jpg</v>
      </c>
      <c r="L510">
        <v>0</v>
      </c>
      <c r="M510">
        <v>0</v>
      </c>
      <c r="N510">
        <v>1</v>
      </c>
      <c r="O510">
        <v>0</v>
      </c>
    </row>
    <row r="511" spans="1:15" x14ac:dyDescent="0.2">
      <c r="A511" s="1" t="str">
        <f>HYPERLINK("http://www.twitter.com/banuakdenizli/status/1592495709152215040", "1592495709152215040")</f>
        <v>1592495709152215040</v>
      </c>
      <c r="B511" t="s">
        <v>15</v>
      </c>
      <c r="C511" s="2">
        <v>44880.522430555553</v>
      </c>
      <c r="D511">
        <v>0</v>
      </c>
      <c r="E511">
        <v>9</v>
      </c>
      <c r="F511" t="s">
        <v>16</v>
      </c>
      <c r="G511" t="s">
        <v>560</v>
      </c>
      <c r="H511" t="str">
        <f>HYPERLINK("http://pbs.twimg.com/media/FhlRLusWYAEeGb6.jpg", "http://pbs.twimg.com/media/FhlRLusWYAEeGb6.jpg")</f>
        <v>http://pbs.twimg.com/media/FhlRLusWYAEeGb6.jpg</v>
      </c>
      <c r="I511" t="str">
        <f>HYPERLINK("http://pbs.twimg.com/media/FhlRLttXoAAceyw.jpg", "http://pbs.twimg.com/media/FhlRLttXoAAceyw.jpg")</f>
        <v>http://pbs.twimg.com/media/FhlRLttXoAAceyw.jpg</v>
      </c>
      <c r="L511">
        <v>0</v>
      </c>
      <c r="M511">
        <v>0</v>
      </c>
      <c r="N511">
        <v>1</v>
      </c>
      <c r="O511">
        <v>0</v>
      </c>
    </row>
    <row r="512" spans="1:15" x14ac:dyDescent="0.2">
      <c r="A512" s="1" t="str">
        <f>HYPERLINK("http://www.twitter.com/banuakdenizli/status/1592299855271149569", "1592299855271149569")</f>
        <v>1592299855271149569</v>
      </c>
      <c r="B512" t="s">
        <v>15</v>
      </c>
      <c r="C512" s="2">
        <v>44879.981979166667</v>
      </c>
      <c r="D512">
        <v>0</v>
      </c>
      <c r="E512">
        <v>1</v>
      </c>
      <c r="F512" t="s">
        <v>20</v>
      </c>
      <c r="G512" t="s">
        <v>561</v>
      </c>
      <c r="H512" t="str">
        <f>HYPERLINK("http://pbs.twimg.com/media/FhjCdDKXwAAA5xo.jpg", "http://pbs.twimg.com/media/FhjCdDKXwAAA5xo.jpg")</f>
        <v>http://pbs.twimg.com/media/FhjCdDKXwAAA5xo.jpg</v>
      </c>
      <c r="I512" t="str">
        <f>HYPERLINK("http://pbs.twimg.com/media/FhjCdDFXgAIiw2N.jpg", "http://pbs.twimg.com/media/FhjCdDFXgAIiw2N.jpg")</f>
        <v>http://pbs.twimg.com/media/FhjCdDFXgAIiw2N.jpg</v>
      </c>
      <c r="J512" t="str">
        <f>HYPERLINK("http://pbs.twimg.com/media/FhjCdDEWYAA9P04.jpg", "http://pbs.twimg.com/media/FhjCdDEWYAA9P04.jpg")</f>
        <v>http://pbs.twimg.com/media/FhjCdDEWYAA9P04.jpg</v>
      </c>
      <c r="L512">
        <v>0</v>
      </c>
      <c r="M512">
        <v>0</v>
      </c>
      <c r="N512">
        <v>1</v>
      </c>
      <c r="O512">
        <v>0</v>
      </c>
    </row>
    <row r="513" spans="1:15" x14ac:dyDescent="0.2">
      <c r="A513" s="1" t="str">
        <f>HYPERLINK("http://www.twitter.com/banuakdenizli/status/1592228687017119747", "1592228687017119747")</f>
        <v>1592228687017119747</v>
      </c>
      <c r="B513" t="s">
        <v>15</v>
      </c>
      <c r="C513" s="2">
        <v>44879.785590277781</v>
      </c>
      <c r="D513">
        <v>0</v>
      </c>
      <c r="E513">
        <v>6</v>
      </c>
      <c r="F513" t="s">
        <v>17</v>
      </c>
      <c r="G513" t="s">
        <v>562</v>
      </c>
      <c r="H513" t="str">
        <f>HYPERLINK("http://pbs.twimg.com/media/Fhi7aEMXkAUKQh7.jpg", "http://pbs.twimg.com/media/Fhi7aEMXkAUKQh7.jpg")</f>
        <v>http://pbs.twimg.com/media/Fhi7aEMXkAUKQh7.jpg</v>
      </c>
      <c r="I513" t="str">
        <f>HYPERLINK("http://pbs.twimg.com/media/Fhi7aERXgAIsjY4.jpg", "http://pbs.twimg.com/media/Fhi7aERXgAIsjY4.jpg")</f>
        <v>http://pbs.twimg.com/media/Fhi7aERXgAIsjY4.jpg</v>
      </c>
      <c r="L513">
        <v>0</v>
      </c>
      <c r="M513">
        <v>0</v>
      </c>
      <c r="N513">
        <v>1</v>
      </c>
      <c r="O513">
        <v>0</v>
      </c>
    </row>
    <row r="514" spans="1:15" x14ac:dyDescent="0.2">
      <c r="A514" s="1" t="str">
        <f>HYPERLINK("http://www.twitter.com/banuakdenizli/status/1592226053187338240", "1592226053187338240")</f>
        <v>1592226053187338240</v>
      </c>
      <c r="B514" t="s">
        <v>15</v>
      </c>
      <c r="C514" s="2">
        <v>44879.778321759259</v>
      </c>
      <c r="D514">
        <v>0</v>
      </c>
      <c r="E514">
        <v>2</v>
      </c>
      <c r="F514" t="s">
        <v>17</v>
      </c>
      <c r="G514" t="s">
        <v>563</v>
      </c>
      <c r="H514" t="str">
        <f>HYPERLINK("http://pbs.twimg.com/media/FhivdHEXgAokGlo.jpg", "http://pbs.twimg.com/media/FhivdHEXgAokGlo.jpg")</f>
        <v>http://pbs.twimg.com/media/FhivdHEXgAokGlo.jpg</v>
      </c>
      <c r="I514" t="str">
        <f>HYPERLINK("http://pbs.twimg.com/media/FhivdHDXkAAc9T0.jpg", "http://pbs.twimg.com/media/FhivdHDXkAAc9T0.jpg")</f>
        <v>http://pbs.twimg.com/media/FhivdHDXkAAc9T0.jpg</v>
      </c>
      <c r="J514" t="str">
        <f>HYPERLINK("http://pbs.twimg.com/media/FhivdHDWYAI67KO.jpg", "http://pbs.twimg.com/media/FhivdHDWYAI67KO.jpg")</f>
        <v>http://pbs.twimg.com/media/FhivdHDWYAI67KO.jpg</v>
      </c>
      <c r="L514">
        <v>0</v>
      </c>
      <c r="M514">
        <v>0</v>
      </c>
      <c r="N514">
        <v>1</v>
      </c>
      <c r="O514">
        <v>0</v>
      </c>
    </row>
    <row r="515" spans="1:15" x14ac:dyDescent="0.2">
      <c r="A515" s="1" t="str">
        <f>HYPERLINK("http://www.twitter.com/banuakdenizli/status/1592225656569479169", "1592225656569479169")</f>
        <v>1592225656569479169</v>
      </c>
      <c r="B515" t="s">
        <v>15</v>
      </c>
      <c r="C515" s="2">
        <v>44879.777233796303</v>
      </c>
      <c r="D515">
        <v>0</v>
      </c>
      <c r="E515">
        <v>9</v>
      </c>
      <c r="F515" t="s">
        <v>16</v>
      </c>
      <c r="G515" t="s">
        <v>564</v>
      </c>
      <c r="H515" t="str">
        <f>HYPERLINK("http://pbs.twimg.com/media/FhistifWYAIX8mX.jpg", "http://pbs.twimg.com/media/FhistifWYAIX8mX.jpg")</f>
        <v>http://pbs.twimg.com/media/FhistifWYAIX8mX.jpg</v>
      </c>
      <c r="I515" t="str">
        <f>HYPERLINK("http://pbs.twimg.com/media/FhistiiXwAEfWxc.jpg", "http://pbs.twimg.com/media/FhistiiXwAEfWxc.jpg")</f>
        <v>http://pbs.twimg.com/media/FhistiiXwAEfWxc.jpg</v>
      </c>
      <c r="L515">
        <v>0</v>
      </c>
      <c r="M515">
        <v>0</v>
      </c>
      <c r="N515">
        <v>1</v>
      </c>
      <c r="O515">
        <v>0</v>
      </c>
    </row>
    <row r="516" spans="1:15" x14ac:dyDescent="0.2">
      <c r="A516" s="1" t="str">
        <f>HYPERLINK("http://www.twitter.com/banuakdenizli/status/1592181221165273088", "1592181221165273088")</f>
        <v>1592181221165273088</v>
      </c>
      <c r="B516" t="s">
        <v>15</v>
      </c>
      <c r="C516" s="2">
        <v>44879.654618055552</v>
      </c>
      <c r="D516">
        <v>0</v>
      </c>
      <c r="E516">
        <v>6</v>
      </c>
      <c r="F516" t="s">
        <v>35</v>
      </c>
      <c r="G516" t="s">
        <v>565</v>
      </c>
      <c r="L516">
        <v>0.38179999999999997</v>
      </c>
      <c r="M516">
        <v>0.126</v>
      </c>
      <c r="N516">
        <v>0.67800000000000005</v>
      </c>
      <c r="O516">
        <v>0.19600000000000001</v>
      </c>
    </row>
    <row r="517" spans="1:15" x14ac:dyDescent="0.2">
      <c r="A517" s="1" t="str">
        <f>HYPERLINK("http://www.twitter.com/banuakdenizli/status/1592128494519353345", "1592128494519353345")</f>
        <v>1592128494519353345</v>
      </c>
      <c r="B517" t="s">
        <v>15</v>
      </c>
      <c r="C517" s="2">
        <v>44879.509120370371</v>
      </c>
      <c r="D517">
        <v>0</v>
      </c>
      <c r="E517">
        <v>4</v>
      </c>
      <c r="F517" t="s">
        <v>20</v>
      </c>
      <c r="G517" t="s">
        <v>566</v>
      </c>
      <c r="H517" t="str">
        <f>HYPERLINK("https://video.twimg.com/ext_tw_video/1592118354457890816/pu/vid/1280x720/Ki4xHyf6hXGQrpci.mp4?tag=12", "https://video.twimg.com/ext_tw_video/1592118354457890816/pu/vid/1280x720/Ki4xHyf6hXGQrpci.mp4?tag=12")</f>
        <v>https://video.twimg.com/ext_tw_video/1592118354457890816/pu/vid/1280x720/Ki4xHyf6hXGQrpci.mp4?tag=12</v>
      </c>
      <c r="L517">
        <v>0</v>
      </c>
      <c r="M517">
        <v>0</v>
      </c>
      <c r="N517">
        <v>1</v>
      </c>
      <c r="O517">
        <v>0</v>
      </c>
    </row>
    <row r="518" spans="1:15" x14ac:dyDescent="0.2">
      <c r="A518" s="1" t="str">
        <f>HYPERLINK("http://www.twitter.com/banuakdenizli/status/1591963927474503680", "1591963927474503680")</f>
        <v>1591963927474503680</v>
      </c>
      <c r="B518" t="s">
        <v>15</v>
      </c>
      <c r="C518" s="2">
        <v>44879.055</v>
      </c>
      <c r="D518">
        <v>0</v>
      </c>
      <c r="E518">
        <v>47</v>
      </c>
      <c r="F518" t="s">
        <v>24</v>
      </c>
      <c r="G518" t="s">
        <v>567</v>
      </c>
      <c r="H518" t="str">
        <f>HYPERLINK("https://video.twimg.com/ext_tw_video/1590760384998277120/pu/vid/960x540/jYkQQkF8Oidm_iyK.mp4?tag=12", "https://video.twimg.com/ext_tw_video/1590760384998277120/pu/vid/960x540/jYkQQkF8Oidm_iyK.mp4?tag=12")</f>
        <v>https://video.twimg.com/ext_tw_video/1590760384998277120/pu/vid/960x540/jYkQQkF8Oidm_iyK.mp4?tag=12</v>
      </c>
      <c r="L518">
        <v>0.59940000000000004</v>
      </c>
      <c r="M518">
        <v>0</v>
      </c>
      <c r="N518">
        <v>0.89300000000000002</v>
      </c>
      <c r="O518">
        <v>0.107</v>
      </c>
    </row>
    <row r="519" spans="1:15" x14ac:dyDescent="0.2">
      <c r="A519" s="1" t="str">
        <f>HYPERLINK("http://www.twitter.com/banuakdenizli/status/1591963892212703233", "1591963892212703233")</f>
        <v>1591963892212703233</v>
      </c>
      <c r="B519" t="s">
        <v>15</v>
      </c>
      <c r="C519" s="2">
        <v>44879.054895833331</v>
      </c>
      <c r="D519">
        <v>0</v>
      </c>
      <c r="E519">
        <v>4</v>
      </c>
      <c r="F519" t="s">
        <v>42</v>
      </c>
      <c r="G519" t="s">
        <v>568</v>
      </c>
      <c r="H519" t="str">
        <f>HYPERLINK("https://video.twimg.com/ext_tw_video/1591686305104203776/pu/vid/848x480/efixkecBP4gu2dqJ.mp4?tag=12", "https://video.twimg.com/ext_tw_video/1591686305104203776/pu/vid/848x480/efixkecBP4gu2dqJ.mp4?tag=12")</f>
        <v>https://video.twimg.com/ext_tw_video/1591686305104203776/pu/vid/848x480/efixkecBP4gu2dqJ.mp4?tag=12</v>
      </c>
      <c r="L519">
        <v>0</v>
      </c>
      <c r="M519">
        <v>0</v>
      </c>
      <c r="N519">
        <v>1</v>
      </c>
      <c r="O519">
        <v>0</v>
      </c>
    </row>
    <row r="520" spans="1:15" x14ac:dyDescent="0.2">
      <c r="A520" s="1" t="str">
        <f>HYPERLINK("http://www.twitter.com/banuakdenizli/status/1591902354257113088", "1591902354257113088")</f>
        <v>1591902354257113088</v>
      </c>
      <c r="B520" t="s">
        <v>15</v>
      </c>
      <c r="C520" s="2">
        <v>44878.885092592587</v>
      </c>
      <c r="D520">
        <v>0</v>
      </c>
      <c r="E520">
        <v>2</v>
      </c>
      <c r="F520" t="s">
        <v>29</v>
      </c>
      <c r="G520" t="s">
        <v>569</v>
      </c>
      <c r="H520" t="str">
        <f>HYPERLINK("http://pbs.twimg.com/media/Fhd30j8X0AAv9Ux.jpg", "http://pbs.twimg.com/media/Fhd30j8X0AAv9Ux.jpg")</f>
        <v>http://pbs.twimg.com/media/Fhd30j8X0AAv9Ux.jpg</v>
      </c>
      <c r="L520">
        <v>-0.47670000000000001</v>
      </c>
      <c r="M520">
        <v>0.13900000000000001</v>
      </c>
      <c r="N520">
        <v>0.80800000000000005</v>
      </c>
      <c r="O520">
        <v>5.2999999999999999E-2</v>
      </c>
    </row>
    <row r="521" spans="1:15" x14ac:dyDescent="0.2">
      <c r="A521" s="1" t="str">
        <f>HYPERLINK("http://www.twitter.com/banuakdenizli/status/1591902257515216897", "1591902257515216897")</f>
        <v>1591902257515216897</v>
      </c>
      <c r="B521" t="s">
        <v>15</v>
      </c>
      <c r="C521" s="2">
        <v>44878.884814814817</v>
      </c>
      <c r="D521">
        <v>0</v>
      </c>
      <c r="E521">
        <v>105</v>
      </c>
      <c r="F521" t="s">
        <v>29</v>
      </c>
      <c r="G521" t="s">
        <v>570</v>
      </c>
      <c r="H521" t="str">
        <f>HYPERLINK("http://pbs.twimg.com/media/FhdSIfkXgAEMlLW.jpg", "http://pbs.twimg.com/media/FhdSIfkXgAEMlLW.jpg")</f>
        <v>http://pbs.twimg.com/media/FhdSIfkXgAEMlLW.jpg</v>
      </c>
      <c r="I521" t="str">
        <f>HYPERLINK("http://pbs.twimg.com/media/FhdSIfsWIAI8xxt.jpg", "http://pbs.twimg.com/media/FhdSIfsWIAI8xxt.jpg")</f>
        <v>http://pbs.twimg.com/media/FhdSIfsWIAI8xxt.jpg</v>
      </c>
      <c r="L521">
        <v>0</v>
      </c>
      <c r="M521">
        <v>0</v>
      </c>
      <c r="N521">
        <v>1</v>
      </c>
      <c r="O521">
        <v>0</v>
      </c>
    </row>
    <row r="522" spans="1:15" x14ac:dyDescent="0.2">
      <c r="A522" s="1" t="str">
        <f>HYPERLINK("http://www.twitter.com/banuakdenizli/status/1591902178280894464", "1591902178280894464")</f>
        <v>1591902178280894464</v>
      </c>
      <c r="B522" t="s">
        <v>15</v>
      </c>
      <c r="C522" s="2">
        <v>44878.884606481479</v>
      </c>
      <c r="D522">
        <v>0</v>
      </c>
      <c r="E522">
        <v>1</v>
      </c>
      <c r="F522" t="s">
        <v>29</v>
      </c>
      <c r="G522" t="s">
        <v>571</v>
      </c>
      <c r="H522" t="str">
        <f>HYPERLINK("http://pbs.twimg.com/media/FheRE5qWIAYOLz8.jpg", "http://pbs.twimg.com/media/FheRE5qWIAYOLz8.jpg")</f>
        <v>http://pbs.twimg.com/media/FheRE5qWIAYOLz8.jpg</v>
      </c>
      <c r="L522">
        <v>0.69079999999999997</v>
      </c>
      <c r="M522">
        <v>0</v>
      </c>
      <c r="N522">
        <v>0.78700000000000003</v>
      </c>
      <c r="O522">
        <v>0.21299999999999999</v>
      </c>
    </row>
    <row r="523" spans="1:15" x14ac:dyDescent="0.2">
      <c r="A523" s="1" t="str">
        <f>HYPERLINK("http://www.twitter.com/banuakdenizli/status/1591902034445361152", "1591902034445361152")</f>
        <v>1591902034445361152</v>
      </c>
      <c r="B523" t="s">
        <v>15</v>
      </c>
      <c r="C523" s="2">
        <v>44878.884201388893</v>
      </c>
      <c r="D523">
        <v>0</v>
      </c>
      <c r="E523">
        <v>1</v>
      </c>
      <c r="F523" t="s">
        <v>38</v>
      </c>
      <c r="G523" t="s">
        <v>572</v>
      </c>
      <c r="H523" t="str">
        <f>HYPERLINK("http://pbs.twimg.com/media/FheSPCLWIAA7wXY.jpg", "http://pbs.twimg.com/media/FheSPCLWIAA7wXY.jpg")</f>
        <v>http://pbs.twimg.com/media/FheSPCLWIAA7wXY.jpg</v>
      </c>
      <c r="L523">
        <v>0</v>
      </c>
      <c r="M523">
        <v>0</v>
      </c>
      <c r="N523">
        <v>1</v>
      </c>
      <c r="O523">
        <v>0</v>
      </c>
    </row>
    <row r="524" spans="1:15" x14ac:dyDescent="0.2">
      <c r="A524" s="1" t="str">
        <f>HYPERLINK("http://www.twitter.com/banuakdenizli/status/1591901942002900992", "1591901942002900992")</f>
        <v>1591901942002900992</v>
      </c>
      <c r="B524" t="s">
        <v>15</v>
      </c>
      <c r="C524" s="2">
        <v>44878.883946759262</v>
      </c>
      <c r="D524">
        <v>0</v>
      </c>
      <c r="E524">
        <v>4</v>
      </c>
      <c r="F524" t="s">
        <v>22</v>
      </c>
      <c r="G524" t="s">
        <v>573</v>
      </c>
      <c r="H524" t="str">
        <f>HYPERLINK("http://pbs.twimg.com/media/Fhd4NuHWAAMO_nP.jpg", "http://pbs.twimg.com/media/Fhd4NuHWAAMO_nP.jpg")</f>
        <v>http://pbs.twimg.com/media/Fhd4NuHWAAMO_nP.jpg</v>
      </c>
      <c r="L524">
        <v>0</v>
      </c>
      <c r="M524">
        <v>0</v>
      </c>
      <c r="N524">
        <v>1</v>
      </c>
      <c r="O524">
        <v>0</v>
      </c>
    </row>
    <row r="525" spans="1:15" x14ac:dyDescent="0.2">
      <c r="A525" s="1" t="str">
        <f>HYPERLINK("http://www.twitter.com/banuakdenizli/status/1591901905604980736", "1591901905604980736")</f>
        <v>1591901905604980736</v>
      </c>
      <c r="B525" t="s">
        <v>15</v>
      </c>
      <c r="C525" s="2">
        <v>44878.88385416667</v>
      </c>
      <c r="D525">
        <v>0</v>
      </c>
      <c r="E525">
        <v>8</v>
      </c>
      <c r="F525" t="s">
        <v>29</v>
      </c>
      <c r="G525" t="s">
        <v>574</v>
      </c>
      <c r="H525" t="str">
        <f>HYPERLINK("http://pbs.twimg.com/media/FhduoRoXkAAcC8n.jpg", "http://pbs.twimg.com/media/FhduoRoXkAAcC8n.jpg")</f>
        <v>http://pbs.twimg.com/media/FhduoRoXkAAcC8n.jpg</v>
      </c>
      <c r="I525" t="str">
        <f>HYPERLINK("http://pbs.twimg.com/media/FhduoRfXwAAPfyv.jpg", "http://pbs.twimg.com/media/FhduoRfXwAAPfyv.jpg")</f>
        <v>http://pbs.twimg.com/media/FhduoRfXwAAPfyv.jpg</v>
      </c>
      <c r="L525">
        <v>0.67049999999999998</v>
      </c>
      <c r="M525">
        <v>0</v>
      </c>
      <c r="N525">
        <v>0.85699999999999998</v>
      </c>
      <c r="O525">
        <v>0.14299999999999999</v>
      </c>
    </row>
    <row r="526" spans="1:15" x14ac:dyDescent="0.2">
      <c r="A526" s="1" t="str">
        <f>HYPERLINK("http://www.twitter.com/banuakdenizli/status/1591901853029388289", "1591901853029388289")</f>
        <v>1591901853029388289</v>
      </c>
      <c r="B526" t="s">
        <v>15</v>
      </c>
      <c r="C526" s="2">
        <v>44878.883703703701</v>
      </c>
      <c r="D526">
        <v>0</v>
      </c>
      <c r="E526">
        <v>4</v>
      </c>
      <c r="F526" t="s">
        <v>20</v>
      </c>
      <c r="G526" t="s">
        <v>575</v>
      </c>
      <c r="H526" t="str">
        <f>HYPERLINK("http://pbs.twimg.com/media/FhdqthpWQAksSBI.jpg", "http://pbs.twimg.com/media/FhdqthpWQAksSBI.jpg")</f>
        <v>http://pbs.twimg.com/media/FhdqthpWQAksSBI.jpg</v>
      </c>
      <c r="L526">
        <v>0</v>
      </c>
      <c r="M526">
        <v>0</v>
      </c>
      <c r="N526">
        <v>1</v>
      </c>
      <c r="O526">
        <v>0</v>
      </c>
    </row>
    <row r="527" spans="1:15" x14ac:dyDescent="0.2">
      <c r="A527" s="1" t="str">
        <f>HYPERLINK("http://www.twitter.com/banuakdenizli/status/1591901830162026496", "1591901830162026496")</f>
        <v>1591901830162026496</v>
      </c>
      <c r="B527" t="s">
        <v>15</v>
      </c>
      <c r="C527" s="2">
        <v>44878.883645833332</v>
      </c>
      <c r="D527">
        <v>0</v>
      </c>
      <c r="E527">
        <v>23</v>
      </c>
      <c r="F527" t="s">
        <v>17</v>
      </c>
      <c r="G527" t="s">
        <v>576</v>
      </c>
      <c r="H527" t="str">
        <f>HYPERLINK("http://pbs.twimg.com/media/FhdsoBLWIAEOUwP.jpg", "http://pbs.twimg.com/media/FhdsoBLWIAEOUwP.jpg")</f>
        <v>http://pbs.twimg.com/media/FhdsoBLWIAEOUwP.jpg</v>
      </c>
      <c r="L527">
        <v>-0.29599999999999999</v>
      </c>
      <c r="M527">
        <v>0.26600000000000001</v>
      </c>
      <c r="N527">
        <v>0.56499999999999995</v>
      </c>
      <c r="O527">
        <v>0.16900000000000001</v>
      </c>
    </row>
    <row r="528" spans="1:15" x14ac:dyDescent="0.2">
      <c r="A528" s="1" t="str">
        <f>HYPERLINK("http://www.twitter.com/banuakdenizli/status/1591839768576655362", "1591839768576655362")</f>
        <v>1591839768576655362</v>
      </c>
      <c r="B528" t="s">
        <v>15</v>
      </c>
      <c r="C528" s="2">
        <v>44878.712384259263</v>
      </c>
      <c r="D528">
        <v>0</v>
      </c>
      <c r="E528">
        <v>43</v>
      </c>
      <c r="F528" t="s">
        <v>16</v>
      </c>
      <c r="G528" t="s">
        <v>577</v>
      </c>
      <c r="H528" t="str">
        <f>HYPERLINK("http://pbs.twimg.com/media/FhdYLjoXkAA2zzn.jpg", "http://pbs.twimg.com/media/FhdYLjoXkAA2zzn.jpg")</f>
        <v>http://pbs.twimg.com/media/FhdYLjoXkAA2zzn.jpg</v>
      </c>
      <c r="L528">
        <v>0</v>
      </c>
      <c r="M528">
        <v>0</v>
      </c>
      <c r="N528">
        <v>1</v>
      </c>
      <c r="O528">
        <v>0</v>
      </c>
    </row>
    <row r="529" spans="1:15" x14ac:dyDescent="0.2">
      <c r="A529" s="1" t="str">
        <f>HYPERLINK("http://www.twitter.com/banuakdenizli/status/1591827254233169920", "1591827254233169920")</f>
        <v>1591827254233169920</v>
      </c>
      <c r="B529" t="s">
        <v>15</v>
      </c>
      <c r="C529" s="2">
        <v>44878.677847222221</v>
      </c>
      <c r="D529">
        <v>0</v>
      </c>
      <c r="E529">
        <v>212</v>
      </c>
      <c r="F529" t="s">
        <v>578</v>
      </c>
      <c r="G529" t="s">
        <v>579</v>
      </c>
      <c r="H529" t="str">
        <f>HYPERLINK("http://pbs.twimg.com/media/FhM2_gXXwAMlXo1.jpg", "http://pbs.twimg.com/media/FhM2_gXXwAMlXo1.jpg")</f>
        <v>http://pbs.twimg.com/media/FhM2_gXXwAMlXo1.jpg</v>
      </c>
      <c r="L529">
        <v>0</v>
      </c>
      <c r="M529">
        <v>0</v>
      </c>
      <c r="N529">
        <v>1</v>
      </c>
      <c r="O529">
        <v>0</v>
      </c>
    </row>
    <row r="530" spans="1:15" x14ac:dyDescent="0.2">
      <c r="A530" s="1" t="str">
        <f>HYPERLINK("http://www.twitter.com/banuakdenizli/status/1591603930454446080", "1591603930454446080")</f>
        <v>1591603930454446080</v>
      </c>
      <c r="B530" t="s">
        <v>15</v>
      </c>
      <c r="C530" s="2">
        <v>44878.061597222222</v>
      </c>
      <c r="D530">
        <v>0</v>
      </c>
      <c r="E530">
        <v>1</v>
      </c>
      <c r="F530" t="s">
        <v>20</v>
      </c>
      <c r="G530" t="s">
        <v>580</v>
      </c>
      <c r="H530" t="str">
        <f>HYPERLINK("http://pbs.twimg.com/media/FhEaja8UYAAzIzN.jpg", "http://pbs.twimg.com/media/FhEaja8UYAAzIzN.jpg")</f>
        <v>http://pbs.twimg.com/media/FhEaja8UYAAzIzN.jpg</v>
      </c>
      <c r="L530">
        <v>0</v>
      </c>
      <c r="M530">
        <v>0</v>
      </c>
      <c r="N530">
        <v>1</v>
      </c>
      <c r="O530">
        <v>0</v>
      </c>
    </row>
    <row r="531" spans="1:15" x14ac:dyDescent="0.2">
      <c r="A531" s="1" t="str">
        <f>HYPERLINK("http://www.twitter.com/banuakdenizli/status/1591603805908787201", "1591603805908787201")</f>
        <v>1591603805908787201</v>
      </c>
      <c r="B531" t="s">
        <v>15</v>
      </c>
      <c r="C531" s="2">
        <v>44878.061249999999</v>
      </c>
      <c r="D531">
        <v>0</v>
      </c>
      <c r="E531">
        <v>9</v>
      </c>
      <c r="F531" t="s">
        <v>17</v>
      </c>
      <c r="G531" t="s">
        <v>581</v>
      </c>
      <c r="H531" t="str">
        <f>HYPERLINK("http://pbs.twimg.com/media/FhEXy3VWAAIaU02.jpg", "http://pbs.twimg.com/media/FhEXy3VWAAIaU02.jpg")</f>
        <v>http://pbs.twimg.com/media/FhEXy3VWAAIaU02.jpg</v>
      </c>
      <c r="L531">
        <v>0.29599999999999999</v>
      </c>
      <c r="M531">
        <v>0.13500000000000001</v>
      </c>
      <c r="N531">
        <v>0.63100000000000001</v>
      </c>
      <c r="O531">
        <v>0.23400000000000001</v>
      </c>
    </row>
    <row r="532" spans="1:15" x14ac:dyDescent="0.2">
      <c r="A532" s="1" t="str">
        <f>HYPERLINK("http://www.twitter.com/banuakdenizli/status/1591573350056443904", "1591573350056443904")</f>
        <v>1591573350056443904</v>
      </c>
      <c r="B532" t="s">
        <v>15</v>
      </c>
      <c r="C532" s="2">
        <v>44877.977210648147</v>
      </c>
      <c r="D532">
        <v>0</v>
      </c>
      <c r="E532">
        <v>4</v>
      </c>
      <c r="F532" t="s">
        <v>582</v>
      </c>
      <c r="G532" t="s">
        <v>583</v>
      </c>
      <c r="H532" t="str">
        <f>HYPERLINK("https://video.twimg.com/amplify_video/1590768806653300737/vid/1280x720/8QE9l-2IEGW14Zwn.mp4?tag=14", "https://video.twimg.com/amplify_video/1590768806653300737/vid/1280x720/8QE9l-2IEGW14Zwn.mp4?tag=14")</f>
        <v>https://video.twimg.com/amplify_video/1590768806653300737/vid/1280x720/8QE9l-2IEGW14Zwn.mp4?tag=14</v>
      </c>
      <c r="L532">
        <v>0</v>
      </c>
      <c r="M532">
        <v>0</v>
      </c>
      <c r="N532">
        <v>1</v>
      </c>
      <c r="O532">
        <v>0</v>
      </c>
    </row>
    <row r="533" spans="1:15" x14ac:dyDescent="0.2">
      <c r="A533" s="1" t="str">
        <f>HYPERLINK("http://www.twitter.com/banuakdenizli/status/1591572648722853888", "1591572648722853888")</f>
        <v>1591572648722853888</v>
      </c>
      <c r="B533" t="s">
        <v>15</v>
      </c>
      <c r="C533" s="2">
        <v>44877.975277777783</v>
      </c>
      <c r="D533">
        <v>0</v>
      </c>
      <c r="E533">
        <v>8</v>
      </c>
      <c r="F533" t="s">
        <v>30</v>
      </c>
      <c r="G533" t="s">
        <v>584</v>
      </c>
      <c r="H533" t="str">
        <f>HYPERLINK("http://pbs.twimg.com/media/FhMN_PpWAAI5TUR.jpg", "http://pbs.twimg.com/media/FhMN_PpWAAI5TUR.jpg")</f>
        <v>http://pbs.twimg.com/media/FhMN_PpWAAI5TUR.jpg</v>
      </c>
      <c r="I533" t="str">
        <f>HYPERLINK("http://pbs.twimg.com/media/FhMN_PvWIAEQ0Uh.jpg", "http://pbs.twimg.com/media/FhMN_PvWIAEQ0Uh.jpg")</f>
        <v>http://pbs.twimg.com/media/FhMN_PvWIAEQ0Uh.jpg</v>
      </c>
      <c r="L533">
        <v>0</v>
      </c>
      <c r="M533">
        <v>0</v>
      </c>
      <c r="N533">
        <v>1</v>
      </c>
      <c r="O533">
        <v>0</v>
      </c>
    </row>
    <row r="534" spans="1:15" x14ac:dyDescent="0.2">
      <c r="A534" s="1" t="str">
        <f>HYPERLINK("http://www.twitter.com/banuakdenizli/status/1591568142878543873", "1591568142878543873")</f>
        <v>1591568142878543873</v>
      </c>
      <c r="B534" t="s">
        <v>15</v>
      </c>
      <c r="C534" s="2">
        <v>44877.962835648148</v>
      </c>
      <c r="D534">
        <v>0</v>
      </c>
      <c r="E534">
        <v>5</v>
      </c>
      <c r="F534" t="s">
        <v>38</v>
      </c>
      <c r="G534" t="s">
        <v>585</v>
      </c>
      <c r="H534" t="str">
        <f>HYPERLINK("https://video.twimg.com/ext_tw_video/1591513679903838211/pu/vid/1280x720/2TH6monT1l1wyCG0.mp4?tag=12", "https://video.twimg.com/ext_tw_video/1591513679903838211/pu/vid/1280x720/2TH6monT1l1wyCG0.mp4?tag=12")</f>
        <v>https://video.twimg.com/ext_tw_video/1591513679903838211/pu/vid/1280x720/2TH6monT1l1wyCG0.mp4?tag=12</v>
      </c>
      <c r="L534">
        <v>0</v>
      </c>
      <c r="M534">
        <v>0</v>
      </c>
      <c r="N534">
        <v>1</v>
      </c>
      <c r="O534">
        <v>0</v>
      </c>
    </row>
    <row r="535" spans="1:15" x14ac:dyDescent="0.2">
      <c r="A535" s="1" t="str">
        <f>HYPERLINK("http://www.twitter.com/banuakdenizli/status/1591568082358927360", "1591568082358927360")</f>
        <v>1591568082358927360</v>
      </c>
      <c r="B535" t="s">
        <v>15</v>
      </c>
      <c r="C535" s="2">
        <v>44877.962673611109</v>
      </c>
      <c r="D535">
        <v>0</v>
      </c>
      <c r="E535">
        <v>5</v>
      </c>
      <c r="F535" t="s">
        <v>38</v>
      </c>
      <c r="G535" t="s">
        <v>586</v>
      </c>
      <c r="H535" t="str">
        <f>HYPERLINK("http://pbs.twimg.com/media/FhYv1NbXwAITmAX.jpg", "http://pbs.twimg.com/media/FhYv1NbXwAITmAX.jpg")</f>
        <v>http://pbs.twimg.com/media/FhYv1NbXwAITmAX.jpg</v>
      </c>
      <c r="L535">
        <v>0</v>
      </c>
      <c r="M535">
        <v>0</v>
      </c>
      <c r="N535">
        <v>1</v>
      </c>
      <c r="O535">
        <v>0</v>
      </c>
    </row>
    <row r="536" spans="1:15" x14ac:dyDescent="0.2">
      <c r="A536" s="1" t="str">
        <f>HYPERLINK("http://www.twitter.com/banuakdenizli/status/1591568063853645825", "1591568063853645825")</f>
        <v>1591568063853645825</v>
      </c>
      <c r="B536" t="s">
        <v>15</v>
      </c>
      <c r="C536" s="2">
        <v>44877.96261574074</v>
      </c>
      <c r="D536">
        <v>0</v>
      </c>
      <c r="E536">
        <v>3</v>
      </c>
      <c r="F536" t="s">
        <v>29</v>
      </c>
      <c r="G536" t="s">
        <v>587</v>
      </c>
      <c r="H536" t="str">
        <f>HYPERLINK("https://video.twimg.com/ext_tw_video/1591529475136692225/pu/vid/1280x720/tL4SxWy0rsiHgKVs.mp4?tag=12", "https://video.twimg.com/ext_tw_video/1591529475136692225/pu/vid/1280x720/tL4SxWy0rsiHgKVs.mp4?tag=12")</f>
        <v>https://video.twimg.com/ext_tw_video/1591529475136692225/pu/vid/1280x720/tL4SxWy0rsiHgKVs.mp4?tag=12</v>
      </c>
      <c r="L536">
        <v>0</v>
      </c>
      <c r="M536">
        <v>0</v>
      </c>
      <c r="N536">
        <v>1</v>
      </c>
      <c r="O536">
        <v>0</v>
      </c>
    </row>
    <row r="537" spans="1:15" x14ac:dyDescent="0.2">
      <c r="A537" s="1" t="str">
        <f>HYPERLINK("http://www.twitter.com/banuakdenizli/status/1591567996195332096", "1591567996195332096")</f>
        <v>1591567996195332096</v>
      </c>
      <c r="B537" t="s">
        <v>15</v>
      </c>
      <c r="C537" s="2">
        <v>44877.962430555563</v>
      </c>
      <c r="D537">
        <v>0</v>
      </c>
      <c r="E537">
        <v>3</v>
      </c>
      <c r="F537" t="s">
        <v>29</v>
      </c>
      <c r="G537" t="s">
        <v>588</v>
      </c>
      <c r="H537" t="str">
        <f>HYPERLINK("http://pbs.twimg.com/media/FhY9lkCWYAUiTRW.jpg", "http://pbs.twimg.com/media/FhY9lkCWYAUiTRW.jpg")</f>
        <v>http://pbs.twimg.com/media/FhY9lkCWYAUiTRW.jpg</v>
      </c>
      <c r="I537" t="str">
        <f>HYPERLINK("http://pbs.twimg.com/media/FhY9ljfX0AED0E3.jpg", "http://pbs.twimg.com/media/FhY9ljfX0AED0E3.jpg")</f>
        <v>http://pbs.twimg.com/media/FhY9ljfX0AED0E3.jpg</v>
      </c>
      <c r="J537" t="str">
        <f>HYPERLINK("http://pbs.twimg.com/media/FhY9ljeXoAE6w47.jpg", "http://pbs.twimg.com/media/FhY9ljeXoAE6w47.jpg")</f>
        <v>http://pbs.twimg.com/media/FhY9ljeXoAE6w47.jpg</v>
      </c>
      <c r="K537" t="str">
        <f>HYPERLINK("http://pbs.twimg.com/media/FhY9lk4X0AULyIU.jpg", "http://pbs.twimg.com/media/FhY9lk4X0AULyIU.jpg")</f>
        <v>http://pbs.twimg.com/media/FhY9lk4X0AULyIU.jpg</v>
      </c>
      <c r="L537">
        <v>0.51060000000000005</v>
      </c>
      <c r="M537">
        <v>0</v>
      </c>
      <c r="N537">
        <v>0.78400000000000003</v>
      </c>
      <c r="O537">
        <v>0.216</v>
      </c>
    </row>
    <row r="538" spans="1:15" x14ac:dyDescent="0.2">
      <c r="A538" s="1" t="str">
        <f>HYPERLINK("http://www.twitter.com/banuakdenizli/status/1591567909641670660", "1591567909641670660")</f>
        <v>1591567909641670660</v>
      </c>
      <c r="B538" t="s">
        <v>15</v>
      </c>
      <c r="C538" s="2">
        <v>44877.962199074071</v>
      </c>
      <c r="D538">
        <v>0</v>
      </c>
      <c r="E538">
        <v>9</v>
      </c>
      <c r="F538" t="s">
        <v>29</v>
      </c>
      <c r="G538" t="s">
        <v>589</v>
      </c>
      <c r="H538" t="str">
        <f>HYPERLINK("http://pbs.twimg.com/media/FhY9vpnXEAYXw8-.jpg", "http://pbs.twimg.com/media/FhY9vpnXEAYXw8-.jpg")</f>
        <v>http://pbs.twimg.com/media/FhY9vpnXEAYXw8-.jpg</v>
      </c>
      <c r="L538">
        <v>0.51060000000000005</v>
      </c>
      <c r="M538">
        <v>0</v>
      </c>
      <c r="N538">
        <v>0.78400000000000003</v>
      </c>
      <c r="O538">
        <v>0.216</v>
      </c>
    </row>
    <row r="539" spans="1:15" x14ac:dyDescent="0.2">
      <c r="A539" s="1" t="str">
        <f>HYPERLINK("http://www.twitter.com/banuakdenizli/status/1591525907155615752", "1591525907155615752")</f>
        <v>1591525907155615752</v>
      </c>
      <c r="B539" t="s">
        <v>15</v>
      </c>
      <c r="C539" s="2">
        <v>44877.846296296288</v>
      </c>
      <c r="D539">
        <v>0</v>
      </c>
      <c r="E539">
        <v>5</v>
      </c>
      <c r="F539" t="s">
        <v>29</v>
      </c>
      <c r="G539" t="s">
        <v>590</v>
      </c>
      <c r="H539" t="str">
        <f>HYPERLINK("http://pbs.twimg.com/media/FhXjsAoXoAA2F5o.jpg", "http://pbs.twimg.com/media/FhXjsAoXoAA2F5o.jpg")</f>
        <v>http://pbs.twimg.com/media/FhXjsAoXoAA2F5o.jpg</v>
      </c>
      <c r="L539">
        <v>0</v>
      </c>
      <c r="M539">
        <v>0</v>
      </c>
      <c r="N539">
        <v>1</v>
      </c>
      <c r="O539">
        <v>0</v>
      </c>
    </row>
    <row r="540" spans="1:15" x14ac:dyDescent="0.2">
      <c r="A540" s="1" t="str">
        <f>HYPERLINK("http://www.twitter.com/banuakdenizli/status/1591525683565850624", "1591525683565850624")</f>
        <v>1591525683565850624</v>
      </c>
      <c r="B540" t="s">
        <v>15</v>
      </c>
      <c r="C540" s="2">
        <v>44877.845671296287</v>
      </c>
      <c r="D540">
        <v>0</v>
      </c>
      <c r="E540">
        <v>4</v>
      </c>
      <c r="F540" t="s">
        <v>38</v>
      </c>
      <c r="G540" t="s">
        <v>591</v>
      </c>
      <c r="H540" t="str">
        <f>HYPERLINK("http://pbs.twimg.com/media/FhYvavRXkAEE9DX.jpg", "http://pbs.twimg.com/media/FhYvavRXkAEE9DX.jpg")</f>
        <v>http://pbs.twimg.com/media/FhYvavRXkAEE9DX.jpg</v>
      </c>
      <c r="I540" t="str">
        <f>HYPERLINK("http://pbs.twimg.com/media/FhYvawHX0AERCre.jpg", "http://pbs.twimg.com/media/FhYvawHX0AERCre.jpg")</f>
        <v>http://pbs.twimg.com/media/FhYvawHX0AERCre.jpg</v>
      </c>
      <c r="J540" t="str">
        <f>HYPERLINK("http://pbs.twimg.com/media/FhYvavsXgAEfIis.jpg", "http://pbs.twimg.com/media/FhYvavsXgAEfIis.jpg")</f>
        <v>http://pbs.twimg.com/media/FhYvavsXgAEfIis.jpg</v>
      </c>
      <c r="K540" t="str">
        <f>HYPERLINK("http://pbs.twimg.com/media/FhYvavaX0AEaEej.jpg", "http://pbs.twimg.com/media/FhYvavaX0AEaEej.jpg")</f>
        <v>http://pbs.twimg.com/media/FhYvavaX0AEaEej.jpg</v>
      </c>
      <c r="L540">
        <v>0</v>
      </c>
      <c r="M540">
        <v>0</v>
      </c>
      <c r="N540">
        <v>1</v>
      </c>
      <c r="O540">
        <v>0</v>
      </c>
    </row>
    <row r="541" spans="1:15" x14ac:dyDescent="0.2">
      <c r="A541" s="1" t="str">
        <f>HYPERLINK("http://www.twitter.com/banuakdenizli/status/1591525000145928192", "1591525000145928192")</f>
        <v>1591525000145928192</v>
      </c>
      <c r="B541" t="s">
        <v>15</v>
      </c>
      <c r="C541" s="2">
        <v>44877.843784722223</v>
      </c>
      <c r="D541">
        <v>0</v>
      </c>
      <c r="E541">
        <v>12</v>
      </c>
      <c r="F541" t="s">
        <v>17</v>
      </c>
      <c r="G541" t="s">
        <v>592</v>
      </c>
      <c r="H541" t="str">
        <f>HYPERLINK("http://pbs.twimg.com/media/FhYfa65XoAEtB1c.jpg", "http://pbs.twimg.com/media/FhYfa65XoAEtB1c.jpg")</f>
        <v>http://pbs.twimg.com/media/FhYfa65XoAEtB1c.jpg</v>
      </c>
      <c r="L541">
        <v>0.57189999999999996</v>
      </c>
      <c r="M541">
        <v>7.5999999999999998E-2</v>
      </c>
      <c r="N541">
        <v>0.72199999999999998</v>
      </c>
      <c r="O541">
        <v>0.20300000000000001</v>
      </c>
    </row>
    <row r="542" spans="1:15" x14ac:dyDescent="0.2">
      <c r="A542" s="1" t="str">
        <f>HYPERLINK("http://www.twitter.com/banuakdenizli/status/1591461357240582145", "1591461357240582145")</f>
        <v>1591461357240582145</v>
      </c>
      <c r="B542" t="s">
        <v>15</v>
      </c>
      <c r="C542" s="2">
        <v>44877.668171296304</v>
      </c>
      <c r="D542">
        <v>0</v>
      </c>
      <c r="E542">
        <v>10</v>
      </c>
      <c r="F542" t="s">
        <v>19</v>
      </c>
      <c r="G542" t="s">
        <v>593</v>
      </c>
      <c r="H542" t="str">
        <f>HYPERLINK("http://pbs.twimg.com/media/FhX8kJuWIAE19Yh.jpg", "http://pbs.twimg.com/media/FhX8kJuWIAE19Yh.jpg")</f>
        <v>http://pbs.twimg.com/media/FhX8kJuWIAE19Yh.jpg</v>
      </c>
      <c r="L542">
        <v>0.42149999999999999</v>
      </c>
      <c r="M542">
        <v>0.05</v>
      </c>
      <c r="N542">
        <v>0.83699999999999997</v>
      </c>
      <c r="O542">
        <v>0.113</v>
      </c>
    </row>
    <row r="543" spans="1:15" x14ac:dyDescent="0.2">
      <c r="A543" s="1" t="str">
        <f>HYPERLINK("http://www.twitter.com/banuakdenizli/status/1591460090309115904", "1591460090309115904")</f>
        <v>1591460090309115904</v>
      </c>
      <c r="B543" t="s">
        <v>15</v>
      </c>
      <c r="C543" s="2">
        <v>44877.664675925917</v>
      </c>
      <c r="D543">
        <v>0</v>
      </c>
      <c r="E543">
        <v>12</v>
      </c>
      <c r="F543" t="s">
        <v>16</v>
      </c>
      <c r="G543" t="s">
        <v>594</v>
      </c>
      <c r="H543" t="str">
        <f>HYPERLINK("http://pbs.twimg.com/media/FhX6_B6XoAE1Xd_.jpg", "http://pbs.twimg.com/media/FhX6_B6XoAE1Xd_.jpg")</f>
        <v>http://pbs.twimg.com/media/FhX6_B6XoAE1Xd_.jpg</v>
      </c>
      <c r="L543">
        <v>0</v>
      </c>
      <c r="M543">
        <v>0</v>
      </c>
      <c r="N543">
        <v>1</v>
      </c>
      <c r="O543">
        <v>0</v>
      </c>
    </row>
    <row r="544" spans="1:15" x14ac:dyDescent="0.2">
      <c r="A544" s="1" t="str">
        <f>HYPERLINK("http://www.twitter.com/banuakdenizli/status/1591450320760360961", "1591450320760360961")</f>
        <v>1591450320760360961</v>
      </c>
      <c r="B544" t="s">
        <v>15</v>
      </c>
      <c r="C544" s="2">
        <v>44877.637708333343</v>
      </c>
      <c r="D544">
        <v>0</v>
      </c>
      <c r="E544">
        <v>4</v>
      </c>
      <c r="F544" t="s">
        <v>20</v>
      </c>
      <c r="G544" t="s">
        <v>595</v>
      </c>
      <c r="H544" t="str">
        <f>HYPERLINK("http://pbs.twimg.com/media/FhX2shqXgAAdB-A.jpg", "http://pbs.twimg.com/media/FhX2shqXgAAdB-A.jpg")</f>
        <v>http://pbs.twimg.com/media/FhX2shqXgAAdB-A.jpg</v>
      </c>
      <c r="I544" t="str">
        <f>HYPERLINK("http://pbs.twimg.com/media/FhX2shjXkAICD1-.jpg", "http://pbs.twimg.com/media/FhX2shjXkAICD1-.jpg")</f>
        <v>http://pbs.twimg.com/media/FhX2shjXkAICD1-.jpg</v>
      </c>
      <c r="J544" t="str">
        <f>HYPERLINK("http://pbs.twimg.com/media/FhX2shkWYAACvwl.jpg", "http://pbs.twimg.com/media/FhX2shkWYAACvwl.jpg")</f>
        <v>http://pbs.twimg.com/media/FhX2shkWYAACvwl.jpg</v>
      </c>
      <c r="K544" t="str">
        <f>HYPERLINK("http://pbs.twimg.com/media/FhX2shoXkAARD8R.jpg", "http://pbs.twimg.com/media/FhX2shoXkAARD8R.jpg")</f>
        <v>http://pbs.twimg.com/media/FhX2shoXkAARD8R.jpg</v>
      </c>
      <c r="L544">
        <v>0</v>
      </c>
      <c r="M544">
        <v>0</v>
      </c>
      <c r="N544">
        <v>1</v>
      </c>
      <c r="O544">
        <v>0</v>
      </c>
    </row>
    <row r="545" spans="1:15" x14ac:dyDescent="0.2">
      <c r="A545" s="1" t="str">
        <f>HYPERLINK("http://www.twitter.com/banuakdenizli/status/1591427594422992898", "1591427594422992898")</f>
        <v>1591427594422992898</v>
      </c>
      <c r="B545" t="s">
        <v>15</v>
      </c>
      <c r="C545" s="2">
        <v>44877.574999999997</v>
      </c>
      <c r="D545">
        <v>0</v>
      </c>
      <c r="E545">
        <v>26</v>
      </c>
      <c r="F545" t="s">
        <v>18</v>
      </c>
      <c r="G545" t="s">
        <v>596</v>
      </c>
      <c r="L545">
        <v>0</v>
      </c>
      <c r="M545">
        <v>0</v>
      </c>
      <c r="N545">
        <v>1</v>
      </c>
      <c r="O545">
        <v>0</v>
      </c>
    </row>
    <row r="546" spans="1:15" x14ac:dyDescent="0.2">
      <c r="A546" s="1" t="str">
        <f>HYPERLINK("http://www.twitter.com/banuakdenizli/status/1591427581290680320", "1591427581290680320")</f>
        <v>1591427581290680320</v>
      </c>
      <c r="B546" t="s">
        <v>15</v>
      </c>
      <c r="C546" s="2">
        <v>44877.574965277781</v>
      </c>
      <c r="D546">
        <v>0</v>
      </c>
      <c r="E546">
        <v>31</v>
      </c>
      <c r="F546" t="s">
        <v>18</v>
      </c>
      <c r="G546" t="s">
        <v>597</v>
      </c>
      <c r="L546">
        <v>0.83599999999999997</v>
      </c>
      <c r="M546">
        <v>0</v>
      </c>
      <c r="N546">
        <v>0.75800000000000001</v>
      </c>
      <c r="O546">
        <v>0.24199999999999999</v>
      </c>
    </row>
    <row r="547" spans="1:15" x14ac:dyDescent="0.2">
      <c r="A547" s="1" t="str">
        <f>HYPERLINK("http://www.twitter.com/banuakdenizli/status/1591427567760076802", "1591427567760076802")</f>
        <v>1591427567760076802</v>
      </c>
      <c r="B547" t="s">
        <v>15</v>
      </c>
      <c r="C547" s="2">
        <v>44877.574930555558</v>
      </c>
      <c r="D547">
        <v>0</v>
      </c>
      <c r="E547">
        <v>5</v>
      </c>
      <c r="F547" t="s">
        <v>16</v>
      </c>
      <c r="G547" t="s">
        <v>598</v>
      </c>
      <c r="H547" t="str">
        <f>HYPERLINK("http://pbs.twimg.com/media/FhWlblCXwAETFV3.jpg", "http://pbs.twimg.com/media/FhWlblCXwAETFV3.jpg")</f>
        <v>http://pbs.twimg.com/media/FhWlblCXwAETFV3.jpg</v>
      </c>
      <c r="L547">
        <v>0</v>
      </c>
      <c r="M547">
        <v>0</v>
      </c>
      <c r="N547">
        <v>1</v>
      </c>
      <c r="O547">
        <v>0</v>
      </c>
    </row>
    <row r="548" spans="1:15" x14ac:dyDescent="0.2">
      <c r="A548" s="1" t="str">
        <f>HYPERLINK("http://www.twitter.com/banuakdenizli/status/1591427544582328323", "1591427544582328323")</f>
        <v>1591427544582328323</v>
      </c>
      <c r="B548" t="s">
        <v>15</v>
      </c>
      <c r="C548" s="2">
        <v>44877.574861111112</v>
      </c>
      <c r="D548">
        <v>0</v>
      </c>
      <c r="E548">
        <v>8</v>
      </c>
      <c r="F548" t="s">
        <v>17</v>
      </c>
      <c r="G548" t="s">
        <v>599</v>
      </c>
      <c r="H548" t="str">
        <f>HYPERLINK("http://pbs.twimg.com/media/FhXKFPKWQAAnFCk.jpg", "http://pbs.twimg.com/media/FhXKFPKWQAAnFCk.jpg")</f>
        <v>http://pbs.twimg.com/media/FhXKFPKWQAAnFCk.jpg</v>
      </c>
      <c r="L548">
        <v>-0.77170000000000005</v>
      </c>
      <c r="M548">
        <v>0.33500000000000002</v>
      </c>
      <c r="N548">
        <v>0.56899999999999995</v>
      </c>
      <c r="O548">
        <v>9.6000000000000002E-2</v>
      </c>
    </row>
    <row r="549" spans="1:15" x14ac:dyDescent="0.2">
      <c r="A549" s="1" t="str">
        <f>HYPERLINK("http://www.twitter.com/banuakdenizli/status/1591427460742221824", "1591427460742221824")</f>
        <v>1591427460742221824</v>
      </c>
      <c r="B549" t="s">
        <v>15</v>
      </c>
      <c r="C549" s="2">
        <v>44877.574629629627</v>
      </c>
      <c r="D549">
        <v>0</v>
      </c>
      <c r="E549">
        <v>41</v>
      </c>
      <c r="F549" t="s">
        <v>18</v>
      </c>
      <c r="G549" t="s">
        <v>600</v>
      </c>
      <c r="L549">
        <v>0</v>
      </c>
      <c r="M549">
        <v>0</v>
      </c>
      <c r="N549">
        <v>1</v>
      </c>
      <c r="O549">
        <v>0</v>
      </c>
    </row>
    <row r="550" spans="1:15" x14ac:dyDescent="0.2">
      <c r="A550" s="1" t="str">
        <f>HYPERLINK("http://www.twitter.com/banuakdenizli/status/1591254139472080899", "1591254139472080899")</f>
        <v>1591254139472080899</v>
      </c>
      <c r="B550" t="s">
        <v>15</v>
      </c>
      <c r="C550" s="2">
        <v>44877.096354166657</v>
      </c>
      <c r="D550">
        <v>0</v>
      </c>
      <c r="E550">
        <v>13</v>
      </c>
      <c r="F550" t="s">
        <v>19</v>
      </c>
      <c r="G550" t="s">
        <v>601</v>
      </c>
      <c r="H550" t="str">
        <f>HYPERLINK("http://pbs.twimg.com/media/FhUx045X0AMRnlV.jpg", "http://pbs.twimg.com/media/FhUx045X0AMRnlV.jpg")</f>
        <v>http://pbs.twimg.com/media/FhUx045X0AMRnlV.jpg</v>
      </c>
      <c r="I550" t="str">
        <f>HYPERLINK("http://pbs.twimg.com/media/FhUx049XwAE4AdS.jpg", "http://pbs.twimg.com/media/FhUx049XwAE4AdS.jpg")</f>
        <v>http://pbs.twimg.com/media/FhUx049XwAE4AdS.jpg</v>
      </c>
      <c r="L550">
        <v>0</v>
      </c>
      <c r="M550">
        <v>0</v>
      </c>
      <c r="N550">
        <v>1</v>
      </c>
      <c r="O550">
        <v>0</v>
      </c>
    </row>
    <row r="551" spans="1:15" x14ac:dyDescent="0.2">
      <c r="A551" s="1" t="str">
        <f>HYPERLINK("http://www.twitter.com/banuakdenizli/status/1591254115996557312", "1591254115996557312")</f>
        <v>1591254115996557312</v>
      </c>
      <c r="B551" t="s">
        <v>15</v>
      </c>
      <c r="C551" s="2">
        <v>44877.096284722233</v>
      </c>
      <c r="D551">
        <v>0</v>
      </c>
      <c r="E551">
        <v>8</v>
      </c>
      <c r="F551" t="s">
        <v>19</v>
      </c>
      <c r="G551" t="s">
        <v>602</v>
      </c>
      <c r="H551" t="str">
        <f>HYPERLINK("http://pbs.twimg.com/media/FhUw4CAWYAAeqi_.jpg", "http://pbs.twimg.com/media/FhUw4CAWYAAeqi_.jpg")</f>
        <v>http://pbs.twimg.com/media/FhUw4CAWYAAeqi_.jpg</v>
      </c>
      <c r="I551" t="str">
        <f>HYPERLINK("http://pbs.twimg.com/media/FhUw4B_WIAAxUKT.jpg", "http://pbs.twimg.com/media/FhUw4B_WIAAxUKT.jpg")</f>
        <v>http://pbs.twimg.com/media/FhUw4B_WIAAxUKT.jpg</v>
      </c>
      <c r="L551">
        <v>0.49390000000000001</v>
      </c>
      <c r="M551">
        <v>0</v>
      </c>
      <c r="N551">
        <v>0.92400000000000004</v>
      </c>
      <c r="O551">
        <v>7.5999999999999998E-2</v>
      </c>
    </row>
    <row r="552" spans="1:15" x14ac:dyDescent="0.2">
      <c r="A552" s="1" t="str">
        <f>HYPERLINK("http://www.twitter.com/banuakdenizli/status/1591254093380857856", "1591254093380857856")</f>
        <v>1591254093380857856</v>
      </c>
      <c r="B552" t="s">
        <v>15</v>
      </c>
      <c r="C552" s="2">
        <v>44877.096226851849</v>
      </c>
      <c r="D552">
        <v>0</v>
      </c>
      <c r="E552">
        <v>15</v>
      </c>
      <c r="F552" t="s">
        <v>19</v>
      </c>
      <c r="G552" t="s">
        <v>603</v>
      </c>
      <c r="H552" t="str">
        <f>HYPERLINK("http://pbs.twimg.com/media/FhUyadVXkAAqlcc.jpg", "http://pbs.twimg.com/media/FhUyadVXkAAqlcc.jpg")</f>
        <v>http://pbs.twimg.com/media/FhUyadVXkAAqlcc.jpg</v>
      </c>
      <c r="L552">
        <v>0.91180000000000005</v>
      </c>
      <c r="M552">
        <v>0</v>
      </c>
      <c r="N552">
        <v>0.74099999999999999</v>
      </c>
      <c r="O552">
        <v>0.25900000000000001</v>
      </c>
    </row>
    <row r="553" spans="1:15" x14ac:dyDescent="0.2">
      <c r="A553" s="1" t="str">
        <f>HYPERLINK("http://www.twitter.com/banuakdenizli/status/1591227362867298305", "1591227362867298305")</f>
        <v>1591227362867298305</v>
      </c>
      <c r="B553" t="s">
        <v>15</v>
      </c>
      <c r="C553" s="2">
        <v>44877.022465277783</v>
      </c>
      <c r="D553">
        <v>0</v>
      </c>
      <c r="E553">
        <v>209</v>
      </c>
      <c r="F553" t="s">
        <v>604</v>
      </c>
      <c r="G553" t="s">
        <v>605</v>
      </c>
      <c r="H553" t="str">
        <f>HYPERLINK("https://video.twimg.com/ext_tw_video/1591107471808028672/pu/vid/960x544/HqK82sTIMH7tR-xo.mp4?tag=12", "https://video.twimg.com/ext_tw_video/1591107471808028672/pu/vid/960x544/HqK82sTIMH7tR-xo.mp4?tag=12")</f>
        <v>https://video.twimg.com/ext_tw_video/1591107471808028672/pu/vid/960x544/HqK82sTIMH7tR-xo.mp4?tag=12</v>
      </c>
      <c r="L553">
        <v>0.51060000000000005</v>
      </c>
      <c r="M553">
        <v>0</v>
      </c>
      <c r="N553">
        <v>0.90400000000000003</v>
      </c>
      <c r="O553">
        <v>9.6000000000000002E-2</v>
      </c>
    </row>
    <row r="554" spans="1:15" x14ac:dyDescent="0.2">
      <c r="A554" s="1" t="str">
        <f>HYPERLINK("http://www.twitter.com/banuakdenizli/status/1591227255120068608", "1591227255120068608")</f>
        <v>1591227255120068608</v>
      </c>
      <c r="B554" t="s">
        <v>15</v>
      </c>
      <c r="C554" s="2">
        <v>44877.022164351853</v>
      </c>
      <c r="D554">
        <v>0</v>
      </c>
      <c r="E554">
        <v>346</v>
      </c>
      <c r="F554" t="s">
        <v>41</v>
      </c>
      <c r="G554" t="s">
        <v>606</v>
      </c>
      <c r="H554" t="str">
        <f>HYPERLINK("https://video.twimg.com/ext_tw_video/1591119077229068297/pu/vid/1280x720/C4AMWDoE9cioeo_j.mp4?tag=12", "https://video.twimg.com/ext_tw_video/1591119077229068297/pu/vid/1280x720/C4AMWDoE9cioeo_j.mp4?tag=12")</f>
        <v>https://video.twimg.com/ext_tw_video/1591119077229068297/pu/vid/1280x720/C4AMWDoE9cioeo_j.mp4?tag=12</v>
      </c>
      <c r="L554">
        <v>0</v>
      </c>
      <c r="M554">
        <v>0</v>
      </c>
      <c r="N554">
        <v>1</v>
      </c>
      <c r="O554">
        <v>0</v>
      </c>
    </row>
    <row r="555" spans="1:15" x14ac:dyDescent="0.2">
      <c r="A555" s="1" t="str">
        <f>HYPERLINK("http://www.twitter.com/banuakdenizli/status/1591227000332632074", "1591227000332632074")</f>
        <v>1591227000332632074</v>
      </c>
      <c r="B555" t="s">
        <v>15</v>
      </c>
      <c r="C555" s="2">
        <v>44877.021469907413</v>
      </c>
      <c r="D555">
        <v>0</v>
      </c>
      <c r="E555">
        <v>99</v>
      </c>
      <c r="F555" t="s">
        <v>604</v>
      </c>
      <c r="G555" t="s">
        <v>607</v>
      </c>
      <c r="H555" t="str">
        <f>HYPERLINK("http://pbs.twimg.com/media/FhTPoa8X0AAphiz.jpg", "http://pbs.twimg.com/media/FhTPoa8X0AAphiz.jpg")</f>
        <v>http://pbs.twimg.com/media/FhTPoa8X0AAphiz.jpg</v>
      </c>
      <c r="L555">
        <v>0.47670000000000001</v>
      </c>
      <c r="M555">
        <v>0</v>
      </c>
      <c r="N555">
        <v>0.82899999999999996</v>
      </c>
      <c r="O555">
        <v>0.17100000000000001</v>
      </c>
    </row>
    <row r="556" spans="1:15" x14ac:dyDescent="0.2">
      <c r="A556" s="1" t="str">
        <f>HYPERLINK("http://www.twitter.com/banuakdenizli/status/1591133476501467138", "1591133476501467138")</f>
        <v>1591133476501467138</v>
      </c>
      <c r="B556" t="s">
        <v>15</v>
      </c>
      <c r="C556" s="2">
        <v>44876.763391203713</v>
      </c>
      <c r="D556">
        <v>0</v>
      </c>
      <c r="E556">
        <v>8</v>
      </c>
      <c r="F556" t="s">
        <v>17</v>
      </c>
      <c r="G556" t="s">
        <v>608</v>
      </c>
      <c r="H556" t="str">
        <f>HYPERLINK("http://pbs.twimg.com/media/FhTTxoOWYAE86FO.jpg", "http://pbs.twimg.com/media/FhTTxoOWYAE86FO.jpg")</f>
        <v>http://pbs.twimg.com/media/FhTTxoOWYAE86FO.jpg</v>
      </c>
      <c r="L556">
        <v>0.38179999999999997</v>
      </c>
      <c r="M556">
        <v>0</v>
      </c>
      <c r="N556">
        <v>0.88</v>
      </c>
      <c r="O556">
        <v>0.12</v>
      </c>
    </row>
    <row r="557" spans="1:15" x14ac:dyDescent="0.2">
      <c r="A557" s="1" t="str">
        <f>HYPERLINK("http://www.twitter.com/banuakdenizli/status/1591106751436591106", "1591106751436591106")</f>
        <v>1591106751436591106</v>
      </c>
      <c r="B557" t="s">
        <v>15</v>
      </c>
      <c r="C557" s="2">
        <v>44876.689641203702</v>
      </c>
      <c r="D557">
        <v>0</v>
      </c>
      <c r="E557">
        <v>6</v>
      </c>
      <c r="F557" t="s">
        <v>20</v>
      </c>
      <c r="G557" t="s">
        <v>609</v>
      </c>
      <c r="H557" t="str">
        <f>HYPERLINK("http://pbs.twimg.com/media/FgwFPx_XwAENQQk.jpg", "http://pbs.twimg.com/media/FgwFPx_XwAENQQk.jpg")</f>
        <v>http://pbs.twimg.com/media/FgwFPx_XwAENQQk.jpg</v>
      </c>
      <c r="L557">
        <v>0</v>
      </c>
      <c r="M557">
        <v>0</v>
      </c>
      <c r="N557">
        <v>1</v>
      </c>
      <c r="O557">
        <v>0</v>
      </c>
    </row>
    <row r="558" spans="1:15" x14ac:dyDescent="0.2">
      <c r="A558" s="1" t="str">
        <f>HYPERLINK("http://www.twitter.com/banuakdenizli/status/1591104597359460352", "1591104597359460352")</f>
        <v>1591104597359460352</v>
      </c>
      <c r="B558" t="s">
        <v>15</v>
      </c>
      <c r="C558" s="2">
        <v>44876.683692129627</v>
      </c>
      <c r="D558">
        <v>0</v>
      </c>
      <c r="E558">
        <v>48</v>
      </c>
      <c r="F558" t="s">
        <v>33</v>
      </c>
      <c r="G558" t="s">
        <v>610</v>
      </c>
      <c r="H558" t="str">
        <f>HYPERLINK("https://video.twimg.com/amplify_video/1590689718202572800/vid/1280x720/t3pYT2k1PKbGcDxC.mp4?tag=14", "https://video.twimg.com/amplify_video/1590689718202572800/vid/1280x720/t3pYT2k1PKbGcDxC.mp4?tag=14")</f>
        <v>https://video.twimg.com/amplify_video/1590689718202572800/vid/1280x720/t3pYT2k1PKbGcDxC.mp4?tag=14</v>
      </c>
      <c r="L558">
        <v>0</v>
      </c>
      <c r="M558">
        <v>0</v>
      </c>
      <c r="N558">
        <v>1</v>
      </c>
      <c r="O558">
        <v>0</v>
      </c>
    </row>
    <row r="559" spans="1:15" x14ac:dyDescent="0.2">
      <c r="A559" s="1" t="str">
        <f>HYPERLINK("http://www.twitter.com/banuakdenizli/status/1591104459358482432", "1591104459358482432")</f>
        <v>1591104459358482432</v>
      </c>
      <c r="B559" t="s">
        <v>15</v>
      </c>
      <c r="C559" s="2">
        <v>44876.683321759258</v>
      </c>
      <c r="D559">
        <v>0</v>
      </c>
      <c r="E559">
        <v>31</v>
      </c>
      <c r="F559" t="s">
        <v>32</v>
      </c>
      <c r="G559" t="s">
        <v>611</v>
      </c>
      <c r="L559">
        <v>0</v>
      </c>
      <c r="M559">
        <v>0</v>
      </c>
      <c r="N559">
        <v>1</v>
      </c>
      <c r="O559">
        <v>0</v>
      </c>
    </row>
    <row r="560" spans="1:15" x14ac:dyDescent="0.2">
      <c r="A560" s="1" t="str">
        <f>HYPERLINK("http://www.twitter.com/banuakdenizli/status/1591104231632781324", "1591104231632781324")</f>
        <v>1591104231632781324</v>
      </c>
      <c r="B560" t="s">
        <v>15</v>
      </c>
      <c r="C560" s="2">
        <v>44876.682685185187</v>
      </c>
      <c r="D560">
        <v>0</v>
      </c>
      <c r="E560">
        <v>7</v>
      </c>
      <c r="F560" t="s">
        <v>16</v>
      </c>
      <c r="G560" t="s">
        <v>612</v>
      </c>
      <c r="H560" t="str">
        <f>HYPERLINK("http://pbs.twimg.com/media/FhS8e5YXoAAscIe.jpg", "http://pbs.twimg.com/media/FhS8e5YXoAAscIe.jpg")</f>
        <v>http://pbs.twimg.com/media/FhS8e5YXoAAscIe.jpg</v>
      </c>
      <c r="L560">
        <v>0</v>
      </c>
      <c r="M560">
        <v>0</v>
      </c>
      <c r="N560">
        <v>1</v>
      </c>
      <c r="O560">
        <v>0</v>
      </c>
    </row>
    <row r="561" spans="1:15" x14ac:dyDescent="0.2">
      <c r="A561" s="1" t="str">
        <f>HYPERLINK("http://www.twitter.com/banuakdenizli/status/1591060790647590914", "1591060790647590914")</f>
        <v>1591060790647590914</v>
      </c>
      <c r="B561" t="s">
        <v>15</v>
      </c>
      <c r="C561" s="2">
        <v>44876.5628125</v>
      </c>
      <c r="D561">
        <v>0</v>
      </c>
      <c r="E561">
        <v>1</v>
      </c>
      <c r="F561" t="s">
        <v>29</v>
      </c>
      <c r="G561" t="s">
        <v>613</v>
      </c>
      <c r="H561" t="str">
        <f>HYPERLINK("http://pbs.twimg.com/media/FhO2QYJWIA0FZqb.jpg", "http://pbs.twimg.com/media/FhO2QYJWIA0FZqb.jpg")</f>
        <v>http://pbs.twimg.com/media/FhO2QYJWIA0FZqb.jpg</v>
      </c>
      <c r="L561">
        <v>0.52669999999999995</v>
      </c>
      <c r="M561">
        <v>0</v>
      </c>
      <c r="N561">
        <v>0.77900000000000003</v>
      </c>
      <c r="O561">
        <v>0.221</v>
      </c>
    </row>
    <row r="562" spans="1:15" x14ac:dyDescent="0.2">
      <c r="A562" s="1" t="str">
        <f>HYPERLINK("http://www.twitter.com/banuakdenizli/status/1591060781012959232", "1591060781012959232")</f>
        <v>1591060781012959232</v>
      </c>
      <c r="B562" t="s">
        <v>15</v>
      </c>
      <c r="C562" s="2">
        <v>44876.562789351847</v>
      </c>
      <c r="D562">
        <v>0</v>
      </c>
      <c r="E562">
        <v>1</v>
      </c>
      <c r="F562" t="s">
        <v>29</v>
      </c>
      <c r="G562" t="s">
        <v>614</v>
      </c>
      <c r="H562" t="str">
        <f>HYPERLINK("http://pbs.twimg.com/media/FhO2n0IXoAAos6R.jpg", "http://pbs.twimg.com/media/FhO2n0IXoAAos6R.jpg")</f>
        <v>http://pbs.twimg.com/media/FhO2n0IXoAAos6R.jpg</v>
      </c>
      <c r="L562">
        <v>0</v>
      </c>
      <c r="M562">
        <v>0</v>
      </c>
      <c r="N562">
        <v>1</v>
      </c>
      <c r="O562">
        <v>0</v>
      </c>
    </row>
    <row r="563" spans="1:15" x14ac:dyDescent="0.2">
      <c r="A563" s="1" t="str">
        <f>HYPERLINK("http://www.twitter.com/banuakdenizli/status/1591060771454472198", "1591060771454472198")</f>
        <v>1591060771454472198</v>
      </c>
      <c r="B563" t="s">
        <v>15</v>
      </c>
      <c r="C563" s="2">
        <v>44876.5627662037</v>
      </c>
      <c r="D563">
        <v>0</v>
      </c>
      <c r="E563">
        <v>1</v>
      </c>
      <c r="F563" t="s">
        <v>29</v>
      </c>
      <c r="G563" t="s">
        <v>615</v>
      </c>
      <c r="H563" t="str">
        <f>HYPERLINK("http://pbs.twimg.com/media/FhO2oVJWIAEsqK8.jpg", "http://pbs.twimg.com/media/FhO2oVJWIAEsqK8.jpg")</f>
        <v>http://pbs.twimg.com/media/FhO2oVJWIAEsqK8.jpg</v>
      </c>
      <c r="L563">
        <v>0</v>
      </c>
      <c r="M563">
        <v>0</v>
      </c>
      <c r="N563">
        <v>1</v>
      </c>
      <c r="O563">
        <v>0</v>
      </c>
    </row>
    <row r="564" spans="1:15" x14ac:dyDescent="0.2">
      <c r="A564" s="1" t="str">
        <f>HYPERLINK("http://www.twitter.com/banuakdenizli/status/1591060113858633730", "1591060113858633730")</f>
        <v>1591060113858633730</v>
      </c>
      <c r="B564" t="s">
        <v>15</v>
      </c>
      <c r="C564" s="2">
        <v>44876.560949074083</v>
      </c>
      <c r="D564">
        <v>0</v>
      </c>
      <c r="E564">
        <v>28</v>
      </c>
      <c r="F564" t="s">
        <v>18</v>
      </c>
      <c r="G564" t="s">
        <v>616</v>
      </c>
      <c r="L564">
        <v>0.93130000000000002</v>
      </c>
      <c r="M564">
        <v>0</v>
      </c>
      <c r="N564">
        <v>0.66800000000000004</v>
      </c>
      <c r="O564">
        <v>0.33200000000000002</v>
      </c>
    </row>
    <row r="565" spans="1:15" x14ac:dyDescent="0.2">
      <c r="A565" s="1" t="str">
        <f>HYPERLINK("http://www.twitter.com/banuakdenizli/status/1591060103280709638", "1591060103280709638")</f>
        <v>1591060103280709638</v>
      </c>
      <c r="B565" t="s">
        <v>15</v>
      </c>
      <c r="C565" s="2">
        <v>44876.560914351852</v>
      </c>
      <c r="D565">
        <v>0</v>
      </c>
      <c r="E565">
        <v>23</v>
      </c>
      <c r="F565" t="s">
        <v>18</v>
      </c>
      <c r="G565" t="s">
        <v>617</v>
      </c>
      <c r="L565">
        <v>0</v>
      </c>
      <c r="M565">
        <v>0</v>
      </c>
      <c r="N565">
        <v>1</v>
      </c>
      <c r="O565">
        <v>0</v>
      </c>
    </row>
    <row r="566" spans="1:15" x14ac:dyDescent="0.2">
      <c r="A566" s="1" t="str">
        <f>HYPERLINK("http://www.twitter.com/banuakdenizli/status/1591034203512385536", "1591034203512385536")</f>
        <v>1591034203512385536</v>
      </c>
      <c r="B566" t="s">
        <v>15</v>
      </c>
      <c r="C566" s="2">
        <v>44876.489444444444</v>
      </c>
      <c r="D566">
        <v>0</v>
      </c>
      <c r="E566">
        <v>36</v>
      </c>
      <c r="F566" t="s">
        <v>18</v>
      </c>
      <c r="G566" t="s">
        <v>618</v>
      </c>
      <c r="L566">
        <v>0</v>
      </c>
      <c r="M566">
        <v>0</v>
      </c>
      <c r="N566">
        <v>1</v>
      </c>
      <c r="O566">
        <v>0</v>
      </c>
    </row>
    <row r="567" spans="1:15" x14ac:dyDescent="0.2">
      <c r="A567" s="1" t="str">
        <f>HYPERLINK("http://www.twitter.com/banuakdenizli/status/1591033425812938752", "1591033425812938752")</f>
        <v>1591033425812938752</v>
      </c>
      <c r="B567" t="s">
        <v>15</v>
      </c>
      <c r="C567" s="2">
        <v>44876.487303240741</v>
      </c>
      <c r="D567">
        <v>0</v>
      </c>
      <c r="E567">
        <v>6</v>
      </c>
      <c r="F567" t="s">
        <v>16</v>
      </c>
      <c r="G567" t="s">
        <v>619</v>
      </c>
      <c r="H567" t="str">
        <f>HYPERLINK("http://pbs.twimg.com/media/FhNpzdPWQAEq_BJ.jpg", "http://pbs.twimg.com/media/FhNpzdPWQAEq_BJ.jpg")</f>
        <v>http://pbs.twimg.com/media/FhNpzdPWQAEq_BJ.jpg</v>
      </c>
      <c r="L567">
        <v>0</v>
      </c>
      <c r="M567">
        <v>0</v>
      </c>
      <c r="N567">
        <v>1</v>
      </c>
      <c r="O567">
        <v>0</v>
      </c>
    </row>
    <row r="568" spans="1:15" x14ac:dyDescent="0.2">
      <c r="A568" s="1" t="str">
        <f>HYPERLINK("http://www.twitter.com/banuakdenizli/status/1590884049585078273", "1590884049585078273")</f>
        <v>1590884049585078273</v>
      </c>
      <c r="B568" t="s">
        <v>15</v>
      </c>
      <c r="C568" s="2">
        <v>44876.075104166674</v>
      </c>
      <c r="D568">
        <v>0</v>
      </c>
      <c r="E568">
        <v>6</v>
      </c>
      <c r="F568" t="s">
        <v>17</v>
      </c>
      <c r="G568" t="s">
        <v>620</v>
      </c>
      <c r="H568" t="str">
        <f>HYPERLINK("http://pbs.twimg.com/media/FhN-so-X0AAwXVC.jpg", "http://pbs.twimg.com/media/FhN-so-X0AAwXVC.jpg")</f>
        <v>http://pbs.twimg.com/media/FhN-so-X0AAwXVC.jpg</v>
      </c>
      <c r="L568">
        <v>0.40189999999999998</v>
      </c>
      <c r="M568">
        <v>0</v>
      </c>
      <c r="N568">
        <v>0.80300000000000005</v>
      </c>
      <c r="O568">
        <v>0.19700000000000001</v>
      </c>
    </row>
    <row r="569" spans="1:15" x14ac:dyDescent="0.2">
      <c r="A569" s="1" t="str">
        <f>HYPERLINK("http://www.twitter.com/banuakdenizli/status/1590884028152188928", "1590884028152188928")</f>
        <v>1590884028152188928</v>
      </c>
      <c r="B569" t="s">
        <v>15</v>
      </c>
      <c r="C569" s="2">
        <v>44876.075046296297</v>
      </c>
      <c r="D569">
        <v>0</v>
      </c>
      <c r="E569">
        <v>7</v>
      </c>
      <c r="F569" t="s">
        <v>19</v>
      </c>
      <c r="G569" t="s">
        <v>621</v>
      </c>
      <c r="H569" t="str">
        <f>HYPERLINK("http://pbs.twimg.com/media/FhPvNUCX0AADecB.jpg", "http://pbs.twimg.com/media/FhPvNUCX0AADecB.jpg")</f>
        <v>http://pbs.twimg.com/media/FhPvNUCX0AADecB.jpg</v>
      </c>
      <c r="L569">
        <v>0</v>
      </c>
      <c r="M569">
        <v>0</v>
      </c>
      <c r="N569">
        <v>1</v>
      </c>
      <c r="O569">
        <v>0</v>
      </c>
    </row>
    <row r="570" spans="1:15" x14ac:dyDescent="0.2">
      <c r="A570" s="1" t="str">
        <f>HYPERLINK("http://www.twitter.com/banuakdenizli/status/1590883931733495809", "1590883931733495809")</f>
        <v>1590883931733495809</v>
      </c>
      <c r="B570" t="s">
        <v>15</v>
      </c>
      <c r="C570" s="2">
        <v>44876.074780092589</v>
      </c>
      <c r="D570">
        <v>0</v>
      </c>
      <c r="E570">
        <v>14</v>
      </c>
      <c r="F570" t="s">
        <v>19</v>
      </c>
      <c r="G570" t="s">
        <v>622</v>
      </c>
      <c r="H570" t="str">
        <f>HYPERLINK("http://pbs.twimg.com/media/FhPtWymXwAMylhC.jpg", "http://pbs.twimg.com/media/FhPtWymXwAMylhC.jpg")</f>
        <v>http://pbs.twimg.com/media/FhPtWymXwAMylhC.jpg</v>
      </c>
      <c r="L570">
        <v>0</v>
      </c>
      <c r="M570">
        <v>0</v>
      </c>
      <c r="N570">
        <v>1</v>
      </c>
      <c r="O570">
        <v>0</v>
      </c>
    </row>
    <row r="571" spans="1:15" x14ac:dyDescent="0.2">
      <c r="A571" s="1" t="str">
        <f>HYPERLINK("http://www.twitter.com/banuakdenizli/status/1590883912640647168", "1590883912640647168")</f>
        <v>1590883912640647168</v>
      </c>
      <c r="B571" t="s">
        <v>15</v>
      </c>
      <c r="C571" s="2">
        <v>44876.07472222222</v>
      </c>
      <c r="D571">
        <v>0</v>
      </c>
      <c r="E571">
        <v>5</v>
      </c>
      <c r="F571" t="s">
        <v>16</v>
      </c>
      <c r="G571" t="s">
        <v>623</v>
      </c>
      <c r="H571" t="str">
        <f>HYPERLINK("http://pbs.twimg.com/media/FhNvTvmWIAM8Bn8.jpg", "http://pbs.twimg.com/media/FhNvTvmWIAM8Bn8.jpg")</f>
        <v>http://pbs.twimg.com/media/FhNvTvmWIAM8Bn8.jpg</v>
      </c>
      <c r="L571">
        <v>0</v>
      </c>
      <c r="M571">
        <v>0</v>
      </c>
      <c r="N571">
        <v>1</v>
      </c>
      <c r="O571">
        <v>0</v>
      </c>
    </row>
    <row r="572" spans="1:15" x14ac:dyDescent="0.2">
      <c r="A572" s="1" t="str">
        <f>HYPERLINK("http://www.twitter.com/banuakdenizli/status/1590883859977371649", "1590883859977371649")</f>
        <v>1590883859977371649</v>
      </c>
      <c r="B572" t="s">
        <v>15</v>
      </c>
      <c r="C572" s="2">
        <v>44876.074583333328</v>
      </c>
      <c r="D572">
        <v>0</v>
      </c>
      <c r="E572">
        <v>4</v>
      </c>
      <c r="F572" t="s">
        <v>17</v>
      </c>
      <c r="G572" t="s">
        <v>624</v>
      </c>
      <c r="H572" t="str">
        <f>HYPERLINK("http://pbs.twimg.com/media/FhODzvIXoAABozz.jpg", "http://pbs.twimg.com/media/FhODzvIXoAABozz.jpg")</f>
        <v>http://pbs.twimg.com/media/FhODzvIXoAABozz.jpg</v>
      </c>
      <c r="L572">
        <v>0</v>
      </c>
      <c r="M572">
        <v>0</v>
      </c>
      <c r="N572">
        <v>1</v>
      </c>
      <c r="O572">
        <v>0</v>
      </c>
    </row>
    <row r="573" spans="1:15" x14ac:dyDescent="0.2">
      <c r="A573" s="1" t="str">
        <f>HYPERLINK("http://www.twitter.com/banuakdenizli/status/1590883845959987200", "1590883845959987200")</f>
        <v>1590883845959987200</v>
      </c>
      <c r="B573" t="s">
        <v>15</v>
      </c>
      <c r="C573" s="2">
        <v>44876.074537037042</v>
      </c>
      <c r="D573">
        <v>0</v>
      </c>
      <c r="E573">
        <v>6</v>
      </c>
      <c r="F573" t="s">
        <v>19</v>
      </c>
      <c r="G573" t="s">
        <v>625</v>
      </c>
      <c r="H573" t="str">
        <f>HYPERLINK("http://pbs.twimg.com/media/FhPtKTGWAAE6VEm.jpg", "http://pbs.twimg.com/media/FhPtKTGWAAE6VEm.jpg")</f>
        <v>http://pbs.twimg.com/media/FhPtKTGWAAE6VEm.jpg</v>
      </c>
      <c r="L573">
        <v>0.92010000000000003</v>
      </c>
      <c r="M573">
        <v>0</v>
      </c>
      <c r="N573">
        <v>0.59799999999999998</v>
      </c>
      <c r="O573">
        <v>0.40200000000000002</v>
      </c>
    </row>
    <row r="574" spans="1:15" x14ac:dyDescent="0.2">
      <c r="A574" s="1" t="str">
        <f>HYPERLINK("http://www.twitter.com/banuakdenizli/status/1590680269886873601", "1590680269886873601")</f>
        <v>1590680269886873601</v>
      </c>
      <c r="B574" t="s">
        <v>15</v>
      </c>
      <c r="C574" s="2">
        <v>44875.512777777767</v>
      </c>
      <c r="D574">
        <v>0</v>
      </c>
      <c r="E574">
        <v>6</v>
      </c>
      <c r="F574" t="s">
        <v>16</v>
      </c>
      <c r="G574" t="s">
        <v>626</v>
      </c>
      <c r="H574" t="str">
        <f>HYPERLINK("http://pbs.twimg.com/media/FhMIHXGXEAIHe4b.jpg", "http://pbs.twimg.com/media/FhMIHXGXEAIHe4b.jpg")</f>
        <v>http://pbs.twimg.com/media/FhMIHXGXEAIHe4b.jpg</v>
      </c>
      <c r="L574">
        <v>0</v>
      </c>
      <c r="M574">
        <v>0</v>
      </c>
      <c r="N574">
        <v>1</v>
      </c>
      <c r="O574">
        <v>0</v>
      </c>
    </row>
    <row r="575" spans="1:15" x14ac:dyDescent="0.2">
      <c r="A575" s="1" t="str">
        <f>HYPERLINK("http://www.twitter.com/banuakdenizli/status/1590680223942836224", "1590680223942836224")</f>
        <v>1590680223942836224</v>
      </c>
      <c r="B575" t="s">
        <v>15</v>
      </c>
      <c r="C575" s="2">
        <v>44875.512650462973</v>
      </c>
      <c r="D575">
        <v>0</v>
      </c>
      <c r="E575">
        <v>3</v>
      </c>
      <c r="F575" t="s">
        <v>17</v>
      </c>
      <c r="G575" t="s">
        <v>627</v>
      </c>
      <c r="H575" t="str">
        <f>HYPERLINK("http://pbs.twimg.com/media/FhMbPGFWAAAeOmX.jpg", "http://pbs.twimg.com/media/FhMbPGFWAAAeOmX.jpg")</f>
        <v>http://pbs.twimg.com/media/FhMbPGFWAAAeOmX.jpg</v>
      </c>
      <c r="L575">
        <v>0</v>
      </c>
      <c r="M575">
        <v>0</v>
      </c>
      <c r="N575">
        <v>1</v>
      </c>
      <c r="O575">
        <v>0</v>
      </c>
    </row>
    <row r="576" spans="1:15" x14ac:dyDescent="0.2">
      <c r="A576" s="1" t="str">
        <f>HYPERLINK("http://www.twitter.com/banuakdenizli/status/1590512681412612101", "1590512681412612101")</f>
        <v>1590512681412612101</v>
      </c>
      <c r="B576" t="s">
        <v>15</v>
      </c>
      <c r="C576" s="2">
        <v>44875.050324074073</v>
      </c>
      <c r="D576">
        <v>0</v>
      </c>
      <c r="E576">
        <v>13</v>
      </c>
      <c r="F576" t="s">
        <v>17</v>
      </c>
      <c r="G576" t="s">
        <v>628</v>
      </c>
      <c r="H576" t="str">
        <f>HYPERLINK("http://pbs.twimg.com/media/FhJgsL6X0AYAd_4.jpg", "http://pbs.twimg.com/media/FhJgsL6X0AYAd_4.jpg")</f>
        <v>http://pbs.twimg.com/media/FhJgsL6X0AYAd_4.jpg</v>
      </c>
      <c r="L576">
        <v>0.40189999999999998</v>
      </c>
      <c r="M576">
        <v>0</v>
      </c>
      <c r="N576">
        <v>0.879</v>
      </c>
      <c r="O576">
        <v>0.121</v>
      </c>
    </row>
    <row r="577" spans="1:15" x14ac:dyDescent="0.2">
      <c r="A577" s="1" t="str">
        <f>HYPERLINK("http://www.twitter.com/banuakdenizli/status/1590512622574612481", "1590512622574612481")</f>
        <v>1590512622574612481</v>
      </c>
      <c r="B577" t="s">
        <v>15</v>
      </c>
      <c r="C577" s="2">
        <v>44875.050162037027</v>
      </c>
      <c r="D577">
        <v>0</v>
      </c>
      <c r="E577">
        <v>15</v>
      </c>
      <c r="F577" t="s">
        <v>17</v>
      </c>
      <c r="G577" t="s">
        <v>629</v>
      </c>
      <c r="H577" t="str">
        <f>HYPERLINK("http://pbs.twimg.com/media/FhJaCkDWAAErvGJ.jpg", "http://pbs.twimg.com/media/FhJaCkDWAAErvGJ.jpg")</f>
        <v>http://pbs.twimg.com/media/FhJaCkDWAAErvGJ.jpg</v>
      </c>
      <c r="L577">
        <v>0.52669999999999995</v>
      </c>
      <c r="M577">
        <v>0</v>
      </c>
      <c r="N577">
        <v>0.81499999999999995</v>
      </c>
      <c r="O577">
        <v>0.185</v>
      </c>
    </row>
    <row r="578" spans="1:15" x14ac:dyDescent="0.2">
      <c r="A578" s="1" t="str">
        <f>HYPERLINK("http://www.twitter.com/banuakdenizli/status/1590512599699185664", "1590512599699185664")</f>
        <v>1590512599699185664</v>
      </c>
      <c r="B578" t="s">
        <v>15</v>
      </c>
      <c r="C578" s="2">
        <v>44875.050092592603</v>
      </c>
      <c r="D578">
        <v>0</v>
      </c>
      <c r="E578">
        <v>20</v>
      </c>
      <c r="F578" t="s">
        <v>16</v>
      </c>
      <c r="G578" t="s">
        <v>630</v>
      </c>
      <c r="H578" t="str">
        <f>HYPERLINK("http://pbs.twimg.com/media/FhJN-1DXkAE4Aez.jpg", "http://pbs.twimg.com/media/FhJN-1DXkAE4Aez.jpg")</f>
        <v>http://pbs.twimg.com/media/FhJN-1DXkAE4Aez.jpg</v>
      </c>
      <c r="L578">
        <v>0</v>
      </c>
      <c r="M578">
        <v>0</v>
      </c>
      <c r="N578">
        <v>1</v>
      </c>
      <c r="O578">
        <v>0</v>
      </c>
    </row>
    <row r="579" spans="1:15" x14ac:dyDescent="0.2">
      <c r="A579" s="1" t="str">
        <f>HYPERLINK("http://www.twitter.com/banuakdenizli/status/1590512555809611776", "1590512555809611776")</f>
        <v>1590512555809611776</v>
      </c>
      <c r="B579" t="s">
        <v>15</v>
      </c>
      <c r="C579" s="2">
        <v>44875.049976851849</v>
      </c>
      <c r="D579">
        <v>0</v>
      </c>
      <c r="E579">
        <v>9</v>
      </c>
      <c r="F579" t="s">
        <v>16</v>
      </c>
      <c r="G579" t="s">
        <v>631</v>
      </c>
      <c r="H579" t="str">
        <f>HYPERLINK("http://pbs.twimg.com/media/FhJWanhXoAAlmte.jpg", "http://pbs.twimg.com/media/FhJWanhXoAAlmte.jpg")</f>
        <v>http://pbs.twimg.com/media/FhJWanhXoAAlmte.jpg</v>
      </c>
      <c r="L579">
        <v>0</v>
      </c>
      <c r="M579">
        <v>0</v>
      </c>
      <c r="N579">
        <v>1</v>
      </c>
      <c r="O579">
        <v>0</v>
      </c>
    </row>
    <row r="580" spans="1:15" x14ac:dyDescent="0.2">
      <c r="A580" s="1" t="str">
        <f>HYPERLINK("http://www.twitter.com/banuakdenizli/status/1590512536721362946", "1590512536721362946")</f>
        <v>1590512536721362946</v>
      </c>
      <c r="B580" t="s">
        <v>15</v>
      </c>
      <c r="C580" s="2">
        <v>44875.04991898148</v>
      </c>
      <c r="D580">
        <v>0</v>
      </c>
      <c r="E580">
        <v>6</v>
      </c>
      <c r="F580" t="s">
        <v>20</v>
      </c>
      <c r="G580" t="s">
        <v>632</v>
      </c>
      <c r="H580" t="str">
        <f>HYPERLINK("http://pbs.twimg.com/media/FhJl4XSWQAICJ20.jpg", "http://pbs.twimg.com/media/FhJl4XSWQAICJ20.jpg")</f>
        <v>http://pbs.twimg.com/media/FhJl4XSWQAICJ20.jpg</v>
      </c>
      <c r="L580">
        <v>0</v>
      </c>
      <c r="M580">
        <v>0</v>
      </c>
      <c r="N580">
        <v>1</v>
      </c>
      <c r="O580">
        <v>0</v>
      </c>
    </row>
    <row r="581" spans="1:15" x14ac:dyDescent="0.2">
      <c r="A581" s="1" t="str">
        <f>HYPERLINK("http://www.twitter.com/banuakdenizli/status/1590384579806130176", "1590384579806130176")</f>
        <v>1590384579806130176</v>
      </c>
      <c r="B581" t="s">
        <v>15</v>
      </c>
      <c r="C581" s="2">
        <v>44874.696828703702</v>
      </c>
      <c r="D581">
        <v>0</v>
      </c>
      <c r="E581">
        <v>3</v>
      </c>
      <c r="F581" t="s">
        <v>19</v>
      </c>
      <c r="G581" t="s">
        <v>633</v>
      </c>
      <c r="L581">
        <v>0</v>
      </c>
      <c r="M581">
        <v>0</v>
      </c>
      <c r="N581">
        <v>1</v>
      </c>
      <c r="O581">
        <v>0</v>
      </c>
    </row>
    <row r="582" spans="1:15" x14ac:dyDescent="0.2">
      <c r="A582" s="1" t="str">
        <f>HYPERLINK("http://www.twitter.com/banuakdenizli/status/1590377872170299392", "1590377872170299392")</f>
        <v>1590377872170299392</v>
      </c>
      <c r="B582" t="s">
        <v>15</v>
      </c>
      <c r="C582" s="2">
        <v>44874.67832175926</v>
      </c>
      <c r="D582">
        <v>0</v>
      </c>
      <c r="E582">
        <v>42</v>
      </c>
      <c r="F582" t="s">
        <v>18</v>
      </c>
      <c r="G582" t="s">
        <v>634</v>
      </c>
      <c r="L582">
        <v>0.9163</v>
      </c>
      <c r="M582">
        <v>0</v>
      </c>
      <c r="N582">
        <v>0.70799999999999996</v>
      </c>
      <c r="O582">
        <v>0.29199999999999998</v>
      </c>
    </row>
    <row r="583" spans="1:15" x14ac:dyDescent="0.2">
      <c r="A583" s="1" t="str">
        <f>HYPERLINK("http://www.twitter.com/banuakdenizli/status/1590377478752989184", "1590377478752989184")</f>
        <v>1590377478752989184</v>
      </c>
      <c r="B583" t="s">
        <v>15</v>
      </c>
      <c r="C583" s="2">
        <v>44874.677233796298</v>
      </c>
      <c r="D583">
        <v>0</v>
      </c>
      <c r="E583">
        <v>5</v>
      </c>
      <c r="F583" t="s">
        <v>19</v>
      </c>
      <c r="G583" t="s">
        <v>635</v>
      </c>
      <c r="L583">
        <v>0.34</v>
      </c>
      <c r="M583">
        <v>7.1999999999999995E-2</v>
      </c>
      <c r="N583">
        <v>0.78500000000000003</v>
      </c>
      <c r="O583">
        <v>0.14299999999999999</v>
      </c>
    </row>
    <row r="584" spans="1:15" x14ac:dyDescent="0.2">
      <c r="A584" s="1" t="str">
        <f>HYPERLINK("http://www.twitter.com/banuakdenizli/status/1590377468766347264", "1590377468766347264")</f>
        <v>1590377468766347264</v>
      </c>
      <c r="B584" t="s">
        <v>15</v>
      </c>
      <c r="C584" s="2">
        <v>44874.677199074067</v>
      </c>
      <c r="D584">
        <v>0</v>
      </c>
      <c r="E584">
        <v>10</v>
      </c>
      <c r="F584" t="s">
        <v>19</v>
      </c>
      <c r="G584" t="s">
        <v>636</v>
      </c>
      <c r="H584" t="str">
        <f>HYPERLINK("http://pbs.twimg.com/media/FhFTwe7XwAknjCy.jpg", "http://pbs.twimg.com/media/FhFTwe7XwAknjCy.jpg")</f>
        <v>http://pbs.twimg.com/media/FhFTwe7XwAknjCy.jpg</v>
      </c>
      <c r="L584">
        <v>0.86580000000000001</v>
      </c>
      <c r="M584">
        <v>6.4000000000000001E-2</v>
      </c>
      <c r="N584">
        <v>0.69499999999999995</v>
      </c>
      <c r="O584">
        <v>0.24099999999999999</v>
      </c>
    </row>
    <row r="585" spans="1:15" x14ac:dyDescent="0.2">
      <c r="A585" s="1" t="str">
        <f>HYPERLINK("http://www.twitter.com/banuakdenizli/status/1590369673203548160", "1590369673203548160")</f>
        <v>1590369673203548160</v>
      </c>
      <c r="B585" t="s">
        <v>15</v>
      </c>
      <c r="C585" s="2">
        <v>44874.655694444453</v>
      </c>
      <c r="D585">
        <v>0</v>
      </c>
      <c r="E585">
        <v>66</v>
      </c>
      <c r="F585" t="s">
        <v>18</v>
      </c>
      <c r="G585" t="s">
        <v>637</v>
      </c>
      <c r="L585">
        <v>0</v>
      </c>
      <c r="M585">
        <v>0</v>
      </c>
      <c r="N585">
        <v>1</v>
      </c>
      <c r="O585">
        <v>0</v>
      </c>
    </row>
    <row r="586" spans="1:15" x14ac:dyDescent="0.2">
      <c r="A586" s="1" t="str">
        <f>HYPERLINK("http://www.twitter.com/banuakdenizli/status/1590363837043445760", "1590363837043445760")</f>
        <v>1590363837043445760</v>
      </c>
      <c r="B586" t="s">
        <v>15</v>
      </c>
      <c r="C586" s="2">
        <v>44874.63958333333</v>
      </c>
      <c r="D586">
        <v>0</v>
      </c>
      <c r="E586">
        <v>3</v>
      </c>
      <c r="F586" t="s">
        <v>115</v>
      </c>
      <c r="G586" t="s">
        <v>638</v>
      </c>
      <c r="H586" t="str">
        <f>HYPERLINK("http://pbs.twimg.com/media/FhIbLojWIAAYVFV.jpg", "http://pbs.twimg.com/media/FhIbLojWIAAYVFV.jpg")</f>
        <v>http://pbs.twimg.com/media/FhIbLojWIAAYVFV.jpg</v>
      </c>
      <c r="L586">
        <v>0</v>
      </c>
      <c r="M586">
        <v>0</v>
      </c>
      <c r="N586">
        <v>1</v>
      </c>
      <c r="O586">
        <v>0</v>
      </c>
    </row>
    <row r="587" spans="1:15" x14ac:dyDescent="0.2">
      <c r="A587" s="1" t="str">
        <f>HYPERLINK("http://www.twitter.com/banuakdenizli/status/1590361420830773248", "1590361420830773248")</f>
        <v>1590361420830773248</v>
      </c>
      <c r="B587" t="s">
        <v>15</v>
      </c>
      <c r="C587" s="2">
        <v>44874.632916666669</v>
      </c>
      <c r="D587">
        <v>0</v>
      </c>
      <c r="E587">
        <v>1</v>
      </c>
      <c r="F587" t="s">
        <v>29</v>
      </c>
      <c r="G587" t="s">
        <v>639</v>
      </c>
      <c r="H587" t="str">
        <f>HYPERLINK("http://pbs.twimg.com/media/FhIYzAFWIAcb5vm.jpg", "http://pbs.twimg.com/media/FhIYzAFWIAcb5vm.jpg")</f>
        <v>http://pbs.twimg.com/media/FhIYzAFWIAcb5vm.jpg</v>
      </c>
      <c r="I587" t="str">
        <f>HYPERLINK("http://pbs.twimg.com/media/FhIYzBCXgAAuNje.jpg", "http://pbs.twimg.com/media/FhIYzBCXgAAuNje.jpg")</f>
        <v>http://pbs.twimg.com/media/FhIYzBCXgAAuNje.jpg</v>
      </c>
      <c r="L587">
        <v>0.52669999999999995</v>
      </c>
      <c r="M587">
        <v>0</v>
      </c>
      <c r="N587">
        <v>0.92</v>
      </c>
      <c r="O587">
        <v>0.08</v>
      </c>
    </row>
    <row r="588" spans="1:15" x14ac:dyDescent="0.2">
      <c r="A588" s="1" t="str">
        <f>HYPERLINK("http://www.twitter.com/banuakdenizli/status/1590361396625444866", "1590361396625444866")</f>
        <v>1590361396625444866</v>
      </c>
      <c r="B588" t="s">
        <v>15</v>
      </c>
      <c r="C588" s="2">
        <v>44874.6328587963</v>
      </c>
      <c r="D588">
        <v>0</v>
      </c>
      <c r="E588">
        <v>3</v>
      </c>
      <c r="F588" t="s">
        <v>38</v>
      </c>
      <c r="G588" t="s">
        <v>640</v>
      </c>
      <c r="H588" t="str">
        <f>HYPERLINK("http://pbs.twimg.com/media/FhIXscCWYAM5quK.jpg", "http://pbs.twimg.com/media/FhIXscCWYAM5quK.jpg")</f>
        <v>http://pbs.twimg.com/media/FhIXscCWYAM5quK.jpg</v>
      </c>
      <c r="I588" t="str">
        <f>HYPERLINK("http://pbs.twimg.com/media/FhIXsbPWYAQUbeZ.jpg", "http://pbs.twimg.com/media/FhIXsbPWYAQUbeZ.jpg")</f>
        <v>http://pbs.twimg.com/media/FhIXsbPWYAQUbeZ.jpg</v>
      </c>
      <c r="L588">
        <v>0</v>
      </c>
      <c r="M588">
        <v>0</v>
      </c>
      <c r="N588">
        <v>1</v>
      </c>
      <c r="O588">
        <v>0</v>
      </c>
    </row>
    <row r="589" spans="1:15" x14ac:dyDescent="0.2">
      <c r="A589" s="1" t="str">
        <f>HYPERLINK("http://www.twitter.com/banuakdenizli/status/1590361198541049856", "1590361198541049856")</f>
        <v>1590361198541049856</v>
      </c>
      <c r="B589" t="s">
        <v>15</v>
      </c>
      <c r="C589" s="2">
        <v>44874.632303240738</v>
      </c>
      <c r="D589">
        <v>0</v>
      </c>
      <c r="E589">
        <v>4</v>
      </c>
      <c r="F589" t="s">
        <v>641</v>
      </c>
      <c r="G589" t="s">
        <v>642</v>
      </c>
      <c r="H589" t="str">
        <f>HYPERLINK("http://pbs.twimg.com/media/FhHWzJ-X0AECitQ.jpg", "http://pbs.twimg.com/media/FhHWzJ-X0AECitQ.jpg")</f>
        <v>http://pbs.twimg.com/media/FhHWzJ-X0AECitQ.jpg</v>
      </c>
      <c r="L589">
        <v>0</v>
      </c>
      <c r="M589">
        <v>0</v>
      </c>
      <c r="N589">
        <v>1</v>
      </c>
      <c r="O589">
        <v>0</v>
      </c>
    </row>
    <row r="590" spans="1:15" x14ac:dyDescent="0.2">
      <c r="A590" s="1" t="str">
        <f>HYPERLINK("http://www.twitter.com/banuakdenizli/status/1590361184846237697", "1590361184846237697")</f>
        <v>1590361184846237697</v>
      </c>
      <c r="B590" t="s">
        <v>15</v>
      </c>
      <c r="C590" s="2">
        <v>44874.632268518522</v>
      </c>
      <c r="D590">
        <v>0</v>
      </c>
      <c r="E590">
        <v>4</v>
      </c>
      <c r="F590" t="s">
        <v>641</v>
      </c>
      <c r="G590" t="s">
        <v>643</v>
      </c>
      <c r="H590" t="str">
        <f>HYPERLINK("http://pbs.twimg.com/media/FhHW0m9XEAAGstp.jpg", "http://pbs.twimg.com/media/FhHW0m9XEAAGstp.jpg")</f>
        <v>http://pbs.twimg.com/media/FhHW0m9XEAAGstp.jpg</v>
      </c>
      <c r="L590">
        <v>8.5699999999999998E-2</v>
      </c>
      <c r="M590">
        <v>0</v>
      </c>
      <c r="N590">
        <v>0.96699999999999997</v>
      </c>
      <c r="O590">
        <v>3.3000000000000002E-2</v>
      </c>
    </row>
    <row r="591" spans="1:15" x14ac:dyDescent="0.2">
      <c r="A591" s="1" t="str">
        <f>HYPERLINK("http://www.twitter.com/banuakdenizli/status/1590355782536556544", "1590355782536556544")</f>
        <v>1590355782536556544</v>
      </c>
      <c r="B591" t="s">
        <v>15</v>
      </c>
      <c r="C591" s="2">
        <v>44874.617361111108</v>
      </c>
      <c r="D591">
        <v>0</v>
      </c>
      <c r="E591">
        <v>19</v>
      </c>
      <c r="F591" t="s">
        <v>16</v>
      </c>
      <c r="G591" t="s">
        <v>644</v>
      </c>
      <c r="H591" t="str">
        <f>HYPERLINK("http://pbs.twimg.com/media/Fg-36JMWAAEJBNh.jpg", "http://pbs.twimg.com/media/Fg-36JMWAAEJBNh.jpg")</f>
        <v>http://pbs.twimg.com/media/Fg-36JMWAAEJBNh.jpg</v>
      </c>
      <c r="L591">
        <v>0</v>
      </c>
      <c r="M591">
        <v>0</v>
      </c>
      <c r="N591">
        <v>1</v>
      </c>
      <c r="O591">
        <v>0</v>
      </c>
    </row>
    <row r="592" spans="1:15" x14ac:dyDescent="0.2">
      <c r="A592" s="1" t="str">
        <f>HYPERLINK("http://www.twitter.com/banuakdenizli/status/1590355768364396546", "1590355768364396546")</f>
        <v>1590355768364396546</v>
      </c>
      <c r="B592" t="s">
        <v>15</v>
      </c>
      <c r="C592" s="2">
        <v>44874.617326388892</v>
      </c>
      <c r="D592">
        <v>0</v>
      </c>
      <c r="E592">
        <v>13</v>
      </c>
      <c r="F592" t="s">
        <v>16</v>
      </c>
      <c r="G592" t="s">
        <v>645</v>
      </c>
      <c r="H592" t="str">
        <f>HYPERLINK("http://pbs.twimg.com/media/Fg-7ecTXkAAruih.jpg", "http://pbs.twimg.com/media/Fg-7ecTXkAAruih.jpg")</f>
        <v>http://pbs.twimg.com/media/Fg-7ecTXkAAruih.jpg</v>
      </c>
      <c r="L592">
        <v>0</v>
      </c>
      <c r="M592">
        <v>0</v>
      </c>
      <c r="N592">
        <v>1</v>
      </c>
      <c r="O592">
        <v>0</v>
      </c>
    </row>
    <row r="593" spans="1:15" x14ac:dyDescent="0.2">
      <c r="A593" s="1" t="str">
        <f>HYPERLINK("http://www.twitter.com/banuakdenizli/status/1590355282097737728", "1590355282097737728")</f>
        <v>1590355282097737728</v>
      </c>
      <c r="B593" t="s">
        <v>15</v>
      </c>
      <c r="C593" s="2">
        <v>44874.615983796299</v>
      </c>
      <c r="D593">
        <v>0</v>
      </c>
      <c r="E593">
        <v>11</v>
      </c>
      <c r="F593" t="s">
        <v>28</v>
      </c>
      <c r="G593" t="s">
        <v>646</v>
      </c>
      <c r="L593">
        <v>0</v>
      </c>
      <c r="M593">
        <v>0</v>
      </c>
      <c r="N593">
        <v>1</v>
      </c>
      <c r="O593">
        <v>0</v>
      </c>
    </row>
    <row r="594" spans="1:15" x14ac:dyDescent="0.2">
      <c r="A594" s="1" t="str">
        <f>HYPERLINK("http://www.twitter.com/banuakdenizli/status/1590355266624983042", "1590355266624983042")</f>
        <v>1590355266624983042</v>
      </c>
      <c r="B594" t="s">
        <v>15</v>
      </c>
      <c r="C594" s="2">
        <v>44874.615937499999</v>
      </c>
      <c r="D594">
        <v>0</v>
      </c>
      <c r="E594">
        <v>34</v>
      </c>
      <c r="F594" t="s">
        <v>28</v>
      </c>
      <c r="G594" t="s">
        <v>647</v>
      </c>
      <c r="L594">
        <v>0</v>
      </c>
      <c r="M594">
        <v>0</v>
      </c>
      <c r="N594">
        <v>1</v>
      </c>
      <c r="O594">
        <v>0</v>
      </c>
    </row>
    <row r="595" spans="1:15" x14ac:dyDescent="0.2">
      <c r="A595" s="1" t="str">
        <f>HYPERLINK("http://www.twitter.com/banuakdenizli/status/1590355233896816641", "1590355233896816641")</f>
        <v>1590355233896816641</v>
      </c>
      <c r="B595" t="s">
        <v>15</v>
      </c>
      <c r="C595" s="2">
        <v>44874.615844907406</v>
      </c>
      <c r="D595">
        <v>0</v>
      </c>
      <c r="E595">
        <v>10</v>
      </c>
      <c r="F595" t="s">
        <v>16</v>
      </c>
      <c r="G595" t="s">
        <v>648</v>
      </c>
      <c r="H595" t="str">
        <f>HYPERLINK("http://pbs.twimg.com/media/FhEGMEYWAAoLhUZ.jpg", "http://pbs.twimg.com/media/FhEGMEYWAAoLhUZ.jpg")</f>
        <v>http://pbs.twimg.com/media/FhEGMEYWAAoLhUZ.jpg</v>
      </c>
      <c r="L595">
        <v>0</v>
      </c>
      <c r="M595">
        <v>0</v>
      </c>
      <c r="N595">
        <v>1</v>
      </c>
      <c r="O595">
        <v>0</v>
      </c>
    </row>
    <row r="596" spans="1:15" x14ac:dyDescent="0.2">
      <c r="A596" s="1" t="str">
        <f>HYPERLINK("http://www.twitter.com/banuakdenizli/status/1590355051398459392", "1590355051398459392")</f>
        <v>1590355051398459392</v>
      </c>
      <c r="B596" t="s">
        <v>15</v>
      </c>
      <c r="C596" s="2">
        <v>44874.615347222221</v>
      </c>
      <c r="D596">
        <v>0</v>
      </c>
      <c r="E596">
        <v>5</v>
      </c>
      <c r="F596" t="s">
        <v>34</v>
      </c>
      <c r="G596" t="s">
        <v>649</v>
      </c>
      <c r="H596" t="str">
        <f>HYPERLINK("http://pbs.twimg.com/media/FhHXUdEXEAU6WZY.jpg", "http://pbs.twimg.com/media/FhHXUdEXEAU6WZY.jpg")</f>
        <v>http://pbs.twimg.com/media/FhHXUdEXEAU6WZY.jpg</v>
      </c>
      <c r="I596" t="str">
        <f>HYPERLINK("http://pbs.twimg.com/media/FhHXUdlWIAEclRy.jpg", "http://pbs.twimg.com/media/FhHXUdlWIAEclRy.jpg")</f>
        <v>http://pbs.twimg.com/media/FhHXUdlWIAEclRy.jpg</v>
      </c>
      <c r="J596" t="str">
        <f>HYPERLINK("http://pbs.twimg.com/media/FhHXUd3WAAMKMk9.jpg", "http://pbs.twimg.com/media/FhHXUd3WAAMKMk9.jpg")</f>
        <v>http://pbs.twimg.com/media/FhHXUd3WAAMKMk9.jpg</v>
      </c>
      <c r="L596">
        <v>0</v>
      </c>
      <c r="M596">
        <v>0</v>
      </c>
      <c r="N596">
        <v>1</v>
      </c>
      <c r="O596">
        <v>0</v>
      </c>
    </row>
    <row r="597" spans="1:15" x14ac:dyDescent="0.2">
      <c r="A597" s="1" t="str">
        <f>HYPERLINK("http://www.twitter.com/banuakdenizli/status/1590355042561056768", "1590355042561056768")</f>
        <v>1590355042561056768</v>
      </c>
      <c r="B597" t="s">
        <v>15</v>
      </c>
      <c r="C597" s="2">
        <v>44874.615324074082</v>
      </c>
      <c r="D597">
        <v>0</v>
      </c>
      <c r="E597">
        <v>11</v>
      </c>
      <c r="F597" t="s">
        <v>34</v>
      </c>
      <c r="G597" t="s">
        <v>650</v>
      </c>
      <c r="H597" t="str">
        <f>HYPERLINK("http://pbs.twimg.com/media/FhHXT4GX0AE3mmj.jpg", "http://pbs.twimg.com/media/FhHXT4GX0AE3mmj.jpg")</f>
        <v>http://pbs.twimg.com/media/FhHXT4GX0AE3mmj.jpg</v>
      </c>
      <c r="I597" t="str">
        <f>HYPERLINK("http://pbs.twimg.com/media/FhHXT4KWYAEmd_w.jpg", "http://pbs.twimg.com/media/FhHXT4KWYAEmd_w.jpg")</f>
        <v>http://pbs.twimg.com/media/FhHXT4KWYAEmd_w.jpg</v>
      </c>
      <c r="J597" t="str">
        <f>HYPERLINK("http://pbs.twimg.com/media/FhHXT4ZWYAAE31B.jpg", "http://pbs.twimg.com/media/FhHXT4ZWYAAE31B.jpg")</f>
        <v>http://pbs.twimg.com/media/FhHXT4ZWYAAE31B.jpg</v>
      </c>
      <c r="K597" t="str">
        <f>HYPERLINK("http://pbs.twimg.com/media/FhHXT4MXwAIW9jh.jpg", "http://pbs.twimg.com/media/FhHXT4MXwAIW9jh.jpg")</f>
        <v>http://pbs.twimg.com/media/FhHXT4MXwAIW9jh.jpg</v>
      </c>
      <c r="L597">
        <v>0</v>
      </c>
      <c r="M597">
        <v>0</v>
      </c>
      <c r="N597">
        <v>1</v>
      </c>
      <c r="O597">
        <v>0</v>
      </c>
    </row>
    <row r="598" spans="1:15" x14ac:dyDescent="0.2">
      <c r="A598" s="1" t="str">
        <f>HYPERLINK("http://www.twitter.com/banuakdenizli/status/1590354861883019266", "1590354861883019266")</f>
        <v>1590354861883019266</v>
      </c>
      <c r="B598" t="s">
        <v>15</v>
      </c>
      <c r="C598" s="2">
        <v>44874.61482638889</v>
      </c>
      <c r="D598">
        <v>0</v>
      </c>
      <c r="E598">
        <v>15</v>
      </c>
      <c r="F598" t="s">
        <v>651</v>
      </c>
      <c r="G598" t="s">
        <v>652</v>
      </c>
      <c r="L598">
        <v>0</v>
      </c>
      <c r="M598">
        <v>0</v>
      </c>
      <c r="N598">
        <v>1</v>
      </c>
      <c r="O598">
        <v>0</v>
      </c>
    </row>
    <row r="599" spans="1:15" x14ac:dyDescent="0.2">
      <c r="A599" s="1" t="str">
        <f>HYPERLINK("http://www.twitter.com/banuakdenizli/status/1590354226672152576", "1590354226672152576")</f>
        <v>1590354226672152576</v>
      </c>
      <c r="B599" t="s">
        <v>15</v>
      </c>
      <c r="C599" s="2">
        <v>44874.613067129627</v>
      </c>
      <c r="D599">
        <v>0</v>
      </c>
      <c r="E599">
        <v>1</v>
      </c>
      <c r="F599" t="s">
        <v>29</v>
      </c>
      <c r="G599" t="s">
        <v>653</v>
      </c>
      <c r="H599" t="str">
        <f>HYPERLINK("http://pbs.twimg.com/media/FhEE7U0XgAIKu53.jpg", "http://pbs.twimg.com/media/FhEE7U0XgAIKu53.jpg")</f>
        <v>http://pbs.twimg.com/media/FhEE7U0XgAIKu53.jpg</v>
      </c>
      <c r="I599" t="str">
        <f>HYPERLINK("http://pbs.twimg.com/media/FhEE7ViWQAMLCki.jpg", "http://pbs.twimg.com/media/FhEE7ViWQAMLCki.jpg")</f>
        <v>http://pbs.twimg.com/media/FhEE7ViWQAMLCki.jpg</v>
      </c>
      <c r="L599">
        <v>0.25</v>
      </c>
      <c r="M599">
        <v>0</v>
      </c>
      <c r="N599">
        <v>0.85</v>
      </c>
      <c r="O599">
        <v>0.15</v>
      </c>
    </row>
    <row r="600" spans="1:15" x14ac:dyDescent="0.2">
      <c r="A600" s="1" t="str">
        <f>HYPERLINK("http://www.twitter.com/banuakdenizli/status/1590354182191489029", "1590354182191489029")</f>
        <v>1590354182191489029</v>
      </c>
      <c r="B600" t="s">
        <v>15</v>
      </c>
      <c r="C600" s="2">
        <v>44874.612951388888</v>
      </c>
      <c r="D600">
        <v>0</v>
      </c>
      <c r="E600">
        <v>2</v>
      </c>
      <c r="F600" t="s">
        <v>29</v>
      </c>
      <c r="G600" t="s">
        <v>654</v>
      </c>
      <c r="H600" t="str">
        <f>HYPERLINK("http://pbs.twimg.com/media/FhGZsHIXoAU_ke3.jpg", "http://pbs.twimg.com/media/FhGZsHIXoAU_ke3.jpg")</f>
        <v>http://pbs.twimg.com/media/FhGZsHIXoAU_ke3.jpg</v>
      </c>
      <c r="I600" t="str">
        <f>HYPERLINK("http://pbs.twimg.com/media/FhGZsHaXoAA8ibR.jpg", "http://pbs.twimg.com/media/FhGZsHaXoAA8ibR.jpg")</f>
        <v>http://pbs.twimg.com/media/FhGZsHaXoAA8ibR.jpg</v>
      </c>
      <c r="L600">
        <v>0.59940000000000004</v>
      </c>
      <c r="M600">
        <v>0</v>
      </c>
      <c r="N600">
        <v>0.84899999999999998</v>
      </c>
      <c r="O600">
        <v>0.151</v>
      </c>
    </row>
    <row r="601" spans="1:15" x14ac:dyDescent="0.2">
      <c r="A601" s="1" t="str">
        <f>HYPERLINK("http://www.twitter.com/banuakdenizli/status/1590354156925382657", "1590354156925382657")</f>
        <v>1590354156925382657</v>
      </c>
      <c r="B601" t="s">
        <v>15</v>
      </c>
      <c r="C601" s="2">
        <v>44874.612881944442</v>
      </c>
      <c r="D601">
        <v>0</v>
      </c>
      <c r="E601">
        <v>1</v>
      </c>
      <c r="F601" t="s">
        <v>29</v>
      </c>
      <c r="G601" t="s">
        <v>655</v>
      </c>
      <c r="H601" t="str">
        <f>HYPERLINK("http://pbs.twimg.com/media/FhGXoisWYAA-yRo.jpg", "http://pbs.twimg.com/media/FhGXoisWYAA-yRo.jpg")</f>
        <v>http://pbs.twimg.com/media/FhGXoisWYAA-yRo.jpg</v>
      </c>
      <c r="I601" t="str">
        <f>HYPERLINK("http://pbs.twimg.com/media/FhGXojgWYAAywfG.jpg", "http://pbs.twimg.com/media/FhGXojgWYAAywfG.jpg")</f>
        <v>http://pbs.twimg.com/media/FhGXojgWYAAywfG.jpg</v>
      </c>
      <c r="L601">
        <v>0.59940000000000004</v>
      </c>
      <c r="M601">
        <v>0</v>
      </c>
      <c r="N601">
        <v>0.83</v>
      </c>
      <c r="O601">
        <v>0.17</v>
      </c>
    </row>
    <row r="602" spans="1:15" x14ac:dyDescent="0.2">
      <c r="A602" s="1" t="str">
        <f>HYPERLINK("http://www.twitter.com/banuakdenizli/status/1590354106581127170", "1590354106581127170")</f>
        <v>1590354106581127170</v>
      </c>
      <c r="B602" t="s">
        <v>15</v>
      </c>
      <c r="C602" s="2">
        <v>44874.612743055557</v>
      </c>
      <c r="D602">
        <v>0</v>
      </c>
      <c r="E602">
        <v>26</v>
      </c>
      <c r="F602" t="s">
        <v>651</v>
      </c>
      <c r="G602" t="s">
        <v>656</v>
      </c>
      <c r="H602" t="str">
        <f>HYPERLINK("http://pbs.twimg.com/media/FhHA0yLWQAIRQdG.jpg", "http://pbs.twimg.com/media/FhHA0yLWQAIRQdG.jpg")</f>
        <v>http://pbs.twimg.com/media/FhHA0yLWQAIRQdG.jpg</v>
      </c>
      <c r="L602">
        <v>0.92730000000000001</v>
      </c>
      <c r="M602">
        <v>2.7E-2</v>
      </c>
      <c r="N602">
        <v>0.68500000000000005</v>
      </c>
      <c r="O602">
        <v>0.28799999999999998</v>
      </c>
    </row>
    <row r="603" spans="1:15" x14ac:dyDescent="0.2">
      <c r="A603" s="1" t="str">
        <f>HYPERLINK("http://www.twitter.com/banuakdenizli/status/1590047786804076546", "1590047786804076546")</f>
        <v>1590047786804076546</v>
      </c>
      <c r="B603" t="s">
        <v>15</v>
      </c>
      <c r="C603" s="2">
        <v>44873.767453703702</v>
      </c>
      <c r="D603">
        <v>0</v>
      </c>
      <c r="E603">
        <v>14</v>
      </c>
      <c r="F603" t="s">
        <v>16</v>
      </c>
      <c r="G603" t="s">
        <v>657</v>
      </c>
      <c r="H603" t="str">
        <f>HYPERLINK("http://pbs.twimg.com/media/Fg_NuHFX0AQKSHg.jpg", "http://pbs.twimg.com/media/Fg_NuHFX0AQKSHg.jpg")</f>
        <v>http://pbs.twimg.com/media/Fg_NuHFX0AQKSHg.jpg</v>
      </c>
      <c r="L603">
        <v>0</v>
      </c>
      <c r="M603">
        <v>0</v>
      </c>
      <c r="N603">
        <v>1</v>
      </c>
      <c r="O603">
        <v>0</v>
      </c>
    </row>
    <row r="604" spans="1:15" x14ac:dyDescent="0.2">
      <c r="A604" s="1" t="str">
        <f>HYPERLINK("http://www.twitter.com/banuakdenizli/status/1589997315905183746", "1589997315905183746")</f>
        <v>1589997315905183746</v>
      </c>
      <c r="B604" t="s">
        <v>15</v>
      </c>
      <c r="C604" s="2">
        <v>44873.628182870372</v>
      </c>
      <c r="D604">
        <v>0</v>
      </c>
      <c r="E604">
        <v>14</v>
      </c>
      <c r="F604" t="s">
        <v>16</v>
      </c>
      <c r="G604" t="s">
        <v>658</v>
      </c>
      <c r="H604" t="str">
        <f>HYPERLINK("http://pbs.twimg.com/media/Fg-0NbCXgAIGDph.jpg", "http://pbs.twimg.com/media/Fg-0NbCXgAIGDph.jpg")</f>
        <v>http://pbs.twimg.com/media/Fg-0NbCXgAIGDph.jpg</v>
      </c>
      <c r="L604">
        <v>0</v>
      </c>
      <c r="M604">
        <v>0</v>
      </c>
      <c r="N604">
        <v>1</v>
      </c>
      <c r="O604">
        <v>0</v>
      </c>
    </row>
    <row r="605" spans="1:15" x14ac:dyDescent="0.2">
      <c r="A605" s="1" t="str">
        <f>HYPERLINK("http://www.twitter.com/banuakdenizli/status/1589997286134009857", "1589997286134009857")</f>
        <v>1589997286134009857</v>
      </c>
      <c r="B605" t="s">
        <v>15</v>
      </c>
      <c r="C605" s="2">
        <v>44873.628101851849</v>
      </c>
      <c r="D605">
        <v>0</v>
      </c>
      <c r="E605">
        <v>11</v>
      </c>
      <c r="F605" t="s">
        <v>19</v>
      </c>
      <c r="G605" t="s">
        <v>659</v>
      </c>
      <c r="H605" t="str">
        <f>HYPERLINK("http://pbs.twimg.com/media/FhDEO56XwAAMQK0.jpg", "http://pbs.twimg.com/media/FhDEO56XwAAMQK0.jpg")</f>
        <v>http://pbs.twimg.com/media/FhDEO56XwAAMQK0.jpg</v>
      </c>
      <c r="L605">
        <v>0.95009999999999994</v>
      </c>
      <c r="M605">
        <v>0</v>
      </c>
      <c r="N605">
        <v>0.63</v>
      </c>
      <c r="O605">
        <v>0.37</v>
      </c>
    </row>
    <row r="606" spans="1:15" x14ac:dyDescent="0.2">
      <c r="A606" s="1" t="str">
        <f>HYPERLINK("http://www.twitter.com/banuakdenizli/status/1589975640153165824", "1589975640153165824")</f>
        <v>1589975640153165824</v>
      </c>
      <c r="B606" t="s">
        <v>15</v>
      </c>
      <c r="C606" s="2">
        <v>44873.568368055552</v>
      </c>
      <c r="D606">
        <v>0</v>
      </c>
      <c r="E606">
        <v>6</v>
      </c>
      <c r="F606" t="s">
        <v>35</v>
      </c>
      <c r="G606" t="s">
        <v>660</v>
      </c>
      <c r="H606" t="str">
        <f>HYPERLINK("http://pbs.twimg.com/media/FhCG3ikXwAEHGwt.jpg", "http://pbs.twimg.com/media/FhCG3ikXwAEHGwt.jpg")</f>
        <v>http://pbs.twimg.com/media/FhCG3ikXwAEHGwt.jpg</v>
      </c>
      <c r="L606">
        <v>0.77829999999999999</v>
      </c>
      <c r="M606">
        <v>0</v>
      </c>
      <c r="N606">
        <v>0.83299999999999996</v>
      </c>
      <c r="O606">
        <v>0.16700000000000001</v>
      </c>
    </row>
    <row r="607" spans="1:15" x14ac:dyDescent="0.2">
      <c r="A607" s="1" t="str">
        <f>HYPERLINK("http://www.twitter.com/banuakdenizli/status/1589975625020092416", "1589975625020092416")</f>
        <v>1589975625020092416</v>
      </c>
      <c r="B607" t="s">
        <v>15</v>
      </c>
      <c r="C607" s="2">
        <v>44873.56832175926</v>
      </c>
      <c r="D607">
        <v>0</v>
      </c>
      <c r="E607">
        <v>8</v>
      </c>
      <c r="F607" t="s">
        <v>651</v>
      </c>
      <c r="G607" t="s">
        <v>661</v>
      </c>
      <c r="H607" t="str">
        <f>HYPERLINK("http://pbs.twimg.com/media/FhBz-6XWQAITpxn.jpg", "http://pbs.twimg.com/media/FhBz-6XWQAITpxn.jpg")</f>
        <v>http://pbs.twimg.com/media/FhBz-6XWQAITpxn.jpg</v>
      </c>
      <c r="L607">
        <v>0</v>
      </c>
      <c r="M607">
        <v>0</v>
      </c>
      <c r="N607">
        <v>1</v>
      </c>
      <c r="O607">
        <v>0</v>
      </c>
    </row>
    <row r="608" spans="1:15" x14ac:dyDescent="0.2">
      <c r="A608" s="1" t="str">
        <f>HYPERLINK("http://www.twitter.com/banuakdenizli/status/1589975612306833409", "1589975612306833409")</f>
        <v>1589975612306833409</v>
      </c>
      <c r="B608" t="s">
        <v>15</v>
      </c>
      <c r="C608" s="2">
        <v>44873.568287037036</v>
      </c>
      <c r="D608">
        <v>0</v>
      </c>
      <c r="E608">
        <v>81</v>
      </c>
      <c r="F608" t="s">
        <v>28</v>
      </c>
      <c r="G608" t="s">
        <v>662</v>
      </c>
      <c r="H608" t="str">
        <f>HYPERLINK("http://pbs.twimg.com/media/FhCv888XEAA07N1.jpg", "http://pbs.twimg.com/media/FhCv888XEAA07N1.jpg")</f>
        <v>http://pbs.twimg.com/media/FhCv888XEAA07N1.jpg</v>
      </c>
      <c r="I608" t="str">
        <f>HYPERLINK("http://pbs.twimg.com/media/FhCv884WAAEo7OL.jpg", "http://pbs.twimg.com/media/FhCv884WAAEo7OL.jpg")</f>
        <v>http://pbs.twimg.com/media/FhCv884WAAEo7OL.jpg</v>
      </c>
      <c r="J608" t="str">
        <f>HYPERLINK("http://pbs.twimg.com/media/FhCv881XoAAjbd0.jpg", "http://pbs.twimg.com/media/FhCv881XoAAjbd0.jpg")</f>
        <v>http://pbs.twimg.com/media/FhCv881XoAAjbd0.jpg</v>
      </c>
      <c r="K608" t="str">
        <f>HYPERLINK("http://pbs.twimg.com/media/FhCv89EXwAAtUKE.jpg", "http://pbs.twimg.com/media/FhCv89EXwAAtUKE.jpg")</f>
        <v>http://pbs.twimg.com/media/FhCv89EXwAAtUKE.jpg</v>
      </c>
      <c r="L608">
        <v>0</v>
      </c>
      <c r="M608">
        <v>0</v>
      </c>
      <c r="N608">
        <v>1</v>
      </c>
      <c r="O608">
        <v>0</v>
      </c>
    </row>
    <row r="609" spans="1:15" x14ac:dyDescent="0.2">
      <c r="A609" s="1" t="str">
        <f>HYPERLINK("http://www.twitter.com/banuakdenizli/status/1589974379768991744", "1589974379768991744")</f>
        <v>1589974379768991744</v>
      </c>
      <c r="B609" t="s">
        <v>15</v>
      </c>
      <c r="C609" s="2">
        <v>44873.564895833333</v>
      </c>
      <c r="D609">
        <v>0</v>
      </c>
      <c r="E609">
        <v>3</v>
      </c>
      <c r="F609" t="s">
        <v>39</v>
      </c>
      <c r="G609" t="s">
        <v>663</v>
      </c>
      <c r="L609">
        <v>0.64419999999999999</v>
      </c>
      <c r="M609">
        <v>0</v>
      </c>
      <c r="N609">
        <v>0.82</v>
      </c>
      <c r="O609">
        <v>0.18</v>
      </c>
    </row>
    <row r="610" spans="1:15" x14ac:dyDescent="0.2">
      <c r="A610" s="1" t="str">
        <f>HYPERLINK("http://www.twitter.com/banuakdenizli/status/1589973693555695618", "1589973693555695618")</f>
        <v>1589973693555695618</v>
      </c>
      <c r="B610" t="s">
        <v>15</v>
      </c>
      <c r="C610" s="2">
        <v>44873.562997685192</v>
      </c>
      <c r="D610">
        <v>0</v>
      </c>
      <c r="E610">
        <v>9</v>
      </c>
      <c r="F610" t="s">
        <v>19</v>
      </c>
      <c r="G610" t="s">
        <v>664</v>
      </c>
      <c r="L610">
        <v>0.5423</v>
      </c>
      <c r="M610">
        <v>7.0000000000000007E-2</v>
      </c>
      <c r="N610">
        <v>0.81200000000000006</v>
      </c>
      <c r="O610">
        <v>0.11799999999999999</v>
      </c>
    </row>
    <row r="611" spans="1:15" x14ac:dyDescent="0.2">
      <c r="A611" s="1" t="str">
        <f>HYPERLINK("http://www.twitter.com/banuakdenizli/status/1589973641571495937", "1589973641571495937")</f>
        <v>1589973641571495937</v>
      </c>
      <c r="B611" t="s">
        <v>15</v>
      </c>
      <c r="C611" s="2">
        <v>44873.562858796293</v>
      </c>
      <c r="D611">
        <v>0</v>
      </c>
      <c r="E611">
        <v>6</v>
      </c>
      <c r="F611" t="s">
        <v>17</v>
      </c>
      <c r="G611" t="s">
        <v>665</v>
      </c>
      <c r="H611" t="str">
        <f>HYPERLINK("http://pbs.twimg.com/media/FhCrOHvWIAERN6m.jpg", "http://pbs.twimg.com/media/FhCrOHvWIAERN6m.jpg")</f>
        <v>http://pbs.twimg.com/media/FhCrOHvWIAERN6m.jpg</v>
      </c>
      <c r="I611" t="str">
        <f>HYPERLINK("http://pbs.twimg.com/media/FhCrOHqX0AA1R4P.jpg", "http://pbs.twimg.com/media/FhCrOHqX0AA1R4P.jpg")</f>
        <v>http://pbs.twimg.com/media/FhCrOHqX0AA1R4P.jpg</v>
      </c>
      <c r="L611">
        <v>0</v>
      </c>
      <c r="M611">
        <v>0</v>
      </c>
      <c r="N611">
        <v>1</v>
      </c>
      <c r="O611">
        <v>0</v>
      </c>
    </row>
    <row r="612" spans="1:15" x14ac:dyDescent="0.2">
      <c r="A612" s="1" t="str">
        <f>HYPERLINK("http://www.twitter.com/banuakdenizli/status/1589973614249799680", "1589973614249799680")</f>
        <v>1589973614249799680</v>
      </c>
      <c r="B612" t="s">
        <v>15</v>
      </c>
      <c r="C612" s="2">
        <v>44873.562777777777</v>
      </c>
      <c r="D612">
        <v>0</v>
      </c>
      <c r="E612">
        <v>25</v>
      </c>
      <c r="F612" t="s">
        <v>19</v>
      </c>
      <c r="G612" t="s">
        <v>666</v>
      </c>
      <c r="L612">
        <v>0</v>
      </c>
      <c r="M612">
        <v>0</v>
      </c>
      <c r="N612">
        <v>1</v>
      </c>
      <c r="O612">
        <v>0</v>
      </c>
    </row>
    <row r="613" spans="1:15" x14ac:dyDescent="0.2">
      <c r="A613" s="1" t="str">
        <f>HYPERLINK("http://www.twitter.com/banuakdenizli/status/1589973530246279170", "1589973530246279170")</f>
        <v>1589973530246279170</v>
      </c>
      <c r="B613" t="s">
        <v>15</v>
      </c>
      <c r="C613" s="2">
        <v>44873.5625462963</v>
      </c>
      <c r="D613">
        <v>0</v>
      </c>
      <c r="E613">
        <v>8</v>
      </c>
      <c r="F613" t="s">
        <v>16</v>
      </c>
      <c r="G613" t="s">
        <v>667</v>
      </c>
      <c r="H613" t="str">
        <f>HYPERLINK("http://pbs.twimg.com/media/FhCW4jTWQAA3guY.jpg", "http://pbs.twimg.com/media/FhCW4jTWQAA3guY.jpg")</f>
        <v>http://pbs.twimg.com/media/FhCW4jTWQAA3guY.jpg</v>
      </c>
      <c r="I613" t="str">
        <f>HYPERLINK("http://pbs.twimg.com/media/FhCW4jXWQAASdtA.jpg", "http://pbs.twimg.com/media/FhCW4jXWQAASdtA.jpg")</f>
        <v>http://pbs.twimg.com/media/FhCW4jXWQAASdtA.jpg</v>
      </c>
      <c r="L613">
        <v>0</v>
      </c>
      <c r="M613">
        <v>0</v>
      </c>
      <c r="N613">
        <v>1</v>
      </c>
      <c r="O613">
        <v>0</v>
      </c>
    </row>
    <row r="614" spans="1:15" x14ac:dyDescent="0.2">
      <c r="A614" s="1" t="str">
        <f>HYPERLINK("http://www.twitter.com/banuakdenizli/status/1589973484188598274", "1589973484188598274")</f>
        <v>1589973484188598274</v>
      </c>
      <c r="B614" t="s">
        <v>15</v>
      </c>
      <c r="C614" s="2">
        <v>44873.562418981477</v>
      </c>
      <c r="D614">
        <v>0</v>
      </c>
      <c r="E614">
        <v>10</v>
      </c>
      <c r="F614" t="s">
        <v>16</v>
      </c>
      <c r="G614" t="s">
        <v>668</v>
      </c>
      <c r="H614" t="str">
        <f>HYPERLINK("http://pbs.twimg.com/media/FhCXwbWWAAEwGxz.jpg", "http://pbs.twimg.com/media/FhCXwbWWAAEwGxz.jpg")</f>
        <v>http://pbs.twimg.com/media/FhCXwbWWAAEwGxz.jpg</v>
      </c>
      <c r="I614" t="str">
        <f>HYPERLINK("http://pbs.twimg.com/media/FhCXwcWX0AEfM6x.jpg", "http://pbs.twimg.com/media/FhCXwcWX0AEfM6x.jpg")</f>
        <v>http://pbs.twimg.com/media/FhCXwcWX0AEfM6x.jpg</v>
      </c>
      <c r="L614">
        <v>0</v>
      </c>
      <c r="M614">
        <v>0</v>
      </c>
      <c r="N614">
        <v>1</v>
      </c>
      <c r="O614">
        <v>0</v>
      </c>
    </row>
    <row r="615" spans="1:15" x14ac:dyDescent="0.2">
      <c r="A615" s="1" t="str">
        <f>HYPERLINK("http://www.twitter.com/banuakdenizli/status/1589973468640350209", "1589973468640350209")</f>
        <v>1589973468640350209</v>
      </c>
      <c r="B615" t="s">
        <v>15</v>
      </c>
      <c r="C615" s="2">
        <v>44873.562372685177</v>
      </c>
      <c r="D615">
        <v>0</v>
      </c>
      <c r="E615">
        <v>8</v>
      </c>
      <c r="F615" t="s">
        <v>19</v>
      </c>
      <c r="G615" t="s">
        <v>669</v>
      </c>
      <c r="H615" t="str">
        <f>HYPERLINK("http://pbs.twimg.com/media/FhA4HqMXEAA3_bC.jpg", "http://pbs.twimg.com/media/FhA4HqMXEAA3_bC.jpg")</f>
        <v>http://pbs.twimg.com/media/FhA4HqMXEAA3_bC.jpg</v>
      </c>
      <c r="L615">
        <v>0.77170000000000005</v>
      </c>
      <c r="M615">
        <v>0</v>
      </c>
      <c r="N615">
        <v>0.81200000000000006</v>
      </c>
      <c r="O615">
        <v>0.188</v>
      </c>
    </row>
    <row r="616" spans="1:15" x14ac:dyDescent="0.2">
      <c r="A616" s="1" t="str">
        <f>HYPERLINK("http://www.twitter.com/banuakdenizli/status/1589973448344076289", "1589973448344076289")</f>
        <v>1589973448344076289</v>
      </c>
      <c r="B616" t="s">
        <v>15</v>
      </c>
      <c r="C616" s="2">
        <v>44873.562326388892</v>
      </c>
      <c r="D616">
        <v>0</v>
      </c>
      <c r="E616">
        <v>14</v>
      </c>
      <c r="F616" t="s">
        <v>35</v>
      </c>
      <c r="G616" t="s">
        <v>670</v>
      </c>
      <c r="H616" t="str">
        <f>HYPERLINK("http://pbs.twimg.com/media/FhCG3JHWIAIMdbx.jpg", "http://pbs.twimg.com/media/FhCG3JHWIAIMdbx.jpg")</f>
        <v>http://pbs.twimg.com/media/FhCG3JHWIAIMdbx.jpg</v>
      </c>
      <c r="L616">
        <v>0</v>
      </c>
      <c r="M616">
        <v>0</v>
      </c>
      <c r="N616">
        <v>1</v>
      </c>
      <c r="O616">
        <v>0</v>
      </c>
    </row>
    <row r="617" spans="1:15" x14ac:dyDescent="0.2">
      <c r="A617" s="1" t="str">
        <f>HYPERLINK("http://www.twitter.com/banuakdenizli/status/1589973409303519232", "1589973409303519232")</f>
        <v>1589973409303519232</v>
      </c>
      <c r="B617" t="s">
        <v>15</v>
      </c>
      <c r="C617" s="2">
        <v>44873.562210648153</v>
      </c>
      <c r="D617">
        <v>0</v>
      </c>
      <c r="E617">
        <v>8</v>
      </c>
      <c r="F617" t="s">
        <v>17</v>
      </c>
      <c r="G617" t="s">
        <v>671</v>
      </c>
      <c r="H617" t="str">
        <f>HYPERLINK("http://pbs.twimg.com/media/FhCp5amWQAIyQhX.jpg", "http://pbs.twimg.com/media/FhCp5amWQAIyQhX.jpg")</f>
        <v>http://pbs.twimg.com/media/FhCp5amWQAIyQhX.jpg</v>
      </c>
      <c r="I617" t="str">
        <f>HYPERLINK("http://pbs.twimg.com/media/FhCp5ahXgAA8hBL.jpg", "http://pbs.twimg.com/media/FhCp5ahXgAA8hBL.jpg")</f>
        <v>http://pbs.twimg.com/media/FhCp5ahXgAA8hBL.jpg</v>
      </c>
      <c r="L617">
        <v>0</v>
      </c>
      <c r="M617">
        <v>0</v>
      </c>
      <c r="N617">
        <v>1</v>
      </c>
      <c r="O617">
        <v>0</v>
      </c>
    </row>
    <row r="618" spans="1:15" x14ac:dyDescent="0.2">
      <c r="A618" s="1" t="str">
        <f>HYPERLINK("http://www.twitter.com/banuakdenizli/status/1589792670842753024", "1589792670842753024")</f>
        <v>1589792670842753024</v>
      </c>
      <c r="B618" t="s">
        <v>15</v>
      </c>
      <c r="C618" s="2">
        <v>44873.063472222217</v>
      </c>
      <c r="D618">
        <v>0</v>
      </c>
      <c r="E618">
        <v>1</v>
      </c>
      <c r="F618" t="s">
        <v>20</v>
      </c>
      <c r="G618" t="s">
        <v>672</v>
      </c>
      <c r="H618" t="str">
        <f>HYPERLINK("http://pbs.twimg.com/media/Fg_inp5WIAA4XmZ.jpg", "http://pbs.twimg.com/media/Fg_inp5WIAA4XmZ.jpg")</f>
        <v>http://pbs.twimg.com/media/Fg_inp5WIAA4XmZ.jpg</v>
      </c>
      <c r="L618">
        <v>0</v>
      </c>
      <c r="M618">
        <v>0</v>
      </c>
      <c r="N618">
        <v>1</v>
      </c>
      <c r="O618">
        <v>0</v>
      </c>
    </row>
    <row r="619" spans="1:15" x14ac:dyDescent="0.2">
      <c r="A619" s="1" t="str">
        <f>HYPERLINK("http://www.twitter.com/banuakdenizli/status/1589792654237511680", "1589792654237511680")</f>
        <v>1589792654237511680</v>
      </c>
      <c r="B619" t="s">
        <v>15</v>
      </c>
      <c r="C619" s="2">
        <v>44873.063425925917</v>
      </c>
      <c r="D619">
        <v>0</v>
      </c>
      <c r="E619">
        <v>1</v>
      </c>
      <c r="F619" t="s">
        <v>20</v>
      </c>
      <c r="G619" t="s">
        <v>673</v>
      </c>
      <c r="H619" t="str">
        <f>HYPERLINK("http://pbs.twimg.com/media/Fg_isPyXoAMBWHD.jpg", "http://pbs.twimg.com/media/Fg_isPyXoAMBWHD.jpg")</f>
        <v>http://pbs.twimg.com/media/Fg_isPyXoAMBWHD.jpg</v>
      </c>
      <c r="L619">
        <v>0</v>
      </c>
      <c r="M619">
        <v>0</v>
      </c>
      <c r="N619">
        <v>1</v>
      </c>
      <c r="O619">
        <v>0</v>
      </c>
    </row>
    <row r="620" spans="1:15" x14ac:dyDescent="0.2">
      <c r="A620" s="1" t="str">
        <f>HYPERLINK("http://www.twitter.com/banuakdenizli/status/1589791924151459841", "1589791924151459841")</f>
        <v>1589791924151459841</v>
      </c>
      <c r="B620" t="s">
        <v>15</v>
      </c>
      <c r="C620" s="2">
        <v>44873.061412037037</v>
      </c>
      <c r="D620">
        <v>0</v>
      </c>
      <c r="E620">
        <v>3</v>
      </c>
      <c r="F620" t="s">
        <v>20</v>
      </c>
      <c r="G620" t="s">
        <v>674</v>
      </c>
      <c r="H620" t="str">
        <f>HYPERLINK("http://pbs.twimg.com/media/Fg_ihhFWYAMCeuz.jpg", "http://pbs.twimg.com/media/Fg_ihhFWYAMCeuz.jpg")</f>
        <v>http://pbs.twimg.com/media/Fg_ihhFWYAMCeuz.jpg</v>
      </c>
      <c r="L620">
        <v>0</v>
      </c>
      <c r="M620">
        <v>0</v>
      </c>
      <c r="N620">
        <v>1</v>
      </c>
      <c r="O620">
        <v>0</v>
      </c>
    </row>
    <row r="621" spans="1:15" x14ac:dyDescent="0.2">
      <c r="A621" s="1" t="str">
        <f>HYPERLINK("http://www.twitter.com/banuakdenizli/status/1589791902848946177", "1589791902848946177")</f>
        <v>1589791902848946177</v>
      </c>
      <c r="B621" t="s">
        <v>15</v>
      </c>
      <c r="C621" s="2">
        <v>44873.061354166668</v>
      </c>
      <c r="D621">
        <v>0</v>
      </c>
      <c r="E621">
        <v>2</v>
      </c>
      <c r="F621" t="s">
        <v>20</v>
      </c>
      <c r="G621" t="s">
        <v>675</v>
      </c>
      <c r="H621" t="str">
        <f>HYPERLINK("http://pbs.twimg.com/media/Fg_iUcqXwAI6Cp9.jpg", "http://pbs.twimg.com/media/Fg_iUcqXwAI6Cp9.jpg")</f>
        <v>http://pbs.twimg.com/media/Fg_iUcqXwAI6Cp9.jpg</v>
      </c>
      <c r="L621">
        <v>0</v>
      </c>
      <c r="M621">
        <v>0</v>
      </c>
      <c r="N621">
        <v>1</v>
      </c>
      <c r="O621">
        <v>0</v>
      </c>
    </row>
    <row r="622" spans="1:15" x14ac:dyDescent="0.2">
      <c r="A622" s="1" t="str">
        <f>HYPERLINK("http://www.twitter.com/banuakdenizli/status/1589791891867938817", "1589791891867938817")</f>
        <v>1589791891867938817</v>
      </c>
      <c r="B622" t="s">
        <v>15</v>
      </c>
      <c r="C622" s="2">
        <v>44873.061319444438</v>
      </c>
      <c r="D622">
        <v>0</v>
      </c>
      <c r="E622">
        <v>6</v>
      </c>
      <c r="F622" t="s">
        <v>20</v>
      </c>
      <c r="G622" t="s">
        <v>676</v>
      </c>
      <c r="H622" t="str">
        <f>HYPERLINK("http://pbs.twimg.com/media/Fg_h4FtXEAExzDM.jpg", "http://pbs.twimg.com/media/Fg_h4FtXEAExzDM.jpg")</f>
        <v>http://pbs.twimg.com/media/Fg_h4FtXEAExzDM.jpg</v>
      </c>
      <c r="L622">
        <v>0.34</v>
      </c>
      <c r="M622">
        <v>0</v>
      </c>
      <c r="N622">
        <v>0.93400000000000005</v>
      </c>
      <c r="O622">
        <v>6.6000000000000003E-2</v>
      </c>
    </row>
    <row r="623" spans="1:15" x14ac:dyDescent="0.2">
      <c r="A623" s="1" t="str">
        <f>HYPERLINK("http://www.twitter.com/banuakdenizli/status/1589791858435457026", "1589791858435457026")</f>
        <v>1589791858435457026</v>
      </c>
      <c r="B623" t="s">
        <v>15</v>
      </c>
      <c r="C623" s="2">
        <v>44873.061226851853</v>
      </c>
      <c r="D623">
        <v>0</v>
      </c>
      <c r="E623">
        <v>17</v>
      </c>
      <c r="F623" t="s">
        <v>16</v>
      </c>
      <c r="G623" t="s">
        <v>677</v>
      </c>
      <c r="H623" t="str">
        <f>HYPERLINK("http://pbs.twimg.com/media/Fg-xHOvWAAEG99O.jpg", "http://pbs.twimg.com/media/Fg-xHOvWAAEG99O.jpg")</f>
        <v>http://pbs.twimg.com/media/Fg-xHOvWAAEG99O.jpg</v>
      </c>
      <c r="L623">
        <v>0</v>
      </c>
      <c r="M623">
        <v>0</v>
      </c>
      <c r="N623">
        <v>1</v>
      </c>
      <c r="O623">
        <v>0</v>
      </c>
    </row>
    <row r="624" spans="1:15" x14ac:dyDescent="0.2">
      <c r="A624" s="1" t="str">
        <f>HYPERLINK("http://www.twitter.com/banuakdenizli/status/1589682996608925696", "1589682996608925696")</f>
        <v>1589682996608925696</v>
      </c>
      <c r="B624" t="s">
        <v>15</v>
      </c>
      <c r="C624" s="2">
        <v>44872.760821759257</v>
      </c>
      <c r="D624">
        <v>0</v>
      </c>
      <c r="E624">
        <v>28</v>
      </c>
      <c r="F624" t="s">
        <v>678</v>
      </c>
      <c r="G624" t="s">
        <v>679</v>
      </c>
      <c r="H624" t="str">
        <f>HYPERLINK("http://pbs.twimg.com/media/Fg90brQXoAAYnmI.jpg", "http://pbs.twimg.com/media/Fg90brQXoAAYnmI.jpg")</f>
        <v>http://pbs.twimg.com/media/Fg90brQXoAAYnmI.jpg</v>
      </c>
      <c r="I624" t="str">
        <f>HYPERLINK("http://pbs.twimg.com/media/Fg90brTWAAMP_al.jpg", "http://pbs.twimg.com/media/Fg90brTWAAMP_al.jpg")</f>
        <v>http://pbs.twimg.com/media/Fg90brTWAAMP_al.jpg</v>
      </c>
      <c r="L624">
        <v>0.95089999999999997</v>
      </c>
      <c r="M624">
        <v>0</v>
      </c>
      <c r="N624">
        <v>0.66200000000000003</v>
      </c>
      <c r="O624">
        <v>0.33800000000000002</v>
      </c>
    </row>
    <row r="625" spans="1:15" x14ac:dyDescent="0.2">
      <c r="A625" s="1" t="str">
        <f>HYPERLINK("http://www.twitter.com/banuakdenizli/status/1589680966729355264", "1589680966729355264")</f>
        <v>1589680966729355264</v>
      </c>
      <c r="B625" t="s">
        <v>15</v>
      </c>
      <c r="C625" s="2">
        <v>44872.755219907413</v>
      </c>
      <c r="D625">
        <v>0</v>
      </c>
      <c r="E625">
        <v>43</v>
      </c>
      <c r="F625" t="s">
        <v>28</v>
      </c>
      <c r="G625" t="s">
        <v>680</v>
      </c>
      <c r="H625" t="str">
        <f>HYPERLINK("http://pbs.twimg.com/media/Fg8-6cBXkAMAa00.jpg", "http://pbs.twimg.com/media/Fg8-6cBXkAMAa00.jpg")</f>
        <v>http://pbs.twimg.com/media/Fg8-6cBXkAMAa00.jpg</v>
      </c>
      <c r="I625" t="str">
        <f>HYPERLINK("http://pbs.twimg.com/media/Fg8-6b-WIAExDwE.jpg", "http://pbs.twimg.com/media/Fg8-6b-WIAExDwE.jpg")</f>
        <v>http://pbs.twimg.com/media/Fg8-6b-WIAExDwE.jpg</v>
      </c>
      <c r="J625" t="str">
        <f>HYPERLINK("http://pbs.twimg.com/media/Fg8-6b-WAAACtCZ.jpg", "http://pbs.twimg.com/media/Fg8-6b-WAAACtCZ.jpg")</f>
        <v>http://pbs.twimg.com/media/Fg8-6b-WAAACtCZ.jpg</v>
      </c>
      <c r="L625">
        <v>0</v>
      </c>
      <c r="M625">
        <v>0</v>
      </c>
      <c r="N625">
        <v>1</v>
      </c>
      <c r="O625">
        <v>0</v>
      </c>
    </row>
    <row r="626" spans="1:15" x14ac:dyDescent="0.2">
      <c r="A626" s="1" t="str">
        <f>HYPERLINK("http://www.twitter.com/banuakdenizli/status/1589680946638622721", "1589680946638622721")</f>
        <v>1589680946638622721</v>
      </c>
      <c r="B626" t="s">
        <v>15</v>
      </c>
      <c r="C626" s="2">
        <v>44872.755173611113</v>
      </c>
      <c r="D626">
        <v>0</v>
      </c>
      <c r="E626">
        <v>12</v>
      </c>
      <c r="F626" t="s">
        <v>28</v>
      </c>
      <c r="G626" t="s">
        <v>681</v>
      </c>
      <c r="H626" t="str">
        <f>HYPERLINK("http://pbs.twimg.com/media/Fg8-73-WIAAbt4I.jpg", "http://pbs.twimg.com/media/Fg8-73-WIAAbt4I.jpg")</f>
        <v>http://pbs.twimg.com/media/Fg8-73-WIAAbt4I.jpg</v>
      </c>
      <c r="I626" t="str">
        <f>HYPERLINK("http://pbs.twimg.com/media/Fg8-739XgAAeTa_.jpg", "http://pbs.twimg.com/media/Fg8-739XgAAeTa_.jpg")</f>
        <v>http://pbs.twimg.com/media/Fg8-739XgAAeTa_.jpg</v>
      </c>
      <c r="L626">
        <v>0</v>
      </c>
      <c r="M626">
        <v>0</v>
      </c>
      <c r="N626">
        <v>1</v>
      </c>
      <c r="O626">
        <v>0</v>
      </c>
    </row>
    <row r="627" spans="1:15" x14ac:dyDescent="0.2">
      <c r="A627" s="1" t="str">
        <f>HYPERLINK("http://www.twitter.com/banuakdenizli/status/1589680924341710850", "1589680924341710850")</f>
        <v>1589680924341710850</v>
      </c>
      <c r="B627" t="s">
        <v>15</v>
      </c>
      <c r="C627" s="2">
        <v>44872.755104166667</v>
      </c>
      <c r="D627">
        <v>0</v>
      </c>
      <c r="E627">
        <v>56</v>
      </c>
      <c r="F627" t="s">
        <v>28</v>
      </c>
      <c r="G627" t="s">
        <v>682</v>
      </c>
      <c r="H627" t="str">
        <f>HYPERLINK("http://pbs.twimg.com/media/Fg9B2AiWAAAFjFM.jpg", "http://pbs.twimg.com/media/Fg9B2AiWAAAFjFM.jpg")</f>
        <v>http://pbs.twimg.com/media/Fg9B2AiWAAAFjFM.jpg</v>
      </c>
      <c r="L627">
        <v>0</v>
      </c>
      <c r="M627">
        <v>0</v>
      </c>
      <c r="N627">
        <v>1</v>
      </c>
      <c r="O627">
        <v>0</v>
      </c>
    </row>
    <row r="628" spans="1:15" x14ac:dyDescent="0.2">
      <c r="A628" s="1" t="str">
        <f>HYPERLINK("http://www.twitter.com/banuakdenizli/status/1589680888035831810", "1589680888035831810")</f>
        <v>1589680888035831810</v>
      </c>
      <c r="B628" t="s">
        <v>15</v>
      </c>
      <c r="C628" s="2">
        <v>44872.755011574067</v>
      </c>
      <c r="D628">
        <v>0</v>
      </c>
      <c r="E628">
        <v>37</v>
      </c>
      <c r="F628" t="s">
        <v>16</v>
      </c>
      <c r="G628" t="s">
        <v>683</v>
      </c>
      <c r="H628" t="str">
        <f>HYPERLINK("http://pbs.twimg.com/media/Fg-tjdAWQAA8AHY.jpg", "http://pbs.twimg.com/media/Fg-tjdAWQAA8AHY.jpg")</f>
        <v>http://pbs.twimg.com/media/Fg-tjdAWQAA8AHY.jpg</v>
      </c>
      <c r="L628">
        <v>0</v>
      </c>
      <c r="M628">
        <v>0</v>
      </c>
      <c r="N628">
        <v>1</v>
      </c>
      <c r="O628">
        <v>0</v>
      </c>
    </row>
    <row r="629" spans="1:15" x14ac:dyDescent="0.2">
      <c r="A629" s="1" t="str">
        <f>HYPERLINK("http://www.twitter.com/banuakdenizli/status/1589672615857512449", "1589672615857512449")</f>
        <v>1589672615857512449</v>
      </c>
      <c r="B629" t="s">
        <v>15</v>
      </c>
      <c r="C629" s="2">
        <v>44872.732175925928</v>
      </c>
      <c r="D629">
        <v>0</v>
      </c>
      <c r="E629">
        <v>15</v>
      </c>
      <c r="F629" t="s">
        <v>17</v>
      </c>
      <c r="G629" t="s">
        <v>684</v>
      </c>
      <c r="H629" t="str">
        <f>HYPERLINK("http://pbs.twimg.com/media/Fg9iT78XkAAtjB5.jpg", "http://pbs.twimg.com/media/Fg9iT78XkAAtjB5.jpg")</f>
        <v>http://pbs.twimg.com/media/Fg9iT78XkAAtjB5.jpg</v>
      </c>
      <c r="L629">
        <v>0</v>
      </c>
      <c r="M629">
        <v>0</v>
      </c>
      <c r="N629">
        <v>1</v>
      </c>
      <c r="O629">
        <v>0</v>
      </c>
    </row>
    <row r="630" spans="1:15" x14ac:dyDescent="0.2">
      <c r="A630" s="1" t="str">
        <f>HYPERLINK("http://www.twitter.com/banuakdenizli/status/1589672595410288641", "1589672595410288641")</f>
        <v>1589672595410288641</v>
      </c>
      <c r="B630" t="s">
        <v>15</v>
      </c>
      <c r="C630" s="2">
        <v>44872.732129629629</v>
      </c>
      <c r="D630">
        <v>0</v>
      </c>
      <c r="E630">
        <v>12</v>
      </c>
      <c r="F630" t="s">
        <v>17</v>
      </c>
      <c r="G630" t="s">
        <v>685</v>
      </c>
      <c r="H630" t="str">
        <f>HYPERLINK("http://pbs.twimg.com/media/Fg9i6WAXgAIpmEo.jpg", "http://pbs.twimg.com/media/Fg9i6WAXgAIpmEo.jpg")</f>
        <v>http://pbs.twimg.com/media/Fg9i6WAXgAIpmEo.jpg</v>
      </c>
      <c r="L630">
        <v>0</v>
      </c>
      <c r="M630">
        <v>0</v>
      </c>
      <c r="N630">
        <v>1</v>
      </c>
      <c r="O630">
        <v>0</v>
      </c>
    </row>
    <row r="631" spans="1:15" x14ac:dyDescent="0.2">
      <c r="A631" s="1" t="str">
        <f>HYPERLINK("http://www.twitter.com/banuakdenizli/status/1589670463290376192", "1589670463290376192")</f>
        <v>1589670463290376192</v>
      </c>
      <c r="B631" t="s">
        <v>15</v>
      </c>
      <c r="C631" s="2">
        <v>44872.726238425923</v>
      </c>
      <c r="D631">
        <v>0</v>
      </c>
      <c r="E631">
        <v>2</v>
      </c>
      <c r="F631" t="s">
        <v>686</v>
      </c>
      <c r="G631" t="s">
        <v>687</v>
      </c>
      <c r="L631">
        <v>0</v>
      </c>
      <c r="M631">
        <v>0</v>
      </c>
      <c r="N631">
        <v>1</v>
      </c>
      <c r="O631">
        <v>0</v>
      </c>
    </row>
    <row r="632" spans="1:15" x14ac:dyDescent="0.2">
      <c r="A632" s="1" t="str">
        <f>HYPERLINK("http://www.twitter.com/banuakdenizli/status/1589670219290939393", "1589670219290939393")</f>
        <v>1589670219290939393</v>
      </c>
      <c r="B632" t="s">
        <v>15</v>
      </c>
      <c r="C632" s="2">
        <v>44872.72556712963</v>
      </c>
      <c r="D632">
        <v>0</v>
      </c>
      <c r="E632">
        <v>63</v>
      </c>
      <c r="F632" t="s">
        <v>17</v>
      </c>
      <c r="G632" t="s">
        <v>688</v>
      </c>
      <c r="H632" t="str">
        <f>HYPERLINK("https://video.twimg.com/ext_tw_video/1589648714104184837/pu/vid/1280x720/3XCx_N3Ft0RcACot.mp4?tag=12", "https://video.twimg.com/ext_tw_video/1589648714104184837/pu/vid/1280x720/3XCx_N3Ft0RcACot.mp4?tag=12")</f>
        <v>https://video.twimg.com/ext_tw_video/1589648714104184837/pu/vid/1280x720/3XCx_N3Ft0RcACot.mp4?tag=12</v>
      </c>
      <c r="L632">
        <v>-0.85550000000000004</v>
      </c>
      <c r="M632">
        <v>0.189</v>
      </c>
      <c r="N632">
        <v>0.81100000000000005</v>
      </c>
      <c r="O632">
        <v>0</v>
      </c>
    </row>
    <row r="633" spans="1:15" x14ac:dyDescent="0.2">
      <c r="A633" s="1" t="str">
        <f>HYPERLINK("http://www.twitter.com/banuakdenizli/status/1589669852318691328", "1589669852318691328")</f>
        <v>1589669852318691328</v>
      </c>
      <c r="B633" t="s">
        <v>15</v>
      </c>
      <c r="C633" s="2">
        <v>44872.724560185183</v>
      </c>
      <c r="D633">
        <v>0</v>
      </c>
      <c r="E633">
        <v>57</v>
      </c>
      <c r="F633" t="s">
        <v>17</v>
      </c>
      <c r="G633" t="s">
        <v>689</v>
      </c>
      <c r="H633" t="str">
        <f>HYPERLINK("https://video.twimg.com/ext_tw_video/1589647621651570690/pu/vid/1280x720/ORUtOPaulbxJT5eT.mp4?tag=12", "https://video.twimg.com/ext_tw_video/1589647621651570690/pu/vid/1280x720/ORUtOPaulbxJT5eT.mp4?tag=12")</f>
        <v>https://video.twimg.com/ext_tw_video/1589647621651570690/pu/vid/1280x720/ORUtOPaulbxJT5eT.mp4?tag=12</v>
      </c>
      <c r="L633">
        <v>-0.36120000000000002</v>
      </c>
      <c r="M633">
        <v>6.7000000000000004E-2</v>
      </c>
      <c r="N633">
        <v>0.93300000000000005</v>
      </c>
      <c r="O633">
        <v>0</v>
      </c>
    </row>
    <row r="634" spans="1:15" x14ac:dyDescent="0.2">
      <c r="A634" s="1" t="str">
        <f>HYPERLINK("http://www.twitter.com/banuakdenizli/status/1589611263164051459", "1589611263164051459")</f>
        <v>1589611263164051459</v>
      </c>
      <c r="B634" t="s">
        <v>15</v>
      </c>
      <c r="C634" s="2">
        <v>44872.562881944446</v>
      </c>
      <c r="D634">
        <v>0</v>
      </c>
      <c r="E634">
        <v>20</v>
      </c>
      <c r="F634" t="s">
        <v>17</v>
      </c>
      <c r="G634" t="s">
        <v>690</v>
      </c>
      <c r="H634" t="str">
        <f>HYPERLINK("http://pbs.twimg.com/media/Fg9hGGTXwAEhBf6.jpg", "http://pbs.twimg.com/media/Fg9hGGTXwAEhBf6.jpg")</f>
        <v>http://pbs.twimg.com/media/Fg9hGGTXwAEhBf6.jpg</v>
      </c>
      <c r="L634">
        <v>-0.44040000000000001</v>
      </c>
      <c r="M634">
        <v>6.9000000000000006E-2</v>
      </c>
      <c r="N634">
        <v>0.93100000000000005</v>
      </c>
      <c r="O634">
        <v>0</v>
      </c>
    </row>
    <row r="635" spans="1:15" x14ac:dyDescent="0.2">
      <c r="A635" s="1" t="str">
        <f>HYPERLINK("http://www.twitter.com/banuakdenizli/status/1589611215646752768", "1589611215646752768")</f>
        <v>1589611215646752768</v>
      </c>
      <c r="B635" t="s">
        <v>15</v>
      </c>
      <c r="C635" s="2">
        <v>44872.562754629631</v>
      </c>
      <c r="D635">
        <v>0</v>
      </c>
      <c r="E635">
        <v>12</v>
      </c>
      <c r="F635" t="s">
        <v>17</v>
      </c>
      <c r="G635" t="s">
        <v>691</v>
      </c>
      <c r="H635" t="str">
        <f>HYPERLINK("http://pbs.twimg.com/media/Fg9iLtZWQAMyDTx.jpg", "http://pbs.twimg.com/media/Fg9iLtZWQAMyDTx.jpg")</f>
        <v>http://pbs.twimg.com/media/Fg9iLtZWQAMyDTx.jpg</v>
      </c>
      <c r="L635">
        <v>0</v>
      </c>
      <c r="M635">
        <v>0</v>
      </c>
      <c r="N635">
        <v>1</v>
      </c>
      <c r="O635">
        <v>0</v>
      </c>
    </row>
    <row r="636" spans="1:15" x14ac:dyDescent="0.2">
      <c r="A636" s="1" t="str">
        <f>HYPERLINK("http://www.twitter.com/banuakdenizli/status/1589608729770872832", "1589608729770872832")</f>
        <v>1589608729770872832</v>
      </c>
      <c r="B636" t="s">
        <v>15</v>
      </c>
      <c r="C636" s="2">
        <v>44872.555891203701</v>
      </c>
      <c r="D636">
        <v>0</v>
      </c>
      <c r="E636">
        <v>31</v>
      </c>
      <c r="F636" t="s">
        <v>17</v>
      </c>
      <c r="G636" t="s">
        <v>692</v>
      </c>
      <c r="H636" t="str">
        <f>HYPERLINK("http://pbs.twimg.com/media/FgwFGkVWIAAUJJp.jpg", "http://pbs.twimg.com/media/FgwFGkVWIAAUJJp.jpg")</f>
        <v>http://pbs.twimg.com/media/FgwFGkVWIAAUJJp.jpg</v>
      </c>
      <c r="L636">
        <v>0.86550000000000005</v>
      </c>
      <c r="M636">
        <v>0</v>
      </c>
      <c r="N636">
        <v>0.76800000000000002</v>
      </c>
      <c r="O636">
        <v>0.23200000000000001</v>
      </c>
    </row>
    <row r="637" spans="1:15" x14ac:dyDescent="0.2">
      <c r="A637" s="1" t="str">
        <f>HYPERLINK("http://www.twitter.com/banuakdenizli/status/1589607581286531072", "1589607581286531072")</f>
        <v>1589607581286531072</v>
      </c>
      <c r="B637" t="s">
        <v>15</v>
      </c>
      <c r="C637" s="2">
        <v>44872.552719907413</v>
      </c>
      <c r="D637">
        <v>0</v>
      </c>
      <c r="E637">
        <v>5</v>
      </c>
      <c r="F637" t="s">
        <v>19</v>
      </c>
      <c r="G637" t="s">
        <v>693</v>
      </c>
      <c r="H637" t="str">
        <f>HYPERLINK("http://pbs.twimg.com/media/Fg70FVVWIAERsYh.jpg", "http://pbs.twimg.com/media/Fg70FVVWIAERsYh.jpg")</f>
        <v>http://pbs.twimg.com/media/Fg70FVVWIAERsYh.jpg</v>
      </c>
      <c r="I637" t="str">
        <f>HYPERLINK("http://pbs.twimg.com/media/Fg70FVVX0AcmUO3.jpg", "http://pbs.twimg.com/media/Fg70FVVX0AcmUO3.jpg")</f>
        <v>http://pbs.twimg.com/media/Fg70FVVX0AcmUO3.jpg</v>
      </c>
      <c r="L637">
        <v>0.79059999999999997</v>
      </c>
      <c r="M637">
        <v>0</v>
      </c>
      <c r="N637">
        <v>0.78900000000000003</v>
      </c>
      <c r="O637">
        <v>0.21099999999999999</v>
      </c>
    </row>
    <row r="638" spans="1:15" x14ac:dyDescent="0.2">
      <c r="A638" s="1" t="str">
        <f>HYPERLINK("http://www.twitter.com/banuakdenizli/status/1589607561069592576", "1589607561069592576")</f>
        <v>1589607561069592576</v>
      </c>
      <c r="B638" t="s">
        <v>15</v>
      </c>
      <c r="C638" s="2">
        <v>44872.552662037036</v>
      </c>
      <c r="D638">
        <v>0</v>
      </c>
      <c r="E638">
        <v>10</v>
      </c>
      <c r="F638" t="s">
        <v>19</v>
      </c>
      <c r="G638" t="s">
        <v>694</v>
      </c>
      <c r="H638" t="str">
        <f>HYPERLINK("http://pbs.twimg.com/media/Fg7y943WYAAIfvw.jpg", "http://pbs.twimg.com/media/Fg7y943WYAAIfvw.jpg")</f>
        <v>http://pbs.twimg.com/media/Fg7y943WYAAIfvw.jpg</v>
      </c>
      <c r="L638">
        <v>-0.42149999999999999</v>
      </c>
      <c r="M638">
        <v>0.157</v>
      </c>
      <c r="N638">
        <v>0.70099999999999996</v>
      </c>
      <c r="O638">
        <v>0.14199999999999999</v>
      </c>
    </row>
    <row r="639" spans="1:15" x14ac:dyDescent="0.2">
      <c r="A639" s="1" t="str">
        <f>HYPERLINK("http://www.twitter.com/banuakdenizli/status/1589607539389661184", "1589607539389661184")</f>
        <v>1589607539389661184</v>
      </c>
      <c r="B639" t="s">
        <v>15</v>
      </c>
      <c r="C639" s="2">
        <v>44872.552604166667</v>
      </c>
      <c r="D639">
        <v>0</v>
      </c>
      <c r="E639">
        <v>14</v>
      </c>
      <c r="F639" t="s">
        <v>17</v>
      </c>
      <c r="G639" t="s">
        <v>695</v>
      </c>
      <c r="H639" t="str">
        <f>HYPERLINK("http://pbs.twimg.com/media/Fg9hU86XgAEKMRd.jpg", "http://pbs.twimg.com/media/Fg9hU86XgAEKMRd.jpg")</f>
        <v>http://pbs.twimg.com/media/Fg9hU86XgAEKMRd.jpg</v>
      </c>
      <c r="L639">
        <v>0</v>
      </c>
      <c r="M639">
        <v>0</v>
      </c>
      <c r="N639">
        <v>1</v>
      </c>
      <c r="O639">
        <v>0</v>
      </c>
    </row>
    <row r="640" spans="1:15" x14ac:dyDescent="0.2">
      <c r="A640" s="1" t="str">
        <f>HYPERLINK("http://www.twitter.com/banuakdenizli/status/1589607520305582081", "1589607520305582081")</f>
        <v>1589607520305582081</v>
      </c>
      <c r="B640" t="s">
        <v>15</v>
      </c>
      <c r="C640" s="2">
        <v>44872.552546296298</v>
      </c>
      <c r="D640">
        <v>0</v>
      </c>
      <c r="E640">
        <v>13</v>
      </c>
      <c r="F640" t="s">
        <v>17</v>
      </c>
      <c r="G640" t="s">
        <v>696</v>
      </c>
      <c r="H640" t="str">
        <f>HYPERLINK("http://pbs.twimg.com/media/Fg9h738WIAMMkGi.jpg", "http://pbs.twimg.com/media/Fg9h738WIAMMkGi.jpg")</f>
        <v>http://pbs.twimg.com/media/Fg9h738WIAMMkGi.jpg</v>
      </c>
      <c r="L640">
        <v>0</v>
      </c>
      <c r="M640">
        <v>0</v>
      </c>
      <c r="N640">
        <v>1</v>
      </c>
      <c r="O640">
        <v>0</v>
      </c>
    </row>
    <row r="641" spans="1:15" x14ac:dyDescent="0.2">
      <c r="A641" s="1" t="str">
        <f>HYPERLINK("http://www.twitter.com/banuakdenizli/status/1589607478203133954", "1589607478203133954")</f>
        <v>1589607478203133954</v>
      </c>
      <c r="B641" t="s">
        <v>15</v>
      </c>
      <c r="C641" s="2">
        <v>44872.552430555559</v>
      </c>
      <c r="D641">
        <v>0</v>
      </c>
      <c r="E641">
        <v>1</v>
      </c>
      <c r="F641" t="s">
        <v>35</v>
      </c>
      <c r="G641" t="s">
        <v>697</v>
      </c>
      <c r="H641" t="str">
        <f>HYPERLINK("http://pbs.twimg.com/media/Fg9ngQgXEAEZ884.jpg", "http://pbs.twimg.com/media/Fg9ngQgXEAEZ884.jpg")</f>
        <v>http://pbs.twimg.com/media/Fg9ngQgXEAEZ884.jpg</v>
      </c>
      <c r="L641">
        <v>0</v>
      </c>
      <c r="M641">
        <v>0</v>
      </c>
      <c r="N641">
        <v>1</v>
      </c>
      <c r="O641">
        <v>0</v>
      </c>
    </row>
    <row r="642" spans="1:15" x14ac:dyDescent="0.2">
      <c r="A642" s="1" t="str">
        <f>HYPERLINK("http://www.twitter.com/banuakdenizli/status/1589607434070675456", "1589607434070675456")</f>
        <v>1589607434070675456</v>
      </c>
      <c r="B642" t="s">
        <v>15</v>
      </c>
      <c r="C642" s="2">
        <v>44872.552314814813</v>
      </c>
      <c r="D642">
        <v>0</v>
      </c>
      <c r="E642">
        <v>9</v>
      </c>
      <c r="F642" t="s">
        <v>35</v>
      </c>
      <c r="G642" t="s">
        <v>698</v>
      </c>
      <c r="H642" t="str">
        <f>HYPERLINK("http://pbs.twimg.com/media/Fg9nfycWIAAUM8S.jpg", "http://pbs.twimg.com/media/Fg9nfycWIAAUM8S.jpg")</f>
        <v>http://pbs.twimg.com/media/Fg9nfycWIAAUM8S.jpg</v>
      </c>
      <c r="L642">
        <v>0.87180000000000002</v>
      </c>
      <c r="M642">
        <v>0</v>
      </c>
      <c r="N642">
        <v>0.76300000000000001</v>
      </c>
      <c r="O642">
        <v>0.23699999999999999</v>
      </c>
    </row>
    <row r="643" spans="1:15" x14ac:dyDescent="0.2">
      <c r="A643" s="1" t="str">
        <f>HYPERLINK("http://www.twitter.com/banuakdenizli/status/1589436934145073152", "1589436934145073152")</f>
        <v>1589436934145073152</v>
      </c>
      <c r="B643" t="s">
        <v>15</v>
      </c>
      <c r="C643" s="2">
        <v>44872.081828703696</v>
      </c>
      <c r="D643">
        <v>0</v>
      </c>
      <c r="E643">
        <v>9</v>
      </c>
      <c r="F643" t="s">
        <v>699</v>
      </c>
      <c r="G643" t="s">
        <v>700</v>
      </c>
      <c r="H643" t="str">
        <f>HYPERLINK("http://pbs.twimg.com/media/Fgz7zWSWIAUIzaN.jpg", "http://pbs.twimg.com/media/Fgz7zWSWIAUIzaN.jpg")</f>
        <v>http://pbs.twimg.com/media/Fgz7zWSWIAUIzaN.jpg</v>
      </c>
      <c r="L643">
        <v>0</v>
      </c>
      <c r="M643">
        <v>0</v>
      </c>
      <c r="N643">
        <v>1</v>
      </c>
      <c r="O643">
        <v>0</v>
      </c>
    </row>
    <row r="644" spans="1:15" x14ac:dyDescent="0.2">
      <c r="A644" s="1" t="str">
        <f>HYPERLINK("http://www.twitter.com/banuakdenizli/status/1589392627577024512", "1589392627577024512")</f>
        <v>1589392627577024512</v>
      </c>
      <c r="B644" t="s">
        <v>15</v>
      </c>
      <c r="C644" s="2">
        <v>44871.959560185183</v>
      </c>
      <c r="D644">
        <v>0</v>
      </c>
      <c r="E644">
        <v>7</v>
      </c>
      <c r="F644" t="s">
        <v>17</v>
      </c>
      <c r="G644" t="s">
        <v>701</v>
      </c>
      <c r="H644" t="str">
        <f>HYPERLINK("http://pbs.twimg.com/media/Fg5uuP6WYAQhuat.jpg", "http://pbs.twimg.com/media/Fg5uuP6WYAQhuat.jpg")</f>
        <v>http://pbs.twimg.com/media/Fg5uuP6WYAQhuat.jpg</v>
      </c>
      <c r="L644">
        <v>0.65969999999999995</v>
      </c>
      <c r="M644">
        <v>0</v>
      </c>
      <c r="N644">
        <v>0.73499999999999999</v>
      </c>
      <c r="O644">
        <v>0.26500000000000001</v>
      </c>
    </row>
    <row r="645" spans="1:15" x14ac:dyDescent="0.2">
      <c r="A645" s="1" t="str">
        <f>HYPERLINK("http://www.twitter.com/banuakdenizli/status/1589392611307311104", "1589392611307311104")</f>
        <v>1589392611307311104</v>
      </c>
      <c r="B645" t="s">
        <v>15</v>
      </c>
      <c r="C645" s="2">
        <v>44871.959513888891</v>
      </c>
      <c r="D645">
        <v>0</v>
      </c>
      <c r="E645">
        <v>11</v>
      </c>
      <c r="F645" t="s">
        <v>17</v>
      </c>
      <c r="G645" t="s">
        <v>702</v>
      </c>
      <c r="L645">
        <v>0</v>
      </c>
      <c r="M645">
        <v>0</v>
      </c>
      <c r="N645">
        <v>1</v>
      </c>
      <c r="O645">
        <v>0</v>
      </c>
    </row>
    <row r="646" spans="1:15" x14ac:dyDescent="0.2">
      <c r="A646" s="1" t="str">
        <f>HYPERLINK("http://www.twitter.com/banuakdenizli/status/1589392572421586944", "1589392572421586944")</f>
        <v>1589392572421586944</v>
      </c>
      <c r="B646" t="s">
        <v>15</v>
      </c>
      <c r="C646" s="2">
        <v>44871.959409722222</v>
      </c>
      <c r="D646">
        <v>0</v>
      </c>
      <c r="E646">
        <v>2</v>
      </c>
      <c r="F646" t="s">
        <v>20</v>
      </c>
      <c r="G646" t="s">
        <v>703</v>
      </c>
      <c r="H646" t="str">
        <f>HYPERLINK("http://pbs.twimg.com/media/Fg5G9RpXkAEH1rK.jpg", "http://pbs.twimg.com/media/Fg5G9RpXkAEH1rK.jpg")</f>
        <v>http://pbs.twimg.com/media/Fg5G9RpXkAEH1rK.jpg</v>
      </c>
      <c r="I646" t="str">
        <f>HYPERLINK("http://pbs.twimg.com/media/Fg5G-U-XoAgGJn4.jpg", "http://pbs.twimg.com/media/Fg5G-U-XoAgGJn4.jpg")</f>
        <v>http://pbs.twimg.com/media/Fg5G-U-XoAgGJn4.jpg</v>
      </c>
      <c r="L646">
        <v>0</v>
      </c>
      <c r="M646">
        <v>0</v>
      </c>
      <c r="N646">
        <v>1</v>
      </c>
      <c r="O646">
        <v>0</v>
      </c>
    </row>
    <row r="647" spans="1:15" x14ac:dyDescent="0.2">
      <c r="A647" s="1" t="str">
        <f>HYPERLINK("http://www.twitter.com/banuakdenizli/status/1589392544215240704", "1589392544215240704")</f>
        <v>1589392544215240704</v>
      </c>
      <c r="B647" t="s">
        <v>15</v>
      </c>
      <c r="C647" s="2">
        <v>44871.959328703713</v>
      </c>
      <c r="D647">
        <v>0</v>
      </c>
      <c r="E647">
        <v>6</v>
      </c>
      <c r="F647" t="s">
        <v>16</v>
      </c>
      <c r="G647" t="s">
        <v>704</v>
      </c>
      <c r="H647" t="str">
        <f>HYPERLINK("http://pbs.twimg.com/media/Fg5T0YgWQAEFR-K.jpg", "http://pbs.twimg.com/media/Fg5T0YgWQAEFR-K.jpg")</f>
        <v>http://pbs.twimg.com/media/Fg5T0YgWQAEFR-K.jpg</v>
      </c>
      <c r="L647">
        <v>0</v>
      </c>
      <c r="M647">
        <v>0</v>
      </c>
      <c r="N647">
        <v>1</v>
      </c>
      <c r="O647">
        <v>0</v>
      </c>
    </row>
    <row r="648" spans="1:15" x14ac:dyDescent="0.2">
      <c r="A648" s="1" t="str">
        <f>HYPERLINK("http://www.twitter.com/banuakdenizli/status/1589285176286531584", "1589285176286531584")</f>
        <v>1589285176286531584</v>
      </c>
      <c r="B648" t="s">
        <v>15</v>
      </c>
      <c r="C648" s="2">
        <v>44871.663055555553</v>
      </c>
      <c r="D648">
        <v>0</v>
      </c>
      <c r="E648">
        <v>31</v>
      </c>
      <c r="F648" t="s">
        <v>51</v>
      </c>
      <c r="G648" t="s">
        <v>705</v>
      </c>
      <c r="H648" t="str">
        <f>HYPERLINK("https://video.twimg.com/ext_tw_video/1588900063253766144/pu/vid/1280x720/ct12m5H_-L7lM0ub.mp4?tag=12", "https://video.twimg.com/ext_tw_video/1588900063253766144/pu/vid/1280x720/ct12m5H_-L7lM0ub.mp4?tag=12")</f>
        <v>https://video.twimg.com/ext_tw_video/1588900063253766144/pu/vid/1280x720/ct12m5H_-L7lM0ub.mp4?tag=12</v>
      </c>
      <c r="L648">
        <v>-0.85909999999999997</v>
      </c>
      <c r="M648">
        <v>0.21299999999999999</v>
      </c>
      <c r="N648">
        <v>0.73399999999999999</v>
      </c>
      <c r="O648">
        <v>5.2999999999999999E-2</v>
      </c>
    </row>
    <row r="649" spans="1:15" x14ac:dyDescent="0.2">
      <c r="A649" s="1" t="str">
        <f>HYPERLINK("http://www.twitter.com/banuakdenizli/status/1589285118262546433", "1589285118262546433")</f>
        <v>1589285118262546433</v>
      </c>
      <c r="B649" t="s">
        <v>15</v>
      </c>
      <c r="C649" s="2">
        <v>44871.662893518522</v>
      </c>
      <c r="D649">
        <v>0</v>
      </c>
      <c r="E649">
        <v>16</v>
      </c>
      <c r="F649" t="s">
        <v>51</v>
      </c>
      <c r="G649" t="s">
        <v>706</v>
      </c>
      <c r="H649" t="str">
        <f>HYPERLINK("https://video.twimg.com/ext_tw_video/1588903652298825731/pu/vid/1280x720/pWjsissdyTYcOzIn.mp4?tag=12", "https://video.twimg.com/ext_tw_video/1588903652298825731/pu/vid/1280x720/pWjsissdyTYcOzIn.mp4?tag=12")</f>
        <v>https://video.twimg.com/ext_tw_video/1588903652298825731/pu/vid/1280x720/pWjsissdyTYcOzIn.mp4?tag=12</v>
      </c>
      <c r="L649">
        <v>0.57189999999999996</v>
      </c>
      <c r="M649">
        <v>0</v>
      </c>
      <c r="N649">
        <v>0.91900000000000004</v>
      </c>
      <c r="O649">
        <v>8.1000000000000003E-2</v>
      </c>
    </row>
    <row r="650" spans="1:15" x14ac:dyDescent="0.2">
      <c r="A650" s="1" t="str">
        <f>HYPERLINK("http://www.twitter.com/banuakdenizli/status/1589284910447357953", "1589284910447357953")</f>
        <v>1589284910447357953</v>
      </c>
      <c r="B650" t="s">
        <v>15</v>
      </c>
      <c r="C650" s="2">
        <v>44871.662314814806</v>
      </c>
      <c r="D650">
        <v>0</v>
      </c>
      <c r="E650">
        <v>21</v>
      </c>
      <c r="F650" t="s">
        <v>28</v>
      </c>
      <c r="G650" t="s">
        <v>707</v>
      </c>
      <c r="H650" t="str">
        <f>HYPERLINK("http://pbs.twimg.com/media/Fg31yo1XEAMdD8g.jpg", "http://pbs.twimg.com/media/Fg31yo1XEAMdD8g.jpg")</f>
        <v>http://pbs.twimg.com/media/Fg31yo1XEAMdD8g.jpg</v>
      </c>
      <c r="I650" t="str">
        <f>HYPERLINK("http://pbs.twimg.com/media/Fg31yo2WAAEAGxZ.jpg", "http://pbs.twimg.com/media/Fg31yo2WAAEAGxZ.jpg")</f>
        <v>http://pbs.twimg.com/media/Fg31yo2WAAEAGxZ.jpg</v>
      </c>
      <c r="J650" t="str">
        <f>HYPERLINK("http://pbs.twimg.com/media/Fg31yo1XgAAlSvU.jpg", "http://pbs.twimg.com/media/Fg31yo1XgAAlSvU.jpg")</f>
        <v>http://pbs.twimg.com/media/Fg31yo1XgAAlSvU.jpg</v>
      </c>
      <c r="L650">
        <v>0</v>
      </c>
      <c r="M650">
        <v>0</v>
      </c>
      <c r="N650">
        <v>1</v>
      </c>
      <c r="O650">
        <v>0</v>
      </c>
    </row>
    <row r="651" spans="1:15" x14ac:dyDescent="0.2">
      <c r="A651" s="1" t="str">
        <f>HYPERLINK("http://www.twitter.com/banuakdenizli/status/1589284866822004738", "1589284866822004738")</f>
        <v>1589284866822004738</v>
      </c>
      <c r="B651" t="s">
        <v>15</v>
      </c>
      <c r="C651" s="2">
        <v>44871.662199074082</v>
      </c>
      <c r="D651">
        <v>0</v>
      </c>
      <c r="E651">
        <v>5</v>
      </c>
      <c r="F651" t="s">
        <v>651</v>
      </c>
      <c r="G651" t="s">
        <v>708</v>
      </c>
      <c r="H651" t="str">
        <f>HYPERLINK("http://pbs.twimg.com/media/Fg44CM7X0AAAiZj.jpg", "http://pbs.twimg.com/media/Fg44CM7X0AAAiZj.jpg")</f>
        <v>http://pbs.twimg.com/media/Fg44CM7X0AAAiZj.jpg</v>
      </c>
      <c r="L651">
        <v>0.84389999999999998</v>
      </c>
      <c r="M651">
        <v>0</v>
      </c>
      <c r="N651">
        <v>0.78900000000000003</v>
      </c>
      <c r="O651">
        <v>0.21099999999999999</v>
      </c>
    </row>
    <row r="652" spans="1:15" x14ac:dyDescent="0.2">
      <c r="A652" s="1" t="str">
        <f>HYPERLINK("http://www.twitter.com/banuakdenizli/status/1589284819422220291", "1589284819422220291")</f>
        <v>1589284819422220291</v>
      </c>
      <c r="B652" t="s">
        <v>15</v>
      </c>
      <c r="C652" s="2">
        <v>44871.66207175926</v>
      </c>
      <c r="D652">
        <v>0</v>
      </c>
      <c r="E652">
        <v>4</v>
      </c>
      <c r="F652" t="s">
        <v>651</v>
      </c>
      <c r="G652" t="s">
        <v>709</v>
      </c>
      <c r="L652">
        <v>0</v>
      </c>
      <c r="M652">
        <v>0</v>
      </c>
      <c r="N652">
        <v>1</v>
      </c>
      <c r="O652">
        <v>0</v>
      </c>
    </row>
    <row r="653" spans="1:15" x14ac:dyDescent="0.2">
      <c r="A653" s="1" t="str">
        <f>HYPERLINK("http://www.twitter.com/banuakdenizli/status/1589284684806004736", "1589284684806004736")</f>
        <v>1589284684806004736</v>
      </c>
      <c r="B653" t="s">
        <v>15</v>
      </c>
      <c r="C653" s="2">
        <v>44871.661689814813</v>
      </c>
      <c r="D653">
        <v>0</v>
      </c>
      <c r="E653">
        <v>1</v>
      </c>
      <c r="F653" t="s">
        <v>38</v>
      </c>
      <c r="G653" t="s">
        <v>710</v>
      </c>
      <c r="H653" t="str">
        <f>HYPERLINK("http://pbs.twimg.com/media/Fg4sd20X0AA44o-.jpg", "http://pbs.twimg.com/media/Fg4sd20X0AA44o-.jpg")</f>
        <v>http://pbs.twimg.com/media/Fg4sd20X0AA44o-.jpg</v>
      </c>
      <c r="I653" t="str">
        <f>HYPERLINK("http://pbs.twimg.com/media/Fg4sd3nWYAIyOLb.jpg", "http://pbs.twimg.com/media/Fg4sd3nWYAIyOLb.jpg")</f>
        <v>http://pbs.twimg.com/media/Fg4sd3nWYAIyOLb.jpg</v>
      </c>
      <c r="J653" t="str">
        <f>HYPERLINK("http://pbs.twimg.com/media/Fg4sd4IX0AALyD3.jpg", "http://pbs.twimg.com/media/Fg4sd4IX0AALyD3.jpg")</f>
        <v>http://pbs.twimg.com/media/Fg4sd4IX0AALyD3.jpg</v>
      </c>
      <c r="K653" t="str">
        <f>HYPERLINK("http://pbs.twimg.com/media/Fg4sd5HXoAE9r_l.jpg", "http://pbs.twimg.com/media/Fg4sd5HXoAE9r_l.jpg")</f>
        <v>http://pbs.twimg.com/media/Fg4sd5HXoAE9r_l.jpg</v>
      </c>
      <c r="L653">
        <v>0</v>
      </c>
      <c r="M653">
        <v>0</v>
      </c>
      <c r="N653">
        <v>1</v>
      </c>
      <c r="O653">
        <v>0</v>
      </c>
    </row>
    <row r="654" spans="1:15" x14ac:dyDescent="0.2">
      <c r="A654" s="1" t="str">
        <f>HYPERLINK("http://www.twitter.com/banuakdenizli/status/1589284626014834688", "1589284626014834688")</f>
        <v>1589284626014834688</v>
      </c>
      <c r="B654" t="s">
        <v>15</v>
      </c>
      <c r="C654" s="2">
        <v>44871.661527777767</v>
      </c>
      <c r="D654">
        <v>0</v>
      </c>
      <c r="E654">
        <v>7</v>
      </c>
      <c r="F654" t="s">
        <v>711</v>
      </c>
      <c r="G654" t="s">
        <v>712</v>
      </c>
      <c r="H654" t="str">
        <f>HYPERLINK("http://pbs.twimg.com/media/Fg49u6rXgAELjfX.jpg", "http://pbs.twimg.com/media/Fg49u6rXgAELjfX.jpg")</f>
        <v>http://pbs.twimg.com/media/Fg49u6rXgAELjfX.jpg</v>
      </c>
      <c r="L654">
        <v>0.2732</v>
      </c>
      <c r="M654">
        <v>0</v>
      </c>
      <c r="N654">
        <v>0.95799999999999996</v>
      </c>
      <c r="O654">
        <v>4.2000000000000003E-2</v>
      </c>
    </row>
    <row r="655" spans="1:15" x14ac:dyDescent="0.2">
      <c r="A655" s="1" t="str">
        <f>HYPERLINK("http://www.twitter.com/banuakdenizli/status/1589284554015395845", "1589284554015395845")</f>
        <v>1589284554015395845</v>
      </c>
      <c r="B655" t="s">
        <v>15</v>
      </c>
      <c r="C655" s="2">
        <v>44871.66133101852</v>
      </c>
      <c r="D655">
        <v>0</v>
      </c>
      <c r="E655">
        <v>5</v>
      </c>
      <c r="F655" t="s">
        <v>16</v>
      </c>
      <c r="G655" t="s">
        <v>713</v>
      </c>
      <c r="H655" t="str">
        <f>HYPERLINK("http://pbs.twimg.com/media/Fg4l-9YXEAMPD6y.jpg", "http://pbs.twimg.com/media/Fg4l-9YXEAMPD6y.jpg")</f>
        <v>http://pbs.twimg.com/media/Fg4l-9YXEAMPD6y.jpg</v>
      </c>
      <c r="I655" t="str">
        <f>HYPERLINK("http://pbs.twimg.com/media/Fg4l-9cWIAA0aL3.jpg", "http://pbs.twimg.com/media/Fg4l-9cWIAA0aL3.jpg")</f>
        <v>http://pbs.twimg.com/media/Fg4l-9cWIAA0aL3.jpg</v>
      </c>
      <c r="J655" t="str">
        <f>HYPERLINK("http://pbs.twimg.com/media/Fg4mBKdXkAEybUn.jpg", "http://pbs.twimg.com/media/Fg4mBKdXkAEybUn.jpg")</f>
        <v>http://pbs.twimg.com/media/Fg4mBKdXkAEybUn.jpg</v>
      </c>
      <c r="K655" t="str">
        <f>HYPERLINK("http://pbs.twimg.com/media/Fg4mBKqWIAYd8E3.jpg", "http://pbs.twimg.com/media/Fg4mBKqWIAYd8E3.jpg")</f>
        <v>http://pbs.twimg.com/media/Fg4mBKqWIAYd8E3.jpg</v>
      </c>
      <c r="L655">
        <v>0</v>
      </c>
      <c r="M655">
        <v>0</v>
      </c>
      <c r="N655">
        <v>1</v>
      </c>
      <c r="O655">
        <v>0</v>
      </c>
    </row>
    <row r="656" spans="1:15" x14ac:dyDescent="0.2">
      <c r="A656" s="1" t="str">
        <f>HYPERLINK("http://www.twitter.com/banuakdenizli/status/1589284544402034689", "1589284544402034689")</f>
        <v>1589284544402034689</v>
      </c>
      <c r="B656" t="s">
        <v>15</v>
      </c>
      <c r="C656" s="2">
        <v>44871.661307870367</v>
      </c>
      <c r="D656">
        <v>0</v>
      </c>
      <c r="E656">
        <v>5</v>
      </c>
      <c r="F656" t="s">
        <v>17</v>
      </c>
      <c r="G656" t="s">
        <v>714</v>
      </c>
      <c r="H656" t="str">
        <f>HYPERLINK("http://pbs.twimg.com/media/Fg43DrYX0AEpMlG.jpg", "http://pbs.twimg.com/media/Fg43DrYX0AEpMlG.jpg")</f>
        <v>http://pbs.twimg.com/media/Fg43DrYX0AEpMlG.jpg</v>
      </c>
      <c r="I656" t="str">
        <f>HYPERLINK("http://pbs.twimg.com/media/Fg43DrSXgAIlIOE.jpg", "http://pbs.twimg.com/media/Fg43DrSXgAIlIOE.jpg")</f>
        <v>http://pbs.twimg.com/media/Fg43DrSXgAIlIOE.jpg</v>
      </c>
      <c r="J656" t="str">
        <f>HYPERLINK("http://pbs.twimg.com/media/Fg43FNlXwAEcr6O.jpg", "http://pbs.twimg.com/media/Fg43FNlXwAEcr6O.jpg")</f>
        <v>http://pbs.twimg.com/media/Fg43FNlXwAEcr6O.jpg</v>
      </c>
      <c r="K656" t="str">
        <f>HYPERLINK("http://pbs.twimg.com/media/Fg43FNiWYAMutGb.jpg", "http://pbs.twimg.com/media/Fg43FNiWYAMutGb.jpg")</f>
        <v>http://pbs.twimg.com/media/Fg43FNiWYAMutGb.jpg</v>
      </c>
      <c r="L656">
        <v>0</v>
      </c>
      <c r="M656">
        <v>0</v>
      </c>
      <c r="N656">
        <v>1</v>
      </c>
      <c r="O656">
        <v>0</v>
      </c>
    </row>
    <row r="657" spans="1:15" x14ac:dyDescent="0.2">
      <c r="A657" s="1" t="str">
        <f>HYPERLINK("http://www.twitter.com/banuakdenizli/status/1589284533975023616", "1589284533975023616")</f>
        <v>1589284533975023616</v>
      </c>
      <c r="B657" t="s">
        <v>15</v>
      </c>
      <c r="C657" s="2">
        <v>44871.66128472222</v>
      </c>
      <c r="D657">
        <v>0</v>
      </c>
      <c r="E657">
        <v>54</v>
      </c>
      <c r="F657" t="s">
        <v>28</v>
      </c>
      <c r="G657" t="s">
        <v>715</v>
      </c>
      <c r="H657" t="str">
        <f>HYPERLINK("http://pbs.twimg.com/media/Fg31xvTWIAAxnx2.jpg", "http://pbs.twimg.com/media/Fg31xvTWIAAxnx2.jpg")</f>
        <v>http://pbs.twimg.com/media/Fg31xvTWIAAxnx2.jpg</v>
      </c>
      <c r="I657" t="str">
        <f>HYPERLINK("http://pbs.twimg.com/media/Fg31xvUXEAQLs40.jpg", "http://pbs.twimg.com/media/Fg31xvUXEAQLs40.jpg")</f>
        <v>http://pbs.twimg.com/media/Fg31xvUXEAQLs40.jpg</v>
      </c>
      <c r="J657" t="str">
        <f>HYPERLINK("http://pbs.twimg.com/media/Fg31xvZX0AY_6aX.jpg", "http://pbs.twimg.com/media/Fg31xvZX0AY_6aX.jpg")</f>
        <v>http://pbs.twimg.com/media/Fg31xvZX0AY_6aX.jpg</v>
      </c>
      <c r="L657">
        <v>0</v>
      </c>
      <c r="M657">
        <v>0</v>
      </c>
      <c r="N657">
        <v>1</v>
      </c>
      <c r="O657">
        <v>0</v>
      </c>
    </row>
    <row r="658" spans="1:15" x14ac:dyDescent="0.2">
      <c r="A658" s="1" t="str">
        <f>HYPERLINK("http://www.twitter.com/banuakdenizli/status/1589284522180628481", "1589284522180628481")</f>
        <v>1589284522180628481</v>
      </c>
      <c r="B658" t="s">
        <v>15</v>
      </c>
      <c r="C658" s="2">
        <v>44871.661249999997</v>
      </c>
      <c r="D658">
        <v>0</v>
      </c>
      <c r="E658">
        <v>5</v>
      </c>
      <c r="F658" t="s">
        <v>16</v>
      </c>
      <c r="G658" t="s">
        <v>716</v>
      </c>
      <c r="H658" t="str">
        <f>HYPERLINK("http://pbs.twimg.com/media/Fg3ts7tXgAAILqF.jpg", "http://pbs.twimg.com/media/Fg3ts7tXgAAILqF.jpg")</f>
        <v>http://pbs.twimg.com/media/Fg3ts7tXgAAILqF.jpg</v>
      </c>
      <c r="I658" t="str">
        <f>HYPERLINK("http://pbs.twimg.com/media/Fg3ts7tXwAA2Pey.jpg", "http://pbs.twimg.com/media/Fg3ts7tXwAA2Pey.jpg")</f>
        <v>http://pbs.twimg.com/media/Fg3ts7tXwAA2Pey.jpg</v>
      </c>
      <c r="L658">
        <v>0</v>
      </c>
      <c r="M658">
        <v>0</v>
      </c>
      <c r="N658">
        <v>1</v>
      </c>
      <c r="O658">
        <v>0</v>
      </c>
    </row>
    <row r="659" spans="1:15" x14ac:dyDescent="0.2">
      <c r="A659" s="1" t="str">
        <f>HYPERLINK("http://www.twitter.com/banuakdenizli/status/1589284512302649344", "1589284512302649344")</f>
        <v>1589284512302649344</v>
      </c>
      <c r="B659" t="s">
        <v>15</v>
      </c>
      <c r="C659" s="2">
        <v>44871.661215277767</v>
      </c>
      <c r="D659">
        <v>0</v>
      </c>
      <c r="E659">
        <v>15</v>
      </c>
      <c r="F659" t="s">
        <v>17</v>
      </c>
      <c r="G659" t="s">
        <v>717</v>
      </c>
      <c r="H659" t="str">
        <f>HYPERLINK("http://pbs.twimg.com/media/Fg3oxIyX0AEGLaA.jpg", "http://pbs.twimg.com/media/Fg3oxIyX0AEGLaA.jpg")</f>
        <v>http://pbs.twimg.com/media/Fg3oxIyX0AEGLaA.jpg</v>
      </c>
      <c r="L659">
        <v>-0.64859999999999995</v>
      </c>
      <c r="M659">
        <v>0.38800000000000001</v>
      </c>
      <c r="N659">
        <v>0.48499999999999999</v>
      </c>
      <c r="O659">
        <v>0.127</v>
      </c>
    </row>
    <row r="660" spans="1:15" x14ac:dyDescent="0.2">
      <c r="A660" s="1" t="str">
        <f>HYPERLINK("http://www.twitter.com/banuakdenizli/status/1589284499372003335", "1589284499372003335")</f>
        <v>1589284499372003335</v>
      </c>
      <c r="B660" t="s">
        <v>15</v>
      </c>
      <c r="C660" s="2">
        <v>44871.661180555559</v>
      </c>
      <c r="D660">
        <v>0</v>
      </c>
      <c r="E660">
        <v>6</v>
      </c>
      <c r="F660" t="s">
        <v>16</v>
      </c>
      <c r="G660" t="s">
        <v>718</v>
      </c>
      <c r="H660" t="str">
        <f>HYPERLINK("http://pbs.twimg.com/media/Fg3Wh9hXkAE4i0r.jpg", "http://pbs.twimg.com/media/Fg3Wh9hXkAE4i0r.jpg")</f>
        <v>http://pbs.twimg.com/media/Fg3Wh9hXkAE4i0r.jpg</v>
      </c>
      <c r="L660">
        <v>0</v>
      </c>
      <c r="M660">
        <v>0</v>
      </c>
      <c r="N660">
        <v>1</v>
      </c>
      <c r="O660">
        <v>0</v>
      </c>
    </row>
    <row r="661" spans="1:15" x14ac:dyDescent="0.2">
      <c r="A661" s="1" t="str">
        <f>HYPERLINK("http://www.twitter.com/banuakdenizli/status/1589284486776500224", "1589284486776500224")</f>
        <v>1589284486776500224</v>
      </c>
      <c r="B661" t="s">
        <v>15</v>
      </c>
      <c r="C661" s="2">
        <v>44871.661145833343</v>
      </c>
      <c r="D661">
        <v>0</v>
      </c>
      <c r="E661">
        <v>8</v>
      </c>
      <c r="F661" t="s">
        <v>17</v>
      </c>
      <c r="G661" t="s">
        <v>719</v>
      </c>
      <c r="H661" t="str">
        <f>HYPERLINK("http://pbs.twimg.com/media/Fg4EflHX0AIiZc9.jpg", "http://pbs.twimg.com/media/Fg4EflHX0AIiZc9.jpg")</f>
        <v>http://pbs.twimg.com/media/Fg4EflHX0AIiZc9.jpg</v>
      </c>
      <c r="I661" t="str">
        <f>HYPERLINK("http://pbs.twimg.com/media/Fg4EflCXgAA_Nd4.jpg", "http://pbs.twimg.com/media/Fg4EflCXgAA_Nd4.jpg")</f>
        <v>http://pbs.twimg.com/media/Fg4EflCXgAA_Nd4.jpg</v>
      </c>
      <c r="L661">
        <v>0</v>
      </c>
      <c r="M661">
        <v>0</v>
      </c>
      <c r="N661">
        <v>1</v>
      </c>
      <c r="O661">
        <v>0</v>
      </c>
    </row>
    <row r="662" spans="1:15" x14ac:dyDescent="0.2">
      <c r="A662" s="1" t="str">
        <f>HYPERLINK("http://www.twitter.com/banuakdenizli/status/1589284450323824642", "1589284450323824642")</f>
        <v>1589284450323824642</v>
      </c>
      <c r="B662" t="s">
        <v>15</v>
      </c>
      <c r="C662" s="2">
        <v>44871.661053240743</v>
      </c>
      <c r="D662">
        <v>0</v>
      </c>
      <c r="E662">
        <v>12</v>
      </c>
      <c r="F662" t="s">
        <v>17</v>
      </c>
      <c r="G662" t="s">
        <v>720</v>
      </c>
      <c r="H662" t="str">
        <f>HYPERLINK("http://pbs.twimg.com/media/Fg13sLbXoAEqRaD.jpg", "http://pbs.twimg.com/media/Fg13sLbXoAEqRaD.jpg")</f>
        <v>http://pbs.twimg.com/media/Fg13sLbXoAEqRaD.jpg</v>
      </c>
      <c r="L662">
        <v>0.82250000000000001</v>
      </c>
      <c r="M662">
        <v>0</v>
      </c>
      <c r="N662">
        <v>0.68799999999999994</v>
      </c>
      <c r="O662">
        <v>0.312</v>
      </c>
    </row>
    <row r="663" spans="1:15" x14ac:dyDescent="0.2">
      <c r="A663" s="1" t="str">
        <f>HYPERLINK("http://www.twitter.com/banuakdenizli/status/1589284376776298496", "1589284376776298496")</f>
        <v>1589284376776298496</v>
      </c>
      <c r="B663" t="s">
        <v>15</v>
      </c>
      <c r="C663" s="2">
        <v>44871.660844907397</v>
      </c>
      <c r="D663">
        <v>0</v>
      </c>
      <c r="E663">
        <v>9</v>
      </c>
      <c r="F663" t="s">
        <v>38</v>
      </c>
      <c r="G663" t="s">
        <v>721</v>
      </c>
      <c r="H663" t="str">
        <f>HYPERLINK("http://pbs.twimg.com/media/Fg3_BSsXwAADmLm.jpg", "http://pbs.twimg.com/media/Fg3_BSsXwAADmLm.jpg")</f>
        <v>http://pbs.twimg.com/media/Fg3_BSsXwAADmLm.jpg</v>
      </c>
      <c r="L663">
        <v>0</v>
      </c>
      <c r="M663">
        <v>0</v>
      </c>
      <c r="N663">
        <v>1</v>
      </c>
      <c r="O663">
        <v>0</v>
      </c>
    </row>
    <row r="664" spans="1:15" x14ac:dyDescent="0.2">
      <c r="A664" s="1" t="str">
        <f>HYPERLINK("http://www.twitter.com/banuakdenizli/status/1589284290009104385", "1589284290009104385")</f>
        <v>1589284290009104385</v>
      </c>
      <c r="B664" t="s">
        <v>15</v>
      </c>
      <c r="C664" s="2">
        <v>44871.660601851851</v>
      </c>
      <c r="D664">
        <v>0</v>
      </c>
      <c r="E664">
        <v>3</v>
      </c>
      <c r="F664" t="s">
        <v>29</v>
      </c>
      <c r="G664" t="s">
        <v>722</v>
      </c>
      <c r="H664" t="str">
        <f>HYPERLINK("http://pbs.twimg.com/media/Fg4OoQEXgAAKveM.jpg", "http://pbs.twimg.com/media/Fg4OoQEXgAAKveM.jpg")</f>
        <v>http://pbs.twimg.com/media/Fg4OoQEXgAAKveM.jpg</v>
      </c>
      <c r="L664">
        <v>0</v>
      </c>
      <c r="M664">
        <v>0</v>
      </c>
      <c r="N664">
        <v>1</v>
      </c>
      <c r="O664">
        <v>0</v>
      </c>
    </row>
    <row r="665" spans="1:15" x14ac:dyDescent="0.2">
      <c r="A665" s="1" t="str">
        <f>HYPERLINK("http://www.twitter.com/banuakdenizli/status/1589284273953345536", "1589284273953345536")</f>
        <v>1589284273953345536</v>
      </c>
      <c r="B665" t="s">
        <v>15</v>
      </c>
      <c r="C665" s="2">
        <v>44871.660567129627</v>
      </c>
      <c r="D665">
        <v>0</v>
      </c>
      <c r="E665">
        <v>1</v>
      </c>
      <c r="F665" t="s">
        <v>29</v>
      </c>
      <c r="G665" t="s">
        <v>723</v>
      </c>
      <c r="H665" t="str">
        <f>HYPERLINK("http://pbs.twimg.com/media/Fg3-M8NWAAAx8qe.jpg", "http://pbs.twimg.com/media/Fg3-M8NWAAAx8qe.jpg")</f>
        <v>http://pbs.twimg.com/media/Fg3-M8NWAAAx8qe.jpg</v>
      </c>
      <c r="I665" t="str">
        <f>HYPERLINK("http://pbs.twimg.com/media/Fg3-M_BX0AIFPJf.jpg", "http://pbs.twimg.com/media/Fg3-M_BX0AIFPJf.jpg")</f>
        <v>http://pbs.twimg.com/media/Fg3-M_BX0AIFPJf.jpg</v>
      </c>
      <c r="J665" t="str">
        <f>HYPERLINK("http://pbs.twimg.com/media/Fg3-M9GWQAAp64d.jpg", "http://pbs.twimg.com/media/Fg3-M9GWQAAp64d.jpg")</f>
        <v>http://pbs.twimg.com/media/Fg3-M9GWQAAp64d.jpg</v>
      </c>
      <c r="L665">
        <v>0</v>
      </c>
      <c r="M665">
        <v>0</v>
      </c>
      <c r="N665">
        <v>1</v>
      </c>
      <c r="O665">
        <v>0</v>
      </c>
    </row>
    <row r="666" spans="1:15" x14ac:dyDescent="0.2">
      <c r="A666" s="1" t="str">
        <f>HYPERLINK("http://www.twitter.com/banuakdenizli/status/1589284261550751745", "1589284261550751745")</f>
        <v>1589284261550751745</v>
      </c>
      <c r="B666" t="s">
        <v>15</v>
      </c>
      <c r="C666" s="2">
        <v>44871.660532407397</v>
      </c>
      <c r="D666">
        <v>0</v>
      </c>
      <c r="E666">
        <v>7</v>
      </c>
      <c r="F666" t="s">
        <v>29</v>
      </c>
      <c r="G666" t="s">
        <v>724</v>
      </c>
      <c r="H666" t="str">
        <f>HYPERLINK("http://pbs.twimg.com/media/Fg3-0OOWAAEsIOX.jpg", "http://pbs.twimg.com/media/Fg3-0OOWAAEsIOX.jpg")</f>
        <v>http://pbs.twimg.com/media/Fg3-0OOWAAEsIOX.jpg</v>
      </c>
      <c r="I666" t="str">
        <f>HYPERLINK("http://pbs.twimg.com/media/Fg3-0NqXgAEKFjL.jpg", "http://pbs.twimg.com/media/Fg3-0NqXgAEKFjL.jpg")</f>
        <v>http://pbs.twimg.com/media/Fg3-0NqXgAEKFjL.jpg</v>
      </c>
      <c r="J666" t="str">
        <f>HYPERLINK("http://pbs.twimg.com/media/Fg3-0OPXEAIfRzz.jpg", "http://pbs.twimg.com/media/Fg3-0OPXEAIfRzz.jpg")</f>
        <v>http://pbs.twimg.com/media/Fg3-0OPXEAIfRzz.jpg</v>
      </c>
      <c r="L666">
        <v>0</v>
      </c>
      <c r="M666">
        <v>0</v>
      </c>
      <c r="N666">
        <v>1</v>
      </c>
      <c r="O666">
        <v>0</v>
      </c>
    </row>
    <row r="667" spans="1:15" x14ac:dyDescent="0.2">
      <c r="A667" s="1" t="str">
        <f>HYPERLINK("http://www.twitter.com/banuakdenizli/status/1589284202645975040", "1589284202645975040")</f>
        <v>1589284202645975040</v>
      </c>
      <c r="B667" t="s">
        <v>15</v>
      </c>
      <c r="C667" s="2">
        <v>44871.660370370373</v>
      </c>
      <c r="D667">
        <v>0</v>
      </c>
      <c r="E667">
        <v>4</v>
      </c>
      <c r="F667" t="s">
        <v>29</v>
      </c>
      <c r="G667" t="s">
        <v>725</v>
      </c>
      <c r="H667" t="str">
        <f>HYPERLINK("http://pbs.twimg.com/media/Fg3YhqYWAAAB3YG.jpg", "http://pbs.twimg.com/media/Fg3YhqYWAAAB3YG.jpg")</f>
        <v>http://pbs.twimg.com/media/Fg3YhqYWAAAB3YG.jpg</v>
      </c>
      <c r="L667">
        <v>0.86580000000000001</v>
      </c>
      <c r="M667">
        <v>0</v>
      </c>
      <c r="N667">
        <v>0.76200000000000001</v>
      </c>
      <c r="O667">
        <v>0.23799999999999999</v>
      </c>
    </row>
    <row r="668" spans="1:15" x14ac:dyDescent="0.2">
      <c r="A668" s="1" t="str">
        <f>HYPERLINK("http://www.twitter.com/banuakdenizli/status/1589055625430192129", "1589055625430192129")</f>
        <v>1589055625430192129</v>
      </c>
      <c r="B668" t="s">
        <v>15</v>
      </c>
      <c r="C668" s="2">
        <v>44871.029606481483</v>
      </c>
      <c r="D668">
        <v>0</v>
      </c>
      <c r="E668">
        <v>5</v>
      </c>
      <c r="F668" t="s">
        <v>726</v>
      </c>
      <c r="G668" t="s">
        <v>727</v>
      </c>
      <c r="H668" t="str">
        <f>HYPERLINK("http://pbs.twimg.com/media/Fgv-hHhXwAIL23o.jpg", "http://pbs.twimg.com/media/Fgv-hHhXwAIL23o.jpg")</f>
        <v>http://pbs.twimg.com/media/Fgv-hHhXwAIL23o.jpg</v>
      </c>
      <c r="L668">
        <v>0</v>
      </c>
      <c r="M668">
        <v>0</v>
      </c>
      <c r="N668">
        <v>1</v>
      </c>
      <c r="O668">
        <v>0</v>
      </c>
    </row>
    <row r="669" spans="1:15" x14ac:dyDescent="0.2">
      <c r="A669" s="1" t="str">
        <f>HYPERLINK("http://www.twitter.com/banuakdenizli/status/1589053764937584641", "1589053764937584641")</f>
        <v>1589053764937584641</v>
      </c>
      <c r="B669" t="s">
        <v>15</v>
      </c>
      <c r="C669" s="2">
        <v>44871.02447916667</v>
      </c>
      <c r="D669">
        <v>0</v>
      </c>
      <c r="E669">
        <v>22</v>
      </c>
      <c r="F669" t="s">
        <v>17</v>
      </c>
      <c r="G669" t="s">
        <v>728</v>
      </c>
      <c r="H669" t="str">
        <f>HYPERLINK("http://pbs.twimg.com/media/FgzC_Y9WYAAxyhR.jpg", "http://pbs.twimg.com/media/FgzC_Y9WYAAxyhR.jpg")</f>
        <v>http://pbs.twimg.com/media/FgzC_Y9WYAAxyhR.jpg</v>
      </c>
      <c r="L669">
        <v>5.16E-2</v>
      </c>
      <c r="M669">
        <v>0.129</v>
      </c>
      <c r="N669">
        <v>0.73</v>
      </c>
      <c r="O669">
        <v>0.14000000000000001</v>
      </c>
    </row>
    <row r="670" spans="1:15" x14ac:dyDescent="0.2">
      <c r="A670" s="1" t="str">
        <f>HYPERLINK("http://www.twitter.com/banuakdenizli/status/1589053745546960896", "1589053745546960896")</f>
        <v>1589053745546960896</v>
      </c>
      <c r="B670" t="s">
        <v>15</v>
      </c>
      <c r="C670" s="2">
        <v>44871.024421296293</v>
      </c>
      <c r="D670">
        <v>0</v>
      </c>
      <c r="E670">
        <v>10</v>
      </c>
      <c r="F670" t="s">
        <v>16</v>
      </c>
      <c r="G670" t="s">
        <v>729</v>
      </c>
      <c r="H670" t="str">
        <f>HYPERLINK("http://pbs.twimg.com/media/Fgyk_42WYAIbfN7.jpg", "http://pbs.twimg.com/media/Fgyk_42WYAIbfN7.jpg")</f>
        <v>http://pbs.twimg.com/media/Fgyk_42WYAIbfN7.jpg</v>
      </c>
      <c r="L670">
        <v>0</v>
      </c>
      <c r="M670">
        <v>0</v>
      </c>
      <c r="N670">
        <v>1</v>
      </c>
      <c r="O670">
        <v>0</v>
      </c>
    </row>
    <row r="671" spans="1:15" x14ac:dyDescent="0.2">
      <c r="A671" s="1" t="str">
        <f>HYPERLINK("http://www.twitter.com/banuakdenizli/status/1589053728597807104", "1589053728597807104")</f>
        <v>1589053728597807104</v>
      </c>
      <c r="B671" t="s">
        <v>15</v>
      </c>
      <c r="C671" s="2">
        <v>44871.024375000001</v>
      </c>
      <c r="D671">
        <v>0</v>
      </c>
      <c r="E671">
        <v>1</v>
      </c>
      <c r="F671" t="s">
        <v>21</v>
      </c>
      <c r="G671" t="s">
        <v>730</v>
      </c>
      <c r="H671" t="str">
        <f>HYPERLINK("http://pbs.twimg.com/media/Fg0OEe8XoAATzHZ.jpg", "http://pbs.twimg.com/media/Fg0OEe8XoAATzHZ.jpg")</f>
        <v>http://pbs.twimg.com/media/Fg0OEe8XoAATzHZ.jpg</v>
      </c>
      <c r="L671">
        <v>0.52669999999999995</v>
      </c>
      <c r="M671">
        <v>5.8000000000000003E-2</v>
      </c>
      <c r="N671">
        <v>0.80100000000000005</v>
      </c>
      <c r="O671">
        <v>0.14099999999999999</v>
      </c>
    </row>
    <row r="672" spans="1:15" x14ac:dyDescent="0.2">
      <c r="A672" s="1" t="str">
        <f>HYPERLINK("http://www.twitter.com/banuakdenizli/status/1589053717235441665", "1589053717235441665")</f>
        <v>1589053717235441665</v>
      </c>
      <c r="B672" t="s">
        <v>15</v>
      </c>
      <c r="C672" s="2">
        <v>44871.024351851847</v>
      </c>
      <c r="D672">
        <v>0</v>
      </c>
      <c r="E672">
        <v>10</v>
      </c>
      <c r="F672" t="s">
        <v>16</v>
      </c>
      <c r="G672" t="s">
        <v>731</v>
      </c>
      <c r="H672" t="str">
        <f>HYPERLINK("http://pbs.twimg.com/media/Fg0Ls7IWQAA9JWj.jpg", "http://pbs.twimg.com/media/Fg0Ls7IWQAA9JWj.jpg")</f>
        <v>http://pbs.twimg.com/media/Fg0Ls7IWQAA9JWj.jpg</v>
      </c>
      <c r="L672">
        <v>0</v>
      </c>
      <c r="M672">
        <v>0</v>
      </c>
      <c r="N672">
        <v>1</v>
      </c>
      <c r="O672">
        <v>0</v>
      </c>
    </row>
    <row r="673" spans="1:15" x14ac:dyDescent="0.2">
      <c r="A673" s="1" t="str">
        <f>HYPERLINK("http://www.twitter.com/banuakdenizli/status/1589053672146997248", "1589053672146997248")</f>
        <v>1589053672146997248</v>
      </c>
      <c r="B673" t="s">
        <v>15</v>
      </c>
      <c r="C673" s="2">
        <v>44871.024224537039</v>
      </c>
      <c r="D673">
        <v>0</v>
      </c>
      <c r="E673">
        <v>4</v>
      </c>
      <c r="F673" t="s">
        <v>30</v>
      </c>
      <c r="G673" t="s">
        <v>732</v>
      </c>
      <c r="H673" t="str">
        <f>HYPERLINK("http://pbs.twimg.com/media/Fg0IbB9XwAMuE1B.jpg", "http://pbs.twimg.com/media/Fg0IbB9XwAMuE1B.jpg")</f>
        <v>http://pbs.twimg.com/media/Fg0IbB9XwAMuE1B.jpg</v>
      </c>
      <c r="L673">
        <v>0</v>
      </c>
      <c r="M673">
        <v>0</v>
      </c>
      <c r="N673">
        <v>1</v>
      </c>
      <c r="O673">
        <v>0</v>
      </c>
    </row>
    <row r="674" spans="1:15" x14ac:dyDescent="0.2">
      <c r="A674" s="1" t="str">
        <f>HYPERLINK("http://www.twitter.com/banuakdenizli/status/1589053465698873344", "1589053465698873344")</f>
        <v>1589053465698873344</v>
      </c>
      <c r="B674" t="s">
        <v>15</v>
      </c>
      <c r="C674" s="2">
        <v>44871.023657407408</v>
      </c>
      <c r="D674">
        <v>0</v>
      </c>
      <c r="E674">
        <v>73</v>
      </c>
      <c r="F674" t="s">
        <v>16</v>
      </c>
      <c r="G674" t="s">
        <v>733</v>
      </c>
      <c r="H674" t="str">
        <f>HYPERLINK("http://pbs.twimg.com/media/Fgvv9cGXEAAagts.jpg", "http://pbs.twimg.com/media/Fgvv9cGXEAAagts.jpg")</f>
        <v>http://pbs.twimg.com/media/Fgvv9cGXEAAagts.jpg</v>
      </c>
      <c r="L674">
        <v>0</v>
      </c>
      <c r="M674">
        <v>0</v>
      </c>
      <c r="N674">
        <v>1</v>
      </c>
      <c r="O674">
        <v>0</v>
      </c>
    </row>
    <row r="675" spans="1:15" x14ac:dyDescent="0.2">
      <c r="A675" s="1" t="str">
        <f>HYPERLINK("http://www.twitter.com/banuakdenizli/status/1588599837834227712", "1588599837834227712")</f>
        <v>1588599837834227712</v>
      </c>
      <c r="B675" t="s">
        <v>15</v>
      </c>
      <c r="C675" s="2">
        <v>44869.771874999999</v>
      </c>
      <c r="D675">
        <v>0</v>
      </c>
      <c r="E675">
        <v>17</v>
      </c>
      <c r="F675" t="s">
        <v>16</v>
      </c>
      <c r="G675" t="s">
        <v>734</v>
      </c>
      <c r="H675" t="str">
        <f>HYPERLINK("http://pbs.twimg.com/media/FgvVntkWIAUzvlG.jpg", "http://pbs.twimg.com/media/FgvVntkWIAUzvlG.jpg")</f>
        <v>http://pbs.twimg.com/media/FgvVntkWIAUzvlG.jpg</v>
      </c>
      <c r="L675">
        <v>0</v>
      </c>
      <c r="M675">
        <v>0</v>
      </c>
      <c r="N675">
        <v>1</v>
      </c>
      <c r="O675">
        <v>0</v>
      </c>
    </row>
    <row r="676" spans="1:15" x14ac:dyDescent="0.2">
      <c r="A676" s="1" t="str">
        <f>HYPERLINK("http://www.twitter.com/banuakdenizli/status/1588599820935397377", "1588599820935397377")</f>
        <v>1588599820935397377</v>
      </c>
      <c r="B676" t="s">
        <v>15</v>
      </c>
      <c r="C676" s="2">
        <v>44869.771828703713</v>
      </c>
      <c r="D676">
        <v>0</v>
      </c>
      <c r="E676">
        <v>16</v>
      </c>
      <c r="F676" t="s">
        <v>16</v>
      </c>
      <c r="G676" t="s">
        <v>735</v>
      </c>
      <c r="H676" t="str">
        <f>HYPERLINK("http://pbs.twimg.com/media/FgvDibMXgAI7hwM.jpg", "http://pbs.twimg.com/media/FgvDibMXgAI7hwM.jpg")</f>
        <v>http://pbs.twimg.com/media/FgvDibMXgAI7hwM.jpg</v>
      </c>
      <c r="L676">
        <v>0</v>
      </c>
      <c r="M676">
        <v>0</v>
      </c>
      <c r="N676">
        <v>1</v>
      </c>
      <c r="O676">
        <v>0</v>
      </c>
    </row>
    <row r="677" spans="1:15" x14ac:dyDescent="0.2">
      <c r="A677" s="1" t="str">
        <f>HYPERLINK("http://www.twitter.com/banuakdenizli/status/1588599781697662982", "1588599781697662982")</f>
        <v>1588599781697662982</v>
      </c>
      <c r="B677" t="s">
        <v>15</v>
      </c>
      <c r="C677" s="2">
        <v>44869.771724537037</v>
      </c>
      <c r="D677">
        <v>0</v>
      </c>
      <c r="E677">
        <v>6</v>
      </c>
      <c r="F677" t="s">
        <v>17</v>
      </c>
      <c r="G677" t="s">
        <v>736</v>
      </c>
      <c r="H677" t="str">
        <f>HYPERLINK("http://pbs.twimg.com/media/FgvW8nxWQAIFKwl.jpg", "http://pbs.twimg.com/media/FgvW8nxWQAIFKwl.jpg")</f>
        <v>http://pbs.twimg.com/media/FgvW8nxWQAIFKwl.jpg</v>
      </c>
      <c r="L677">
        <v>0</v>
      </c>
      <c r="M677">
        <v>0</v>
      </c>
      <c r="N677">
        <v>1</v>
      </c>
      <c r="O677">
        <v>0</v>
      </c>
    </row>
    <row r="678" spans="1:15" x14ac:dyDescent="0.2">
      <c r="A678" s="1" t="str">
        <f>HYPERLINK("http://www.twitter.com/banuakdenizli/status/1588588095045128193", "1588588095045128193")</f>
        <v>1588588095045128193</v>
      </c>
      <c r="B678" t="s">
        <v>15</v>
      </c>
      <c r="C678" s="2">
        <v>44869.739479166667</v>
      </c>
      <c r="D678">
        <v>0</v>
      </c>
      <c r="E678">
        <v>12</v>
      </c>
      <c r="F678" t="s">
        <v>17</v>
      </c>
      <c r="G678" t="s">
        <v>737</v>
      </c>
      <c r="L678">
        <v>0</v>
      </c>
      <c r="M678">
        <v>0</v>
      </c>
      <c r="N678">
        <v>1</v>
      </c>
      <c r="O678">
        <v>0</v>
      </c>
    </row>
    <row r="679" spans="1:15" x14ac:dyDescent="0.2">
      <c r="A679" s="1" t="str">
        <f>HYPERLINK("http://www.twitter.com/banuakdenizli/status/1588587221753688064", "1588587221753688064")</f>
        <v>1588587221753688064</v>
      </c>
      <c r="B679" t="s">
        <v>15</v>
      </c>
      <c r="C679" s="2">
        <v>44869.737060185187</v>
      </c>
      <c r="D679">
        <v>0</v>
      </c>
      <c r="E679">
        <v>9</v>
      </c>
      <c r="F679" t="s">
        <v>17</v>
      </c>
      <c r="G679" t="s">
        <v>738</v>
      </c>
      <c r="H679" t="str">
        <f>HYPERLINK("http://pbs.twimg.com/media/FgvD__AWYAAaJZ6.jpg", "http://pbs.twimg.com/media/FgvD__AWYAAaJZ6.jpg")</f>
        <v>http://pbs.twimg.com/media/FgvD__AWYAAaJZ6.jpg</v>
      </c>
      <c r="L679">
        <v>0</v>
      </c>
      <c r="M679">
        <v>0</v>
      </c>
      <c r="N679">
        <v>1</v>
      </c>
      <c r="O679">
        <v>0</v>
      </c>
    </row>
    <row r="680" spans="1:15" x14ac:dyDescent="0.2">
      <c r="A680" s="1" t="str">
        <f>HYPERLINK("http://www.twitter.com/banuakdenizli/status/1588587160797843456", "1588587160797843456")</f>
        <v>1588587160797843456</v>
      </c>
      <c r="B680" t="s">
        <v>15</v>
      </c>
      <c r="C680" s="2">
        <v>44869.736898148149</v>
      </c>
      <c r="D680">
        <v>0</v>
      </c>
      <c r="E680">
        <v>11</v>
      </c>
      <c r="F680" t="s">
        <v>16</v>
      </c>
      <c r="G680" t="s">
        <v>739</v>
      </c>
      <c r="L680">
        <v>0</v>
      </c>
      <c r="M680">
        <v>0</v>
      </c>
      <c r="N680">
        <v>1</v>
      </c>
      <c r="O680">
        <v>0</v>
      </c>
    </row>
    <row r="681" spans="1:15" x14ac:dyDescent="0.2">
      <c r="A681" s="1" t="str">
        <f>HYPERLINK("http://www.twitter.com/banuakdenizli/status/1588574418917543937", "1588574418917543937")</f>
        <v>1588574418917543937</v>
      </c>
      <c r="B681" t="s">
        <v>15</v>
      </c>
      <c r="C681" s="2">
        <v>44869.701736111107</v>
      </c>
      <c r="D681">
        <v>0</v>
      </c>
      <c r="E681">
        <v>16</v>
      </c>
      <c r="F681" t="s">
        <v>726</v>
      </c>
      <c r="G681" t="s">
        <v>740</v>
      </c>
      <c r="H681" t="str">
        <f>HYPERLINK("http://pbs.twimg.com/media/Fgu_10QXkAAffjf.jpg", "http://pbs.twimg.com/media/Fgu_10QXkAAffjf.jpg")</f>
        <v>http://pbs.twimg.com/media/Fgu_10QXkAAffjf.jpg</v>
      </c>
      <c r="L681">
        <v>0.62490000000000001</v>
      </c>
      <c r="M681">
        <v>0</v>
      </c>
      <c r="N681">
        <v>0.86399999999999999</v>
      </c>
      <c r="O681">
        <v>0.13600000000000001</v>
      </c>
    </row>
    <row r="682" spans="1:15" x14ac:dyDescent="0.2">
      <c r="A682" s="1" t="str">
        <f>HYPERLINK("http://www.twitter.com/banuakdenizli/status/1588574071259684864", "1588574071259684864")</f>
        <v>1588574071259684864</v>
      </c>
      <c r="B682" t="s">
        <v>15</v>
      </c>
      <c r="C682" s="2">
        <v>44869.700775462959</v>
      </c>
      <c r="D682">
        <v>0</v>
      </c>
      <c r="E682">
        <v>26</v>
      </c>
      <c r="F682" t="s">
        <v>16</v>
      </c>
      <c r="G682" t="s">
        <v>741</v>
      </c>
      <c r="H682" t="str">
        <f>HYPERLINK("http://pbs.twimg.com/media/Fgu8jENX0AE1YT0.jpg", "http://pbs.twimg.com/media/Fgu8jENX0AE1YT0.jpg")</f>
        <v>http://pbs.twimg.com/media/Fgu8jENX0AE1YT0.jpg</v>
      </c>
      <c r="L682">
        <v>0</v>
      </c>
      <c r="M682">
        <v>0</v>
      </c>
      <c r="N682">
        <v>1</v>
      </c>
      <c r="O682">
        <v>0</v>
      </c>
    </row>
    <row r="683" spans="1:15" x14ac:dyDescent="0.2">
      <c r="A683" s="1" t="str">
        <f>HYPERLINK("http://www.twitter.com/banuakdenizli/status/1588574015199019008", "1588574015199019008")</f>
        <v>1588574015199019008</v>
      </c>
      <c r="B683" t="s">
        <v>15</v>
      </c>
      <c r="C683" s="2">
        <v>44869.700624999998</v>
      </c>
      <c r="D683">
        <v>0</v>
      </c>
      <c r="E683">
        <v>21</v>
      </c>
      <c r="F683" t="s">
        <v>17</v>
      </c>
      <c r="G683" t="s">
        <v>742</v>
      </c>
      <c r="H683" t="str">
        <f>HYPERLINK("http://pbs.twimg.com/media/Fgu6C4EXoAEn2eX.jpg", "http://pbs.twimg.com/media/Fgu6C4EXoAEn2eX.jpg")</f>
        <v>http://pbs.twimg.com/media/Fgu6C4EXoAEn2eX.jpg</v>
      </c>
      <c r="L683">
        <v>0</v>
      </c>
      <c r="M683">
        <v>0</v>
      </c>
      <c r="N683">
        <v>1</v>
      </c>
      <c r="O683">
        <v>0</v>
      </c>
    </row>
    <row r="684" spans="1:15" x14ac:dyDescent="0.2">
      <c r="A684" s="1" t="str">
        <f>HYPERLINK("http://www.twitter.com/banuakdenizli/status/1588563236550774787", "1588563236550774787")</f>
        <v>1588563236550774787</v>
      </c>
      <c r="B684" t="s">
        <v>15</v>
      </c>
      <c r="C684" s="2">
        <v>44869.67087962963</v>
      </c>
      <c r="D684">
        <v>0</v>
      </c>
      <c r="E684">
        <v>5</v>
      </c>
      <c r="F684" t="s">
        <v>743</v>
      </c>
      <c r="G684" t="s">
        <v>744</v>
      </c>
      <c r="H684" t="str">
        <f>HYPERLINK("http://pbs.twimg.com/media/FguJ8sCXEAIA9lF.jpg", "http://pbs.twimg.com/media/FguJ8sCXEAIA9lF.jpg")</f>
        <v>http://pbs.twimg.com/media/FguJ8sCXEAIA9lF.jpg</v>
      </c>
      <c r="I684" t="str">
        <f>HYPERLINK("http://pbs.twimg.com/media/FguJ920WYAIc6FU.jpg", "http://pbs.twimg.com/media/FguJ920WYAIc6FU.jpg")</f>
        <v>http://pbs.twimg.com/media/FguJ920WYAIc6FU.jpg</v>
      </c>
      <c r="L684">
        <v>0.93600000000000005</v>
      </c>
      <c r="M684">
        <v>0</v>
      </c>
      <c r="N684">
        <v>0.66900000000000004</v>
      </c>
      <c r="O684">
        <v>0.33100000000000002</v>
      </c>
    </row>
    <row r="685" spans="1:15" x14ac:dyDescent="0.2">
      <c r="A685" s="1" t="str">
        <f>HYPERLINK("http://www.twitter.com/banuakdenizli/status/1588563206557302784", "1588563206557302784")</f>
        <v>1588563206557302784</v>
      </c>
      <c r="B685" t="s">
        <v>15</v>
      </c>
      <c r="C685" s="2">
        <v>44869.670798611107</v>
      </c>
      <c r="D685">
        <v>0</v>
      </c>
      <c r="E685">
        <v>3</v>
      </c>
      <c r="F685" t="s">
        <v>19</v>
      </c>
      <c r="G685" t="s">
        <v>745</v>
      </c>
      <c r="L685">
        <v>0.69079999999999997</v>
      </c>
      <c r="M685">
        <v>5.1999999999999998E-2</v>
      </c>
      <c r="N685">
        <v>0.77600000000000002</v>
      </c>
      <c r="O685">
        <v>0.17199999999999999</v>
      </c>
    </row>
    <row r="686" spans="1:15" x14ac:dyDescent="0.2">
      <c r="A686" s="1" t="str">
        <f>HYPERLINK("http://www.twitter.com/banuakdenizli/status/1588560376769417216", "1588560376769417216")</f>
        <v>1588560376769417216</v>
      </c>
      <c r="B686" t="s">
        <v>15</v>
      </c>
      <c r="C686" s="2">
        <v>44869.662986111107</v>
      </c>
      <c r="D686">
        <v>0</v>
      </c>
      <c r="E686">
        <v>7</v>
      </c>
      <c r="F686" t="s">
        <v>17</v>
      </c>
      <c r="G686" t="s">
        <v>746</v>
      </c>
      <c r="H686" t="str">
        <f>HYPERLINK("http://pbs.twimg.com/media/FgugNa-WAAMZRoy.jpg", "http://pbs.twimg.com/media/FgugNa-WAAMZRoy.jpg")</f>
        <v>http://pbs.twimg.com/media/FgugNa-WAAMZRoy.jpg</v>
      </c>
      <c r="L686">
        <v>0</v>
      </c>
      <c r="M686">
        <v>0</v>
      </c>
      <c r="N686">
        <v>1</v>
      </c>
      <c r="O686">
        <v>0</v>
      </c>
    </row>
    <row r="687" spans="1:15" x14ac:dyDescent="0.2">
      <c r="A687" s="1" t="str">
        <f>HYPERLINK("http://www.twitter.com/banuakdenizli/status/1588514197041971204", "1588514197041971204")</f>
        <v>1588514197041971204</v>
      </c>
      <c r="B687" t="s">
        <v>15</v>
      </c>
      <c r="C687" s="2">
        <v>44869.535555555558</v>
      </c>
      <c r="D687">
        <v>0</v>
      </c>
      <c r="E687">
        <v>1</v>
      </c>
      <c r="F687" t="s">
        <v>22</v>
      </c>
      <c r="G687" t="s">
        <v>747</v>
      </c>
      <c r="H687" t="str">
        <f>HYPERLINK("http://pbs.twimg.com/media/FgqDsKlXoAQ1Hqz.jpg", "http://pbs.twimg.com/media/FgqDsKlXoAQ1Hqz.jpg")</f>
        <v>http://pbs.twimg.com/media/FgqDsKlXoAQ1Hqz.jpg</v>
      </c>
      <c r="I687" t="str">
        <f>HYPERLINK("http://pbs.twimg.com/media/FgqDsKmXEAAHKN9.jpg", "http://pbs.twimg.com/media/FgqDsKmXEAAHKN9.jpg")</f>
        <v>http://pbs.twimg.com/media/FgqDsKmXEAAHKN9.jpg</v>
      </c>
      <c r="J687" t="str">
        <f>HYPERLINK("http://pbs.twimg.com/media/FgqDsKqXEAARpeU.jpg", "http://pbs.twimg.com/media/FgqDsKqXEAARpeU.jpg")</f>
        <v>http://pbs.twimg.com/media/FgqDsKqXEAARpeU.jpg</v>
      </c>
      <c r="K687" t="str">
        <f>HYPERLINK("http://pbs.twimg.com/media/FgqDsKnXoAAV7Z7.jpg", "http://pbs.twimg.com/media/FgqDsKnXoAAV7Z7.jpg")</f>
        <v>http://pbs.twimg.com/media/FgqDsKnXoAAV7Z7.jpg</v>
      </c>
      <c r="L687">
        <v>0</v>
      </c>
      <c r="M687">
        <v>0</v>
      </c>
      <c r="N687">
        <v>1</v>
      </c>
      <c r="O687">
        <v>0</v>
      </c>
    </row>
    <row r="688" spans="1:15" x14ac:dyDescent="0.2">
      <c r="A688" s="1" t="str">
        <f>HYPERLINK("http://www.twitter.com/banuakdenizli/status/1588514134492327938", "1588514134492327938")</f>
        <v>1588514134492327938</v>
      </c>
      <c r="B688" t="s">
        <v>15</v>
      </c>
      <c r="C688" s="2">
        <v>44869.535381944443</v>
      </c>
      <c r="D688">
        <v>0</v>
      </c>
      <c r="E688">
        <v>7</v>
      </c>
      <c r="F688" t="s">
        <v>17</v>
      </c>
      <c r="G688" t="s">
        <v>748</v>
      </c>
      <c r="H688" t="str">
        <f>HYPERLINK("http://pbs.twimg.com/media/FgqhKRdXoAM72r8.jpg", "http://pbs.twimg.com/media/FgqhKRdXoAM72r8.jpg")</f>
        <v>http://pbs.twimg.com/media/FgqhKRdXoAM72r8.jpg</v>
      </c>
      <c r="L688">
        <v>-0.128</v>
      </c>
      <c r="M688">
        <v>0.182</v>
      </c>
      <c r="N688">
        <v>0.66700000000000004</v>
      </c>
      <c r="O688">
        <v>0.152</v>
      </c>
    </row>
    <row r="689" spans="1:15" x14ac:dyDescent="0.2">
      <c r="A689" s="1" t="str">
        <f>HYPERLINK("http://www.twitter.com/banuakdenizli/status/1588514062664859649", "1588514062664859649")</f>
        <v>1588514062664859649</v>
      </c>
      <c r="B689" t="s">
        <v>15</v>
      </c>
      <c r="C689" s="2">
        <v>44869.535185185188</v>
      </c>
      <c r="D689">
        <v>0</v>
      </c>
      <c r="E689">
        <v>4</v>
      </c>
      <c r="F689" t="s">
        <v>19</v>
      </c>
      <c r="G689" t="s">
        <v>749</v>
      </c>
      <c r="L689">
        <v>-0.1779</v>
      </c>
      <c r="M689">
        <v>8.8999999999999996E-2</v>
      </c>
      <c r="N689">
        <v>0.81499999999999995</v>
      </c>
      <c r="O689">
        <v>9.5000000000000001E-2</v>
      </c>
    </row>
    <row r="690" spans="1:15" x14ac:dyDescent="0.2">
      <c r="A690" s="1" t="str">
        <f>HYPERLINK("http://www.twitter.com/banuakdenizli/status/1588514050627239936", "1588514050627239936")</f>
        <v>1588514050627239936</v>
      </c>
      <c r="B690" t="s">
        <v>15</v>
      </c>
      <c r="C690" s="2">
        <v>44869.535150462973</v>
      </c>
      <c r="D690">
        <v>0</v>
      </c>
      <c r="E690">
        <v>10</v>
      </c>
      <c r="F690" t="s">
        <v>16</v>
      </c>
      <c r="G690" t="s">
        <v>750</v>
      </c>
      <c r="H690" t="str">
        <f>HYPERLINK("http://pbs.twimg.com/media/FgtWH-eXEAQHGcg.jpg", "http://pbs.twimg.com/media/FgtWH-eXEAQHGcg.jpg")</f>
        <v>http://pbs.twimg.com/media/FgtWH-eXEAQHGcg.jpg</v>
      </c>
      <c r="L690">
        <v>0</v>
      </c>
      <c r="M690">
        <v>0</v>
      </c>
      <c r="N690">
        <v>1</v>
      </c>
      <c r="O690">
        <v>0</v>
      </c>
    </row>
    <row r="691" spans="1:15" x14ac:dyDescent="0.2">
      <c r="A691" s="1" t="str">
        <f>HYPERLINK("http://www.twitter.com/banuakdenizli/status/1588513867625553920", "1588513867625553920")</f>
        <v>1588513867625553920</v>
      </c>
      <c r="B691" t="s">
        <v>15</v>
      </c>
      <c r="C691" s="2">
        <v>44869.534641203703</v>
      </c>
      <c r="D691">
        <v>0</v>
      </c>
      <c r="E691">
        <v>2</v>
      </c>
      <c r="F691" t="s">
        <v>22</v>
      </c>
      <c r="G691" t="s">
        <v>751</v>
      </c>
      <c r="H691" t="str">
        <f>HYPERLINK("http://pbs.twimg.com/media/Fgqt2jjWYAET6f2.jpg", "http://pbs.twimg.com/media/Fgqt2jjWYAET6f2.jpg")</f>
        <v>http://pbs.twimg.com/media/Fgqt2jjWYAET6f2.jpg</v>
      </c>
      <c r="L691">
        <v>0.95779999999999998</v>
      </c>
      <c r="M691">
        <v>0</v>
      </c>
      <c r="N691">
        <v>0.56200000000000006</v>
      </c>
      <c r="O691">
        <v>0.438</v>
      </c>
    </row>
    <row r="692" spans="1:15" x14ac:dyDescent="0.2">
      <c r="A692" s="1" t="str">
        <f>HYPERLINK("http://www.twitter.com/banuakdenizli/status/1588513851510661120", "1588513851510661120")</f>
        <v>1588513851510661120</v>
      </c>
      <c r="B692" t="s">
        <v>15</v>
      </c>
      <c r="C692" s="2">
        <v>44869.53460648148</v>
      </c>
      <c r="D692">
        <v>0</v>
      </c>
      <c r="E692">
        <v>3</v>
      </c>
      <c r="F692" t="s">
        <v>20</v>
      </c>
      <c r="G692" t="s">
        <v>752</v>
      </c>
      <c r="H692" t="str">
        <f>HYPERLINK("http://pbs.twimg.com/media/Fgq5mDEXEAQEtNJ.jpg", "http://pbs.twimg.com/media/Fgq5mDEXEAQEtNJ.jpg")</f>
        <v>http://pbs.twimg.com/media/Fgq5mDEXEAQEtNJ.jpg</v>
      </c>
      <c r="L692">
        <v>0</v>
      </c>
      <c r="M692">
        <v>0</v>
      </c>
      <c r="N692">
        <v>1</v>
      </c>
      <c r="O692">
        <v>0</v>
      </c>
    </row>
    <row r="693" spans="1:15" x14ac:dyDescent="0.2">
      <c r="A693" s="1" t="str">
        <f>HYPERLINK("http://www.twitter.com/banuakdenizli/status/1588513810167394310", "1588513810167394310")</f>
        <v>1588513810167394310</v>
      </c>
      <c r="B693" t="s">
        <v>15</v>
      </c>
      <c r="C693" s="2">
        <v>44869.534490740742</v>
      </c>
      <c r="D693">
        <v>0</v>
      </c>
      <c r="E693">
        <v>10</v>
      </c>
      <c r="F693" t="s">
        <v>19</v>
      </c>
      <c r="G693" t="s">
        <v>753</v>
      </c>
      <c r="H693" t="str">
        <f>HYPERLINK("http://pbs.twimg.com/media/FgsaZYKWQAAjwsZ.jpg", "http://pbs.twimg.com/media/FgsaZYKWQAAjwsZ.jpg")</f>
        <v>http://pbs.twimg.com/media/FgsaZYKWQAAjwsZ.jpg</v>
      </c>
      <c r="I693" t="str">
        <f>HYPERLINK("http://pbs.twimg.com/media/FgsaZYJWIAArCDY.jpg", "http://pbs.twimg.com/media/FgsaZYJWIAArCDY.jpg")</f>
        <v>http://pbs.twimg.com/media/FgsaZYJWIAArCDY.jpg</v>
      </c>
      <c r="L693">
        <v>0.72689999999999999</v>
      </c>
      <c r="M693">
        <v>0</v>
      </c>
      <c r="N693">
        <v>0.85499999999999998</v>
      </c>
      <c r="O693">
        <v>0.14499999999999999</v>
      </c>
    </row>
    <row r="694" spans="1:15" x14ac:dyDescent="0.2">
      <c r="A694" s="1" t="str">
        <f>HYPERLINK("http://www.twitter.com/banuakdenizli/status/1588513794665635842", "1588513794665635842")</f>
        <v>1588513794665635842</v>
      </c>
      <c r="B694" t="s">
        <v>15</v>
      </c>
      <c r="C694" s="2">
        <v>44869.534444444442</v>
      </c>
      <c r="D694">
        <v>0</v>
      </c>
      <c r="E694">
        <v>37</v>
      </c>
      <c r="F694" t="s">
        <v>17</v>
      </c>
      <c r="G694" t="s">
        <v>754</v>
      </c>
      <c r="H694" t="str">
        <f>HYPERLINK("http://pbs.twimg.com/media/FgrPmFdXEAIabSj.jpg", "http://pbs.twimg.com/media/FgrPmFdXEAIabSj.jpg")</f>
        <v>http://pbs.twimg.com/media/FgrPmFdXEAIabSj.jpg</v>
      </c>
      <c r="L694">
        <v>-0.72689999999999999</v>
      </c>
      <c r="M694">
        <v>0.373</v>
      </c>
      <c r="N694">
        <v>0.51800000000000002</v>
      </c>
      <c r="O694">
        <v>0.109</v>
      </c>
    </row>
    <row r="695" spans="1:15" x14ac:dyDescent="0.2">
      <c r="A695" s="1" t="str">
        <f>HYPERLINK("http://www.twitter.com/banuakdenizli/status/1588513759823548416", "1588513759823548416")</f>
        <v>1588513759823548416</v>
      </c>
      <c r="B695" t="s">
        <v>15</v>
      </c>
      <c r="C695" s="2">
        <v>44869.534351851849</v>
      </c>
      <c r="D695">
        <v>0</v>
      </c>
      <c r="E695">
        <v>38</v>
      </c>
      <c r="F695" t="s">
        <v>16</v>
      </c>
      <c r="G695" t="s">
        <v>755</v>
      </c>
      <c r="H695" t="str">
        <f>HYPERLINK("http://pbs.twimg.com/media/Fgqxt04WQAI7KmK.jpg", "http://pbs.twimg.com/media/Fgqxt04WQAI7KmK.jpg")</f>
        <v>http://pbs.twimg.com/media/Fgqxt04WQAI7KmK.jpg</v>
      </c>
      <c r="L695">
        <v>0</v>
      </c>
      <c r="M695">
        <v>0</v>
      </c>
      <c r="N695">
        <v>1</v>
      </c>
      <c r="O695">
        <v>0</v>
      </c>
    </row>
    <row r="696" spans="1:15" x14ac:dyDescent="0.2">
      <c r="A696" s="1" t="str">
        <f>HYPERLINK("http://www.twitter.com/banuakdenizli/status/1588210454295453701", "1588210454295453701")</f>
        <v>1588210454295453701</v>
      </c>
      <c r="B696" t="s">
        <v>15</v>
      </c>
      <c r="C696" s="2">
        <v>44868.697384259263</v>
      </c>
      <c r="D696">
        <v>0</v>
      </c>
      <c r="E696">
        <v>4</v>
      </c>
      <c r="F696" t="s">
        <v>756</v>
      </c>
      <c r="G696" t="s">
        <v>757</v>
      </c>
      <c r="H696" t="str">
        <f>HYPERLINK("http://pbs.twimg.com/media/FgpKSi-XoAAZ3Z1.jpg", "http://pbs.twimg.com/media/FgpKSi-XoAAZ3Z1.jpg")</f>
        <v>http://pbs.twimg.com/media/FgpKSi-XoAAZ3Z1.jpg</v>
      </c>
      <c r="L696">
        <v>0</v>
      </c>
      <c r="M696">
        <v>0</v>
      </c>
      <c r="N696">
        <v>1</v>
      </c>
      <c r="O696">
        <v>0</v>
      </c>
    </row>
    <row r="697" spans="1:15" x14ac:dyDescent="0.2">
      <c r="A697" s="1" t="str">
        <f>HYPERLINK("http://www.twitter.com/banuakdenizli/status/1588210442828128259", "1588210442828128259")</f>
        <v>1588210442828128259</v>
      </c>
      <c r="B697" t="s">
        <v>15</v>
      </c>
      <c r="C697" s="2">
        <v>44868.69734953704</v>
      </c>
      <c r="D697">
        <v>0</v>
      </c>
      <c r="E697">
        <v>3</v>
      </c>
      <c r="F697" t="s">
        <v>756</v>
      </c>
      <c r="G697" t="s">
        <v>758</v>
      </c>
      <c r="H697" t="str">
        <f>HYPERLINK("http://pbs.twimg.com/media/FgpKWBrXkAEF4XS.jpg", "http://pbs.twimg.com/media/FgpKWBrXkAEF4XS.jpg")</f>
        <v>http://pbs.twimg.com/media/FgpKWBrXkAEF4XS.jpg</v>
      </c>
      <c r="L697">
        <v>0.42149999999999999</v>
      </c>
      <c r="M697">
        <v>0</v>
      </c>
      <c r="N697">
        <v>0.93300000000000005</v>
      </c>
      <c r="O697">
        <v>6.7000000000000004E-2</v>
      </c>
    </row>
    <row r="698" spans="1:15" x14ac:dyDescent="0.2">
      <c r="A698" s="1" t="str">
        <f>HYPERLINK("http://www.twitter.com/banuakdenizli/status/1588210409735159809", "1588210409735159809")</f>
        <v>1588210409735159809</v>
      </c>
      <c r="B698" t="s">
        <v>15</v>
      </c>
      <c r="C698" s="2">
        <v>44868.697256944448</v>
      </c>
      <c r="D698">
        <v>0</v>
      </c>
      <c r="E698">
        <v>4</v>
      </c>
      <c r="F698" t="s">
        <v>21</v>
      </c>
      <c r="G698" t="s">
        <v>759</v>
      </c>
      <c r="H698" t="str">
        <f>HYPERLINK("http://pbs.twimg.com/media/FgpxuKiWIAQZvtN.jpg", "http://pbs.twimg.com/media/FgpxuKiWIAQZvtN.jpg")</f>
        <v>http://pbs.twimg.com/media/FgpxuKiWIAQZvtN.jpg</v>
      </c>
      <c r="L698">
        <v>-0.82709999999999995</v>
      </c>
      <c r="M698">
        <v>0.252</v>
      </c>
      <c r="N698">
        <v>0.64600000000000002</v>
      </c>
      <c r="O698">
        <v>0.10199999999999999</v>
      </c>
    </row>
    <row r="699" spans="1:15" x14ac:dyDescent="0.2">
      <c r="A699" s="1" t="str">
        <f>HYPERLINK("http://www.twitter.com/banuakdenizli/status/1588210399740153858", "1588210399740153858")</f>
        <v>1588210399740153858</v>
      </c>
      <c r="B699" t="s">
        <v>15</v>
      </c>
      <c r="C699" s="2">
        <v>44868.697233796287</v>
      </c>
      <c r="D699">
        <v>0</v>
      </c>
      <c r="E699">
        <v>8</v>
      </c>
      <c r="F699" t="s">
        <v>21</v>
      </c>
      <c r="G699" t="s">
        <v>760</v>
      </c>
      <c r="H699" t="str">
        <f>HYPERLINK("http://pbs.twimg.com/media/FgpvisyXgAEU9TQ.jpg", "http://pbs.twimg.com/media/FgpvisyXgAEU9TQ.jpg")</f>
        <v>http://pbs.twimg.com/media/FgpvisyXgAEU9TQ.jpg</v>
      </c>
      <c r="L699">
        <v>0</v>
      </c>
      <c r="M699">
        <v>0</v>
      </c>
      <c r="N699">
        <v>1</v>
      </c>
      <c r="O699">
        <v>0</v>
      </c>
    </row>
    <row r="700" spans="1:15" x14ac:dyDescent="0.2">
      <c r="A700" s="1" t="str">
        <f>HYPERLINK("http://www.twitter.com/banuakdenizli/status/1588210209113210880", "1588210209113210880")</f>
        <v>1588210209113210880</v>
      </c>
      <c r="B700" t="s">
        <v>15</v>
      </c>
      <c r="C700" s="2">
        <v>44868.696712962963</v>
      </c>
      <c r="D700">
        <v>0</v>
      </c>
      <c r="E700">
        <v>16</v>
      </c>
      <c r="F700" t="s">
        <v>16</v>
      </c>
      <c r="G700" t="s">
        <v>761</v>
      </c>
      <c r="H700" t="str">
        <f>HYPERLINK("http://pbs.twimg.com/media/FgpxJcwWIAUlrXy.jpg", "http://pbs.twimg.com/media/FgpxJcwWIAUlrXy.jpg")</f>
        <v>http://pbs.twimg.com/media/FgpxJcwWIAUlrXy.jpg</v>
      </c>
      <c r="L700">
        <v>0</v>
      </c>
      <c r="M700">
        <v>0</v>
      </c>
      <c r="N700">
        <v>1</v>
      </c>
      <c r="O700">
        <v>0</v>
      </c>
    </row>
    <row r="701" spans="1:15" x14ac:dyDescent="0.2">
      <c r="A701" s="1" t="str">
        <f>HYPERLINK("http://www.twitter.com/banuakdenizli/status/1588199391290073090", "1588199391290073090")</f>
        <v>1588199391290073090</v>
      </c>
      <c r="B701" t="s">
        <v>15</v>
      </c>
      <c r="C701" s="2">
        <v>44868.666851851849</v>
      </c>
      <c r="D701">
        <v>0</v>
      </c>
      <c r="E701">
        <v>61</v>
      </c>
      <c r="F701" t="s">
        <v>503</v>
      </c>
      <c r="G701" t="s">
        <v>762</v>
      </c>
      <c r="H701" t="str">
        <f>HYPERLINK("http://pbs.twimg.com/media/FgpfwUiXEAABIcF.jpg", "http://pbs.twimg.com/media/FgpfwUiXEAABIcF.jpg")</f>
        <v>http://pbs.twimg.com/media/FgpfwUiXEAABIcF.jpg</v>
      </c>
      <c r="L701">
        <v>0.75790000000000002</v>
      </c>
      <c r="M701">
        <v>0</v>
      </c>
      <c r="N701">
        <v>0.86899999999999999</v>
      </c>
      <c r="O701">
        <v>0.13100000000000001</v>
      </c>
    </row>
    <row r="702" spans="1:15" x14ac:dyDescent="0.2">
      <c r="A702" s="1" t="str">
        <f>HYPERLINK("http://www.twitter.com/banuakdenizli/status/1588199261467983872", "1588199261467983872")</f>
        <v>1588199261467983872</v>
      </c>
      <c r="B702" t="s">
        <v>15</v>
      </c>
      <c r="C702" s="2">
        <v>44868.666493055563</v>
      </c>
      <c r="D702">
        <v>0</v>
      </c>
      <c r="E702">
        <v>3</v>
      </c>
      <c r="F702" t="s">
        <v>756</v>
      </c>
      <c r="G702" t="s">
        <v>763</v>
      </c>
      <c r="H702" t="str">
        <f>HYPERLINK("http://pbs.twimg.com/media/FgkxgZtWYAAs83x.png", "http://pbs.twimg.com/media/FgkxgZtWYAAs83x.png")</f>
        <v>http://pbs.twimg.com/media/FgkxgZtWYAAs83x.png</v>
      </c>
      <c r="L702">
        <v>0.25</v>
      </c>
      <c r="M702">
        <v>0</v>
      </c>
      <c r="N702">
        <v>0.94099999999999995</v>
      </c>
      <c r="O702">
        <v>5.8999999999999997E-2</v>
      </c>
    </row>
    <row r="703" spans="1:15" x14ac:dyDescent="0.2">
      <c r="A703" s="1" t="str">
        <f>HYPERLINK("http://www.twitter.com/banuakdenizli/status/1588169249436372993", "1588169249436372993")</f>
        <v>1588169249436372993</v>
      </c>
      <c r="B703" t="s">
        <v>15</v>
      </c>
      <c r="C703" s="2">
        <v>44868.583680555559</v>
      </c>
      <c r="D703">
        <v>0</v>
      </c>
      <c r="E703">
        <v>5</v>
      </c>
      <c r="F703" t="s">
        <v>22</v>
      </c>
      <c r="G703" t="s">
        <v>764</v>
      </c>
      <c r="H703" t="str">
        <f>HYPERLINK("http://pbs.twimg.com/media/FgpIMFvXgAI1zsr.jpg", "http://pbs.twimg.com/media/FgpIMFvXgAI1zsr.jpg")</f>
        <v>http://pbs.twimg.com/media/FgpIMFvXgAI1zsr.jpg</v>
      </c>
      <c r="I703" t="str">
        <f>HYPERLINK("http://pbs.twimg.com/media/FgpIMFuXkAEPq7d.jpg", "http://pbs.twimg.com/media/FgpIMFuXkAEPq7d.jpg")</f>
        <v>http://pbs.twimg.com/media/FgpIMFuXkAEPq7d.jpg</v>
      </c>
      <c r="J703" t="str">
        <f>HYPERLINK("http://pbs.twimg.com/media/FgpIMF8XgAMRyab.jpg", "http://pbs.twimg.com/media/FgpIMF8XgAMRyab.jpg")</f>
        <v>http://pbs.twimg.com/media/FgpIMF8XgAMRyab.jpg</v>
      </c>
      <c r="K703" t="str">
        <f>HYPERLINK("http://pbs.twimg.com/media/FgpIMFwXoAAvHN6.jpg", "http://pbs.twimg.com/media/FgpIMFwXoAAvHN6.jpg")</f>
        <v>http://pbs.twimg.com/media/FgpIMFwXoAAvHN6.jpg</v>
      </c>
      <c r="L703">
        <v>0</v>
      </c>
      <c r="M703">
        <v>0</v>
      </c>
      <c r="N703">
        <v>1</v>
      </c>
      <c r="O703">
        <v>0</v>
      </c>
    </row>
    <row r="704" spans="1:15" x14ac:dyDescent="0.2">
      <c r="A704" s="1" t="str">
        <f>HYPERLINK("http://www.twitter.com/banuakdenizli/status/1588169224203427840", "1588169224203427840")</f>
        <v>1588169224203427840</v>
      </c>
      <c r="B704" t="s">
        <v>15</v>
      </c>
      <c r="C704" s="2">
        <v>44868.583611111113</v>
      </c>
      <c r="D704">
        <v>0</v>
      </c>
      <c r="E704">
        <v>10</v>
      </c>
      <c r="F704" t="s">
        <v>17</v>
      </c>
      <c r="G704" t="s">
        <v>765</v>
      </c>
      <c r="H704" t="str">
        <f>HYPERLINK("http://pbs.twimg.com/media/Fgo-dXRXwAEuIVN.jpg", "http://pbs.twimg.com/media/Fgo-dXRXwAEuIVN.jpg")</f>
        <v>http://pbs.twimg.com/media/Fgo-dXRXwAEuIVN.jpg</v>
      </c>
      <c r="L704">
        <v>0.40189999999999998</v>
      </c>
      <c r="M704">
        <v>0</v>
      </c>
      <c r="N704">
        <v>0.76900000000000002</v>
      </c>
      <c r="O704">
        <v>0.23100000000000001</v>
      </c>
    </row>
    <row r="705" spans="1:15" x14ac:dyDescent="0.2">
      <c r="A705" s="1" t="str">
        <f>HYPERLINK("http://www.twitter.com/banuakdenizli/status/1588169206419390466", "1588169206419390466")</f>
        <v>1588169206419390466</v>
      </c>
      <c r="B705" t="s">
        <v>15</v>
      </c>
      <c r="C705" s="2">
        <v>44868.583564814813</v>
      </c>
      <c r="D705">
        <v>0</v>
      </c>
      <c r="E705">
        <v>4</v>
      </c>
      <c r="F705" t="s">
        <v>22</v>
      </c>
      <c r="G705" t="s">
        <v>766</v>
      </c>
      <c r="H705" t="str">
        <f>HYPERLINK("http://pbs.twimg.com/media/FgpJDzkWQAImgN7.jpg", "http://pbs.twimg.com/media/FgpJDzkWQAImgN7.jpg")</f>
        <v>http://pbs.twimg.com/media/FgpJDzkWQAImgN7.jpg</v>
      </c>
      <c r="I705" t="str">
        <f>HYPERLINK("http://pbs.twimg.com/media/FgpJDzkXgAMr2Ft.jpg", "http://pbs.twimg.com/media/FgpJDzkXgAMr2Ft.jpg")</f>
        <v>http://pbs.twimg.com/media/FgpJDzkXgAMr2Ft.jpg</v>
      </c>
      <c r="J705" t="str">
        <f>HYPERLINK("http://pbs.twimg.com/media/FgpJDziXEAA-ybK.jpg", "http://pbs.twimg.com/media/FgpJDziXEAA-ybK.jpg")</f>
        <v>http://pbs.twimg.com/media/FgpJDziXEAA-ybK.jpg</v>
      </c>
      <c r="K705" t="str">
        <f>HYPERLINK("http://pbs.twimg.com/media/FgpJDziXEAEQnyN.jpg", "http://pbs.twimg.com/media/FgpJDziXEAEQnyN.jpg")</f>
        <v>http://pbs.twimg.com/media/FgpJDziXEAEQnyN.jpg</v>
      </c>
      <c r="L705">
        <v>0.91</v>
      </c>
      <c r="M705">
        <v>0</v>
      </c>
      <c r="N705">
        <v>0.752</v>
      </c>
      <c r="O705">
        <v>0.248</v>
      </c>
    </row>
    <row r="706" spans="1:15" x14ac:dyDescent="0.2">
      <c r="A706" s="1" t="str">
        <f>HYPERLINK("http://www.twitter.com/banuakdenizli/status/1588169174282432512", "1588169174282432512")</f>
        <v>1588169174282432512</v>
      </c>
      <c r="B706" t="s">
        <v>15</v>
      </c>
      <c r="C706" s="2">
        <v>44868.583472222221</v>
      </c>
      <c r="D706">
        <v>0</v>
      </c>
      <c r="E706">
        <v>9</v>
      </c>
      <c r="F706" t="s">
        <v>17</v>
      </c>
      <c r="G706" t="s">
        <v>767</v>
      </c>
      <c r="H706" t="str">
        <f>HYPERLINK("http://pbs.twimg.com/media/FgpGYMRWAAArUOU.jpg", "http://pbs.twimg.com/media/FgpGYMRWAAArUOU.jpg")</f>
        <v>http://pbs.twimg.com/media/FgpGYMRWAAArUOU.jpg</v>
      </c>
      <c r="L706">
        <v>0.40189999999999998</v>
      </c>
      <c r="M706">
        <v>0</v>
      </c>
      <c r="N706">
        <v>0.748</v>
      </c>
      <c r="O706">
        <v>0.252</v>
      </c>
    </row>
    <row r="707" spans="1:15" x14ac:dyDescent="0.2">
      <c r="A707" s="1" t="str">
        <f>HYPERLINK("http://www.twitter.com/banuakdenizli/status/1588169159590006785", "1588169159590006785")</f>
        <v>1588169159590006785</v>
      </c>
      <c r="B707" t="s">
        <v>15</v>
      </c>
      <c r="C707" s="2">
        <v>44868.583437499998</v>
      </c>
      <c r="D707">
        <v>0</v>
      </c>
      <c r="E707">
        <v>3</v>
      </c>
      <c r="F707" t="s">
        <v>20</v>
      </c>
      <c r="G707" t="s">
        <v>768</v>
      </c>
      <c r="H707" t="str">
        <f>HYPERLINK("http://pbs.twimg.com/media/Fgo-lFRX0AEaPf1.jpg", "http://pbs.twimg.com/media/Fgo-lFRX0AEaPf1.jpg")</f>
        <v>http://pbs.twimg.com/media/Fgo-lFRX0AEaPf1.jpg</v>
      </c>
      <c r="L707">
        <v>0</v>
      </c>
      <c r="M707">
        <v>0</v>
      </c>
      <c r="N707">
        <v>1</v>
      </c>
      <c r="O707">
        <v>0</v>
      </c>
    </row>
    <row r="708" spans="1:15" x14ac:dyDescent="0.2">
      <c r="A708" s="1" t="str">
        <f>HYPERLINK("http://www.twitter.com/banuakdenizli/status/1588168881549774848", "1588168881549774848")</f>
        <v>1588168881549774848</v>
      </c>
      <c r="B708" t="s">
        <v>15</v>
      </c>
      <c r="C708" s="2">
        <v>44868.582662037043</v>
      </c>
      <c r="D708">
        <v>0</v>
      </c>
      <c r="E708">
        <v>10</v>
      </c>
      <c r="F708" t="s">
        <v>17</v>
      </c>
      <c r="G708" t="s">
        <v>769</v>
      </c>
      <c r="H708" t="str">
        <f>HYPERLINK("http://pbs.twimg.com/media/Fgo8IYRXkAAeKwa.jpg", "http://pbs.twimg.com/media/Fgo8IYRXkAAeKwa.jpg")</f>
        <v>http://pbs.twimg.com/media/Fgo8IYRXkAAeKwa.jpg</v>
      </c>
      <c r="L708">
        <v>0.42149999999999999</v>
      </c>
      <c r="M708">
        <v>0.14099999999999999</v>
      </c>
      <c r="N708">
        <v>0.59099999999999997</v>
      </c>
      <c r="O708">
        <v>0.26800000000000002</v>
      </c>
    </row>
    <row r="709" spans="1:15" x14ac:dyDescent="0.2">
      <c r="A709" s="1" t="str">
        <f>HYPERLINK("http://www.twitter.com/banuakdenizli/status/1588168865623822336", "1588168865623822336")</f>
        <v>1588168865623822336</v>
      </c>
      <c r="B709" t="s">
        <v>15</v>
      </c>
      <c r="C709" s="2">
        <v>44868.582615740743</v>
      </c>
      <c r="D709">
        <v>0</v>
      </c>
      <c r="E709">
        <v>6</v>
      </c>
      <c r="F709" t="s">
        <v>16</v>
      </c>
      <c r="G709" t="s">
        <v>770</v>
      </c>
      <c r="H709" t="str">
        <f>HYPERLINK("http://pbs.twimg.com/media/Fgo5bsVWQAkHrVC.jpg", "http://pbs.twimg.com/media/Fgo5bsVWQAkHrVC.jpg")</f>
        <v>http://pbs.twimg.com/media/Fgo5bsVWQAkHrVC.jpg</v>
      </c>
      <c r="L709">
        <v>0</v>
      </c>
      <c r="M709">
        <v>0</v>
      </c>
      <c r="N709">
        <v>1</v>
      </c>
      <c r="O709">
        <v>0</v>
      </c>
    </row>
    <row r="710" spans="1:15" x14ac:dyDescent="0.2">
      <c r="A710" s="1" t="str">
        <f>HYPERLINK("http://www.twitter.com/banuakdenizli/status/1588168833462054912", "1588168833462054912")</f>
        <v>1588168833462054912</v>
      </c>
      <c r="B710" t="s">
        <v>15</v>
      </c>
      <c r="C710" s="2">
        <v>44868.58253472222</v>
      </c>
      <c r="D710">
        <v>0</v>
      </c>
      <c r="E710">
        <v>3</v>
      </c>
      <c r="F710" t="s">
        <v>756</v>
      </c>
      <c r="G710" t="s">
        <v>771</v>
      </c>
      <c r="H710" t="str">
        <f>HYPERLINK("http://pbs.twimg.com/media/FgkxviGXkAExOzT.png", "http://pbs.twimg.com/media/FgkxviGXkAExOzT.png")</f>
        <v>http://pbs.twimg.com/media/FgkxviGXkAExOzT.png</v>
      </c>
      <c r="L710">
        <v>0.25</v>
      </c>
      <c r="M710">
        <v>0</v>
      </c>
      <c r="N710">
        <v>0.94299999999999995</v>
      </c>
      <c r="O710">
        <v>5.7000000000000002E-2</v>
      </c>
    </row>
    <row r="711" spans="1:15" x14ac:dyDescent="0.2">
      <c r="A711" s="1" t="str">
        <f>HYPERLINK("http://www.twitter.com/banuakdenizli/status/1588168805154521088", "1588168805154521088")</f>
        <v>1588168805154521088</v>
      </c>
      <c r="B711" t="s">
        <v>15</v>
      </c>
      <c r="C711" s="2">
        <v>44868.582453703697</v>
      </c>
      <c r="D711">
        <v>0</v>
      </c>
      <c r="E711">
        <v>4</v>
      </c>
      <c r="F711" t="s">
        <v>20</v>
      </c>
      <c r="G711" t="s">
        <v>772</v>
      </c>
      <c r="H711" t="str">
        <f>HYPERLINK("http://pbs.twimg.com/media/Fgo8Rk_XEAQqahf.jpg", "http://pbs.twimg.com/media/Fgo8Rk_XEAQqahf.jpg")</f>
        <v>http://pbs.twimg.com/media/Fgo8Rk_XEAQqahf.jpg</v>
      </c>
      <c r="L711">
        <v>0</v>
      </c>
      <c r="M711">
        <v>0</v>
      </c>
      <c r="N711">
        <v>1</v>
      </c>
      <c r="O711">
        <v>0</v>
      </c>
    </row>
    <row r="712" spans="1:15" x14ac:dyDescent="0.2">
      <c r="A712" s="1" t="str">
        <f>HYPERLINK("http://www.twitter.com/banuakdenizli/status/1588129536310403073", "1588129536310403073")</f>
        <v>1588129536310403073</v>
      </c>
      <c r="B712" t="s">
        <v>15</v>
      </c>
      <c r="C712" s="2">
        <v>44868.474097222221</v>
      </c>
      <c r="D712">
        <v>0</v>
      </c>
      <c r="E712">
        <v>10</v>
      </c>
      <c r="F712" t="s">
        <v>20</v>
      </c>
      <c r="G712" t="s">
        <v>773</v>
      </c>
      <c r="H712" t="str">
        <f>HYPERLINK("http://pbs.twimg.com/media/Fgn4N4fWQAAV9m_.jpg", "http://pbs.twimg.com/media/Fgn4N4fWQAAV9m_.jpg")</f>
        <v>http://pbs.twimg.com/media/Fgn4N4fWQAAV9m_.jpg</v>
      </c>
      <c r="L712">
        <v>0</v>
      </c>
      <c r="M712">
        <v>0</v>
      </c>
      <c r="N712">
        <v>1</v>
      </c>
      <c r="O712">
        <v>0</v>
      </c>
    </row>
    <row r="713" spans="1:15" x14ac:dyDescent="0.2">
      <c r="A713" s="1" t="str">
        <f>HYPERLINK("http://www.twitter.com/banuakdenizli/status/1588129331880099840", "1588129331880099840")</f>
        <v>1588129331880099840</v>
      </c>
      <c r="B713" t="s">
        <v>15</v>
      </c>
      <c r="C713" s="2">
        <v>44868.473530092589</v>
      </c>
      <c r="D713">
        <v>0</v>
      </c>
      <c r="E713">
        <v>16</v>
      </c>
      <c r="F713" t="s">
        <v>17</v>
      </c>
      <c r="G713" t="s">
        <v>774</v>
      </c>
      <c r="H713" t="str">
        <f>HYPERLINK("http://pbs.twimg.com/media/Fgnf-P0X0AA89_-.jpg", "http://pbs.twimg.com/media/Fgnf-P0X0AA89_-.jpg")</f>
        <v>http://pbs.twimg.com/media/Fgnf-P0X0AA89_-.jpg</v>
      </c>
      <c r="L713">
        <v>0.40189999999999998</v>
      </c>
      <c r="M713">
        <v>0</v>
      </c>
      <c r="N713">
        <v>0.82799999999999996</v>
      </c>
      <c r="O713">
        <v>0.17199999999999999</v>
      </c>
    </row>
    <row r="714" spans="1:15" x14ac:dyDescent="0.2">
      <c r="A714" s="1" t="str">
        <f>HYPERLINK("http://www.twitter.com/banuakdenizli/status/1588129293917425672", "1588129293917425672")</f>
        <v>1588129293917425672</v>
      </c>
      <c r="B714" t="s">
        <v>15</v>
      </c>
      <c r="C714" s="2">
        <v>44868.473425925928</v>
      </c>
      <c r="D714">
        <v>0</v>
      </c>
      <c r="E714">
        <v>26</v>
      </c>
      <c r="F714" t="s">
        <v>16</v>
      </c>
      <c r="G714" t="s">
        <v>775</v>
      </c>
      <c r="H714" t="str">
        <f>HYPERLINK("http://pbs.twimg.com/media/FgnflWEWIAAuTiP.jpg", "http://pbs.twimg.com/media/FgnflWEWIAAuTiP.jpg")</f>
        <v>http://pbs.twimg.com/media/FgnflWEWIAAuTiP.jpg</v>
      </c>
      <c r="L714">
        <v>0</v>
      </c>
      <c r="M714">
        <v>0</v>
      </c>
      <c r="N714">
        <v>1</v>
      </c>
      <c r="O714">
        <v>0</v>
      </c>
    </row>
    <row r="715" spans="1:15" x14ac:dyDescent="0.2">
      <c r="A715" s="1" t="str">
        <f>HYPERLINK("http://www.twitter.com/banuakdenizli/status/1588128906690830338", "1588128906690830338")</f>
        <v>1588128906690830338</v>
      </c>
      <c r="B715" t="s">
        <v>15</v>
      </c>
      <c r="C715" s="2">
        <v>44868.472361111111</v>
      </c>
      <c r="D715">
        <v>0</v>
      </c>
      <c r="E715">
        <v>12</v>
      </c>
      <c r="F715" t="s">
        <v>16</v>
      </c>
      <c r="G715" t="s">
        <v>776</v>
      </c>
      <c r="H715" t="str">
        <f>HYPERLINK("http://pbs.twimg.com/media/Fgoi80VXoAMXhzk.jpg", "http://pbs.twimg.com/media/Fgoi80VXoAMXhzk.jpg")</f>
        <v>http://pbs.twimg.com/media/Fgoi80VXoAMXhzk.jpg</v>
      </c>
      <c r="L715">
        <v>0</v>
      </c>
      <c r="M715">
        <v>0</v>
      </c>
      <c r="N715">
        <v>1</v>
      </c>
      <c r="O715">
        <v>0</v>
      </c>
    </row>
    <row r="716" spans="1:15" x14ac:dyDescent="0.2">
      <c r="A716" s="1" t="str">
        <f>HYPERLINK("http://www.twitter.com/banuakdenizli/status/1588128876215078912", "1588128876215078912")</f>
        <v>1588128876215078912</v>
      </c>
      <c r="B716" t="s">
        <v>15</v>
      </c>
      <c r="C716" s="2">
        <v>44868.472268518519</v>
      </c>
      <c r="D716">
        <v>0</v>
      </c>
      <c r="E716">
        <v>11</v>
      </c>
      <c r="F716" t="s">
        <v>16</v>
      </c>
      <c r="G716" t="s">
        <v>777</v>
      </c>
      <c r="H716" t="str">
        <f>HYPERLINK("http://pbs.twimg.com/media/Fgojew9WQAAyxOf.jpg", "http://pbs.twimg.com/media/Fgojew9WQAAyxOf.jpg")</f>
        <v>http://pbs.twimg.com/media/Fgojew9WQAAyxOf.jpg</v>
      </c>
      <c r="L716">
        <v>0</v>
      </c>
      <c r="M716">
        <v>0</v>
      </c>
      <c r="N716">
        <v>1</v>
      </c>
      <c r="O716">
        <v>0</v>
      </c>
    </row>
    <row r="717" spans="1:15" x14ac:dyDescent="0.2">
      <c r="A717" s="1" t="str">
        <f>HYPERLINK("http://www.twitter.com/banuakdenizli/status/1587962984630030337", "1587962984630030337")</f>
        <v>1587962984630030337</v>
      </c>
      <c r="B717" t="s">
        <v>15</v>
      </c>
      <c r="C717" s="2">
        <v>44868.014502314807</v>
      </c>
      <c r="D717">
        <v>0</v>
      </c>
      <c r="E717">
        <v>33</v>
      </c>
      <c r="F717" t="s">
        <v>23</v>
      </c>
      <c r="G717" t="s">
        <v>778</v>
      </c>
      <c r="H717" t="str">
        <f>HYPERLINK("http://pbs.twimg.com/media/FglrDXwWIAAQwGX.jpg", "http://pbs.twimg.com/media/FglrDXwWIAAQwGX.jpg")</f>
        <v>http://pbs.twimg.com/media/FglrDXwWIAAQwGX.jpg</v>
      </c>
      <c r="I717" t="str">
        <f>HYPERLINK("http://pbs.twimg.com/media/FglrDX0WQAEtOT9.jpg", "http://pbs.twimg.com/media/FglrDX0WQAEtOT9.jpg")</f>
        <v>http://pbs.twimg.com/media/FglrDX0WQAEtOT9.jpg</v>
      </c>
      <c r="J717" t="str">
        <f>HYPERLINK("http://pbs.twimg.com/media/FglrDX0XgAAdSdY.jpg", "http://pbs.twimg.com/media/FglrDX0XgAAdSdY.jpg")</f>
        <v>http://pbs.twimg.com/media/FglrDX0XgAAdSdY.jpg</v>
      </c>
      <c r="K717" t="str">
        <f>HYPERLINK("http://pbs.twimg.com/media/FglrDX0WYAAJG6v.jpg", "http://pbs.twimg.com/media/FglrDX0WYAAJG6v.jpg")</f>
        <v>http://pbs.twimg.com/media/FglrDX0WYAAJG6v.jpg</v>
      </c>
      <c r="L717">
        <v>0.31819999999999998</v>
      </c>
      <c r="M717">
        <v>0</v>
      </c>
      <c r="N717">
        <v>0.94799999999999995</v>
      </c>
      <c r="O717">
        <v>5.1999999999999998E-2</v>
      </c>
    </row>
    <row r="718" spans="1:15" x14ac:dyDescent="0.2">
      <c r="A718" s="1" t="str">
        <f>HYPERLINK("http://www.twitter.com/banuakdenizli/status/1587962939465949184", "1587962939465949184")</f>
        <v>1587962939465949184</v>
      </c>
      <c r="B718" t="s">
        <v>15</v>
      </c>
      <c r="C718" s="2">
        <v>44868.014374999999</v>
      </c>
      <c r="D718">
        <v>0</v>
      </c>
      <c r="E718">
        <v>10</v>
      </c>
      <c r="F718" t="s">
        <v>16</v>
      </c>
      <c r="G718" t="s">
        <v>779</v>
      </c>
      <c r="H718" t="str">
        <f>HYPERLINK("http://pbs.twimg.com/media/Fgkr8BUX0AI6oYO.jpg", "http://pbs.twimg.com/media/Fgkr8BUX0AI6oYO.jpg")</f>
        <v>http://pbs.twimg.com/media/Fgkr8BUX0AI6oYO.jpg</v>
      </c>
      <c r="L718">
        <v>0</v>
      </c>
      <c r="M718">
        <v>0</v>
      </c>
      <c r="N718">
        <v>1</v>
      </c>
      <c r="O718">
        <v>0</v>
      </c>
    </row>
    <row r="719" spans="1:15" x14ac:dyDescent="0.2">
      <c r="A719" s="1" t="str">
        <f>HYPERLINK("http://www.twitter.com/banuakdenizli/status/1587962615808098306", "1587962615808098306")</f>
        <v>1587962615808098306</v>
      </c>
      <c r="B719" t="s">
        <v>15</v>
      </c>
      <c r="C719" s="2">
        <v>44868.013483796298</v>
      </c>
      <c r="D719">
        <v>0</v>
      </c>
      <c r="E719">
        <v>3</v>
      </c>
      <c r="F719" t="s">
        <v>26</v>
      </c>
      <c r="G719" t="s">
        <v>780</v>
      </c>
      <c r="L719">
        <v>0.81759999999999999</v>
      </c>
      <c r="M719">
        <v>0</v>
      </c>
      <c r="N719">
        <v>0.83799999999999997</v>
      </c>
      <c r="O719">
        <v>0.16200000000000001</v>
      </c>
    </row>
    <row r="720" spans="1:15" x14ac:dyDescent="0.2">
      <c r="A720" s="1" t="str">
        <f>HYPERLINK("http://www.twitter.com/banuakdenizli/status/1587962605150388228", "1587962605150388228")</f>
        <v>1587962605150388228</v>
      </c>
      <c r="B720" t="s">
        <v>15</v>
      </c>
      <c r="C720" s="2">
        <v>44868.013449074067</v>
      </c>
      <c r="D720">
        <v>0</v>
      </c>
      <c r="E720">
        <v>1</v>
      </c>
      <c r="F720" t="s">
        <v>21</v>
      </c>
      <c r="G720" t="s">
        <v>781</v>
      </c>
      <c r="L720">
        <v>0.36120000000000002</v>
      </c>
      <c r="M720">
        <v>0</v>
      </c>
      <c r="N720">
        <v>0.90200000000000002</v>
      </c>
      <c r="O720">
        <v>9.8000000000000004E-2</v>
      </c>
    </row>
    <row r="721" spans="1:15" x14ac:dyDescent="0.2">
      <c r="A721" s="1" t="str">
        <f>HYPERLINK("http://www.twitter.com/banuakdenizli/status/1587962580554977280", "1587962580554977280")</f>
        <v>1587962580554977280</v>
      </c>
      <c r="B721" t="s">
        <v>15</v>
      </c>
      <c r="C721" s="2">
        <v>44868.013379629629</v>
      </c>
      <c r="D721">
        <v>0</v>
      </c>
      <c r="E721">
        <v>7</v>
      </c>
      <c r="F721" t="s">
        <v>17</v>
      </c>
      <c r="G721" t="s">
        <v>782</v>
      </c>
      <c r="H721" t="str">
        <f>HYPERLINK("http://pbs.twimg.com/media/Fgl5-ZpWIAAA-85.jpg", "http://pbs.twimg.com/media/Fgl5-ZpWIAAA-85.jpg")</f>
        <v>http://pbs.twimg.com/media/Fgl5-ZpWIAAA-85.jpg</v>
      </c>
      <c r="L721">
        <v>0.40189999999999998</v>
      </c>
      <c r="M721">
        <v>0</v>
      </c>
      <c r="N721">
        <v>0.90900000000000003</v>
      </c>
      <c r="O721">
        <v>9.0999999999999998E-2</v>
      </c>
    </row>
    <row r="722" spans="1:15" x14ac:dyDescent="0.2">
      <c r="A722" s="1" t="str">
        <f>HYPERLINK("http://www.twitter.com/banuakdenizli/status/1587962568223645697", "1587962568223645697")</f>
        <v>1587962568223645697</v>
      </c>
      <c r="B722" t="s">
        <v>15</v>
      </c>
      <c r="C722" s="2">
        <v>44868.013344907413</v>
      </c>
      <c r="D722">
        <v>0</v>
      </c>
      <c r="E722">
        <v>6</v>
      </c>
      <c r="F722" t="s">
        <v>16</v>
      </c>
      <c r="G722" t="s">
        <v>783</v>
      </c>
      <c r="H722" t="str">
        <f>HYPERLINK("http://pbs.twimg.com/media/Fgk1t20X0AARouo.jpg", "http://pbs.twimg.com/media/Fgk1t20X0AARouo.jpg")</f>
        <v>http://pbs.twimg.com/media/Fgk1t20X0AARouo.jpg</v>
      </c>
      <c r="L722">
        <v>0</v>
      </c>
      <c r="M722">
        <v>0</v>
      </c>
      <c r="N722">
        <v>1</v>
      </c>
      <c r="O722">
        <v>0</v>
      </c>
    </row>
    <row r="723" spans="1:15" x14ac:dyDescent="0.2">
      <c r="A723" s="1" t="str">
        <f>HYPERLINK("http://www.twitter.com/banuakdenizli/status/1587962535340564481", "1587962535340564481")</f>
        <v>1587962535340564481</v>
      </c>
      <c r="B723" t="s">
        <v>15</v>
      </c>
      <c r="C723" s="2">
        <v>44868.013252314813</v>
      </c>
      <c r="D723">
        <v>0</v>
      </c>
      <c r="E723">
        <v>6</v>
      </c>
      <c r="F723" t="s">
        <v>17</v>
      </c>
      <c r="G723" t="s">
        <v>784</v>
      </c>
      <c r="H723" t="str">
        <f>HYPERLINK("http://pbs.twimg.com/media/Fgl4z__WQAAJzU5.jpg", "http://pbs.twimg.com/media/Fgl4z__WQAAJzU5.jpg")</f>
        <v>http://pbs.twimg.com/media/Fgl4z__WQAAJzU5.jpg</v>
      </c>
      <c r="L723">
        <v>0.36120000000000002</v>
      </c>
      <c r="M723">
        <v>0</v>
      </c>
      <c r="N723">
        <v>0.85699999999999998</v>
      </c>
      <c r="O723">
        <v>0.14299999999999999</v>
      </c>
    </row>
    <row r="724" spans="1:15" x14ac:dyDescent="0.2">
      <c r="A724" s="1" t="str">
        <f>HYPERLINK("http://www.twitter.com/banuakdenizli/status/1587962202656542720", "1587962202656542720")</f>
        <v>1587962202656542720</v>
      </c>
      <c r="B724" t="s">
        <v>15</v>
      </c>
      <c r="C724" s="2">
        <v>44868.012337962973</v>
      </c>
      <c r="D724">
        <v>0</v>
      </c>
      <c r="E724">
        <v>2</v>
      </c>
      <c r="F724" t="s">
        <v>35</v>
      </c>
      <c r="G724" t="s">
        <v>785</v>
      </c>
      <c r="L724">
        <v>-0.42149999999999999</v>
      </c>
      <c r="M724">
        <v>0.16700000000000001</v>
      </c>
      <c r="N724">
        <v>0.68100000000000005</v>
      </c>
      <c r="O724">
        <v>0.152</v>
      </c>
    </row>
    <row r="725" spans="1:15" x14ac:dyDescent="0.2">
      <c r="A725" s="1" t="str">
        <f>HYPERLINK("http://www.twitter.com/banuakdenizli/status/1587962083437592576", "1587962083437592576")</f>
        <v>1587962083437592576</v>
      </c>
      <c r="B725" t="s">
        <v>15</v>
      </c>
      <c r="C725" s="2">
        <v>44868.012013888889</v>
      </c>
      <c r="D725">
        <v>0</v>
      </c>
      <c r="E725">
        <v>7</v>
      </c>
      <c r="F725" t="s">
        <v>31</v>
      </c>
      <c r="G725" t="s">
        <v>786</v>
      </c>
      <c r="H725" t="str">
        <f>HYPERLINK("http://pbs.twimg.com/media/FgeYcNNWYAI-c9i.jpg", "http://pbs.twimg.com/media/FgeYcNNWYAI-c9i.jpg")</f>
        <v>http://pbs.twimg.com/media/FgeYcNNWYAI-c9i.jpg</v>
      </c>
      <c r="L725">
        <v>0.15310000000000001</v>
      </c>
      <c r="M725">
        <v>6.5000000000000002E-2</v>
      </c>
      <c r="N725">
        <v>0.83299999999999996</v>
      </c>
      <c r="O725">
        <v>0.10100000000000001</v>
      </c>
    </row>
    <row r="726" spans="1:15" x14ac:dyDescent="0.2">
      <c r="A726" s="1" t="str">
        <f>HYPERLINK("http://www.twitter.com/banuakdenizli/status/1587962020510502912", "1587962020510502912")</f>
        <v>1587962020510502912</v>
      </c>
      <c r="B726" t="s">
        <v>15</v>
      </c>
      <c r="C726" s="2">
        <v>44868.011840277781</v>
      </c>
      <c r="D726">
        <v>0</v>
      </c>
      <c r="E726">
        <v>9</v>
      </c>
      <c r="F726" t="s">
        <v>16</v>
      </c>
      <c r="G726" t="s">
        <v>787</v>
      </c>
      <c r="H726" t="str">
        <f>HYPERLINK("http://pbs.twimg.com/media/FgjRoUzXkAAyhlH.jpg", "http://pbs.twimg.com/media/FgjRoUzXkAAyhlH.jpg")</f>
        <v>http://pbs.twimg.com/media/FgjRoUzXkAAyhlH.jpg</v>
      </c>
      <c r="L726">
        <v>0</v>
      </c>
      <c r="M726">
        <v>0</v>
      </c>
      <c r="N726">
        <v>1</v>
      </c>
      <c r="O726">
        <v>0</v>
      </c>
    </row>
    <row r="727" spans="1:15" x14ac:dyDescent="0.2">
      <c r="A727" s="1" t="str">
        <f>HYPERLINK("http://www.twitter.com/banuakdenizli/status/1587961346964049920", "1587961346964049920")</f>
        <v>1587961346964049920</v>
      </c>
      <c r="B727" t="s">
        <v>15</v>
      </c>
      <c r="C727" s="2">
        <v>44868.009976851848</v>
      </c>
      <c r="D727">
        <v>0</v>
      </c>
      <c r="E727">
        <v>6</v>
      </c>
      <c r="F727" t="s">
        <v>17</v>
      </c>
      <c r="G727" t="s">
        <v>788</v>
      </c>
      <c r="H727" t="str">
        <f>HYPERLINK("http://pbs.twimg.com/media/FgksF_CXEAI_VmH.jpg", "http://pbs.twimg.com/media/FgksF_CXEAI_VmH.jpg")</f>
        <v>http://pbs.twimg.com/media/FgksF_CXEAI_VmH.jpg</v>
      </c>
      <c r="I727" t="str">
        <f>HYPERLINK("http://pbs.twimg.com/media/FgksF_JWQAAOz13.jpg", "http://pbs.twimg.com/media/FgksF_JWQAAOz13.jpg")</f>
        <v>http://pbs.twimg.com/media/FgksF_JWQAAOz13.jpg</v>
      </c>
      <c r="L727">
        <v>0</v>
      </c>
      <c r="M727">
        <v>0</v>
      </c>
      <c r="N727">
        <v>1</v>
      </c>
      <c r="O727">
        <v>0</v>
      </c>
    </row>
    <row r="728" spans="1:15" x14ac:dyDescent="0.2">
      <c r="A728" s="1" t="str">
        <f>HYPERLINK("http://www.twitter.com/banuakdenizli/status/1587961325723975686", "1587961325723975686")</f>
        <v>1587961325723975686</v>
      </c>
      <c r="B728" t="s">
        <v>15</v>
      </c>
      <c r="C728" s="2">
        <v>44868.009918981479</v>
      </c>
      <c r="D728">
        <v>0</v>
      </c>
      <c r="E728">
        <v>6</v>
      </c>
      <c r="F728" t="s">
        <v>16</v>
      </c>
      <c r="G728" t="s">
        <v>789</v>
      </c>
      <c r="H728" t="str">
        <f>HYPERLINK("http://pbs.twimg.com/media/FgjLmEjXgAAODrP.jpg", "http://pbs.twimg.com/media/FgjLmEjXgAAODrP.jpg")</f>
        <v>http://pbs.twimg.com/media/FgjLmEjXgAAODrP.jpg</v>
      </c>
      <c r="L728">
        <v>0</v>
      </c>
      <c r="M728">
        <v>0</v>
      </c>
      <c r="N728">
        <v>1</v>
      </c>
      <c r="O728">
        <v>0</v>
      </c>
    </row>
    <row r="729" spans="1:15" x14ac:dyDescent="0.2">
      <c r="A729" s="1" t="str">
        <f>HYPERLINK("http://www.twitter.com/banuakdenizli/status/1587961288180760577", "1587961288180760577")</f>
        <v>1587961288180760577</v>
      </c>
      <c r="B729" t="s">
        <v>15</v>
      </c>
      <c r="C729" s="2">
        <v>44868.009814814817</v>
      </c>
      <c r="D729">
        <v>0</v>
      </c>
      <c r="E729">
        <v>5</v>
      </c>
      <c r="F729" t="s">
        <v>17</v>
      </c>
      <c r="G729" t="s">
        <v>790</v>
      </c>
      <c r="H729" t="str">
        <f>HYPERLINK("http://pbs.twimg.com/media/FgjcD0AXEAEHcfC.jpg", "http://pbs.twimg.com/media/FgjcD0AXEAEHcfC.jpg")</f>
        <v>http://pbs.twimg.com/media/FgjcD0AXEAEHcfC.jpg</v>
      </c>
      <c r="L729">
        <v>0.40189999999999998</v>
      </c>
      <c r="M729">
        <v>0</v>
      </c>
      <c r="N729">
        <v>0.80300000000000005</v>
      </c>
      <c r="O729">
        <v>0.19700000000000001</v>
      </c>
    </row>
    <row r="730" spans="1:15" x14ac:dyDescent="0.2">
      <c r="A730" s="1" t="str">
        <f>HYPERLINK("http://www.twitter.com/banuakdenizli/status/1587961231641542658", "1587961231641542658")</f>
        <v>1587961231641542658</v>
      </c>
      <c r="B730" t="s">
        <v>15</v>
      </c>
      <c r="C730" s="2">
        <v>44868.009664351863</v>
      </c>
      <c r="D730">
        <v>0</v>
      </c>
      <c r="E730">
        <v>1</v>
      </c>
      <c r="F730" t="s">
        <v>21</v>
      </c>
      <c r="G730" t="s">
        <v>791</v>
      </c>
      <c r="H730" t="str">
        <f>HYPERLINK("http://pbs.twimg.com/media/FgkV7SZXEAY-RU1.jpg", "http://pbs.twimg.com/media/FgkV7SZXEAY-RU1.jpg")</f>
        <v>http://pbs.twimg.com/media/FgkV7SZXEAY-RU1.jpg</v>
      </c>
      <c r="L730">
        <v>0.84809999999999997</v>
      </c>
      <c r="M730">
        <v>4.9000000000000002E-2</v>
      </c>
      <c r="N730">
        <v>0.69399999999999995</v>
      </c>
      <c r="O730">
        <v>0.25700000000000001</v>
      </c>
    </row>
    <row r="731" spans="1:15" x14ac:dyDescent="0.2">
      <c r="A731" s="1" t="str">
        <f>HYPERLINK("http://www.twitter.com/banuakdenizli/status/1587961214600204295", "1587961214600204295")</f>
        <v>1587961214600204295</v>
      </c>
      <c r="B731" t="s">
        <v>15</v>
      </c>
      <c r="C731" s="2">
        <v>44868.009618055563</v>
      </c>
      <c r="D731">
        <v>0</v>
      </c>
      <c r="E731">
        <v>10</v>
      </c>
      <c r="F731" t="s">
        <v>16</v>
      </c>
      <c r="G731" t="s">
        <v>792</v>
      </c>
      <c r="H731" t="str">
        <f>HYPERLINK("http://pbs.twimg.com/media/FgkktqsX0AgTt3L.jpg", "http://pbs.twimg.com/media/FgkktqsX0AgTt3L.jpg")</f>
        <v>http://pbs.twimg.com/media/FgkktqsX0AgTt3L.jpg</v>
      </c>
      <c r="L731">
        <v>0</v>
      </c>
      <c r="M731">
        <v>0</v>
      </c>
      <c r="N731">
        <v>1</v>
      </c>
      <c r="O731">
        <v>0</v>
      </c>
    </row>
    <row r="732" spans="1:15" x14ac:dyDescent="0.2">
      <c r="A732" s="1" t="str">
        <f>HYPERLINK("http://www.twitter.com/banuakdenizli/status/1587961158484516865", "1587961158484516865")</f>
        <v>1587961158484516865</v>
      </c>
      <c r="B732" t="s">
        <v>15</v>
      </c>
      <c r="C732" s="2">
        <v>44868.009456018517</v>
      </c>
      <c r="D732">
        <v>0</v>
      </c>
      <c r="E732">
        <v>6</v>
      </c>
      <c r="F732" t="s">
        <v>17</v>
      </c>
      <c r="G732" t="s">
        <v>793</v>
      </c>
      <c r="H732" t="str">
        <f>HYPERLINK("http://pbs.twimg.com/media/FgjwqAkXoAIc3Qs.jpg", "http://pbs.twimg.com/media/FgjwqAkXoAIc3Qs.jpg")</f>
        <v>http://pbs.twimg.com/media/FgjwqAkXoAIc3Qs.jpg</v>
      </c>
      <c r="L732">
        <v>0.40189999999999998</v>
      </c>
      <c r="M732">
        <v>0</v>
      </c>
      <c r="N732">
        <v>0.86299999999999999</v>
      </c>
      <c r="O732">
        <v>0.13700000000000001</v>
      </c>
    </row>
    <row r="733" spans="1:15" x14ac:dyDescent="0.2">
      <c r="A733" s="1" t="str">
        <f>HYPERLINK("http://www.twitter.com/banuakdenizli/status/1587961071360507905", "1587961071360507905")</f>
        <v>1587961071360507905</v>
      </c>
      <c r="B733" t="s">
        <v>15</v>
      </c>
      <c r="C733" s="2">
        <v>44868.009212962963</v>
      </c>
      <c r="D733">
        <v>0</v>
      </c>
      <c r="E733">
        <v>11</v>
      </c>
      <c r="F733" t="s">
        <v>35</v>
      </c>
      <c r="G733" t="s">
        <v>794</v>
      </c>
      <c r="L733">
        <v>0</v>
      </c>
      <c r="M733">
        <v>0</v>
      </c>
      <c r="N733">
        <v>1</v>
      </c>
      <c r="O733">
        <v>0</v>
      </c>
    </row>
    <row r="734" spans="1:15" x14ac:dyDescent="0.2">
      <c r="A734" s="1" t="str">
        <f>HYPERLINK("http://www.twitter.com/banuakdenizli/status/1587961006986346496", "1587961006986346496")</f>
        <v>1587961006986346496</v>
      </c>
      <c r="B734" t="s">
        <v>15</v>
      </c>
      <c r="C734" s="2">
        <v>44868.009039351848</v>
      </c>
      <c r="D734">
        <v>0</v>
      </c>
      <c r="E734">
        <v>1749</v>
      </c>
      <c r="F734" t="s">
        <v>27</v>
      </c>
      <c r="G734" t="s">
        <v>795</v>
      </c>
      <c r="H734" t="str">
        <f>HYPERLINK("http://pbs.twimg.com/media/FgjAFQkX0AE0cli.jpg", "http://pbs.twimg.com/media/FgjAFQkX0AE0cli.jpg")</f>
        <v>http://pbs.twimg.com/media/FgjAFQkX0AE0cli.jpg</v>
      </c>
      <c r="I734" t="str">
        <f>HYPERLINK("http://pbs.twimg.com/media/FgjAFQfWQAAnu2i.jpg", "http://pbs.twimg.com/media/FgjAFQfWQAAnu2i.jpg")</f>
        <v>http://pbs.twimg.com/media/FgjAFQfWQAAnu2i.jpg</v>
      </c>
      <c r="L734">
        <v>0</v>
      </c>
      <c r="M734">
        <v>0</v>
      </c>
      <c r="N734">
        <v>1</v>
      </c>
      <c r="O734">
        <v>0</v>
      </c>
    </row>
    <row r="735" spans="1:15" x14ac:dyDescent="0.2">
      <c r="A735" s="1" t="str">
        <f>HYPERLINK("http://www.twitter.com/banuakdenizli/status/1587960959250927618", "1587960959250927618")</f>
        <v>1587960959250927618</v>
      </c>
      <c r="B735" t="s">
        <v>15</v>
      </c>
      <c r="C735" s="2">
        <v>44868.008912037039</v>
      </c>
      <c r="D735">
        <v>0</v>
      </c>
      <c r="E735">
        <v>7</v>
      </c>
      <c r="F735" t="s">
        <v>16</v>
      </c>
      <c r="G735" t="s">
        <v>796</v>
      </c>
      <c r="H735" t="str">
        <f>HYPERLINK("http://pbs.twimg.com/media/FgjxkMyXoAAt5EF.jpg", "http://pbs.twimg.com/media/FgjxkMyXoAAt5EF.jpg")</f>
        <v>http://pbs.twimg.com/media/FgjxkMyXoAAt5EF.jpg</v>
      </c>
      <c r="L735">
        <v>0</v>
      </c>
      <c r="M735">
        <v>0</v>
      </c>
      <c r="N735">
        <v>1</v>
      </c>
      <c r="O735">
        <v>0</v>
      </c>
    </row>
    <row r="736" spans="1:15" x14ac:dyDescent="0.2">
      <c r="A736" s="1" t="str">
        <f>HYPERLINK("http://www.twitter.com/banuakdenizli/status/1587960929467121664", "1587960929467121664")</f>
        <v>1587960929467121664</v>
      </c>
      <c r="B736" t="s">
        <v>15</v>
      </c>
      <c r="C736" s="2">
        <v>44868.008831018517</v>
      </c>
      <c r="D736">
        <v>0</v>
      </c>
      <c r="E736">
        <v>11</v>
      </c>
      <c r="F736" t="s">
        <v>17</v>
      </c>
      <c r="G736" t="s">
        <v>797</v>
      </c>
      <c r="H736" t="str">
        <f>HYPERLINK("http://pbs.twimg.com/media/FglVWnAXEAAYdKR.jpg", "http://pbs.twimg.com/media/FglVWnAXEAAYdKR.jpg")</f>
        <v>http://pbs.twimg.com/media/FglVWnAXEAAYdKR.jpg</v>
      </c>
      <c r="L736">
        <v>0.40189999999999998</v>
      </c>
      <c r="M736">
        <v>0</v>
      </c>
      <c r="N736">
        <v>0.93700000000000006</v>
      </c>
      <c r="O736">
        <v>6.3E-2</v>
      </c>
    </row>
    <row r="737" spans="1:15" x14ac:dyDescent="0.2">
      <c r="A737" s="1" t="str">
        <f>HYPERLINK("http://www.twitter.com/banuakdenizli/status/1587960887515791363", "1587960887515791363")</f>
        <v>1587960887515791363</v>
      </c>
      <c r="B737" t="s">
        <v>15</v>
      </c>
      <c r="C737" s="2">
        <v>44868.008715277778</v>
      </c>
      <c r="D737">
        <v>0</v>
      </c>
      <c r="E737">
        <v>2</v>
      </c>
      <c r="F737" t="s">
        <v>21</v>
      </c>
      <c r="G737" t="s">
        <v>798</v>
      </c>
      <c r="H737" t="str">
        <f>HYPERLINK("http://pbs.twimg.com/media/FgkVwIFX0AAvnky.jpg", "http://pbs.twimg.com/media/FgkVwIFX0AAvnky.jpg")</f>
        <v>http://pbs.twimg.com/media/FgkVwIFX0AAvnky.jpg</v>
      </c>
      <c r="L737">
        <v>0</v>
      </c>
      <c r="M737">
        <v>0</v>
      </c>
      <c r="N737">
        <v>1</v>
      </c>
      <c r="O737">
        <v>0</v>
      </c>
    </row>
    <row r="738" spans="1:15" x14ac:dyDescent="0.2">
      <c r="A738" s="1" t="str">
        <f>HYPERLINK("http://www.twitter.com/banuakdenizli/status/1587573137817968641", "1587573137817968641")</f>
        <v>1587573137817968641</v>
      </c>
      <c r="B738" t="s">
        <v>15</v>
      </c>
      <c r="C738" s="2">
        <v>44866.938726851848</v>
      </c>
      <c r="D738">
        <v>0</v>
      </c>
      <c r="E738">
        <v>2</v>
      </c>
      <c r="F738" t="s">
        <v>29</v>
      </c>
      <c r="G738" t="s">
        <v>799</v>
      </c>
      <c r="H738" t="str">
        <f>HYPERLINK("http://pbs.twimg.com/media/FgfpfhcWYAIYBVw.jpg", "http://pbs.twimg.com/media/FgfpfhcWYAIYBVw.jpg")</f>
        <v>http://pbs.twimg.com/media/FgfpfhcWYAIYBVw.jpg</v>
      </c>
      <c r="I738" t="str">
        <f>HYPERLINK("http://pbs.twimg.com/media/FgfpfifX0AEN-nx.jpg", "http://pbs.twimg.com/media/FgfpfifX0AEN-nx.jpg")</f>
        <v>http://pbs.twimg.com/media/FgfpfifX0AEN-nx.jpg</v>
      </c>
      <c r="L738">
        <v>0.85909999999999997</v>
      </c>
      <c r="M738">
        <v>0</v>
      </c>
      <c r="N738">
        <v>0.75900000000000001</v>
      </c>
      <c r="O738">
        <v>0.24099999999999999</v>
      </c>
    </row>
    <row r="739" spans="1:15" x14ac:dyDescent="0.2">
      <c r="A739" s="1" t="str">
        <f>HYPERLINK("http://www.twitter.com/banuakdenizli/status/1587573052061192192", "1587573052061192192")</f>
        <v>1587573052061192192</v>
      </c>
      <c r="B739" t="s">
        <v>15</v>
      </c>
      <c r="C739" s="2">
        <v>44866.938483796293</v>
      </c>
      <c r="D739">
        <v>0</v>
      </c>
      <c r="E739">
        <v>4</v>
      </c>
      <c r="F739" t="s">
        <v>38</v>
      </c>
      <c r="G739" t="s">
        <v>800</v>
      </c>
      <c r="H739" t="str">
        <f>HYPERLINK("http://pbs.twimg.com/media/FgfikaTXoAQyebH.jpg", "http://pbs.twimg.com/media/FgfikaTXoAQyebH.jpg")</f>
        <v>http://pbs.twimg.com/media/FgfikaTXoAQyebH.jpg</v>
      </c>
      <c r="I739" t="str">
        <f>HYPERLINK("http://pbs.twimg.com/media/FgfikZ1XEAANW0W.jpg", "http://pbs.twimg.com/media/FgfikZ1XEAANW0W.jpg")</f>
        <v>http://pbs.twimg.com/media/FgfikZ1XEAANW0W.jpg</v>
      </c>
      <c r="L739">
        <v>0</v>
      </c>
      <c r="M739">
        <v>0</v>
      </c>
      <c r="N739">
        <v>1</v>
      </c>
      <c r="O739">
        <v>0</v>
      </c>
    </row>
    <row r="740" spans="1:15" x14ac:dyDescent="0.2">
      <c r="A740" s="1" t="str">
        <f>HYPERLINK("http://www.twitter.com/banuakdenizli/status/1587572305533800455", "1587572305533800455")</f>
        <v>1587572305533800455</v>
      </c>
      <c r="B740" t="s">
        <v>15</v>
      </c>
      <c r="C740" s="2">
        <v>44866.936423611107</v>
      </c>
      <c r="D740">
        <v>0</v>
      </c>
      <c r="E740">
        <v>14</v>
      </c>
      <c r="F740" t="s">
        <v>28</v>
      </c>
      <c r="G740" t="s">
        <v>801</v>
      </c>
      <c r="L740">
        <v>0</v>
      </c>
      <c r="M740">
        <v>0</v>
      </c>
      <c r="N740">
        <v>1</v>
      </c>
      <c r="O740">
        <v>0</v>
      </c>
    </row>
    <row r="741" spans="1:15" x14ac:dyDescent="0.2">
      <c r="A741" s="1" t="str">
        <f>HYPERLINK("http://www.twitter.com/banuakdenizli/status/1587571859058577408", "1587571859058577408")</f>
        <v>1587571859058577408</v>
      </c>
      <c r="B741" t="s">
        <v>15</v>
      </c>
      <c r="C741" s="2">
        <v>44866.935196759259</v>
      </c>
      <c r="D741">
        <v>0</v>
      </c>
      <c r="E741">
        <v>2</v>
      </c>
      <c r="F741" t="s">
        <v>29</v>
      </c>
      <c r="G741" t="s">
        <v>802</v>
      </c>
      <c r="H741" t="str">
        <f>HYPERLINK("http://pbs.twimg.com/media/Fgfq1wtWQAEXdbT.jpg", "http://pbs.twimg.com/media/Fgfq1wtWQAEXdbT.jpg")</f>
        <v>http://pbs.twimg.com/media/Fgfq1wtWQAEXdbT.jpg</v>
      </c>
      <c r="I741" t="str">
        <f>HYPERLINK("http://pbs.twimg.com/media/Fgfq1yVXgAAiFBC.jpg", "http://pbs.twimg.com/media/Fgfq1yVXgAAiFBC.jpg")</f>
        <v>http://pbs.twimg.com/media/Fgfq1yVXgAAiFBC.jpg</v>
      </c>
      <c r="L741">
        <v>0.59940000000000004</v>
      </c>
      <c r="M741">
        <v>0</v>
      </c>
      <c r="N741">
        <v>0.89400000000000002</v>
      </c>
      <c r="O741">
        <v>0.106</v>
      </c>
    </row>
    <row r="742" spans="1:15" x14ac:dyDescent="0.2">
      <c r="A742" s="1" t="str">
        <f>HYPERLINK("http://www.twitter.com/banuakdenizli/status/1587571808802316292", "1587571808802316292")</f>
        <v>1587571808802316292</v>
      </c>
      <c r="B742" t="s">
        <v>15</v>
      </c>
      <c r="C742" s="2">
        <v>44866.935057870367</v>
      </c>
      <c r="D742">
        <v>0</v>
      </c>
      <c r="E742">
        <v>29</v>
      </c>
      <c r="F742" t="s">
        <v>28</v>
      </c>
      <c r="G742" t="s">
        <v>803</v>
      </c>
      <c r="L742">
        <v>0</v>
      </c>
      <c r="M742">
        <v>0</v>
      </c>
      <c r="N742">
        <v>1</v>
      </c>
      <c r="O742">
        <v>0</v>
      </c>
    </row>
    <row r="743" spans="1:15" x14ac:dyDescent="0.2">
      <c r="A743" s="1" t="str">
        <f>HYPERLINK("http://www.twitter.com/banuakdenizli/status/1587571775675801601", "1587571775675801601")</f>
        <v>1587571775675801601</v>
      </c>
      <c r="B743" t="s">
        <v>15</v>
      </c>
      <c r="C743" s="2">
        <v>44866.934965277767</v>
      </c>
      <c r="D743">
        <v>0</v>
      </c>
      <c r="E743">
        <v>29</v>
      </c>
      <c r="F743" t="s">
        <v>28</v>
      </c>
      <c r="G743" t="s">
        <v>804</v>
      </c>
      <c r="H743" t="str">
        <f>HYPERLINK("http://pbs.twimg.com/media/FggKNO2WAAAjLbH.jpg", "http://pbs.twimg.com/media/FggKNO2WAAAjLbH.jpg")</f>
        <v>http://pbs.twimg.com/media/FggKNO2WAAAjLbH.jpg</v>
      </c>
      <c r="L743">
        <v>0</v>
      </c>
      <c r="M743">
        <v>0</v>
      </c>
      <c r="N743">
        <v>1</v>
      </c>
      <c r="O743">
        <v>0</v>
      </c>
    </row>
    <row r="744" spans="1:15" x14ac:dyDescent="0.2">
      <c r="A744" s="1" t="str">
        <f>HYPERLINK("http://www.twitter.com/banuakdenizli/status/1587571757082353665", "1587571757082353665")</f>
        <v>1587571757082353665</v>
      </c>
      <c r="B744" t="s">
        <v>15</v>
      </c>
      <c r="C744" s="2">
        <v>44866.934918981482</v>
      </c>
      <c r="D744">
        <v>0</v>
      </c>
      <c r="E744">
        <v>28</v>
      </c>
      <c r="F744" t="s">
        <v>28</v>
      </c>
      <c r="G744" t="s">
        <v>805</v>
      </c>
      <c r="H744" t="str">
        <f>HYPERLINK("http://pbs.twimg.com/media/FggOTLzXkAACAwx.jpg", "http://pbs.twimg.com/media/FggOTLzXkAACAwx.jpg")</f>
        <v>http://pbs.twimg.com/media/FggOTLzXkAACAwx.jpg</v>
      </c>
      <c r="L744">
        <v>0</v>
      </c>
      <c r="M744">
        <v>0</v>
      </c>
      <c r="N744">
        <v>1</v>
      </c>
      <c r="O744">
        <v>0</v>
      </c>
    </row>
    <row r="745" spans="1:15" x14ac:dyDescent="0.2">
      <c r="A745" s="1" t="str">
        <f>HYPERLINK("http://www.twitter.com/banuakdenizli/status/1587571744205934592", "1587571744205934592")</f>
        <v>1587571744205934592</v>
      </c>
      <c r="B745" t="s">
        <v>15</v>
      </c>
      <c r="C745" s="2">
        <v>44866.934884259259</v>
      </c>
      <c r="D745">
        <v>0</v>
      </c>
      <c r="E745">
        <v>33</v>
      </c>
      <c r="F745" t="s">
        <v>28</v>
      </c>
      <c r="G745" t="s">
        <v>806</v>
      </c>
      <c r="H745" t="str">
        <f>HYPERLINK("http://pbs.twimg.com/media/FggTjdnWYAAWQ7k.jpg", "http://pbs.twimg.com/media/FggTjdnWYAAWQ7k.jpg")</f>
        <v>http://pbs.twimg.com/media/FggTjdnWYAAWQ7k.jpg</v>
      </c>
      <c r="L745">
        <v>0</v>
      </c>
      <c r="M745">
        <v>0</v>
      </c>
      <c r="N745">
        <v>1</v>
      </c>
      <c r="O745">
        <v>0</v>
      </c>
    </row>
    <row r="746" spans="1:15" x14ac:dyDescent="0.2">
      <c r="A746" s="1" t="str">
        <f>HYPERLINK("http://www.twitter.com/banuakdenizli/status/1587565022749900804", "1587565022749900804")</f>
        <v>1587565022749900804</v>
      </c>
      <c r="B746" t="s">
        <v>15</v>
      </c>
      <c r="C746" s="2">
        <v>44866.916331018518</v>
      </c>
      <c r="D746">
        <v>0</v>
      </c>
      <c r="E746">
        <v>1</v>
      </c>
      <c r="F746" t="s">
        <v>29</v>
      </c>
      <c r="G746" t="s">
        <v>807</v>
      </c>
      <c r="H746" t="str">
        <f>HYPERLINK("http://pbs.twimg.com/media/FggkSWZXkAA-kgT.jpg", "http://pbs.twimg.com/media/FggkSWZXkAA-kgT.jpg")</f>
        <v>http://pbs.twimg.com/media/FggkSWZXkAA-kgT.jpg</v>
      </c>
      <c r="L746">
        <v>0</v>
      </c>
      <c r="M746">
        <v>0</v>
      </c>
      <c r="N746">
        <v>1</v>
      </c>
      <c r="O746">
        <v>0</v>
      </c>
    </row>
    <row r="747" spans="1:15" x14ac:dyDescent="0.2">
      <c r="A747" s="1" t="str">
        <f>HYPERLINK("http://www.twitter.com/banuakdenizli/status/1587564960456081408", "1587564960456081408")</f>
        <v>1587564960456081408</v>
      </c>
      <c r="B747" t="s">
        <v>15</v>
      </c>
      <c r="C747" s="2">
        <v>44866.91615740741</v>
      </c>
      <c r="D747">
        <v>0</v>
      </c>
      <c r="E747">
        <v>10</v>
      </c>
      <c r="F747" t="s">
        <v>17</v>
      </c>
      <c r="G747" t="s">
        <v>808</v>
      </c>
      <c r="H747" t="str">
        <f>HYPERLINK("http://pbs.twimg.com/media/FggLqcsXgAI0deZ.jpg", "http://pbs.twimg.com/media/FggLqcsXgAI0deZ.jpg")</f>
        <v>http://pbs.twimg.com/media/FggLqcsXgAI0deZ.jpg</v>
      </c>
      <c r="L747">
        <v>0</v>
      </c>
      <c r="M747">
        <v>0</v>
      </c>
      <c r="N747">
        <v>1</v>
      </c>
      <c r="O747">
        <v>0</v>
      </c>
    </row>
    <row r="748" spans="1:15" x14ac:dyDescent="0.2">
      <c r="A748" s="1" t="str">
        <f>HYPERLINK("http://www.twitter.com/banuakdenizli/status/1587564937030819841", "1587564937030819841")</f>
        <v>1587564937030819841</v>
      </c>
      <c r="B748" t="s">
        <v>15</v>
      </c>
      <c r="C748" s="2">
        <v>44866.91609953704</v>
      </c>
      <c r="D748">
        <v>0</v>
      </c>
      <c r="E748">
        <v>9</v>
      </c>
      <c r="F748" t="s">
        <v>16</v>
      </c>
      <c r="G748" t="s">
        <v>809</v>
      </c>
      <c r="H748" t="str">
        <f>HYPERLINK("http://pbs.twimg.com/media/FggK7WMXoAAB_xE.jpg", "http://pbs.twimg.com/media/FggK7WMXoAAB_xE.jpg")</f>
        <v>http://pbs.twimg.com/media/FggK7WMXoAAB_xE.jpg</v>
      </c>
      <c r="L748">
        <v>0</v>
      </c>
      <c r="M748">
        <v>0</v>
      </c>
      <c r="N748">
        <v>1</v>
      </c>
      <c r="O748">
        <v>0</v>
      </c>
    </row>
    <row r="749" spans="1:15" x14ac:dyDescent="0.2">
      <c r="A749" s="1" t="str">
        <f>HYPERLINK("http://www.twitter.com/banuakdenizli/status/1587525551568609280", "1587525551568609280")</f>
        <v>1587525551568609280</v>
      </c>
      <c r="B749" t="s">
        <v>15</v>
      </c>
      <c r="C749" s="2">
        <v>44866.80740740741</v>
      </c>
      <c r="D749">
        <v>0</v>
      </c>
      <c r="E749">
        <v>57</v>
      </c>
      <c r="F749" t="s">
        <v>28</v>
      </c>
      <c r="G749" t="s">
        <v>810</v>
      </c>
      <c r="H749" t="str">
        <f>HYPERLINK("http://pbs.twimg.com/media/FggCOZmXkAE1EKz.jpg", "http://pbs.twimg.com/media/FggCOZmXkAE1EKz.jpg")</f>
        <v>http://pbs.twimg.com/media/FggCOZmXkAE1EKz.jpg</v>
      </c>
      <c r="I749" t="str">
        <f>HYPERLINK("http://pbs.twimg.com/media/FggCOZpWIAABL0F.jpg", "http://pbs.twimg.com/media/FggCOZpWIAABL0F.jpg")</f>
        <v>http://pbs.twimg.com/media/FggCOZpWIAABL0F.jpg</v>
      </c>
      <c r="J749" t="str">
        <f>HYPERLINK("http://pbs.twimg.com/media/FggCOZpXgA8FnJn.jpg", "http://pbs.twimg.com/media/FggCOZpXgA8FnJn.jpg")</f>
        <v>http://pbs.twimg.com/media/FggCOZpXgA8FnJn.jpg</v>
      </c>
      <c r="L749">
        <v>0</v>
      </c>
      <c r="M749">
        <v>0</v>
      </c>
      <c r="N749">
        <v>1</v>
      </c>
      <c r="O749">
        <v>0</v>
      </c>
    </row>
    <row r="750" spans="1:15" x14ac:dyDescent="0.2">
      <c r="A750" s="1" t="str">
        <f>HYPERLINK("http://www.twitter.com/banuakdenizli/status/1587495362583056384", "1587495362583056384")</f>
        <v>1587495362583056384</v>
      </c>
      <c r="B750" t="s">
        <v>15</v>
      </c>
      <c r="C750" s="2">
        <v>44866.724108796298</v>
      </c>
      <c r="D750">
        <v>0</v>
      </c>
      <c r="E750">
        <v>7</v>
      </c>
      <c r="F750" t="s">
        <v>19</v>
      </c>
      <c r="G750" t="s">
        <v>811</v>
      </c>
      <c r="H750" t="str">
        <f>HYPERLINK("http://pbs.twimg.com/media/FgfgQoGXgAA4RV9.jpg", "http://pbs.twimg.com/media/FgfgQoGXgAA4RV9.jpg")</f>
        <v>http://pbs.twimg.com/media/FgfgQoGXgAA4RV9.jpg</v>
      </c>
      <c r="L750">
        <v>0.96519999999999995</v>
      </c>
      <c r="M750">
        <v>0</v>
      </c>
      <c r="N750">
        <v>0.61499999999999999</v>
      </c>
      <c r="O750">
        <v>0.38500000000000001</v>
      </c>
    </row>
    <row r="751" spans="1:15" x14ac:dyDescent="0.2">
      <c r="A751" s="1" t="str">
        <f>HYPERLINK("http://www.twitter.com/banuakdenizli/status/1587495258258132994", "1587495258258132994")</f>
        <v>1587495258258132994</v>
      </c>
      <c r="B751" t="s">
        <v>15</v>
      </c>
      <c r="C751" s="2">
        <v>44866.723819444444</v>
      </c>
      <c r="D751">
        <v>0</v>
      </c>
      <c r="E751">
        <v>131</v>
      </c>
      <c r="F751" t="s">
        <v>28</v>
      </c>
      <c r="G751" t="s">
        <v>812</v>
      </c>
      <c r="H751" t="str">
        <f>HYPERLINK("http://pbs.twimg.com/media/FgfnBsJXEAYLwsp.jpg", "http://pbs.twimg.com/media/FgfnBsJXEAYLwsp.jpg")</f>
        <v>http://pbs.twimg.com/media/FgfnBsJXEAYLwsp.jpg</v>
      </c>
      <c r="I751" t="str">
        <f>HYPERLINK("http://pbs.twimg.com/media/FgfnBsOWQAEFyRO.jpg", "http://pbs.twimg.com/media/FgfnBsOWQAEFyRO.jpg")</f>
        <v>http://pbs.twimg.com/media/FgfnBsOWQAEFyRO.jpg</v>
      </c>
      <c r="J751" t="str">
        <f>HYPERLINK("http://pbs.twimg.com/media/FgfnBsKXoAcXChP.jpg", "http://pbs.twimg.com/media/FgfnBsKXoAcXChP.jpg")</f>
        <v>http://pbs.twimg.com/media/FgfnBsKXoAcXChP.jpg</v>
      </c>
      <c r="K751" t="str">
        <f>HYPERLINK("http://pbs.twimg.com/media/FgfnBsMWAAAZiDS.jpg", "http://pbs.twimg.com/media/FgfnBsMWAAAZiDS.jpg")</f>
        <v>http://pbs.twimg.com/media/FgfnBsMWAAAZiDS.jpg</v>
      </c>
      <c r="L751">
        <v>0</v>
      </c>
      <c r="M751">
        <v>0</v>
      </c>
      <c r="N751">
        <v>1</v>
      </c>
      <c r="O751">
        <v>0</v>
      </c>
    </row>
    <row r="752" spans="1:15" x14ac:dyDescent="0.2">
      <c r="A752" s="1" t="str">
        <f>HYPERLINK("http://www.twitter.com/banuakdenizli/status/1587475159451140096", "1587475159451140096")</f>
        <v>1587475159451140096</v>
      </c>
      <c r="B752" t="s">
        <v>15</v>
      </c>
      <c r="C752" s="2">
        <v>44866.668356481481</v>
      </c>
      <c r="D752">
        <v>0</v>
      </c>
      <c r="E752">
        <v>131</v>
      </c>
      <c r="F752" t="s">
        <v>28</v>
      </c>
      <c r="G752" t="s">
        <v>813</v>
      </c>
      <c r="H752" t="str">
        <f>HYPERLINK("http://pbs.twimg.com/media/FgfLaE-XEAE5_xR.jpg", "http://pbs.twimg.com/media/FgfLaE-XEAE5_xR.jpg")</f>
        <v>http://pbs.twimg.com/media/FgfLaE-XEAE5_xR.jpg</v>
      </c>
      <c r="I752" t="str">
        <f>HYPERLINK("http://pbs.twimg.com/media/FgfLaFAWAAEWAMf.jpg", "http://pbs.twimg.com/media/FgfLaFAWAAEWAMf.jpg")</f>
        <v>http://pbs.twimg.com/media/FgfLaFAWAAEWAMf.jpg</v>
      </c>
      <c r="J752" t="str">
        <f>HYPERLINK("http://pbs.twimg.com/media/FgfLaE-XwAM42ki.jpg", "http://pbs.twimg.com/media/FgfLaE-XwAM42ki.jpg")</f>
        <v>http://pbs.twimg.com/media/FgfLaE-XwAM42ki.jpg</v>
      </c>
      <c r="L752">
        <v>0</v>
      </c>
      <c r="M752">
        <v>0</v>
      </c>
      <c r="N752">
        <v>1</v>
      </c>
      <c r="O752">
        <v>0</v>
      </c>
    </row>
    <row r="753" spans="1:15" x14ac:dyDescent="0.2">
      <c r="A753" s="1" t="str">
        <f>HYPERLINK("http://www.twitter.com/banuakdenizli/status/1587440816116695042", "1587440816116695042")</f>
        <v>1587440816116695042</v>
      </c>
      <c r="B753" t="s">
        <v>15</v>
      </c>
      <c r="C753" s="2">
        <v>44866.573587962957</v>
      </c>
      <c r="D753">
        <v>0</v>
      </c>
      <c r="E753">
        <v>3</v>
      </c>
      <c r="F753" t="s">
        <v>37</v>
      </c>
      <c r="G753" t="s">
        <v>814</v>
      </c>
      <c r="H753" t="str">
        <f>HYPERLINK("http://pbs.twimg.com/media/FgeeQYpXwAQ3PUT.jpg", "http://pbs.twimg.com/media/FgeeQYpXwAQ3PUT.jpg")</f>
        <v>http://pbs.twimg.com/media/FgeeQYpXwAQ3PUT.jpg</v>
      </c>
      <c r="L753">
        <v>0</v>
      </c>
      <c r="M753">
        <v>0</v>
      </c>
      <c r="N753">
        <v>1</v>
      </c>
      <c r="O753">
        <v>0</v>
      </c>
    </row>
    <row r="754" spans="1:15" x14ac:dyDescent="0.2">
      <c r="A754" s="1" t="str">
        <f>HYPERLINK("http://www.twitter.com/banuakdenizli/status/1587440805630730242", "1587440805630730242")</f>
        <v>1587440805630730242</v>
      </c>
      <c r="B754" t="s">
        <v>15</v>
      </c>
      <c r="C754" s="2">
        <v>44866.573553240742</v>
      </c>
      <c r="D754">
        <v>0</v>
      </c>
      <c r="E754">
        <v>4</v>
      </c>
      <c r="F754" t="s">
        <v>37</v>
      </c>
      <c r="G754" t="s">
        <v>815</v>
      </c>
      <c r="H754" t="str">
        <f>HYPERLINK("https://video.twimg.com/ext_tw_video/1587410964919554050/pu/vid/1280x720/ZzdACL6QsdOy19tp.mp4?tag=12", "https://video.twimg.com/ext_tw_video/1587410964919554050/pu/vid/1280x720/ZzdACL6QsdOy19tp.mp4?tag=12")</f>
        <v>https://video.twimg.com/ext_tw_video/1587410964919554050/pu/vid/1280x720/ZzdACL6QsdOy19tp.mp4?tag=12</v>
      </c>
      <c r="L754">
        <v>0</v>
      </c>
      <c r="M754">
        <v>0</v>
      </c>
      <c r="N754">
        <v>1</v>
      </c>
      <c r="O754">
        <v>0</v>
      </c>
    </row>
    <row r="755" spans="1:15" x14ac:dyDescent="0.2">
      <c r="A755" s="1" t="str">
        <f>HYPERLINK("http://www.twitter.com/banuakdenizli/status/1587437767541362690", "1587437767541362690")</f>
        <v>1587437767541362690</v>
      </c>
      <c r="B755" t="s">
        <v>15</v>
      </c>
      <c r="C755" s="2">
        <v>44866.56517361111</v>
      </c>
      <c r="D755">
        <v>0</v>
      </c>
      <c r="E755">
        <v>20</v>
      </c>
      <c r="F755" t="s">
        <v>816</v>
      </c>
      <c r="G755" t="s">
        <v>817</v>
      </c>
      <c r="H755" t="str">
        <f>HYPERLINK("http://pbs.twimg.com/media/Fgd0mMXX0AEfs6t.jpg", "http://pbs.twimg.com/media/Fgd0mMXX0AEfs6t.jpg")</f>
        <v>http://pbs.twimg.com/media/Fgd0mMXX0AEfs6t.jpg</v>
      </c>
      <c r="L755">
        <v>0</v>
      </c>
      <c r="M755">
        <v>0</v>
      </c>
      <c r="N755">
        <v>1</v>
      </c>
      <c r="O755">
        <v>0</v>
      </c>
    </row>
    <row r="756" spans="1:15" x14ac:dyDescent="0.2">
      <c r="A756" s="1" t="str">
        <f>HYPERLINK("http://www.twitter.com/banuakdenizli/status/1587437480197881858", "1587437480197881858")</f>
        <v>1587437480197881858</v>
      </c>
      <c r="B756" t="s">
        <v>15</v>
      </c>
      <c r="C756" s="2">
        <v>44866.564386574071</v>
      </c>
      <c r="D756">
        <v>0</v>
      </c>
      <c r="E756">
        <v>7</v>
      </c>
      <c r="F756" t="s">
        <v>16</v>
      </c>
      <c r="G756" t="s">
        <v>818</v>
      </c>
      <c r="H756" t="str">
        <f>HYPERLINK("http://pbs.twimg.com/media/FgbQlixWQAIhiHc.jpg", "http://pbs.twimg.com/media/FgbQlixWQAIhiHc.jpg")</f>
        <v>http://pbs.twimg.com/media/FgbQlixWQAIhiHc.jpg</v>
      </c>
      <c r="L756">
        <v>0</v>
      </c>
      <c r="M756">
        <v>0</v>
      </c>
      <c r="N756">
        <v>1</v>
      </c>
      <c r="O756">
        <v>0</v>
      </c>
    </row>
    <row r="757" spans="1:15" x14ac:dyDescent="0.2">
      <c r="A757" s="1" t="str">
        <f>HYPERLINK("http://www.twitter.com/banuakdenizli/status/1587437352112250883", "1587437352112250883")</f>
        <v>1587437352112250883</v>
      </c>
      <c r="B757" t="s">
        <v>15</v>
      </c>
      <c r="C757" s="2">
        <v>44866.564027777778</v>
      </c>
      <c r="D757">
        <v>0</v>
      </c>
      <c r="E757">
        <v>21</v>
      </c>
      <c r="F757" t="s">
        <v>816</v>
      </c>
      <c r="G757" t="s">
        <v>819</v>
      </c>
      <c r="H757" t="str">
        <f>HYPERLINK("http://pbs.twimg.com/media/Fgd0cuiXkAA_c3-.jpg", "http://pbs.twimg.com/media/Fgd0cuiXkAA_c3-.jpg")</f>
        <v>http://pbs.twimg.com/media/Fgd0cuiXkAA_c3-.jpg</v>
      </c>
      <c r="L757">
        <v>0</v>
      </c>
      <c r="M757">
        <v>0</v>
      </c>
      <c r="N757">
        <v>1</v>
      </c>
      <c r="O757">
        <v>0</v>
      </c>
    </row>
    <row r="758" spans="1:15" x14ac:dyDescent="0.2">
      <c r="A758" s="1" t="str">
        <f>HYPERLINK("http://www.twitter.com/banuakdenizli/status/1587437167474708480", "1587437167474708480")</f>
        <v>1587437167474708480</v>
      </c>
      <c r="B758" t="s">
        <v>15</v>
      </c>
      <c r="C758" s="2">
        <v>44866.563518518517</v>
      </c>
      <c r="D758">
        <v>0</v>
      </c>
      <c r="E758">
        <v>2</v>
      </c>
      <c r="F758" t="s">
        <v>29</v>
      </c>
      <c r="G758" t="s">
        <v>820</v>
      </c>
      <c r="H758" t="str">
        <f>HYPERLINK("http://pbs.twimg.com/media/FgdpdfhXEAAeQgn.jpg", "http://pbs.twimg.com/media/FgdpdfhXEAAeQgn.jpg")</f>
        <v>http://pbs.twimg.com/media/FgdpdfhXEAAeQgn.jpg</v>
      </c>
      <c r="L758">
        <v>0</v>
      </c>
      <c r="M758">
        <v>0</v>
      </c>
      <c r="N758">
        <v>1</v>
      </c>
      <c r="O758">
        <v>0</v>
      </c>
    </row>
    <row r="759" spans="1:15" x14ac:dyDescent="0.2">
      <c r="A759" s="1" t="str">
        <f>HYPERLINK("http://www.twitter.com/banuakdenizli/status/1587437101049647105", "1587437101049647105")</f>
        <v>1587437101049647105</v>
      </c>
      <c r="B759" t="s">
        <v>15</v>
      </c>
      <c r="C759" s="2">
        <v>44866.563333333332</v>
      </c>
      <c r="D759">
        <v>0</v>
      </c>
      <c r="E759">
        <v>7</v>
      </c>
      <c r="F759" t="s">
        <v>17</v>
      </c>
      <c r="G759" t="s">
        <v>821</v>
      </c>
      <c r="H759" t="str">
        <f>HYPERLINK("https://video.twimg.com/amplify_video/1587312538085036032/vid/848x480/3C6OK7jdeVLScal0.mp4?tag=14", "https://video.twimg.com/amplify_video/1587312538085036032/vid/848x480/3C6OK7jdeVLScal0.mp4?tag=14")</f>
        <v>https://video.twimg.com/amplify_video/1587312538085036032/vid/848x480/3C6OK7jdeVLScal0.mp4?tag=14</v>
      </c>
      <c r="L759">
        <v>0</v>
      </c>
      <c r="M759">
        <v>0</v>
      </c>
      <c r="N759">
        <v>1</v>
      </c>
      <c r="O759">
        <v>0</v>
      </c>
    </row>
    <row r="760" spans="1:15" x14ac:dyDescent="0.2">
      <c r="A760" s="1" t="str">
        <f>HYPERLINK("http://www.twitter.com/banuakdenizli/status/1587437085241540608", "1587437085241540608")</f>
        <v>1587437085241540608</v>
      </c>
      <c r="B760" t="s">
        <v>15</v>
      </c>
      <c r="C760" s="2">
        <v>44866.563287037039</v>
      </c>
      <c r="D760">
        <v>0</v>
      </c>
      <c r="E760">
        <v>36</v>
      </c>
      <c r="F760" t="s">
        <v>16</v>
      </c>
      <c r="G760" t="s">
        <v>822</v>
      </c>
      <c r="H760" t="str">
        <f>HYPERLINK("https://video.twimg.com/amplify_video/1587307495415873537/vid/848x480/G5jZN_WN1uPkJ1B5.mp4?tag=14", "https://video.twimg.com/amplify_video/1587307495415873537/vid/848x480/G5jZN_WN1uPkJ1B5.mp4?tag=14")</f>
        <v>https://video.twimg.com/amplify_video/1587307495415873537/vid/848x480/G5jZN_WN1uPkJ1B5.mp4?tag=14</v>
      </c>
      <c r="L760">
        <v>0</v>
      </c>
      <c r="M760">
        <v>0</v>
      </c>
      <c r="N760">
        <v>1</v>
      </c>
      <c r="O760">
        <v>0</v>
      </c>
    </row>
    <row r="761" spans="1:15" x14ac:dyDescent="0.2">
      <c r="A761" s="1" t="str">
        <f>HYPERLINK("http://www.twitter.com/banuakdenizli/status/1587437033273843713", "1587437033273843713")</f>
        <v>1587437033273843713</v>
      </c>
      <c r="B761" t="s">
        <v>15</v>
      </c>
      <c r="C761" s="2">
        <v>44866.563148148147</v>
      </c>
      <c r="D761">
        <v>0</v>
      </c>
      <c r="E761">
        <v>6</v>
      </c>
      <c r="F761" t="s">
        <v>16</v>
      </c>
      <c r="G761" t="s">
        <v>823</v>
      </c>
      <c r="H761" t="str">
        <f>HYPERLINK("http://pbs.twimg.com/media/FgezFnBWIAEKfH_.jpg", "http://pbs.twimg.com/media/FgezFnBWIAEKfH_.jpg")</f>
        <v>http://pbs.twimg.com/media/FgezFnBWIAEKfH_.jpg</v>
      </c>
      <c r="L761">
        <v>0</v>
      </c>
      <c r="M761">
        <v>0</v>
      </c>
      <c r="N761">
        <v>1</v>
      </c>
      <c r="O761">
        <v>0</v>
      </c>
    </row>
    <row r="762" spans="1:15" x14ac:dyDescent="0.2">
      <c r="A762" s="1" t="str">
        <f>HYPERLINK("http://www.twitter.com/banuakdenizli/status/1587436994354827265", "1587436994354827265")</f>
        <v>1587436994354827265</v>
      </c>
      <c r="B762" t="s">
        <v>15</v>
      </c>
      <c r="C762" s="2">
        <v>44866.563043981478</v>
      </c>
      <c r="D762">
        <v>0</v>
      </c>
      <c r="E762">
        <v>13</v>
      </c>
      <c r="F762" t="s">
        <v>17</v>
      </c>
      <c r="G762" t="s">
        <v>824</v>
      </c>
      <c r="H762" t="str">
        <f>HYPERLINK("http://pbs.twimg.com/media/FgcWLOmXkAE0wyJ.jpg", "http://pbs.twimg.com/media/FgcWLOmXkAE0wyJ.jpg")</f>
        <v>http://pbs.twimg.com/media/FgcWLOmXkAE0wyJ.jpg</v>
      </c>
      <c r="L762">
        <v>0.75790000000000002</v>
      </c>
      <c r="M762">
        <v>0</v>
      </c>
      <c r="N762">
        <v>0.73499999999999999</v>
      </c>
      <c r="O762">
        <v>0.26500000000000001</v>
      </c>
    </row>
    <row r="763" spans="1:15" x14ac:dyDescent="0.2">
      <c r="A763" s="1" t="str">
        <f>HYPERLINK("http://www.twitter.com/banuakdenizli/status/1587436980044025858", "1587436980044025858")</f>
        <v>1587436980044025858</v>
      </c>
      <c r="B763" t="s">
        <v>15</v>
      </c>
      <c r="C763" s="2">
        <v>44866.562997685192</v>
      </c>
      <c r="D763">
        <v>0</v>
      </c>
      <c r="E763">
        <v>2</v>
      </c>
      <c r="F763" t="s">
        <v>35</v>
      </c>
      <c r="G763" t="s">
        <v>825</v>
      </c>
      <c r="L763">
        <v>0.94320000000000004</v>
      </c>
      <c r="M763">
        <v>0</v>
      </c>
      <c r="N763">
        <v>0.63</v>
      </c>
      <c r="O763">
        <v>0.37</v>
      </c>
    </row>
    <row r="764" spans="1:15" x14ac:dyDescent="0.2">
      <c r="A764" s="1" t="str">
        <f>HYPERLINK("http://www.twitter.com/banuakdenizli/status/1587436968752795648", "1587436968752795648")</f>
        <v>1587436968752795648</v>
      </c>
      <c r="B764" t="s">
        <v>15</v>
      </c>
      <c r="C764" s="2">
        <v>44866.562974537039</v>
      </c>
      <c r="D764">
        <v>0</v>
      </c>
      <c r="E764">
        <v>54</v>
      </c>
      <c r="F764" t="s">
        <v>18</v>
      </c>
      <c r="G764" t="s">
        <v>826</v>
      </c>
      <c r="L764">
        <v>0.87790000000000001</v>
      </c>
      <c r="M764">
        <v>0</v>
      </c>
      <c r="N764">
        <v>0.79500000000000004</v>
      </c>
      <c r="O764">
        <v>0.20499999999999999</v>
      </c>
    </row>
    <row r="765" spans="1:15" x14ac:dyDescent="0.2">
      <c r="A765" s="1" t="str">
        <f>HYPERLINK("http://www.twitter.com/banuakdenizli/status/1587436954572005382", "1587436954572005382")</f>
        <v>1587436954572005382</v>
      </c>
      <c r="B765" t="s">
        <v>15</v>
      </c>
      <c r="C765" s="2">
        <v>44866.562928240739</v>
      </c>
      <c r="D765">
        <v>0</v>
      </c>
      <c r="E765">
        <v>47</v>
      </c>
      <c r="F765" t="s">
        <v>16</v>
      </c>
      <c r="G765" t="s">
        <v>827</v>
      </c>
      <c r="H765" t="str">
        <f>HYPERLINK("http://pbs.twimg.com/media/FgdDSJ7XgAA8f19.jpg", "http://pbs.twimg.com/media/FgdDSJ7XgAA8f19.jpg")</f>
        <v>http://pbs.twimg.com/media/FgdDSJ7XgAA8f19.jpg</v>
      </c>
      <c r="L765">
        <v>0</v>
      </c>
      <c r="M765">
        <v>0</v>
      </c>
      <c r="N765">
        <v>1</v>
      </c>
      <c r="O765">
        <v>0</v>
      </c>
    </row>
    <row r="766" spans="1:15" x14ac:dyDescent="0.2">
      <c r="A766" s="1" t="str">
        <f>HYPERLINK("http://www.twitter.com/banuakdenizli/status/1587436943725318144", "1587436943725318144")</f>
        <v>1587436943725318144</v>
      </c>
      <c r="B766" t="s">
        <v>15</v>
      </c>
      <c r="C766" s="2">
        <v>44866.562905092593</v>
      </c>
      <c r="D766">
        <v>0</v>
      </c>
      <c r="E766">
        <v>29</v>
      </c>
      <c r="F766" t="s">
        <v>17</v>
      </c>
      <c r="G766" t="s">
        <v>828</v>
      </c>
      <c r="H766" t="str">
        <f>HYPERLINK("http://pbs.twimg.com/media/FgdD6a3XwAAAcVk.jpg", "http://pbs.twimg.com/media/FgdD6a3XwAAAcVk.jpg")</f>
        <v>http://pbs.twimg.com/media/FgdD6a3XwAAAcVk.jpg</v>
      </c>
      <c r="L766">
        <v>0.49390000000000001</v>
      </c>
      <c r="M766">
        <v>0</v>
      </c>
      <c r="N766">
        <v>0.83299999999999996</v>
      </c>
      <c r="O766">
        <v>0.16700000000000001</v>
      </c>
    </row>
    <row r="767" spans="1:15" x14ac:dyDescent="0.2">
      <c r="A767" s="1" t="str">
        <f>HYPERLINK("http://www.twitter.com/banuakdenizli/status/1587436897227472897", "1587436897227472897")</f>
        <v>1587436897227472897</v>
      </c>
      <c r="B767" t="s">
        <v>15</v>
      </c>
      <c r="C767" s="2">
        <v>44866.562777777777</v>
      </c>
      <c r="D767">
        <v>0</v>
      </c>
      <c r="E767">
        <v>85</v>
      </c>
      <c r="F767" t="s">
        <v>18</v>
      </c>
      <c r="G767" t="s">
        <v>829</v>
      </c>
      <c r="L767">
        <v>0</v>
      </c>
      <c r="M767">
        <v>0</v>
      </c>
      <c r="N767">
        <v>1</v>
      </c>
      <c r="O767">
        <v>0</v>
      </c>
    </row>
    <row r="768" spans="1:15" x14ac:dyDescent="0.2">
      <c r="A768" s="1" t="str">
        <f>HYPERLINK("http://www.twitter.com/banuakdenizli/status/1587137234972598282", "1587137234972598282")</f>
        <v>1587137234972598282</v>
      </c>
      <c r="B768" t="s">
        <v>15</v>
      </c>
      <c r="C768" s="2">
        <v>44865.735868055563</v>
      </c>
      <c r="D768">
        <v>0</v>
      </c>
      <c r="E768">
        <v>4</v>
      </c>
      <c r="F768" t="s">
        <v>17</v>
      </c>
      <c r="G768" t="s">
        <v>830</v>
      </c>
      <c r="H768" t="str">
        <f>HYPERLINK("http://pbs.twimg.com/media/FgajoxKX0AAo7GW.jpg", "http://pbs.twimg.com/media/FgajoxKX0AAo7GW.jpg")</f>
        <v>http://pbs.twimg.com/media/FgajoxKX0AAo7GW.jpg</v>
      </c>
      <c r="L768">
        <v>0.5423</v>
      </c>
      <c r="M768">
        <v>0</v>
      </c>
      <c r="N768">
        <v>0.82099999999999995</v>
      </c>
      <c r="O768">
        <v>0.17899999999999999</v>
      </c>
    </row>
    <row r="769" spans="1:15" x14ac:dyDescent="0.2">
      <c r="A769" s="1" t="str">
        <f>HYPERLINK("http://www.twitter.com/banuakdenizli/status/1587133656476405760", "1587133656476405760")</f>
        <v>1587133656476405760</v>
      </c>
      <c r="B769" t="s">
        <v>15</v>
      </c>
      <c r="C769" s="2">
        <v>44865.725983796299</v>
      </c>
      <c r="D769">
        <v>0</v>
      </c>
      <c r="E769">
        <v>3</v>
      </c>
      <c r="F769" t="s">
        <v>38</v>
      </c>
      <c r="G769" t="s">
        <v>831</v>
      </c>
      <c r="H769" t="str">
        <f>HYPERLINK("http://pbs.twimg.com/media/FgZ8QhfXkAAOsk7.jpg", "http://pbs.twimg.com/media/FgZ8QhfXkAAOsk7.jpg")</f>
        <v>http://pbs.twimg.com/media/FgZ8QhfXkAAOsk7.jpg</v>
      </c>
      <c r="L769">
        <v>0</v>
      </c>
      <c r="M769">
        <v>0</v>
      </c>
      <c r="N769">
        <v>1</v>
      </c>
      <c r="O769">
        <v>0</v>
      </c>
    </row>
    <row r="770" spans="1:15" x14ac:dyDescent="0.2">
      <c r="A770" s="1" t="str">
        <f>HYPERLINK("http://www.twitter.com/banuakdenizli/status/1587081516752027649", "1587081516752027649")</f>
        <v>1587081516752027649</v>
      </c>
      <c r="B770" t="s">
        <v>15</v>
      </c>
      <c r="C770" s="2">
        <v>44865.582106481481</v>
      </c>
      <c r="D770">
        <v>0</v>
      </c>
      <c r="E770">
        <v>16</v>
      </c>
      <c r="F770" t="s">
        <v>16</v>
      </c>
      <c r="G770" t="s">
        <v>832</v>
      </c>
      <c r="H770" t="str">
        <f>HYPERLINK("https://video.twimg.com/ext_tw_video/1587032881217654794/pu/vid/1280x720/0aLc_oQ5r49tRfsC.mp4?tag=12", "https://video.twimg.com/ext_tw_video/1587032881217654794/pu/vid/1280x720/0aLc_oQ5r49tRfsC.mp4?tag=12")</f>
        <v>https://video.twimg.com/ext_tw_video/1587032881217654794/pu/vid/1280x720/0aLc_oQ5r49tRfsC.mp4?tag=12</v>
      </c>
      <c r="L770">
        <v>0</v>
      </c>
      <c r="M770">
        <v>0</v>
      </c>
      <c r="N770">
        <v>1</v>
      </c>
      <c r="O770">
        <v>0</v>
      </c>
    </row>
    <row r="771" spans="1:15" x14ac:dyDescent="0.2">
      <c r="A771" s="1" t="str">
        <f>HYPERLINK("http://www.twitter.com/banuakdenizli/status/1587081495549804544", "1587081495549804544")</f>
        <v>1587081495549804544</v>
      </c>
      <c r="B771" t="s">
        <v>15</v>
      </c>
      <c r="C771" s="2">
        <v>44865.582048611112</v>
      </c>
      <c r="D771">
        <v>0</v>
      </c>
      <c r="E771">
        <v>182</v>
      </c>
      <c r="F771" t="s">
        <v>28</v>
      </c>
      <c r="G771" t="s">
        <v>833</v>
      </c>
      <c r="L771">
        <v>0</v>
      </c>
      <c r="M771">
        <v>0</v>
      </c>
      <c r="N771">
        <v>1</v>
      </c>
      <c r="O771">
        <v>0</v>
      </c>
    </row>
    <row r="772" spans="1:15" x14ac:dyDescent="0.2">
      <c r="A772" s="1" t="str">
        <f>HYPERLINK("http://www.twitter.com/banuakdenizli/status/1587078810213695488", "1587078810213695488")</f>
        <v>1587078810213695488</v>
      </c>
      <c r="B772" t="s">
        <v>15</v>
      </c>
      <c r="C772" s="2">
        <v>44865.574641203697</v>
      </c>
      <c r="D772">
        <v>0</v>
      </c>
      <c r="E772">
        <v>9</v>
      </c>
      <c r="F772" t="s">
        <v>651</v>
      </c>
      <c r="G772" t="s">
        <v>834</v>
      </c>
      <c r="L772">
        <v>0</v>
      </c>
      <c r="M772">
        <v>0</v>
      </c>
      <c r="N772">
        <v>1</v>
      </c>
      <c r="O772">
        <v>0</v>
      </c>
    </row>
    <row r="773" spans="1:15" x14ac:dyDescent="0.2">
      <c r="A773" s="1" t="str">
        <f>HYPERLINK("http://www.twitter.com/banuakdenizli/status/1587078429102510080", "1587078429102510080")</f>
        <v>1587078429102510080</v>
      </c>
      <c r="B773" t="s">
        <v>15</v>
      </c>
      <c r="C773" s="2">
        <v>44865.573587962957</v>
      </c>
      <c r="D773">
        <v>0</v>
      </c>
      <c r="E773">
        <v>3</v>
      </c>
      <c r="F773" t="s">
        <v>20</v>
      </c>
      <c r="G773" t="s">
        <v>835</v>
      </c>
      <c r="H773" t="str">
        <f>HYPERLINK("https://video.twimg.com/ext_tw_video/1586989038480793602/pu/vid/1280x720/kqvRsNNZHCFnjG8a.mp4?tag=12", "https://video.twimg.com/ext_tw_video/1586989038480793602/pu/vid/1280x720/kqvRsNNZHCFnjG8a.mp4?tag=12")</f>
        <v>https://video.twimg.com/ext_tw_video/1586989038480793602/pu/vid/1280x720/kqvRsNNZHCFnjG8a.mp4?tag=12</v>
      </c>
      <c r="L773">
        <v>0</v>
      </c>
      <c r="M773">
        <v>0</v>
      </c>
      <c r="N773">
        <v>1</v>
      </c>
      <c r="O773">
        <v>0</v>
      </c>
    </row>
    <row r="774" spans="1:15" x14ac:dyDescent="0.2">
      <c r="A774" s="1" t="str">
        <f>HYPERLINK("http://www.twitter.com/banuakdenizli/status/1587078408743403526", "1587078408743403526")</f>
        <v>1587078408743403526</v>
      </c>
      <c r="B774" t="s">
        <v>15</v>
      </c>
      <c r="C774" s="2">
        <v>44865.573530092603</v>
      </c>
      <c r="D774">
        <v>0</v>
      </c>
      <c r="E774">
        <v>10</v>
      </c>
      <c r="F774" t="s">
        <v>17</v>
      </c>
      <c r="G774" t="s">
        <v>836</v>
      </c>
      <c r="H774" t="str">
        <f>HYPERLINK("http://pbs.twimg.com/media/FgZJ57eXkAEozLW.jpg", "http://pbs.twimg.com/media/FgZJ57eXkAEozLW.jpg")</f>
        <v>http://pbs.twimg.com/media/FgZJ57eXkAEozLW.jpg</v>
      </c>
      <c r="I774" t="str">
        <f>HYPERLINK("http://pbs.twimg.com/media/FgZJ66YXgAEEJCA.jpg", "http://pbs.twimg.com/media/FgZJ66YXgAEEJCA.jpg")</f>
        <v>http://pbs.twimg.com/media/FgZJ66YXgAEEJCA.jpg</v>
      </c>
      <c r="L774">
        <v>0</v>
      </c>
      <c r="M774">
        <v>0</v>
      </c>
      <c r="N774">
        <v>1</v>
      </c>
      <c r="O774">
        <v>0</v>
      </c>
    </row>
    <row r="775" spans="1:15" x14ac:dyDescent="0.2">
      <c r="A775" s="1" t="str">
        <f>HYPERLINK("http://www.twitter.com/banuakdenizli/status/1587078388870791168", "1587078388870791168")</f>
        <v>1587078388870791168</v>
      </c>
      <c r="B775" t="s">
        <v>15</v>
      </c>
      <c r="C775" s="2">
        <v>44865.573483796303</v>
      </c>
      <c r="D775">
        <v>0</v>
      </c>
      <c r="E775">
        <v>14</v>
      </c>
      <c r="F775" t="s">
        <v>16</v>
      </c>
      <c r="G775" t="s">
        <v>837</v>
      </c>
      <c r="H775" t="str">
        <f>HYPERLINK("http://pbs.twimg.com/media/FgZaomSWAAAZx-3.jpg", "http://pbs.twimg.com/media/FgZaomSWAAAZx-3.jpg")</f>
        <v>http://pbs.twimg.com/media/FgZaomSWAAAZx-3.jpg</v>
      </c>
      <c r="L775">
        <v>0</v>
      </c>
      <c r="M775">
        <v>0</v>
      </c>
      <c r="N775">
        <v>1</v>
      </c>
      <c r="O775">
        <v>0</v>
      </c>
    </row>
    <row r="776" spans="1:15" x14ac:dyDescent="0.2">
      <c r="A776" s="1" t="str">
        <f>HYPERLINK("http://www.twitter.com/banuakdenizli/status/1587078366334681092", "1587078366334681092")</f>
        <v>1587078366334681092</v>
      </c>
      <c r="B776" t="s">
        <v>15</v>
      </c>
      <c r="C776" s="2">
        <v>44865.573414351849</v>
      </c>
      <c r="D776">
        <v>0</v>
      </c>
      <c r="E776">
        <v>45</v>
      </c>
      <c r="F776" t="s">
        <v>18</v>
      </c>
      <c r="G776" t="s">
        <v>838</v>
      </c>
      <c r="H776" t="str">
        <f>HYPERLINK("http://pbs.twimg.com/media/FgY76-aWAAIYwcd.jpg", "http://pbs.twimg.com/media/FgY76-aWAAIYwcd.jpg")</f>
        <v>http://pbs.twimg.com/media/FgY76-aWAAIYwcd.jpg</v>
      </c>
      <c r="L776">
        <v>0.72689999999999999</v>
      </c>
      <c r="M776">
        <v>0</v>
      </c>
      <c r="N776">
        <v>0.873</v>
      </c>
      <c r="O776">
        <v>0.127</v>
      </c>
    </row>
    <row r="777" spans="1:15" x14ac:dyDescent="0.2">
      <c r="A777" s="1" t="str">
        <f>HYPERLINK("http://www.twitter.com/banuakdenizli/status/1587078290132684800", "1587078290132684800")</f>
        <v>1587078290132684800</v>
      </c>
      <c r="B777" t="s">
        <v>15</v>
      </c>
      <c r="C777" s="2">
        <v>44865.573206018518</v>
      </c>
      <c r="D777">
        <v>0</v>
      </c>
      <c r="E777">
        <v>4</v>
      </c>
      <c r="F777" t="s">
        <v>22</v>
      </c>
      <c r="G777" t="s">
        <v>839</v>
      </c>
      <c r="H777" t="str">
        <f>HYPERLINK("http://pbs.twimg.com/media/FgYiOTOX0AAQbmt.jpg", "http://pbs.twimg.com/media/FgYiOTOX0AAQbmt.jpg")</f>
        <v>http://pbs.twimg.com/media/FgYiOTOX0AAQbmt.jpg</v>
      </c>
      <c r="L777">
        <v>0</v>
      </c>
      <c r="M777">
        <v>0</v>
      </c>
      <c r="N777">
        <v>1</v>
      </c>
      <c r="O777">
        <v>0</v>
      </c>
    </row>
    <row r="778" spans="1:15" x14ac:dyDescent="0.2">
      <c r="A778" s="1" t="str">
        <f>HYPERLINK("http://www.twitter.com/banuakdenizli/status/1587078262706028544", "1587078262706028544")</f>
        <v>1587078262706028544</v>
      </c>
      <c r="B778" t="s">
        <v>15</v>
      </c>
      <c r="C778" s="2">
        <v>44865.573125000003</v>
      </c>
      <c r="D778">
        <v>0</v>
      </c>
      <c r="E778">
        <v>12</v>
      </c>
      <c r="F778" t="s">
        <v>16</v>
      </c>
      <c r="G778" t="s">
        <v>840</v>
      </c>
      <c r="H778" t="str">
        <f>HYPERLINK("http://pbs.twimg.com/media/FgY4E4eXEAUo8ma.jpg", "http://pbs.twimg.com/media/FgY4E4eXEAUo8ma.jpg")</f>
        <v>http://pbs.twimg.com/media/FgY4E4eXEAUo8ma.jpg</v>
      </c>
      <c r="I778" t="str">
        <f>HYPERLINK("http://pbs.twimg.com/media/FgY4F74XgAQ7qpB.jpg", "http://pbs.twimg.com/media/FgY4F74XgAQ7qpB.jpg")</f>
        <v>http://pbs.twimg.com/media/FgY4F74XgAQ7qpB.jpg</v>
      </c>
      <c r="L778">
        <v>0</v>
      </c>
      <c r="M778">
        <v>0</v>
      </c>
      <c r="N778">
        <v>1</v>
      </c>
      <c r="O778">
        <v>0</v>
      </c>
    </row>
    <row r="779" spans="1:15" x14ac:dyDescent="0.2">
      <c r="A779" s="1" t="str">
        <f>HYPERLINK("http://www.twitter.com/banuakdenizli/status/1587078243928182787", "1587078243928182787")</f>
        <v>1587078243928182787</v>
      </c>
      <c r="B779" t="s">
        <v>15</v>
      </c>
      <c r="C779" s="2">
        <v>44865.573078703703</v>
      </c>
      <c r="D779">
        <v>0</v>
      </c>
      <c r="E779">
        <v>44</v>
      </c>
      <c r="F779" t="s">
        <v>18</v>
      </c>
      <c r="G779" t="s">
        <v>841</v>
      </c>
      <c r="H779" t="str">
        <f>HYPERLINK("http://pbs.twimg.com/media/FgY47O-WQAAEi7c.jpg", "http://pbs.twimg.com/media/FgY47O-WQAAEi7c.jpg")</f>
        <v>http://pbs.twimg.com/media/FgY47O-WQAAEi7c.jpg</v>
      </c>
      <c r="L779">
        <v>0</v>
      </c>
      <c r="M779">
        <v>0</v>
      </c>
      <c r="N779">
        <v>1</v>
      </c>
      <c r="O779">
        <v>0</v>
      </c>
    </row>
    <row r="780" spans="1:15" x14ac:dyDescent="0.2">
      <c r="A780" s="1" t="str">
        <f>HYPERLINK("http://www.twitter.com/banuakdenizli/status/1587078201448210434", "1587078201448210434")</f>
        <v>1587078201448210434</v>
      </c>
      <c r="B780" t="s">
        <v>15</v>
      </c>
      <c r="C780" s="2">
        <v>44865.572962962957</v>
      </c>
      <c r="D780">
        <v>0</v>
      </c>
      <c r="E780">
        <v>7</v>
      </c>
      <c r="F780" t="s">
        <v>17</v>
      </c>
      <c r="G780" t="s">
        <v>842</v>
      </c>
      <c r="H780" t="str">
        <f>HYPERLINK("https://video.twimg.com/ext_tw_video/1586989970710994945/pu/vid/1280x720/jBhfASTNKNXCw6IM.mp4?tag=12", "https://video.twimg.com/ext_tw_video/1586989970710994945/pu/vid/1280x720/jBhfASTNKNXCw6IM.mp4?tag=12")</f>
        <v>https://video.twimg.com/ext_tw_video/1586989970710994945/pu/vid/1280x720/jBhfASTNKNXCw6IM.mp4?tag=12</v>
      </c>
      <c r="L780">
        <v>-0.1363</v>
      </c>
      <c r="M780">
        <v>5.8999999999999997E-2</v>
      </c>
      <c r="N780">
        <v>0.89200000000000002</v>
      </c>
      <c r="O780">
        <v>4.9000000000000002E-2</v>
      </c>
    </row>
    <row r="781" spans="1:15" x14ac:dyDescent="0.2">
      <c r="A781" s="1" t="str">
        <f>HYPERLINK("http://www.twitter.com/banuakdenizli/status/1587078201439928320", "1587078201439928320")</f>
        <v>1587078201439928320</v>
      </c>
      <c r="B781" t="s">
        <v>15</v>
      </c>
      <c r="C781" s="2">
        <v>44865.572962962957</v>
      </c>
      <c r="D781">
        <v>0</v>
      </c>
      <c r="E781">
        <v>19</v>
      </c>
      <c r="F781" t="s">
        <v>16</v>
      </c>
      <c r="G781" t="s">
        <v>843</v>
      </c>
      <c r="H781" t="str">
        <f>HYPERLINK("https://video.twimg.com/ext_tw_video/1586971391420780544/pu/vid/1280x720/N3FV9TY4NbhJDL3x.mp4?tag=12", "https://video.twimg.com/ext_tw_video/1586971391420780544/pu/vid/1280x720/N3FV9TY4NbhJDL3x.mp4?tag=12")</f>
        <v>https://video.twimg.com/ext_tw_video/1586971391420780544/pu/vid/1280x720/N3FV9TY4NbhJDL3x.mp4?tag=12</v>
      </c>
      <c r="L781">
        <v>0</v>
      </c>
      <c r="M781">
        <v>0</v>
      </c>
      <c r="N781">
        <v>1</v>
      </c>
      <c r="O781">
        <v>0</v>
      </c>
    </row>
    <row r="782" spans="1:15" x14ac:dyDescent="0.2">
      <c r="A782" s="1" t="str">
        <f>HYPERLINK("http://www.twitter.com/banuakdenizli/status/1586885041681989632", "1586885041681989632")</f>
        <v>1586885041681989632</v>
      </c>
      <c r="B782" t="s">
        <v>15</v>
      </c>
      <c r="C782" s="2">
        <v>44865.039942129632</v>
      </c>
      <c r="D782">
        <v>0</v>
      </c>
      <c r="E782">
        <v>7</v>
      </c>
      <c r="F782" t="s">
        <v>17</v>
      </c>
      <c r="G782" t="s">
        <v>844</v>
      </c>
      <c r="H782" t="str">
        <f>HYPERLINK("http://pbs.twimg.com/media/FgV063BWYAAMpfP.jpg", "http://pbs.twimg.com/media/FgV063BWYAAMpfP.jpg")</f>
        <v>http://pbs.twimg.com/media/FgV063BWYAAMpfP.jpg</v>
      </c>
      <c r="I782" t="str">
        <f>HYPERLINK("http://pbs.twimg.com/media/FgV063KXgAAG-zn.jpg", "http://pbs.twimg.com/media/FgV063KXgAAG-zn.jpg")</f>
        <v>http://pbs.twimg.com/media/FgV063KXgAAG-zn.jpg</v>
      </c>
      <c r="J782" t="str">
        <f>HYPERLINK("http://pbs.twimg.com/media/FgV063EWQAEuFgX.jpg", "http://pbs.twimg.com/media/FgV063EWQAEuFgX.jpg")</f>
        <v>http://pbs.twimg.com/media/FgV063EWQAEuFgX.jpg</v>
      </c>
      <c r="L782">
        <v>0</v>
      </c>
      <c r="M782">
        <v>0</v>
      </c>
      <c r="N782">
        <v>1</v>
      </c>
      <c r="O782">
        <v>0</v>
      </c>
    </row>
    <row r="783" spans="1:15" x14ac:dyDescent="0.2">
      <c r="A783" s="1" t="str">
        <f>HYPERLINK("http://www.twitter.com/banuakdenizli/status/1586885017300508674", "1586885017300508674")</f>
        <v>1586885017300508674</v>
      </c>
      <c r="B783" t="s">
        <v>15</v>
      </c>
      <c r="C783" s="2">
        <v>44865.039872685193</v>
      </c>
      <c r="D783">
        <v>0</v>
      </c>
      <c r="E783">
        <v>8</v>
      </c>
      <c r="F783" t="s">
        <v>17</v>
      </c>
      <c r="G783" t="s">
        <v>845</v>
      </c>
      <c r="H783" t="str">
        <f>HYPERLINK("http://pbs.twimg.com/media/FgV0YKbWYAQCvki.jpg", "http://pbs.twimg.com/media/FgV0YKbWYAQCvki.jpg")</f>
        <v>http://pbs.twimg.com/media/FgV0YKbWYAQCvki.jpg</v>
      </c>
      <c r="I783" t="str">
        <f>HYPERLINK("http://pbs.twimg.com/media/FgV0YKUWYAUVaI6.jpg", "http://pbs.twimg.com/media/FgV0YKUWYAUVaI6.jpg")</f>
        <v>http://pbs.twimg.com/media/FgV0YKUWYAUVaI6.jpg</v>
      </c>
      <c r="J783" t="str">
        <f>HYPERLINK("http://pbs.twimg.com/media/FgV0YKUWQAMUH9m.jpg", "http://pbs.twimg.com/media/FgV0YKUWQAMUH9m.jpg")</f>
        <v>http://pbs.twimg.com/media/FgV0YKUWQAMUH9m.jpg</v>
      </c>
      <c r="K783" t="str">
        <f>HYPERLINK("http://pbs.twimg.com/media/FgV0YKWXEAMXYXi.jpg", "http://pbs.twimg.com/media/FgV0YKWXEAMXYXi.jpg")</f>
        <v>http://pbs.twimg.com/media/FgV0YKWXEAMXYXi.jpg</v>
      </c>
      <c r="L783">
        <v>0</v>
      </c>
      <c r="M783">
        <v>0</v>
      </c>
      <c r="N783">
        <v>1</v>
      </c>
      <c r="O783">
        <v>0</v>
      </c>
    </row>
    <row r="784" spans="1:15" x14ac:dyDescent="0.2">
      <c r="A784" s="1" t="str">
        <f>HYPERLINK("http://www.twitter.com/banuakdenizli/status/1586884951353475075", "1586884951353475075")</f>
        <v>1586884951353475075</v>
      </c>
      <c r="B784" t="s">
        <v>15</v>
      </c>
      <c r="C784" s="2">
        <v>44865.039687500001</v>
      </c>
      <c r="D784">
        <v>0</v>
      </c>
      <c r="E784">
        <v>4</v>
      </c>
      <c r="F784" t="s">
        <v>29</v>
      </c>
      <c r="G784" t="s">
        <v>846</v>
      </c>
      <c r="H784" t="str">
        <f>HYPERLINK("http://pbs.twimg.com/media/FgWmh6CWAAU7IpN.jpg", "http://pbs.twimg.com/media/FgWmh6CWAAU7IpN.jpg")</f>
        <v>http://pbs.twimg.com/media/FgWmh6CWAAU7IpN.jpg</v>
      </c>
      <c r="L784">
        <v>0</v>
      </c>
      <c r="M784">
        <v>0</v>
      </c>
      <c r="N784">
        <v>1</v>
      </c>
      <c r="O784">
        <v>0</v>
      </c>
    </row>
    <row r="785" spans="1:15" x14ac:dyDescent="0.2">
      <c r="A785" s="1" t="str">
        <f>HYPERLINK("http://www.twitter.com/banuakdenizli/status/1586751831677587456", "1586751831677587456")</f>
        <v>1586751831677587456</v>
      </c>
      <c r="B785" t="s">
        <v>15</v>
      </c>
      <c r="C785" s="2">
        <v>44864.672349537039</v>
      </c>
      <c r="D785">
        <v>0</v>
      </c>
      <c r="E785">
        <v>9</v>
      </c>
      <c r="F785" t="s">
        <v>16</v>
      </c>
      <c r="G785" t="s">
        <v>847</v>
      </c>
      <c r="H785" t="str">
        <f>HYPERLINK("http://pbs.twimg.com/media/FgU_enNX0AABJu9.jpg", "http://pbs.twimg.com/media/FgU_enNX0AABJu9.jpg")</f>
        <v>http://pbs.twimg.com/media/FgU_enNX0AABJu9.jpg</v>
      </c>
      <c r="I785" t="str">
        <f>HYPERLINK("http://pbs.twimg.com/media/FgU_enLWQAUFoM5.jpg", "http://pbs.twimg.com/media/FgU_enLWQAUFoM5.jpg")</f>
        <v>http://pbs.twimg.com/media/FgU_enLWQAUFoM5.jpg</v>
      </c>
      <c r="J785" t="str">
        <f>HYPERLINK("http://pbs.twimg.com/media/FgU_enLXoAcerGk.jpg", "http://pbs.twimg.com/media/FgU_enLXoAcerGk.jpg")</f>
        <v>http://pbs.twimg.com/media/FgU_enLXoAcerGk.jpg</v>
      </c>
      <c r="L785">
        <v>0</v>
      </c>
      <c r="M785">
        <v>0</v>
      </c>
      <c r="N785">
        <v>1</v>
      </c>
      <c r="O785">
        <v>0</v>
      </c>
    </row>
    <row r="786" spans="1:15" x14ac:dyDescent="0.2">
      <c r="A786" s="1" t="str">
        <f>HYPERLINK("http://www.twitter.com/banuakdenizli/status/1586751801847676928", "1586751801847676928")</f>
        <v>1586751801847676928</v>
      </c>
      <c r="B786" t="s">
        <v>15</v>
      </c>
      <c r="C786" s="2">
        <v>44864.672268518523</v>
      </c>
      <c r="D786">
        <v>0</v>
      </c>
      <c r="E786">
        <v>13</v>
      </c>
      <c r="F786" t="s">
        <v>17</v>
      </c>
      <c r="G786" t="s">
        <v>848</v>
      </c>
      <c r="H786" t="str">
        <f>HYPERLINK("http://pbs.twimg.com/media/FgU_1aiXEAAmb-r.jpg", "http://pbs.twimg.com/media/FgU_1aiXEAAmb-r.jpg")</f>
        <v>http://pbs.twimg.com/media/FgU_1aiXEAAmb-r.jpg</v>
      </c>
      <c r="I786" t="str">
        <f>HYPERLINK("http://pbs.twimg.com/media/FgU_1apXEAAa09G.jpg", "http://pbs.twimg.com/media/FgU_1apXEAAa09G.jpg")</f>
        <v>http://pbs.twimg.com/media/FgU_1apXEAAa09G.jpg</v>
      </c>
      <c r="L786">
        <v>0</v>
      </c>
      <c r="M786">
        <v>0</v>
      </c>
      <c r="N786">
        <v>1</v>
      </c>
      <c r="O786">
        <v>0</v>
      </c>
    </row>
    <row r="787" spans="1:15" x14ac:dyDescent="0.2">
      <c r="A787" s="1" t="str">
        <f>HYPERLINK("http://www.twitter.com/banuakdenizli/status/1586739684939644931", "1586739684939644931")</f>
        <v>1586739684939644931</v>
      </c>
      <c r="B787" t="s">
        <v>15</v>
      </c>
      <c r="C787" s="2">
        <v>44864.638831018521</v>
      </c>
      <c r="D787">
        <v>0</v>
      </c>
      <c r="E787">
        <v>18</v>
      </c>
      <c r="F787" t="s">
        <v>16</v>
      </c>
      <c r="G787" t="s">
        <v>849</v>
      </c>
      <c r="H787" t="str">
        <f>HYPERLINK("http://pbs.twimg.com/media/FgT9sJXX0AET6vO.jpg", "http://pbs.twimg.com/media/FgT9sJXX0AET6vO.jpg")</f>
        <v>http://pbs.twimg.com/media/FgT9sJXX0AET6vO.jpg</v>
      </c>
      <c r="I787" t="str">
        <f>HYPERLINK("http://pbs.twimg.com/media/FgT9uKZWQAEExQ_.jpg", "http://pbs.twimg.com/media/FgT9uKZWQAEExQ_.jpg")</f>
        <v>http://pbs.twimg.com/media/FgT9uKZWQAEExQ_.jpg</v>
      </c>
      <c r="J787" t="str">
        <f>HYPERLINK("http://pbs.twimg.com/media/FgT9uLKWIAM24kK.jpg", "http://pbs.twimg.com/media/FgT9uLKWIAM24kK.jpg")</f>
        <v>http://pbs.twimg.com/media/FgT9uLKWIAM24kK.jpg</v>
      </c>
      <c r="K787" t="str">
        <f>HYPERLINK("http://pbs.twimg.com/media/FgT9uLNX0AAjCMR.jpg", "http://pbs.twimg.com/media/FgT9uLNX0AAjCMR.jpg")</f>
        <v>http://pbs.twimg.com/media/FgT9uLNX0AAjCMR.jpg</v>
      </c>
      <c r="L787">
        <v>0</v>
      </c>
      <c r="M787">
        <v>0</v>
      </c>
      <c r="N787">
        <v>1</v>
      </c>
      <c r="O787">
        <v>0</v>
      </c>
    </row>
    <row r="788" spans="1:15" x14ac:dyDescent="0.2">
      <c r="A788" s="1" t="str">
        <f>HYPERLINK("http://www.twitter.com/banuakdenizli/status/1586729126941130752", "1586729126941130752")</f>
        <v>1586729126941130752</v>
      </c>
      <c r="B788" t="s">
        <v>15</v>
      </c>
      <c r="C788" s="2">
        <v>44864.609699074077</v>
      </c>
      <c r="D788">
        <v>0</v>
      </c>
      <c r="E788">
        <v>22</v>
      </c>
      <c r="F788" t="s">
        <v>16</v>
      </c>
      <c r="G788" t="s">
        <v>850</v>
      </c>
      <c r="H788" t="str">
        <f>HYPERLINK("https://video.twimg.com/ext_tw_video/1586684346970292226/pu/vid/1280x720/YY3cIuJObb5ixoeD.mp4?tag=12", "https://video.twimg.com/ext_tw_video/1586684346970292226/pu/vid/1280x720/YY3cIuJObb5ixoeD.mp4?tag=12")</f>
        <v>https://video.twimg.com/ext_tw_video/1586684346970292226/pu/vid/1280x720/YY3cIuJObb5ixoeD.mp4?tag=12</v>
      </c>
      <c r="L788">
        <v>0</v>
      </c>
      <c r="M788">
        <v>0</v>
      </c>
      <c r="N788">
        <v>1</v>
      </c>
      <c r="O788">
        <v>0</v>
      </c>
    </row>
    <row r="789" spans="1:15" x14ac:dyDescent="0.2">
      <c r="A789" s="1" t="str">
        <f>HYPERLINK("http://www.twitter.com/banuakdenizli/status/1586729114462986245", "1586729114462986245")</f>
        <v>1586729114462986245</v>
      </c>
      <c r="B789" t="s">
        <v>15</v>
      </c>
      <c r="C789" s="2">
        <v>44864.609664351847</v>
      </c>
      <c r="D789">
        <v>0</v>
      </c>
      <c r="E789">
        <v>12</v>
      </c>
      <c r="F789" t="s">
        <v>16</v>
      </c>
      <c r="G789" t="s">
        <v>851</v>
      </c>
      <c r="H789" t="str">
        <f>HYPERLINK("https://video.twimg.com/ext_tw_video/1586708797418082304/pu/vid/1280x720/nDjdVKx341LPTLhF.mp4?tag=12", "https://video.twimg.com/ext_tw_video/1586708797418082304/pu/vid/1280x720/nDjdVKx341LPTLhF.mp4?tag=12")</f>
        <v>https://video.twimg.com/ext_tw_video/1586708797418082304/pu/vid/1280x720/nDjdVKx341LPTLhF.mp4?tag=12</v>
      </c>
      <c r="L789">
        <v>0</v>
      </c>
      <c r="M789">
        <v>0</v>
      </c>
      <c r="N789">
        <v>1</v>
      </c>
      <c r="O789">
        <v>0</v>
      </c>
    </row>
    <row r="790" spans="1:15" x14ac:dyDescent="0.2">
      <c r="A790" s="1" t="str">
        <f>HYPERLINK("http://www.twitter.com/banuakdenizli/status/1586729085522395137", "1586729085522395137")</f>
        <v>1586729085522395137</v>
      </c>
      <c r="B790" t="s">
        <v>15</v>
      </c>
      <c r="C790" s="2">
        <v>44864.609583333331</v>
      </c>
      <c r="D790">
        <v>0</v>
      </c>
      <c r="E790">
        <v>9</v>
      </c>
      <c r="F790" t="s">
        <v>22</v>
      </c>
      <c r="G790" t="s">
        <v>852</v>
      </c>
      <c r="H790" t="str">
        <f>HYPERLINK("http://pbs.twimg.com/media/FgUGyGSWYAIM2wA.jpg", "http://pbs.twimg.com/media/FgUGyGSWYAIM2wA.jpg")</f>
        <v>http://pbs.twimg.com/media/FgUGyGSWYAIM2wA.jpg</v>
      </c>
      <c r="L790">
        <v>0</v>
      </c>
      <c r="M790">
        <v>0</v>
      </c>
      <c r="N790">
        <v>1</v>
      </c>
      <c r="O790">
        <v>0</v>
      </c>
    </row>
    <row r="791" spans="1:15" x14ac:dyDescent="0.2">
      <c r="A791" s="1" t="str">
        <f>HYPERLINK("http://www.twitter.com/banuakdenizli/status/1586729029343797248", "1586729029343797248")</f>
        <v>1586729029343797248</v>
      </c>
      <c r="B791" t="s">
        <v>15</v>
      </c>
      <c r="C791" s="2">
        <v>44864.609432870369</v>
      </c>
      <c r="D791">
        <v>0</v>
      </c>
      <c r="E791">
        <v>10</v>
      </c>
      <c r="F791" t="s">
        <v>16</v>
      </c>
      <c r="G791" t="s">
        <v>853</v>
      </c>
      <c r="H791" t="str">
        <f>HYPERLINK("http://pbs.twimg.com/media/FgUdi_mWIAAN_26.jpg", "http://pbs.twimg.com/media/FgUdi_mWIAAN_26.jpg")</f>
        <v>http://pbs.twimg.com/media/FgUdi_mWIAAN_26.jpg</v>
      </c>
      <c r="I791" t="str">
        <f>HYPERLINK("http://pbs.twimg.com/media/FgUdi9jXkAAO4WQ.jpg", "http://pbs.twimg.com/media/FgUdi9jXkAAO4WQ.jpg")</f>
        <v>http://pbs.twimg.com/media/FgUdi9jXkAAO4WQ.jpg</v>
      </c>
      <c r="L791">
        <v>0</v>
      </c>
      <c r="M791">
        <v>0</v>
      </c>
      <c r="N791">
        <v>1</v>
      </c>
      <c r="O791">
        <v>0</v>
      </c>
    </row>
    <row r="792" spans="1:15" x14ac:dyDescent="0.2">
      <c r="A792" s="1" t="str">
        <f>HYPERLINK("http://www.twitter.com/banuakdenizli/status/1586574540788084738", "1586574540788084738")</f>
        <v>1586574540788084738</v>
      </c>
      <c r="B792" t="s">
        <v>15</v>
      </c>
      <c r="C792" s="2">
        <v>44864.183125000003</v>
      </c>
      <c r="D792">
        <v>0</v>
      </c>
      <c r="E792">
        <v>5</v>
      </c>
      <c r="F792" t="s">
        <v>20</v>
      </c>
      <c r="G792" t="s">
        <v>854</v>
      </c>
      <c r="H792" t="str">
        <f>HYPERLINK("http://pbs.twimg.com/media/FgQelupX0AMdTjc.jpg", "http://pbs.twimg.com/media/FgQelupX0AMdTjc.jpg")</f>
        <v>http://pbs.twimg.com/media/FgQelupX0AMdTjc.jpg</v>
      </c>
      <c r="L792">
        <v>0</v>
      </c>
      <c r="M792">
        <v>0</v>
      </c>
      <c r="N792">
        <v>1</v>
      </c>
      <c r="O792">
        <v>0</v>
      </c>
    </row>
    <row r="793" spans="1:15" x14ac:dyDescent="0.2">
      <c r="A793" s="1" t="str">
        <f>HYPERLINK("http://www.twitter.com/banuakdenizli/status/1586430504236113926", "1586430504236113926")</f>
        <v>1586430504236113926</v>
      </c>
      <c r="B793" t="s">
        <v>15</v>
      </c>
      <c r="C793" s="2">
        <v>44863.78565972222</v>
      </c>
      <c r="D793">
        <v>0</v>
      </c>
      <c r="E793">
        <v>13</v>
      </c>
      <c r="F793" t="s">
        <v>17</v>
      </c>
      <c r="G793" t="s">
        <v>855</v>
      </c>
      <c r="H793" t="str">
        <f>HYPERLINK("http://pbs.twimg.com/media/FgNunQPXkAEEqi5.jpg", "http://pbs.twimg.com/media/FgNunQPXkAEEqi5.jpg")</f>
        <v>http://pbs.twimg.com/media/FgNunQPXkAEEqi5.jpg</v>
      </c>
      <c r="L793">
        <v>0.49390000000000001</v>
      </c>
      <c r="M793">
        <v>0</v>
      </c>
      <c r="N793">
        <v>0.81399999999999995</v>
      </c>
      <c r="O793">
        <v>0.186</v>
      </c>
    </row>
    <row r="794" spans="1:15" x14ac:dyDescent="0.2">
      <c r="A794" s="1" t="str">
        <f>HYPERLINK("http://www.twitter.com/banuakdenizli/status/1586430480068509698", "1586430480068509698")</f>
        <v>1586430480068509698</v>
      </c>
      <c r="B794" t="s">
        <v>15</v>
      </c>
      <c r="C794" s="2">
        <v>44863.785590277781</v>
      </c>
      <c r="D794">
        <v>0</v>
      </c>
      <c r="E794">
        <v>9</v>
      </c>
      <c r="F794" t="s">
        <v>16</v>
      </c>
      <c r="G794" t="s">
        <v>856</v>
      </c>
      <c r="H794" t="str">
        <f>HYPERLINK("http://pbs.twimg.com/media/FgNu82pXwAIfhZs.jpg", "http://pbs.twimg.com/media/FgNu82pXwAIfhZs.jpg")</f>
        <v>http://pbs.twimg.com/media/FgNu82pXwAIfhZs.jpg</v>
      </c>
      <c r="L794">
        <v>0</v>
      </c>
      <c r="M794">
        <v>0</v>
      </c>
      <c r="N794">
        <v>1</v>
      </c>
      <c r="O794">
        <v>0</v>
      </c>
    </row>
    <row r="795" spans="1:15" x14ac:dyDescent="0.2">
      <c r="A795" s="1" t="str">
        <f>HYPERLINK("http://www.twitter.com/banuakdenizli/status/1586430461424721920", "1586430461424721920")</f>
        <v>1586430461424721920</v>
      </c>
      <c r="B795" t="s">
        <v>15</v>
      </c>
      <c r="C795" s="2">
        <v>44863.785543981481</v>
      </c>
      <c r="D795">
        <v>0</v>
      </c>
      <c r="E795">
        <v>7</v>
      </c>
      <c r="F795" t="s">
        <v>17</v>
      </c>
      <c r="G795" t="s">
        <v>857</v>
      </c>
      <c r="H795" t="str">
        <f>HYPERLINK("http://pbs.twimg.com/media/FgNvF-dX0AEbOXw.jpg", "http://pbs.twimg.com/media/FgNvF-dX0AEbOXw.jpg")</f>
        <v>http://pbs.twimg.com/media/FgNvF-dX0AEbOXw.jpg</v>
      </c>
      <c r="L795">
        <v>0</v>
      </c>
      <c r="M795">
        <v>0</v>
      </c>
      <c r="N795">
        <v>1</v>
      </c>
      <c r="O795">
        <v>0</v>
      </c>
    </row>
    <row r="796" spans="1:15" x14ac:dyDescent="0.2">
      <c r="A796" s="1" t="str">
        <f>HYPERLINK("http://www.twitter.com/banuakdenizli/status/1586430433775984640", "1586430433775984640")</f>
        <v>1586430433775984640</v>
      </c>
      <c r="B796" t="s">
        <v>15</v>
      </c>
      <c r="C796" s="2">
        <v>44863.785462962973</v>
      </c>
      <c r="D796">
        <v>0</v>
      </c>
      <c r="E796">
        <v>59</v>
      </c>
      <c r="F796" t="s">
        <v>18</v>
      </c>
      <c r="G796" t="s">
        <v>858</v>
      </c>
      <c r="L796">
        <v>0</v>
      </c>
      <c r="M796">
        <v>0</v>
      </c>
      <c r="N796">
        <v>1</v>
      </c>
      <c r="O796">
        <v>0</v>
      </c>
    </row>
    <row r="797" spans="1:15" x14ac:dyDescent="0.2">
      <c r="A797" s="1" t="str">
        <f>HYPERLINK("http://www.twitter.com/banuakdenizli/status/1586430422279368704", "1586430422279368704")</f>
        <v>1586430422279368704</v>
      </c>
      <c r="B797" t="s">
        <v>15</v>
      </c>
      <c r="C797" s="2">
        <v>44863.785428240742</v>
      </c>
      <c r="D797">
        <v>0</v>
      </c>
      <c r="E797">
        <v>29</v>
      </c>
      <c r="F797" t="s">
        <v>18</v>
      </c>
      <c r="G797" t="s">
        <v>859</v>
      </c>
      <c r="L797">
        <v>0.85189999999999999</v>
      </c>
      <c r="M797">
        <v>0</v>
      </c>
      <c r="N797">
        <v>0.78200000000000003</v>
      </c>
      <c r="O797">
        <v>0.218</v>
      </c>
    </row>
    <row r="798" spans="1:15" x14ac:dyDescent="0.2">
      <c r="A798" s="1" t="str">
        <f>HYPERLINK("http://www.twitter.com/banuakdenizli/status/1586430408857640963", "1586430408857640963")</f>
        <v>1586430408857640963</v>
      </c>
      <c r="B798" t="s">
        <v>15</v>
      </c>
      <c r="C798" s="2">
        <v>44863.785393518519</v>
      </c>
      <c r="D798">
        <v>0</v>
      </c>
      <c r="E798">
        <v>55</v>
      </c>
      <c r="F798" t="s">
        <v>18</v>
      </c>
      <c r="G798" t="s">
        <v>860</v>
      </c>
      <c r="L798">
        <v>0</v>
      </c>
      <c r="M798">
        <v>0</v>
      </c>
      <c r="N798">
        <v>1</v>
      </c>
      <c r="O798">
        <v>0</v>
      </c>
    </row>
    <row r="799" spans="1:15" x14ac:dyDescent="0.2">
      <c r="A799" s="1" t="str">
        <f>HYPERLINK("http://www.twitter.com/banuakdenizli/status/1586430249817976833", "1586430249817976833")</f>
        <v>1586430249817976833</v>
      </c>
      <c r="B799" t="s">
        <v>15</v>
      </c>
      <c r="C799" s="2">
        <v>44863.784953703696</v>
      </c>
      <c r="D799">
        <v>0</v>
      </c>
      <c r="E799">
        <v>7</v>
      </c>
      <c r="F799" t="s">
        <v>16</v>
      </c>
      <c r="G799" t="s">
        <v>861</v>
      </c>
      <c r="H799" t="str">
        <f>HYPERLINK("http://pbs.twimg.com/media/FgPEhZPWQAQvlNv.jpg", "http://pbs.twimg.com/media/FgPEhZPWQAQvlNv.jpg")</f>
        <v>http://pbs.twimg.com/media/FgPEhZPWQAQvlNv.jpg</v>
      </c>
      <c r="I799" t="str">
        <f>HYPERLINK("http://pbs.twimg.com/media/FgPEhZNXkAAAGFw.jpg", "http://pbs.twimg.com/media/FgPEhZNXkAAAGFw.jpg")</f>
        <v>http://pbs.twimg.com/media/FgPEhZNXkAAAGFw.jpg</v>
      </c>
      <c r="L799">
        <v>0</v>
      </c>
      <c r="M799">
        <v>0</v>
      </c>
      <c r="N799">
        <v>1</v>
      </c>
      <c r="O799">
        <v>0</v>
      </c>
    </row>
    <row r="800" spans="1:15" x14ac:dyDescent="0.2">
      <c r="A800" s="1" t="str">
        <f>HYPERLINK("http://www.twitter.com/banuakdenizli/status/1586430220357156865", "1586430220357156865")</f>
        <v>1586430220357156865</v>
      </c>
      <c r="B800" t="s">
        <v>15</v>
      </c>
      <c r="C800" s="2">
        <v>44863.784872685188</v>
      </c>
      <c r="D800">
        <v>0</v>
      </c>
      <c r="E800">
        <v>6</v>
      </c>
      <c r="F800" t="s">
        <v>16</v>
      </c>
      <c r="G800" t="s">
        <v>862</v>
      </c>
      <c r="H800" t="str">
        <f>HYPERLINK("http://pbs.twimg.com/media/FgPsvOPXoAAvaDM.jpg", "http://pbs.twimg.com/media/FgPsvOPXoAAvaDM.jpg")</f>
        <v>http://pbs.twimg.com/media/FgPsvOPXoAAvaDM.jpg</v>
      </c>
      <c r="I800" t="str">
        <f>HYPERLINK("http://pbs.twimg.com/media/FgPsvMSWQAAz4Op.jpg", "http://pbs.twimg.com/media/FgPsvMSWQAAz4Op.jpg")</f>
        <v>http://pbs.twimg.com/media/FgPsvMSWQAAz4Op.jpg</v>
      </c>
      <c r="L800">
        <v>0</v>
      </c>
      <c r="M800">
        <v>0</v>
      </c>
      <c r="N800">
        <v>1</v>
      </c>
      <c r="O800">
        <v>0</v>
      </c>
    </row>
    <row r="801" spans="1:15" x14ac:dyDescent="0.2">
      <c r="A801" s="1" t="str">
        <f>HYPERLINK("http://www.twitter.com/banuakdenizli/status/1586430194843521025", "1586430194843521025")</f>
        <v>1586430194843521025</v>
      </c>
      <c r="B801" t="s">
        <v>15</v>
      </c>
      <c r="C801" s="2">
        <v>44863.784803240742</v>
      </c>
      <c r="D801">
        <v>0</v>
      </c>
      <c r="E801">
        <v>1</v>
      </c>
      <c r="F801" t="s">
        <v>17</v>
      </c>
      <c r="G801" t="s">
        <v>863</v>
      </c>
      <c r="H801" t="str">
        <f>HYPERLINK("http://pbs.twimg.com/media/FgPzrLXXEAAX6Gq.jpg", "http://pbs.twimg.com/media/FgPzrLXXEAAX6Gq.jpg")</f>
        <v>http://pbs.twimg.com/media/FgPzrLXXEAAX6Gq.jpg</v>
      </c>
      <c r="I801" t="str">
        <f>HYPERLINK("http://pbs.twimg.com/media/FgPzrLYXgAI9AFz.jpg", "http://pbs.twimg.com/media/FgPzrLYXgAI9AFz.jpg")</f>
        <v>http://pbs.twimg.com/media/FgPzrLYXgAI9AFz.jpg</v>
      </c>
      <c r="L801">
        <v>0</v>
      </c>
      <c r="M801">
        <v>0</v>
      </c>
      <c r="N801">
        <v>1</v>
      </c>
      <c r="O801">
        <v>0</v>
      </c>
    </row>
    <row r="802" spans="1:15" x14ac:dyDescent="0.2">
      <c r="A802" s="1" t="str">
        <f>HYPERLINK("http://www.twitter.com/banuakdenizli/status/1586430176530833408", "1586430176530833408")</f>
        <v>1586430176530833408</v>
      </c>
      <c r="B802" t="s">
        <v>15</v>
      </c>
      <c r="C802" s="2">
        <v>44863.784756944442</v>
      </c>
      <c r="D802">
        <v>0</v>
      </c>
      <c r="E802">
        <v>4</v>
      </c>
      <c r="F802" t="s">
        <v>17</v>
      </c>
      <c r="G802" t="s">
        <v>864</v>
      </c>
      <c r="H802" t="str">
        <f>HYPERLINK("http://pbs.twimg.com/media/FgQCQ4LWYAY7U04.jpg", "http://pbs.twimg.com/media/FgQCQ4LWYAY7U04.jpg")</f>
        <v>http://pbs.twimg.com/media/FgQCQ4LWYAY7U04.jpg</v>
      </c>
      <c r="I802" t="str">
        <f>HYPERLINK("http://pbs.twimg.com/media/FgQCQ39X0AAovGX.jpg", "http://pbs.twimg.com/media/FgQCQ39X0AAovGX.jpg")</f>
        <v>http://pbs.twimg.com/media/FgQCQ39X0AAovGX.jpg</v>
      </c>
      <c r="L802">
        <v>-0.69079999999999997</v>
      </c>
      <c r="M802">
        <v>0.17599999999999999</v>
      </c>
      <c r="N802">
        <v>0.82399999999999995</v>
      </c>
      <c r="O802">
        <v>0</v>
      </c>
    </row>
    <row r="803" spans="1:15" x14ac:dyDescent="0.2">
      <c r="A803" s="1" t="str">
        <f>HYPERLINK("http://www.twitter.com/banuakdenizli/status/1586430161003884544", "1586430161003884544")</f>
        <v>1586430161003884544</v>
      </c>
      <c r="B803" t="s">
        <v>15</v>
      </c>
      <c r="C803" s="2">
        <v>44863.784710648149</v>
      </c>
      <c r="D803">
        <v>0</v>
      </c>
      <c r="E803">
        <v>7</v>
      </c>
      <c r="F803" t="s">
        <v>16</v>
      </c>
      <c r="G803" t="s">
        <v>865</v>
      </c>
      <c r="H803" t="str">
        <f>HYPERLINK("http://pbs.twimg.com/media/FgQJtzbX0AIrnYf.jpg", "http://pbs.twimg.com/media/FgQJtzbX0AIrnYf.jpg")</f>
        <v>http://pbs.twimg.com/media/FgQJtzbX0AIrnYf.jpg</v>
      </c>
      <c r="I803" t="str">
        <f>HYPERLINK("http://pbs.twimg.com/media/FgQJtzZXEAAwKtX.jpg", "http://pbs.twimg.com/media/FgQJtzZXEAAwKtX.jpg")</f>
        <v>http://pbs.twimg.com/media/FgQJtzZXEAAwKtX.jpg</v>
      </c>
      <c r="J803" t="str">
        <f>HYPERLINK("http://pbs.twimg.com/media/FgQJtzaWQAAanR2.jpg", "http://pbs.twimg.com/media/FgQJtzaWQAAanR2.jpg")</f>
        <v>http://pbs.twimg.com/media/FgQJtzaWQAAanR2.jpg</v>
      </c>
      <c r="L803">
        <v>0</v>
      </c>
      <c r="M803">
        <v>0</v>
      </c>
      <c r="N803">
        <v>1</v>
      </c>
      <c r="O803">
        <v>0</v>
      </c>
    </row>
    <row r="804" spans="1:15" x14ac:dyDescent="0.2">
      <c r="A804" s="1" t="str">
        <f>HYPERLINK("http://www.twitter.com/banuakdenizli/status/1586430149230313475", "1586430149230313475")</f>
        <v>1586430149230313475</v>
      </c>
      <c r="B804" t="s">
        <v>15</v>
      </c>
      <c r="C804" s="2">
        <v>44863.784675925926</v>
      </c>
      <c r="D804">
        <v>0</v>
      </c>
      <c r="E804">
        <v>4</v>
      </c>
      <c r="F804" t="s">
        <v>16</v>
      </c>
      <c r="G804" t="s">
        <v>866</v>
      </c>
      <c r="H804" t="str">
        <f>HYPERLINK("http://pbs.twimg.com/media/FgQKQSlWYAAog9J.jpg", "http://pbs.twimg.com/media/FgQKQSlWYAAog9J.jpg")</f>
        <v>http://pbs.twimg.com/media/FgQKQSlWYAAog9J.jpg</v>
      </c>
      <c r="L804">
        <v>0</v>
      </c>
      <c r="M804">
        <v>0</v>
      </c>
      <c r="N804">
        <v>1</v>
      </c>
      <c r="O804">
        <v>0</v>
      </c>
    </row>
    <row r="805" spans="1:15" x14ac:dyDescent="0.2">
      <c r="A805" s="1" t="str">
        <f>HYPERLINK("http://www.twitter.com/banuakdenizli/status/1586430137138315265", "1586430137138315265")</f>
        <v>1586430137138315265</v>
      </c>
      <c r="B805" t="s">
        <v>15</v>
      </c>
      <c r="C805" s="2">
        <v>44863.784641203703</v>
      </c>
      <c r="D805">
        <v>0</v>
      </c>
      <c r="E805">
        <v>12</v>
      </c>
      <c r="F805" t="s">
        <v>16</v>
      </c>
      <c r="G805" t="s">
        <v>867</v>
      </c>
      <c r="H805" t="str">
        <f>HYPERLINK("http://pbs.twimg.com/media/FgQLJWSX0AIINWB.jpg", "http://pbs.twimg.com/media/FgQLJWSX0AIINWB.jpg")</f>
        <v>http://pbs.twimg.com/media/FgQLJWSX0AIINWB.jpg</v>
      </c>
      <c r="L805">
        <v>0</v>
      </c>
      <c r="M805">
        <v>0</v>
      </c>
      <c r="N805">
        <v>1</v>
      </c>
      <c r="O805">
        <v>0</v>
      </c>
    </row>
    <row r="806" spans="1:15" x14ac:dyDescent="0.2">
      <c r="A806" s="1" t="str">
        <f>HYPERLINK("http://www.twitter.com/banuakdenizli/status/1586430114157445121", "1586430114157445121")</f>
        <v>1586430114157445121</v>
      </c>
      <c r="B806" t="s">
        <v>15</v>
      </c>
      <c r="C806" s="2">
        <v>44863.784583333327</v>
      </c>
      <c r="D806">
        <v>0</v>
      </c>
      <c r="E806">
        <v>3</v>
      </c>
      <c r="F806" t="s">
        <v>17</v>
      </c>
      <c r="G806" t="s">
        <v>868</v>
      </c>
      <c r="H806" t="str">
        <f>HYPERLINK("http://pbs.twimg.com/media/FgQaeKWXEAEmTnB.jpg", "http://pbs.twimg.com/media/FgQaeKWXEAEmTnB.jpg")</f>
        <v>http://pbs.twimg.com/media/FgQaeKWXEAEmTnB.jpg</v>
      </c>
      <c r="I806" t="str">
        <f>HYPERLINK("http://pbs.twimg.com/media/FgQaeKaWAAAEOcZ.jpg", "http://pbs.twimg.com/media/FgQaeKaWAAAEOcZ.jpg")</f>
        <v>http://pbs.twimg.com/media/FgQaeKaWAAAEOcZ.jpg</v>
      </c>
      <c r="J806" t="str">
        <f>HYPERLINK("http://pbs.twimg.com/media/FgQaeKXXwAA0vdK.jpg", "http://pbs.twimg.com/media/FgQaeKXXwAA0vdK.jpg")</f>
        <v>http://pbs.twimg.com/media/FgQaeKXXwAA0vdK.jpg</v>
      </c>
      <c r="L806">
        <v>0</v>
      </c>
      <c r="M806">
        <v>0</v>
      </c>
      <c r="N806">
        <v>1</v>
      </c>
      <c r="O806">
        <v>0</v>
      </c>
    </row>
    <row r="807" spans="1:15" x14ac:dyDescent="0.2">
      <c r="A807" s="1" t="str">
        <f>HYPERLINK("http://www.twitter.com/banuakdenizli/status/1586430090669617153", "1586430090669617153")</f>
        <v>1586430090669617153</v>
      </c>
      <c r="B807" t="s">
        <v>15</v>
      </c>
      <c r="C807" s="2">
        <v>44863.784513888888</v>
      </c>
      <c r="D807">
        <v>0</v>
      </c>
      <c r="E807">
        <v>4</v>
      </c>
      <c r="F807" t="s">
        <v>17</v>
      </c>
      <c r="G807" t="s">
        <v>869</v>
      </c>
      <c r="H807" t="str">
        <f>HYPERLINK("http://pbs.twimg.com/media/FgQbWc0XoAc5DLo.jpg", "http://pbs.twimg.com/media/FgQbWc0XoAc5DLo.jpg")</f>
        <v>http://pbs.twimg.com/media/FgQbWc0XoAc5DLo.jpg</v>
      </c>
      <c r="L807">
        <v>0</v>
      </c>
      <c r="M807">
        <v>0</v>
      </c>
      <c r="N807">
        <v>1</v>
      </c>
      <c r="O807">
        <v>0</v>
      </c>
    </row>
    <row r="808" spans="1:15" x14ac:dyDescent="0.2">
      <c r="A808" s="1" t="str">
        <f>HYPERLINK("http://www.twitter.com/banuakdenizli/status/1586430070196998145", "1586430070196998145")</f>
        <v>1586430070196998145</v>
      </c>
      <c r="B808" t="s">
        <v>15</v>
      </c>
      <c r="C808" s="2">
        <v>44863.784456018519</v>
      </c>
      <c r="D808">
        <v>0</v>
      </c>
      <c r="E808">
        <v>8</v>
      </c>
      <c r="F808" t="s">
        <v>17</v>
      </c>
      <c r="G808" t="s">
        <v>870</v>
      </c>
      <c r="H808" t="str">
        <f>HYPERLINK("http://pbs.twimg.com/media/FgQcfySXgAAT0V9.jpg", "http://pbs.twimg.com/media/FgQcfySXgAAT0V9.jpg")</f>
        <v>http://pbs.twimg.com/media/FgQcfySXgAAT0V9.jpg</v>
      </c>
      <c r="L808">
        <v>-0.29599999999999999</v>
      </c>
      <c r="M808">
        <v>0.26600000000000001</v>
      </c>
      <c r="N808">
        <v>0.56499999999999995</v>
      </c>
      <c r="O808">
        <v>0.16900000000000001</v>
      </c>
    </row>
    <row r="809" spans="1:15" x14ac:dyDescent="0.2">
      <c r="A809" s="1" t="str">
        <f>HYPERLINK("http://www.twitter.com/banuakdenizli/status/1586040224689553409", "1586040224689553409")</f>
        <v>1586040224689553409</v>
      </c>
      <c r="B809" t="s">
        <v>15</v>
      </c>
      <c r="C809" s="2">
        <v>44862.708692129629</v>
      </c>
      <c r="D809">
        <v>0</v>
      </c>
      <c r="E809">
        <v>2</v>
      </c>
      <c r="F809" t="s">
        <v>20</v>
      </c>
      <c r="G809" t="s">
        <v>871</v>
      </c>
      <c r="H809" t="str">
        <f>HYPERLINK("http://pbs.twimg.com/media/FgK7P47WIAAZ-FY.jpg", "http://pbs.twimg.com/media/FgK7P47WIAAZ-FY.jpg")</f>
        <v>http://pbs.twimg.com/media/FgK7P47WIAAZ-FY.jpg</v>
      </c>
      <c r="L809">
        <v>0</v>
      </c>
      <c r="M809">
        <v>0</v>
      </c>
      <c r="N809">
        <v>1</v>
      </c>
      <c r="O809">
        <v>0</v>
      </c>
    </row>
    <row r="810" spans="1:15" x14ac:dyDescent="0.2">
      <c r="A810" s="1" t="str">
        <f>HYPERLINK("http://www.twitter.com/banuakdenizli/status/1586040209623638017", "1586040209623638017")</f>
        <v>1586040209623638017</v>
      </c>
      <c r="B810" t="s">
        <v>15</v>
      </c>
      <c r="C810" s="2">
        <v>44862.708645833343</v>
      </c>
      <c r="D810">
        <v>0</v>
      </c>
      <c r="E810">
        <v>7</v>
      </c>
      <c r="F810" t="s">
        <v>20</v>
      </c>
      <c r="G810" t="s">
        <v>872</v>
      </c>
      <c r="H810" t="str">
        <f>HYPERLINK("http://pbs.twimg.com/media/FgK-rOMWIAArjZz.jpg", "http://pbs.twimg.com/media/FgK-rOMWIAArjZz.jpg")</f>
        <v>http://pbs.twimg.com/media/FgK-rOMWIAArjZz.jpg</v>
      </c>
      <c r="I810" t="str">
        <f>HYPERLINK("http://pbs.twimg.com/media/FgK-rOaX0AIqn_N.jpg", "http://pbs.twimg.com/media/FgK-rOaX0AIqn_N.jpg")</f>
        <v>http://pbs.twimg.com/media/FgK-rOaX0AIqn_N.jpg</v>
      </c>
      <c r="L810">
        <v>0</v>
      </c>
      <c r="M810">
        <v>0</v>
      </c>
      <c r="N810">
        <v>1</v>
      </c>
      <c r="O810">
        <v>0</v>
      </c>
    </row>
    <row r="811" spans="1:15" x14ac:dyDescent="0.2">
      <c r="A811" s="1" t="str">
        <f>HYPERLINK("http://www.twitter.com/banuakdenizli/status/1586030709982269440", "1586030709982269440")</f>
        <v>1586030709982269440</v>
      </c>
      <c r="B811" t="s">
        <v>15</v>
      </c>
      <c r="C811" s="2">
        <v>44862.682430555556</v>
      </c>
      <c r="D811">
        <v>0</v>
      </c>
      <c r="E811">
        <v>2</v>
      </c>
      <c r="F811" t="s">
        <v>29</v>
      </c>
      <c r="G811" t="s">
        <v>873</v>
      </c>
      <c r="L811">
        <v>0.76500000000000001</v>
      </c>
      <c r="M811">
        <v>0</v>
      </c>
      <c r="N811">
        <v>0.80900000000000005</v>
      </c>
      <c r="O811">
        <v>0.191</v>
      </c>
    </row>
    <row r="812" spans="1:15" x14ac:dyDescent="0.2">
      <c r="A812" s="1" t="str">
        <f>HYPERLINK("http://www.twitter.com/banuakdenizli/status/1586030669917921280", "1586030669917921280")</f>
        <v>1586030669917921280</v>
      </c>
      <c r="B812" t="s">
        <v>15</v>
      </c>
      <c r="C812" s="2">
        <v>44862.682326388887</v>
      </c>
      <c r="D812">
        <v>0</v>
      </c>
      <c r="E812">
        <v>3</v>
      </c>
      <c r="F812" t="s">
        <v>29</v>
      </c>
      <c r="G812" t="s">
        <v>874</v>
      </c>
      <c r="H812" t="str">
        <f>HYPERLINK("http://pbs.twimg.com/media/FgKkh8tWQAMYtGJ.jpg", "http://pbs.twimg.com/media/FgKkh8tWQAMYtGJ.jpg")</f>
        <v>http://pbs.twimg.com/media/FgKkh8tWQAMYtGJ.jpg</v>
      </c>
      <c r="L812">
        <v>0</v>
      </c>
      <c r="M812">
        <v>0</v>
      </c>
      <c r="N812">
        <v>1</v>
      </c>
      <c r="O812">
        <v>0</v>
      </c>
    </row>
    <row r="813" spans="1:15" x14ac:dyDescent="0.2">
      <c r="A813" s="1" t="str">
        <f>HYPERLINK("http://www.twitter.com/banuakdenizli/status/1586030591786582019", "1586030591786582019")</f>
        <v>1586030591786582019</v>
      </c>
      <c r="B813" t="s">
        <v>15</v>
      </c>
      <c r="C813" s="2">
        <v>44862.682106481479</v>
      </c>
      <c r="D813">
        <v>0</v>
      </c>
      <c r="E813">
        <v>15</v>
      </c>
      <c r="F813" t="s">
        <v>875</v>
      </c>
      <c r="G813" t="s">
        <v>876</v>
      </c>
      <c r="H813" t="str">
        <f>HYPERLINK("http://pbs.twimg.com/media/FgKb90zXwAAoXgc.jpg", "http://pbs.twimg.com/media/FgKb90zXwAAoXgc.jpg")</f>
        <v>http://pbs.twimg.com/media/FgKb90zXwAAoXgc.jpg</v>
      </c>
      <c r="I813" t="str">
        <f>HYPERLINK("http://pbs.twimg.com/media/FgKb90zXkAIGFUh.jpg", "http://pbs.twimg.com/media/FgKb90zXkAIGFUh.jpg")</f>
        <v>http://pbs.twimg.com/media/FgKb90zXkAIGFUh.jpg</v>
      </c>
      <c r="J813" t="str">
        <f>HYPERLINK("http://pbs.twimg.com/media/FgKb90yX0AIIozU.jpg", "http://pbs.twimg.com/media/FgKb90yX0AIIozU.jpg")</f>
        <v>http://pbs.twimg.com/media/FgKb90yX0AIIozU.jpg</v>
      </c>
      <c r="L813">
        <v>0.57189999999999996</v>
      </c>
      <c r="M813">
        <v>0</v>
      </c>
      <c r="N813">
        <v>0.91300000000000003</v>
      </c>
      <c r="O813">
        <v>8.6999999999999994E-2</v>
      </c>
    </row>
    <row r="814" spans="1:15" x14ac:dyDescent="0.2">
      <c r="A814" s="1" t="str">
        <f>HYPERLINK("http://www.twitter.com/banuakdenizli/status/1586006831356596224", "1586006831356596224")</f>
        <v>1586006831356596224</v>
      </c>
      <c r="B814" t="s">
        <v>15</v>
      </c>
      <c r="C814" s="2">
        <v>44862.616539351853</v>
      </c>
      <c r="D814">
        <v>0</v>
      </c>
      <c r="E814">
        <v>28</v>
      </c>
      <c r="F814" t="s">
        <v>25</v>
      </c>
      <c r="G814" t="s">
        <v>877</v>
      </c>
      <c r="L814">
        <v>-0.71840000000000004</v>
      </c>
      <c r="M814">
        <v>0.12</v>
      </c>
      <c r="N814">
        <v>0.88</v>
      </c>
      <c r="O814">
        <v>0</v>
      </c>
    </row>
    <row r="815" spans="1:15" x14ac:dyDescent="0.2">
      <c r="A815" s="1" t="str">
        <f>HYPERLINK("http://www.twitter.com/banuakdenizli/status/1586004604021456897", "1586004604021456897")</f>
        <v>1586004604021456897</v>
      </c>
      <c r="B815" t="s">
        <v>15</v>
      </c>
      <c r="C815" s="2">
        <v>44862.610393518517</v>
      </c>
      <c r="D815">
        <v>0</v>
      </c>
      <c r="E815">
        <v>34</v>
      </c>
      <c r="F815" t="s">
        <v>17</v>
      </c>
      <c r="G815" t="s">
        <v>878</v>
      </c>
      <c r="H815" t="str">
        <f>HYPERLINK("http://pbs.twimg.com/media/FgKeGX9X0AA_6XY.jpg", "http://pbs.twimg.com/media/FgKeGX9X0AA_6XY.jpg")</f>
        <v>http://pbs.twimg.com/media/FgKeGX9X0AA_6XY.jpg</v>
      </c>
      <c r="I815" t="str">
        <f>HYPERLINK("http://pbs.twimg.com/media/FgKeGYUVQAAC300.jpg", "http://pbs.twimg.com/media/FgKeGYUVQAAC300.jpg")</f>
        <v>http://pbs.twimg.com/media/FgKeGYUVQAAC300.jpg</v>
      </c>
      <c r="L815">
        <v>0</v>
      </c>
      <c r="M815">
        <v>0</v>
      </c>
      <c r="N815">
        <v>1</v>
      </c>
      <c r="O815">
        <v>0</v>
      </c>
    </row>
    <row r="816" spans="1:15" x14ac:dyDescent="0.2">
      <c r="A816" s="1" t="str">
        <f>HYPERLINK("http://www.twitter.com/banuakdenizli/status/1586004444042465282", "1586004444042465282")</f>
        <v>1586004444042465282</v>
      </c>
      <c r="B816" t="s">
        <v>15</v>
      </c>
      <c r="C816" s="2">
        <v>44862.609953703701</v>
      </c>
      <c r="D816">
        <v>0</v>
      </c>
      <c r="E816">
        <v>120</v>
      </c>
      <c r="F816" t="s">
        <v>25</v>
      </c>
      <c r="G816" t="s">
        <v>879</v>
      </c>
      <c r="L816">
        <v>0</v>
      </c>
      <c r="M816">
        <v>0</v>
      </c>
      <c r="N816">
        <v>1</v>
      </c>
      <c r="O816">
        <v>0</v>
      </c>
    </row>
    <row r="817" spans="1:15" x14ac:dyDescent="0.2">
      <c r="A817" s="1" t="str">
        <f>HYPERLINK("http://www.twitter.com/banuakdenizli/status/1585992673852203009", "1585992673852203009")</f>
        <v>1585992673852203009</v>
      </c>
      <c r="B817" t="s">
        <v>15</v>
      </c>
      <c r="C817" s="2">
        <v>44862.577476851853</v>
      </c>
      <c r="D817">
        <v>0</v>
      </c>
      <c r="E817">
        <v>205</v>
      </c>
      <c r="F817" t="s">
        <v>16</v>
      </c>
      <c r="G817" t="s">
        <v>880</v>
      </c>
      <c r="H817" t="str">
        <f>HYPERLINK("http://pbs.twimg.com/media/FgKQ3USXkAAVruz.jpg", "http://pbs.twimg.com/media/FgKQ3USXkAAVruz.jpg")</f>
        <v>http://pbs.twimg.com/media/FgKQ3USXkAAVruz.jpg</v>
      </c>
      <c r="I817" t="str">
        <f>HYPERLINK("http://pbs.twimg.com/media/FgKQ5EvWYAIYBHR.jpg", "http://pbs.twimg.com/media/FgKQ5EvWYAIYBHR.jpg")</f>
        <v>http://pbs.twimg.com/media/FgKQ5EvWYAIYBHR.jpg</v>
      </c>
      <c r="L817">
        <v>0</v>
      </c>
      <c r="M817">
        <v>0</v>
      </c>
      <c r="N817">
        <v>1</v>
      </c>
      <c r="O817">
        <v>0</v>
      </c>
    </row>
    <row r="818" spans="1:15" x14ac:dyDescent="0.2">
      <c r="A818" s="1" t="str">
        <f>HYPERLINK("http://www.twitter.com/banuakdenizli/status/1585983903466393601", "1585983903466393601")</f>
        <v>1585983903466393601</v>
      </c>
      <c r="B818" t="s">
        <v>15</v>
      </c>
      <c r="C818" s="2">
        <v>44862.55327546296</v>
      </c>
      <c r="D818">
        <v>0</v>
      </c>
      <c r="E818">
        <v>3</v>
      </c>
      <c r="F818" t="s">
        <v>35</v>
      </c>
      <c r="G818" t="s">
        <v>881</v>
      </c>
      <c r="L818">
        <v>0.74299999999999999</v>
      </c>
      <c r="M818">
        <v>0</v>
      </c>
      <c r="N818">
        <v>0.82299999999999995</v>
      </c>
      <c r="O818">
        <v>0.17699999999999999</v>
      </c>
    </row>
    <row r="819" spans="1:15" x14ac:dyDescent="0.2">
      <c r="A819" s="1" t="str">
        <f>HYPERLINK("http://www.twitter.com/banuakdenizli/status/1585983888328794112", "1585983888328794112")</f>
        <v>1585983888328794112</v>
      </c>
      <c r="B819" t="s">
        <v>15</v>
      </c>
      <c r="C819" s="2">
        <v>44862.553229166668</v>
      </c>
      <c r="D819">
        <v>0</v>
      </c>
      <c r="E819">
        <v>9</v>
      </c>
      <c r="F819" t="s">
        <v>16</v>
      </c>
      <c r="G819" t="s">
        <v>882</v>
      </c>
      <c r="H819" t="str">
        <f>HYPERLINK("https://video.twimg.com/amplify_video/1585961105087729664/vid/720x720/KnOu-qRPWzh8qEQd.mp4?tag=14", "https://video.twimg.com/amplify_video/1585961105087729664/vid/720x720/KnOu-qRPWzh8qEQd.mp4?tag=14")</f>
        <v>https://video.twimg.com/amplify_video/1585961105087729664/vid/720x720/KnOu-qRPWzh8qEQd.mp4?tag=14</v>
      </c>
      <c r="L819">
        <v>0</v>
      </c>
      <c r="M819">
        <v>0</v>
      </c>
      <c r="N819">
        <v>1</v>
      </c>
      <c r="O819">
        <v>0</v>
      </c>
    </row>
    <row r="820" spans="1:15" x14ac:dyDescent="0.2">
      <c r="A820" s="1" t="str">
        <f>HYPERLINK("http://www.twitter.com/banuakdenizli/status/1585983801552883712", "1585983801552883712")</f>
        <v>1585983801552883712</v>
      </c>
      <c r="B820" t="s">
        <v>15</v>
      </c>
      <c r="C820" s="2">
        <v>44862.552997685183</v>
      </c>
      <c r="D820">
        <v>0</v>
      </c>
      <c r="E820">
        <v>5</v>
      </c>
      <c r="F820" t="s">
        <v>35</v>
      </c>
      <c r="G820" t="s">
        <v>883</v>
      </c>
      <c r="H820" t="str">
        <f>HYPERLINK("http://pbs.twimg.com/media/FgJ2JCDXkAEg9-7.jpg", "http://pbs.twimg.com/media/FgJ2JCDXkAEg9-7.jpg")</f>
        <v>http://pbs.twimg.com/media/FgJ2JCDXkAEg9-7.jpg</v>
      </c>
      <c r="L820">
        <v>0.88600000000000001</v>
      </c>
      <c r="M820">
        <v>0.112</v>
      </c>
      <c r="N820">
        <v>0.57699999999999996</v>
      </c>
      <c r="O820">
        <v>0.311</v>
      </c>
    </row>
    <row r="821" spans="1:15" x14ac:dyDescent="0.2">
      <c r="A821" s="1" t="str">
        <f>HYPERLINK("http://www.twitter.com/banuakdenizli/status/1585792508650717184", "1585792508650717184")</f>
        <v>1585792508650717184</v>
      </c>
      <c r="B821" t="s">
        <v>15</v>
      </c>
      <c r="C821" s="2">
        <v>44862.025127314817</v>
      </c>
      <c r="D821">
        <v>0</v>
      </c>
      <c r="E821">
        <v>6</v>
      </c>
      <c r="F821" t="s">
        <v>17</v>
      </c>
      <c r="G821" t="s">
        <v>884</v>
      </c>
      <c r="H821" t="str">
        <f>HYPERLINK("http://pbs.twimg.com/media/FgGz2CoXEAUiSwF.jpg", "http://pbs.twimg.com/media/FgGz2CoXEAUiSwF.jpg")</f>
        <v>http://pbs.twimg.com/media/FgGz2CoXEAUiSwF.jpg</v>
      </c>
      <c r="I821" t="str">
        <f>HYPERLINK("http://pbs.twimg.com/media/FgGz2CnXkAMhHiR.jpg", "http://pbs.twimg.com/media/FgGz2CnXkAMhHiR.jpg")</f>
        <v>http://pbs.twimg.com/media/FgGz2CnXkAMhHiR.jpg</v>
      </c>
      <c r="J821" t="str">
        <f>HYPERLINK("http://pbs.twimg.com/media/FgGz2CtXEAIb4yY.jpg", "http://pbs.twimg.com/media/FgGz2CtXEAIb4yY.jpg")</f>
        <v>http://pbs.twimg.com/media/FgGz2CtXEAIb4yY.jpg</v>
      </c>
      <c r="K821" t="str">
        <f>HYPERLINK("http://pbs.twimg.com/media/FgGz2CtXoAEd7wL.jpg", "http://pbs.twimg.com/media/FgGz2CtXoAEd7wL.jpg")</f>
        <v>http://pbs.twimg.com/media/FgGz2CtXoAEd7wL.jpg</v>
      </c>
      <c r="L821">
        <v>0</v>
      </c>
      <c r="M821">
        <v>0</v>
      </c>
      <c r="N821">
        <v>1</v>
      </c>
      <c r="O821">
        <v>0</v>
      </c>
    </row>
    <row r="822" spans="1:15" x14ac:dyDescent="0.2">
      <c r="A822" s="1" t="str">
        <f>HYPERLINK("http://www.twitter.com/banuakdenizli/status/1585792495023452160", "1585792495023452160")</f>
        <v>1585792495023452160</v>
      </c>
      <c r="B822" t="s">
        <v>15</v>
      </c>
      <c r="C822" s="2">
        <v>44862.025092592587</v>
      </c>
      <c r="D822">
        <v>0</v>
      </c>
      <c r="E822">
        <v>16</v>
      </c>
      <c r="F822" t="s">
        <v>17</v>
      </c>
      <c r="G822" t="s">
        <v>885</v>
      </c>
      <c r="H822" t="str">
        <f>HYPERLINK("http://pbs.twimg.com/media/FgGz047WYAEHUuq.jpg", "http://pbs.twimg.com/media/FgGz047WYAEHUuq.jpg")</f>
        <v>http://pbs.twimg.com/media/FgGz047WYAEHUuq.jpg</v>
      </c>
      <c r="I822" t="str">
        <f>HYPERLINK("http://pbs.twimg.com/media/FgGz05EXwAE56Pw.jpg", "http://pbs.twimg.com/media/FgGz05EXwAE56Pw.jpg")</f>
        <v>http://pbs.twimg.com/media/FgGz05EXwAE56Pw.jpg</v>
      </c>
      <c r="J822" t="str">
        <f>HYPERLINK("http://pbs.twimg.com/media/FgGz05BXkAgqyaL.jpg", "http://pbs.twimg.com/media/FgGz05BXkAgqyaL.jpg")</f>
        <v>http://pbs.twimg.com/media/FgGz05BXkAgqyaL.jpg</v>
      </c>
      <c r="K822" t="str">
        <f>HYPERLINK("http://pbs.twimg.com/media/FgGz048XEAEmxTL.jpg", "http://pbs.twimg.com/media/FgGz048XEAEmxTL.jpg")</f>
        <v>http://pbs.twimg.com/media/FgGz048XEAEmxTL.jpg</v>
      </c>
      <c r="L822">
        <v>0</v>
      </c>
      <c r="M822">
        <v>0</v>
      </c>
      <c r="N822">
        <v>1</v>
      </c>
      <c r="O822">
        <v>0</v>
      </c>
    </row>
    <row r="823" spans="1:15" x14ac:dyDescent="0.2">
      <c r="A823" s="1" t="str">
        <f>HYPERLINK("http://www.twitter.com/banuakdenizli/status/1585792471644209152", "1585792471644209152")</f>
        <v>1585792471644209152</v>
      </c>
      <c r="B823" t="s">
        <v>15</v>
      </c>
      <c r="C823" s="2">
        <v>44862.025023148148</v>
      </c>
      <c r="D823">
        <v>0</v>
      </c>
      <c r="E823">
        <v>5</v>
      </c>
      <c r="F823" t="s">
        <v>19</v>
      </c>
      <c r="G823" t="s">
        <v>886</v>
      </c>
      <c r="L823">
        <v>0.57189999999999996</v>
      </c>
      <c r="M823">
        <v>0</v>
      </c>
      <c r="N823">
        <v>0.90400000000000003</v>
      </c>
      <c r="O823">
        <v>9.6000000000000002E-2</v>
      </c>
    </row>
    <row r="824" spans="1:15" x14ac:dyDescent="0.2">
      <c r="A824" s="1" t="str">
        <f>HYPERLINK("http://www.twitter.com/banuakdenizli/status/1585792415574663168", "1585792415574663168")</f>
        <v>1585792415574663168</v>
      </c>
      <c r="B824" t="s">
        <v>15</v>
      </c>
      <c r="C824" s="2">
        <v>44862.024872685193</v>
      </c>
      <c r="D824">
        <v>0</v>
      </c>
      <c r="E824">
        <v>15</v>
      </c>
      <c r="F824" t="s">
        <v>17</v>
      </c>
      <c r="G824" t="s">
        <v>887</v>
      </c>
      <c r="H824" t="str">
        <f>HYPERLINK("http://pbs.twimg.com/media/FgG08bUaAAAgDEB.jpg", "http://pbs.twimg.com/media/FgG08bUaAAAgDEB.jpg")</f>
        <v>http://pbs.twimg.com/media/FgG08bUaAAAgDEB.jpg</v>
      </c>
      <c r="L824">
        <v>0</v>
      </c>
      <c r="M824">
        <v>0</v>
      </c>
      <c r="N824">
        <v>1</v>
      </c>
      <c r="O824">
        <v>0</v>
      </c>
    </row>
    <row r="825" spans="1:15" x14ac:dyDescent="0.2">
      <c r="A825" s="1" t="str">
        <f>HYPERLINK("http://www.twitter.com/banuakdenizli/status/1585792391998771200", "1585792391998771200")</f>
        <v>1585792391998771200</v>
      </c>
      <c r="B825" t="s">
        <v>15</v>
      </c>
      <c r="C825" s="2">
        <v>44862.02480324074</v>
      </c>
      <c r="D825">
        <v>0</v>
      </c>
      <c r="E825">
        <v>9</v>
      </c>
      <c r="F825" t="s">
        <v>19</v>
      </c>
      <c r="G825" t="s">
        <v>888</v>
      </c>
      <c r="H825" t="str">
        <f>HYPERLINK("http://pbs.twimg.com/media/FgHciN1WQAI96jn.jpg", "http://pbs.twimg.com/media/FgHciN1WQAI96jn.jpg")</f>
        <v>http://pbs.twimg.com/media/FgHciN1WQAI96jn.jpg</v>
      </c>
      <c r="L825">
        <v>5.16E-2</v>
      </c>
      <c r="M825">
        <v>4.9000000000000002E-2</v>
      </c>
      <c r="N825">
        <v>0.89800000000000002</v>
      </c>
      <c r="O825">
        <v>5.2999999999999999E-2</v>
      </c>
    </row>
    <row r="826" spans="1:15" x14ac:dyDescent="0.2">
      <c r="A826" s="1" t="str">
        <f>HYPERLINK("http://www.twitter.com/banuakdenizli/status/1585792369793925125", "1585792369793925125")</f>
        <v>1585792369793925125</v>
      </c>
      <c r="B826" t="s">
        <v>15</v>
      </c>
      <c r="C826" s="2">
        <v>44862.024745370371</v>
      </c>
      <c r="D826">
        <v>0</v>
      </c>
      <c r="E826">
        <v>6</v>
      </c>
      <c r="F826" t="s">
        <v>20</v>
      </c>
      <c r="G826" t="s">
        <v>889</v>
      </c>
      <c r="H826" t="str">
        <f>HYPERLINK("http://pbs.twimg.com/media/FgG2HJJXkAEX1yv.jpg", "http://pbs.twimg.com/media/FgG2HJJXkAEX1yv.jpg")</f>
        <v>http://pbs.twimg.com/media/FgG2HJJXkAEX1yv.jpg</v>
      </c>
      <c r="L826">
        <v>0</v>
      </c>
      <c r="M826">
        <v>0</v>
      </c>
      <c r="N826">
        <v>1</v>
      </c>
      <c r="O826">
        <v>0</v>
      </c>
    </row>
    <row r="827" spans="1:15" x14ac:dyDescent="0.2">
      <c r="A827" s="1" t="str">
        <f>HYPERLINK("http://www.twitter.com/banuakdenizli/status/1585792344338890758", "1585792344338890758")</f>
        <v>1585792344338890758</v>
      </c>
      <c r="B827" t="s">
        <v>15</v>
      </c>
      <c r="C827" s="2">
        <v>44862.024675925917</v>
      </c>
      <c r="D827">
        <v>0</v>
      </c>
      <c r="E827">
        <v>21</v>
      </c>
      <c r="F827" t="s">
        <v>16</v>
      </c>
      <c r="G827" t="s">
        <v>890</v>
      </c>
      <c r="H827" t="str">
        <f>HYPERLINK("http://pbs.twimg.com/media/FgG01FPX0AAFCVa.jpg", "http://pbs.twimg.com/media/FgG01FPX0AAFCVa.jpg")</f>
        <v>http://pbs.twimg.com/media/FgG01FPX0AAFCVa.jpg</v>
      </c>
      <c r="L827">
        <v>0</v>
      </c>
      <c r="M827">
        <v>0</v>
      </c>
      <c r="N827">
        <v>1</v>
      </c>
      <c r="O827">
        <v>0</v>
      </c>
    </row>
    <row r="828" spans="1:15" x14ac:dyDescent="0.2">
      <c r="A828" s="1" t="str">
        <f>HYPERLINK("http://www.twitter.com/banuakdenizli/status/1585705763829387272", "1585705763829387272")</f>
        <v>1585705763829387272</v>
      </c>
      <c r="B828" t="s">
        <v>15</v>
      </c>
      <c r="C828" s="2">
        <v>44861.785752314812</v>
      </c>
      <c r="D828">
        <v>0</v>
      </c>
      <c r="E828">
        <v>8</v>
      </c>
      <c r="F828" t="s">
        <v>16</v>
      </c>
      <c r="G828" t="s">
        <v>891</v>
      </c>
      <c r="H828" t="str">
        <f>HYPERLINK("http://pbs.twimg.com/media/FgGOX_bWYAYOaZ1.jpg", "http://pbs.twimg.com/media/FgGOX_bWYAYOaZ1.jpg")</f>
        <v>http://pbs.twimg.com/media/FgGOX_bWYAYOaZ1.jpg</v>
      </c>
      <c r="I828" t="str">
        <f>HYPERLINK("http://pbs.twimg.com/media/FgGOX_WWYAEMQxO.jpg", "http://pbs.twimg.com/media/FgGOX_WWYAEMQxO.jpg")</f>
        <v>http://pbs.twimg.com/media/FgGOX_WWYAEMQxO.jpg</v>
      </c>
      <c r="J828" t="str">
        <f>HYPERLINK("http://pbs.twimg.com/media/FgGOX_iXEAUuk3K.jpg", "http://pbs.twimg.com/media/FgGOX_iXEAUuk3K.jpg")</f>
        <v>http://pbs.twimg.com/media/FgGOX_iXEAUuk3K.jpg</v>
      </c>
      <c r="K828" t="str">
        <f>HYPERLINK("http://pbs.twimg.com/media/FgGOX_aX0AApGby.jpg", "http://pbs.twimg.com/media/FgGOX_aX0AApGby.jpg")</f>
        <v>http://pbs.twimg.com/media/FgGOX_aX0AApGby.jpg</v>
      </c>
      <c r="L828">
        <v>0</v>
      </c>
      <c r="M828">
        <v>0</v>
      </c>
      <c r="N828">
        <v>1</v>
      </c>
      <c r="O828">
        <v>0</v>
      </c>
    </row>
    <row r="829" spans="1:15" x14ac:dyDescent="0.2">
      <c r="A829" s="1" t="str">
        <f>HYPERLINK("http://www.twitter.com/banuakdenizli/status/1585705748159688704", "1585705748159688704")</f>
        <v>1585705748159688704</v>
      </c>
      <c r="B829" t="s">
        <v>15</v>
      </c>
      <c r="C829" s="2">
        <v>44861.785717592589</v>
      </c>
      <c r="D829">
        <v>0</v>
      </c>
      <c r="E829">
        <v>14</v>
      </c>
      <c r="F829" t="s">
        <v>16</v>
      </c>
      <c r="G829" t="s">
        <v>892</v>
      </c>
      <c r="H829" t="str">
        <f>HYPERLINK("http://pbs.twimg.com/media/FgGOW1PXoAAW0Q4.jpg", "http://pbs.twimg.com/media/FgGOW1PXoAAW0Q4.jpg")</f>
        <v>http://pbs.twimg.com/media/FgGOW1PXoAAW0Q4.jpg</v>
      </c>
      <c r="I829" t="str">
        <f>HYPERLINK("http://pbs.twimg.com/media/FgGOW1WX0AA5Wzs.jpg", "http://pbs.twimg.com/media/FgGOW1WX0AA5Wzs.jpg")</f>
        <v>http://pbs.twimg.com/media/FgGOW1WX0AA5Wzs.jpg</v>
      </c>
      <c r="J829" t="str">
        <f>HYPERLINK("http://pbs.twimg.com/media/FgGOW1PXEBYQGb5.jpg", "http://pbs.twimg.com/media/FgGOW1PXEBYQGb5.jpg")</f>
        <v>http://pbs.twimg.com/media/FgGOW1PXEBYQGb5.jpg</v>
      </c>
      <c r="K829" t="str">
        <f>HYPERLINK("http://pbs.twimg.com/media/FgGOW1LWQAAJds0.jpg", "http://pbs.twimg.com/media/FgGOW1LWQAAJds0.jpg")</f>
        <v>http://pbs.twimg.com/media/FgGOW1LWQAAJds0.jpg</v>
      </c>
      <c r="L829">
        <v>0</v>
      </c>
      <c r="M829">
        <v>0</v>
      </c>
      <c r="N829">
        <v>1</v>
      </c>
      <c r="O829">
        <v>0</v>
      </c>
    </row>
    <row r="830" spans="1:15" x14ac:dyDescent="0.2">
      <c r="A830" s="1" t="str">
        <f>HYPERLINK("http://www.twitter.com/banuakdenizli/status/1585682563955392513", "1585682563955392513")</f>
        <v>1585682563955392513</v>
      </c>
      <c r="B830" t="s">
        <v>15</v>
      </c>
      <c r="C830" s="2">
        <v>44861.721736111111</v>
      </c>
      <c r="D830">
        <v>0</v>
      </c>
      <c r="E830">
        <v>2</v>
      </c>
      <c r="F830" t="s">
        <v>39</v>
      </c>
      <c r="G830" t="s">
        <v>893</v>
      </c>
      <c r="L830">
        <v>0.5423</v>
      </c>
      <c r="M830">
        <v>0</v>
      </c>
      <c r="N830">
        <v>0.91600000000000004</v>
      </c>
      <c r="O830">
        <v>8.4000000000000005E-2</v>
      </c>
    </row>
    <row r="831" spans="1:15" x14ac:dyDescent="0.2">
      <c r="A831" s="1" t="str">
        <f>HYPERLINK("http://www.twitter.com/banuakdenizli/status/1585682547102695425", "1585682547102695425")</f>
        <v>1585682547102695425</v>
      </c>
      <c r="B831" t="s">
        <v>15</v>
      </c>
      <c r="C831" s="2">
        <v>44861.721689814818</v>
      </c>
      <c r="D831">
        <v>0</v>
      </c>
      <c r="E831">
        <v>5</v>
      </c>
      <c r="F831" t="s">
        <v>39</v>
      </c>
      <c r="G831" t="s">
        <v>894</v>
      </c>
      <c r="H831" t="str">
        <f>HYPERLINK("http://pbs.twimg.com/media/FgEqo0yXkAE0Yfz.jpg", "http://pbs.twimg.com/media/FgEqo0yXkAE0Yfz.jpg")</f>
        <v>http://pbs.twimg.com/media/FgEqo0yXkAE0Yfz.jpg</v>
      </c>
      <c r="L831">
        <v>0</v>
      </c>
      <c r="M831">
        <v>0</v>
      </c>
      <c r="N831">
        <v>1</v>
      </c>
      <c r="O831">
        <v>0</v>
      </c>
    </row>
    <row r="832" spans="1:15" x14ac:dyDescent="0.2">
      <c r="A832" s="1" t="str">
        <f>HYPERLINK("http://www.twitter.com/banuakdenizli/status/1585682521081143299", "1585682521081143299")</f>
        <v>1585682521081143299</v>
      </c>
      <c r="B832" t="s">
        <v>15</v>
      </c>
      <c r="C832" s="2">
        <v>44861.721620370372</v>
      </c>
      <c r="D832">
        <v>0</v>
      </c>
      <c r="E832">
        <v>3</v>
      </c>
      <c r="F832" t="s">
        <v>39</v>
      </c>
      <c r="G832" t="s">
        <v>895</v>
      </c>
      <c r="L832">
        <v>0.44040000000000001</v>
      </c>
      <c r="M832">
        <v>0</v>
      </c>
      <c r="N832">
        <v>0.92300000000000004</v>
      </c>
      <c r="O832">
        <v>7.6999999999999999E-2</v>
      </c>
    </row>
    <row r="833" spans="1:15" x14ac:dyDescent="0.2">
      <c r="A833" s="1" t="str">
        <f>HYPERLINK("http://www.twitter.com/banuakdenizli/status/1585682512730525696", "1585682512730525696")</f>
        <v>1585682512730525696</v>
      </c>
      <c r="B833" t="s">
        <v>15</v>
      </c>
      <c r="C833" s="2">
        <v>44861.721597222233</v>
      </c>
      <c r="D833">
        <v>0</v>
      </c>
      <c r="E833">
        <v>3</v>
      </c>
      <c r="F833" t="s">
        <v>39</v>
      </c>
      <c r="G833" t="s">
        <v>896</v>
      </c>
      <c r="H833" t="str">
        <f>HYPERLINK("http://pbs.twimg.com/media/FgE3HlzXEAApnh7.jpg", "http://pbs.twimg.com/media/FgE3HlzXEAApnh7.jpg")</f>
        <v>http://pbs.twimg.com/media/FgE3HlzXEAApnh7.jpg</v>
      </c>
      <c r="L833">
        <v>0</v>
      </c>
      <c r="M833">
        <v>0</v>
      </c>
      <c r="N833">
        <v>1</v>
      </c>
      <c r="O833">
        <v>0</v>
      </c>
    </row>
    <row r="834" spans="1:15" x14ac:dyDescent="0.2">
      <c r="A834" s="1" t="str">
        <f>HYPERLINK("http://www.twitter.com/banuakdenizli/status/1585682442752753664", "1585682442752753664")</f>
        <v>1585682442752753664</v>
      </c>
      <c r="B834" t="s">
        <v>15</v>
      </c>
      <c r="C834" s="2">
        <v>44861.721400462957</v>
      </c>
      <c r="D834">
        <v>0</v>
      </c>
      <c r="E834">
        <v>9</v>
      </c>
      <c r="F834" t="s">
        <v>39</v>
      </c>
      <c r="G834" t="s">
        <v>897</v>
      </c>
      <c r="H834" t="str">
        <f>HYPERLINK("http://pbs.twimg.com/media/FgE_h76XoAA0RIQ.jpg", "http://pbs.twimg.com/media/FgE_h76XoAA0RIQ.jpg")</f>
        <v>http://pbs.twimg.com/media/FgE_h76XoAA0RIQ.jpg</v>
      </c>
      <c r="L834">
        <v>-0.36120000000000002</v>
      </c>
      <c r="M834">
        <v>0.111</v>
      </c>
      <c r="N834">
        <v>0.88900000000000001</v>
      </c>
      <c r="O834">
        <v>0</v>
      </c>
    </row>
    <row r="835" spans="1:15" x14ac:dyDescent="0.2">
      <c r="A835" s="1" t="str">
        <f>HYPERLINK("http://www.twitter.com/banuakdenizli/status/1585677574306398216", "1585677574306398216")</f>
        <v>1585677574306398216</v>
      </c>
      <c r="B835" t="s">
        <v>15</v>
      </c>
      <c r="C835" s="2">
        <v>44861.707962962973</v>
      </c>
      <c r="D835">
        <v>0</v>
      </c>
      <c r="E835">
        <v>2</v>
      </c>
      <c r="F835" t="s">
        <v>21</v>
      </c>
      <c r="G835" t="s">
        <v>898</v>
      </c>
      <c r="H835" t="str">
        <f>HYPERLINK("http://pbs.twimg.com/media/FgFwURHWIAAn3k3.jpg", "http://pbs.twimg.com/media/FgFwURHWIAAn3k3.jpg")</f>
        <v>http://pbs.twimg.com/media/FgFwURHWIAAn3k3.jpg</v>
      </c>
      <c r="L835">
        <v>0.45879999999999999</v>
      </c>
      <c r="M835">
        <v>0</v>
      </c>
      <c r="N835">
        <v>0.91200000000000003</v>
      </c>
      <c r="O835">
        <v>8.7999999999999995E-2</v>
      </c>
    </row>
    <row r="836" spans="1:15" x14ac:dyDescent="0.2">
      <c r="A836" s="1" t="str">
        <f>HYPERLINK("http://www.twitter.com/banuakdenizli/status/1585676095516442627", "1585676095516442627")</f>
        <v>1585676095516442627</v>
      </c>
      <c r="B836" t="s">
        <v>15</v>
      </c>
      <c r="C836" s="2">
        <v>44861.703888888893</v>
      </c>
      <c r="D836">
        <v>0</v>
      </c>
      <c r="E836">
        <v>1</v>
      </c>
      <c r="F836" t="s">
        <v>21</v>
      </c>
      <c r="G836" t="s">
        <v>899</v>
      </c>
      <c r="H836" t="str">
        <f>HYPERLINK("http://pbs.twimg.com/media/FgFwKLOWIAUjkXP.jpg", "http://pbs.twimg.com/media/FgFwKLOWIAUjkXP.jpg")</f>
        <v>http://pbs.twimg.com/media/FgFwKLOWIAUjkXP.jpg</v>
      </c>
      <c r="L836">
        <v>0</v>
      </c>
      <c r="M836">
        <v>0</v>
      </c>
      <c r="N836">
        <v>1</v>
      </c>
      <c r="O836">
        <v>0</v>
      </c>
    </row>
    <row r="837" spans="1:15" x14ac:dyDescent="0.2">
      <c r="A837" s="1" t="str">
        <f>HYPERLINK("http://www.twitter.com/banuakdenizli/status/1585676066168967170", "1585676066168967170")</f>
        <v>1585676066168967170</v>
      </c>
      <c r="B837" t="s">
        <v>15</v>
      </c>
      <c r="C837" s="2">
        <v>44861.70380787037</v>
      </c>
      <c r="D837">
        <v>0</v>
      </c>
      <c r="E837">
        <v>4</v>
      </c>
      <c r="F837" t="s">
        <v>21</v>
      </c>
      <c r="G837" t="s">
        <v>900</v>
      </c>
      <c r="H837" t="str">
        <f>HYPERLINK("http://pbs.twimg.com/media/FgFwdaMX0AA53Ri.jpg", "http://pbs.twimg.com/media/FgFwdaMX0AA53Ri.jpg")</f>
        <v>http://pbs.twimg.com/media/FgFwdaMX0AA53Ri.jpg</v>
      </c>
      <c r="L837">
        <v>0</v>
      </c>
      <c r="M837">
        <v>0</v>
      </c>
      <c r="N837">
        <v>1</v>
      </c>
      <c r="O837">
        <v>0</v>
      </c>
    </row>
    <row r="838" spans="1:15" x14ac:dyDescent="0.2">
      <c r="A838" s="1" t="str">
        <f>HYPERLINK("http://www.twitter.com/banuakdenizli/status/1585676029829447689", "1585676029829447689")</f>
        <v>1585676029829447689</v>
      </c>
      <c r="B838" t="s">
        <v>15</v>
      </c>
      <c r="C838" s="2">
        <v>44861.703703703701</v>
      </c>
      <c r="D838">
        <v>0</v>
      </c>
      <c r="E838">
        <v>13</v>
      </c>
      <c r="F838" t="s">
        <v>17</v>
      </c>
      <c r="G838" t="s">
        <v>901</v>
      </c>
      <c r="H838" t="str">
        <f>HYPERLINK("http://pbs.twimg.com/media/FgFjBl1XgAMR78P.jpg", "http://pbs.twimg.com/media/FgFjBl1XgAMR78P.jpg")</f>
        <v>http://pbs.twimg.com/media/FgFjBl1XgAMR78P.jpg</v>
      </c>
      <c r="I838" t="str">
        <f>HYPERLINK("http://pbs.twimg.com/media/FgFjH8eWAAIDpZz.jpg", "http://pbs.twimg.com/media/FgFjH8eWAAIDpZz.jpg")</f>
        <v>http://pbs.twimg.com/media/FgFjH8eWAAIDpZz.jpg</v>
      </c>
      <c r="J838" t="str">
        <f>HYPERLINK("http://pbs.twimg.com/media/FgFjH8hWYAEmi02.jpg", "http://pbs.twimg.com/media/FgFjH8hWYAEmi02.jpg")</f>
        <v>http://pbs.twimg.com/media/FgFjH8hWYAEmi02.jpg</v>
      </c>
      <c r="L838">
        <v>0</v>
      </c>
      <c r="M838">
        <v>0</v>
      </c>
      <c r="N838">
        <v>1</v>
      </c>
      <c r="O838">
        <v>0</v>
      </c>
    </row>
    <row r="839" spans="1:15" x14ac:dyDescent="0.2">
      <c r="A839" s="1" t="str">
        <f>HYPERLINK("http://www.twitter.com/banuakdenizli/status/1585676010690838538", "1585676010690838538")</f>
        <v>1585676010690838538</v>
      </c>
      <c r="B839" t="s">
        <v>15</v>
      </c>
      <c r="C839" s="2">
        <v>44861.703657407408</v>
      </c>
      <c r="D839">
        <v>0</v>
      </c>
      <c r="E839">
        <v>7</v>
      </c>
      <c r="F839" t="s">
        <v>21</v>
      </c>
      <c r="G839" t="s">
        <v>902</v>
      </c>
      <c r="H839" t="str">
        <f>HYPERLINK("http://pbs.twimg.com/media/FgFwn9iXEAUh6Hx.jpg", "http://pbs.twimg.com/media/FgFwn9iXEAUh6Hx.jpg")</f>
        <v>http://pbs.twimg.com/media/FgFwn9iXEAUh6Hx.jpg</v>
      </c>
      <c r="L839">
        <v>-0.34</v>
      </c>
      <c r="M839">
        <v>0.09</v>
      </c>
      <c r="N839">
        <v>0.85199999999999998</v>
      </c>
      <c r="O839">
        <v>5.8999999999999997E-2</v>
      </c>
    </row>
    <row r="840" spans="1:15" x14ac:dyDescent="0.2">
      <c r="A840" s="1" t="str">
        <f>HYPERLINK("http://www.twitter.com/banuakdenizli/status/1585656087423983616", "1585656087423983616")</f>
        <v>1585656087423983616</v>
      </c>
      <c r="B840" t="s">
        <v>15</v>
      </c>
      <c r="C840" s="2">
        <v>44861.648668981477</v>
      </c>
      <c r="D840">
        <v>0</v>
      </c>
      <c r="E840">
        <v>18</v>
      </c>
      <c r="F840" t="s">
        <v>51</v>
      </c>
      <c r="G840" t="s">
        <v>903</v>
      </c>
      <c r="L840">
        <v>0</v>
      </c>
      <c r="M840">
        <v>0</v>
      </c>
      <c r="N840">
        <v>1</v>
      </c>
      <c r="O840">
        <v>0</v>
      </c>
    </row>
    <row r="841" spans="1:15" x14ac:dyDescent="0.2">
      <c r="A841" s="1" t="str">
        <f>HYPERLINK("http://www.twitter.com/banuakdenizli/status/1585655756556206080", "1585655756556206080")</f>
        <v>1585655756556206080</v>
      </c>
      <c r="B841" t="s">
        <v>15</v>
      </c>
      <c r="C841" s="2">
        <v>44861.647766203707</v>
      </c>
      <c r="D841">
        <v>0</v>
      </c>
      <c r="E841">
        <v>11</v>
      </c>
      <c r="F841" t="s">
        <v>16</v>
      </c>
      <c r="G841" t="s">
        <v>904</v>
      </c>
      <c r="H841" t="str">
        <f>HYPERLINK("https://video.twimg.com/amplify_video/1585654260569673728/vid/1280x720/tf1Ds9VTalqiGaRP.mp4?tag=14", "https://video.twimg.com/amplify_video/1585654260569673728/vid/1280x720/tf1Ds9VTalqiGaRP.mp4?tag=14")</f>
        <v>https://video.twimg.com/amplify_video/1585654260569673728/vid/1280x720/tf1Ds9VTalqiGaRP.mp4?tag=14</v>
      </c>
      <c r="L841">
        <v>0</v>
      </c>
      <c r="M841">
        <v>0</v>
      </c>
      <c r="N841">
        <v>1</v>
      </c>
      <c r="O841">
        <v>0</v>
      </c>
    </row>
    <row r="842" spans="1:15" x14ac:dyDescent="0.2">
      <c r="A842" s="1" t="str">
        <f>HYPERLINK("http://www.twitter.com/banuakdenizli/status/1585655571071795203", "1585655571071795203")</f>
        <v>1585655571071795203</v>
      </c>
      <c r="B842" t="s">
        <v>15</v>
      </c>
      <c r="C842" s="2">
        <v>44861.647245370368</v>
      </c>
      <c r="D842">
        <v>0</v>
      </c>
      <c r="E842">
        <v>4</v>
      </c>
      <c r="F842" t="s">
        <v>905</v>
      </c>
      <c r="G842" t="s">
        <v>906</v>
      </c>
      <c r="H842" t="str">
        <f>HYPERLINK("https://video.twimg.com/ext_tw_video/1585636373088067584/pu/vid/1280x720/N7o-puKZ0nkLo0IP.mp4?tag=12", "https://video.twimg.com/ext_tw_video/1585636373088067584/pu/vid/1280x720/N7o-puKZ0nkLo0IP.mp4?tag=12")</f>
        <v>https://video.twimg.com/ext_tw_video/1585636373088067584/pu/vid/1280x720/N7o-puKZ0nkLo0IP.mp4?tag=12</v>
      </c>
      <c r="L842">
        <v>0</v>
      </c>
      <c r="M842">
        <v>0</v>
      </c>
      <c r="N842">
        <v>1</v>
      </c>
      <c r="O842">
        <v>0</v>
      </c>
    </row>
    <row r="843" spans="1:15" x14ac:dyDescent="0.2">
      <c r="A843" s="1" t="str">
        <f>HYPERLINK("http://www.twitter.com/banuakdenizli/status/1585655506991026177", "1585655506991026177")</f>
        <v>1585655506991026177</v>
      </c>
      <c r="B843" t="s">
        <v>15</v>
      </c>
      <c r="C843" s="2">
        <v>44861.64707175926</v>
      </c>
      <c r="D843">
        <v>0</v>
      </c>
      <c r="E843">
        <v>2</v>
      </c>
      <c r="F843" t="s">
        <v>22</v>
      </c>
      <c r="G843" t="s">
        <v>907</v>
      </c>
      <c r="L843">
        <v>0</v>
      </c>
      <c r="M843">
        <v>0</v>
      </c>
      <c r="N843">
        <v>1</v>
      </c>
      <c r="O843">
        <v>0</v>
      </c>
    </row>
    <row r="844" spans="1:15" x14ac:dyDescent="0.2">
      <c r="A844" s="1" t="str">
        <f>HYPERLINK("http://www.twitter.com/banuakdenizli/status/1585655326010925056", "1585655326010925056")</f>
        <v>1585655326010925056</v>
      </c>
      <c r="B844" t="s">
        <v>15</v>
      </c>
      <c r="C844" s="2">
        <v>44861.646574074082</v>
      </c>
      <c r="D844">
        <v>0</v>
      </c>
      <c r="E844">
        <v>16</v>
      </c>
      <c r="F844" t="s">
        <v>24</v>
      </c>
      <c r="G844" t="s">
        <v>908</v>
      </c>
      <c r="H844" t="str">
        <f>HYPERLINK("http://pbs.twimg.com/media/FgFcmlPakAMG4wx.jpg", "http://pbs.twimg.com/media/FgFcmlPakAMG4wx.jpg")</f>
        <v>http://pbs.twimg.com/media/FgFcmlPakAMG4wx.jpg</v>
      </c>
      <c r="L844">
        <v>0.52669999999999995</v>
      </c>
      <c r="M844">
        <v>0</v>
      </c>
      <c r="N844">
        <v>0.86399999999999999</v>
      </c>
      <c r="O844">
        <v>0.13600000000000001</v>
      </c>
    </row>
    <row r="845" spans="1:15" x14ac:dyDescent="0.2">
      <c r="A845" s="1" t="str">
        <f>HYPERLINK("http://www.twitter.com/banuakdenizli/status/1585655311725109249", "1585655311725109249")</f>
        <v>1585655311725109249</v>
      </c>
      <c r="B845" t="s">
        <v>15</v>
      </c>
      <c r="C845" s="2">
        <v>44861.646539351852</v>
      </c>
      <c r="D845">
        <v>0</v>
      </c>
      <c r="E845">
        <v>5</v>
      </c>
      <c r="F845" t="s">
        <v>17</v>
      </c>
      <c r="G845" t="s">
        <v>909</v>
      </c>
      <c r="H845" t="str">
        <f>HYPERLINK("http://pbs.twimg.com/media/FgFb6tfVQAEeNYm.jpg", "http://pbs.twimg.com/media/FgFb6tfVQAEeNYm.jpg")</f>
        <v>http://pbs.twimg.com/media/FgFb6tfVQAEeNYm.jpg</v>
      </c>
      <c r="L845">
        <v>0</v>
      </c>
      <c r="M845">
        <v>0</v>
      </c>
      <c r="N845">
        <v>1</v>
      </c>
      <c r="O845">
        <v>0</v>
      </c>
    </row>
    <row r="846" spans="1:15" x14ac:dyDescent="0.2">
      <c r="A846" s="1" t="str">
        <f>HYPERLINK("http://www.twitter.com/banuakdenizli/status/1585655300509650944", "1585655300509650944")</f>
        <v>1585655300509650944</v>
      </c>
      <c r="B846" t="s">
        <v>15</v>
      </c>
      <c r="C846" s="2">
        <v>44861.646504629629</v>
      </c>
      <c r="D846">
        <v>0</v>
      </c>
      <c r="E846">
        <v>6</v>
      </c>
      <c r="F846" t="s">
        <v>16</v>
      </c>
      <c r="G846" t="s">
        <v>910</v>
      </c>
      <c r="H846" t="str">
        <f>HYPERLINK("http://pbs.twimg.com/media/FgE4PwKX0AE9XKj.jpg", "http://pbs.twimg.com/media/FgE4PwKX0AE9XKj.jpg")</f>
        <v>http://pbs.twimg.com/media/FgE4PwKX0AE9XKj.jpg</v>
      </c>
      <c r="L846">
        <v>0</v>
      </c>
      <c r="M846">
        <v>0</v>
      </c>
      <c r="N846">
        <v>1</v>
      </c>
      <c r="O846">
        <v>0</v>
      </c>
    </row>
    <row r="847" spans="1:15" x14ac:dyDescent="0.2">
      <c r="A847" s="1" t="str">
        <f>HYPERLINK("http://www.twitter.com/banuakdenizli/status/1585651150740721664", "1585651150740721664")</f>
        <v>1585651150740721664</v>
      </c>
      <c r="B847" t="s">
        <v>15</v>
      </c>
      <c r="C847" s="2">
        <v>44861.635046296287</v>
      </c>
      <c r="D847">
        <v>0</v>
      </c>
      <c r="E847">
        <v>11</v>
      </c>
      <c r="F847" t="s">
        <v>911</v>
      </c>
      <c r="G847" t="s">
        <v>912</v>
      </c>
      <c r="H847" t="str">
        <f>HYPERLINK("http://pbs.twimg.com/media/Ff67rmeXoAgr3MS.jpg", "http://pbs.twimg.com/media/Ff67rmeXoAgr3MS.jpg")</f>
        <v>http://pbs.twimg.com/media/Ff67rmeXoAgr3MS.jpg</v>
      </c>
      <c r="L847">
        <v>0.126</v>
      </c>
      <c r="M847">
        <v>0</v>
      </c>
      <c r="N847">
        <v>0.94599999999999995</v>
      </c>
      <c r="O847">
        <v>5.3999999999999999E-2</v>
      </c>
    </row>
    <row r="848" spans="1:15" x14ac:dyDescent="0.2">
      <c r="A848" s="1" t="str">
        <f>HYPERLINK("http://www.twitter.com/banuakdenizli/status/1585651094268612609", "1585651094268612609")</f>
        <v>1585651094268612609</v>
      </c>
      <c r="B848" t="s">
        <v>15</v>
      </c>
      <c r="C848" s="2">
        <v>44861.634895833333</v>
      </c>
      <c r="D848">
        <v>0</v>
      </c>
      <c r="E848">
        <v>13</v>
      </c>
      <c r="F848" t="s">
        <v>911</v>
      </c>
      <c r="G848" t="s">
        <v>913</v>
      </c>
      <c r="H848" t="str">
        <f>HYPERLINK("http://pbs.twimg.com/media/FgAASPPX0AAKvq1.jpg", "http://pbs.twimg.com/media/FgAASPPX0AAKvq1.jpg")</f>
        <v>http://pbs.twimg.com/media/FgAASPPX0AAKvq1.jpg</v>
      </c>
      <c r="L848">
        <v>0</v>
      </c>
      <c r="M848">
        <v>0</v>
      </c>
      <c r="N848">
        <v>1</v>
      </c>
      <c r="O848">
        <v>0</v>
      </c>
    </row>
    <row r="849" spans="1:15" x14ac:dyDescent="0.2">
      <c r="A849" s="1" t="str">
        <f>HYPERLINK("http://www.twitter.com/banuakdenizli/status/1585651067148181505", "1585651067148181505")</f>
        <v>1585651067148181505</v>
      </c>
      <c r="B849" t="s">
        <v>15</v>
      </c>
      <c r="C849" s="2">
        <v>44861.634826388887</v>
      </c>
      <c r="D849">
        <v>0</v>
      </c>
      <c r="E849">
        <v>2</v>
      </c>
      <c r="F849" t="s">
        <v>29</v>
      </c>
      <c r="G849" t="s">
        <v>914</v>
      </c>
      <c r="H849" t="str">
        <f>HYPERLINK("http://pbs.twimg.com/media/FgD22I9XwAAcRWc.jpg", "http://pbs.twimg.com/media/FgD22I9XwAAcRWc.jpg")</f>
        <v>http://pbs.twimg.com/media/FgD22I9XwAAcRWc.jpg</v>
      </c>
      <c r="L849">
        <v>0</v>
      </c>
      <c r="M849">
        <v>0</v>
      </c>
      <c r="N849">
        <v>1</v>
      </c>
      <c r="O849">
        <v>0</v>
      </c>
    </row>
    <row r="850" spans="1:15" x14ac:dyDescent="0.2">
      <c r="A850" s="1" t="str">
        <f>HYPERLINK("http://www.twitter.com/banuakdenizli/status/1585651006125346816", "1585651006125346816")</f>
        <v>1585651006125346816</v>
      </c>
      <c r="B850" t="s">
        <v>15</v>
      </c>
      <c r="C850" s="2">
        <v>44861.634652777779</v>
      </c>
      <c r="D850">
        <v>0</v>
      </c>
      <c r="E850">
        <v>6</v>
      </c>
      <c r="F850" t="s">
        <v>42</v>
      </c>
      <c r="G850" t="s">
        <v>915</v>
      </c>
      <c r="H850" t="str">
        <f>HYPERLINK("http://pbs.twimg.com/media/FgD-vlbX0AApR62.jpg", "http://pbs.twimg.com/media/FgD-vlbX0AApR62.jpg")</f>
        <v>http://pbs.twimg.com/media/FgD-vlbX0AApR62.jpg</v>
      </c>
      <c r="L850">
        <v>0</v>
      </c>
      <c r="M850">
        <v>0</v>
      </c>
      <c r="N850">
        <v>1</v>
      </c>
      <c r="O850">
        <v>0</v>
      </c>
    </row>
    <row r="851" spans="1:15" x14ac:dyDescent="0.2">
      <c r="A851" s="1" t="str">
        <f>HYPERLINK("http://www.twitter.com/banuakdenizli/status/1585650861962928128", "1585650861962928128")</f>
        <v>1585650861962928128</v>
      </c>
      <c r="B851" t="s">
        <v>15</v>
      </c>
      <c r="C851" s="2">
        <v>44861.634259259263</v>
      </c>
      <c r="D851">
        <v>0</v>
      </c>
      <c r="E851">
        <v>2</v>
      </c>
      <c r="F851" t="s">
        <v>17</v>
      </c>
      <c r="G851" t="s">
        <v>916</v>
      </c>
      <c r="H851" t="str">
        <f>HYPERLINK("http://pbs.twimg.com/media/FgBfNoJXEAsijST.jpg", "http://pbs.twimg.com/media/FgBfNoJXEAsijST.jpg")</f>
        <v>http://pbs.twimg.com/media/FgBfNoJXEAsijST.jpg</v>
      </c>
      <c r="I851" t="str">
        <f>HYPERLINK("http://pbs.twimg.com/media/FgBfNoGXEAgaWhU.jpg", "http://pbs.twimg.com/media/FgBfNoGXEAgaWhU.jpg")</f>
        <v>http://pbs.twimg.com/media/FgBfNoGXEAgaWhU.jpg</v>
      </c>
      <c r="L851">
        <v>0</v>
      </c>
      <c r="M851">
        <v>0</v>
      </c>
      <c r="N851">
        <v>1</v>
      </c>
      <c r="O851">
        <v>0</v>
      </c>
    </row>
    <row r="852" spans="1:15" x14ac:dyDescent="0.2">
      <c r="A852" s="1" t="str">
        <f>HYPERLINK("http://www.twitter.com/banuakdenizli/status/1585650831629623297", "1585650831629623297")</f>
        <v>1585650831629623297</v>
      </c>
      <c r="B852" t="s">
        <v>15</v>
      </c>
      <c r="C852" s="2">
        <v>44861.634166666663</v>
      </c>
      <c r="D852">
        <v>0</v>
      </c>
      <c r="E852">
        <v>2</v>
      </c>
      <c r="F852" t="s">
        <v>17</v>
      </c>
      <c r="G852" t="s">
        <v>917</v>
      </c>
      <c r="H852" t="str">
        <f>HYPERLINK("http://pbs.twimg.com/media/FgBfM5zXEAo2x-x.jpg", "http://pbs.twimg.com/media/FgBfM5zXEAo2x-x.jpg")</f>
        <v>http://pbs.twimg.com/media/FgBfM5zXEAo2x-x.jpg</v>
      </c>
      <c r="I852" t="str">
        <f>HYPERLINK("http://pbs.twimg.com/media/FgBfM5wXEAk87vP.jpg", "http://pbs.twimg.com/media/FgBfM5wXEAk87vP.jpg")</f>
        <v>http://pbs.twimg.com/media/FgBfM5wXEAk87vP.jpg</v>
      </c>
      <c r="J852" t="str">
        <f>HYPERLINK("http://pbs.twimg.com/media/FgBfM5xX0AAWH5N.jpg", "http://pbs.twimg.com/media/FgBfM5xX0AAWH5N.jpg")</f>
        <v>http://pbs.twimg.com/media/FgBfM5xX0AAWH5N.jpg</v>
      </c>
      <c r="K852" t="str">
        <f>HYPERLINK("http://pbs.twimg.com/media/FgBfM6JWIAE-9ky.jpg", "http://pbs.twimg.com/media/FgBfM6JWIAE-9ky.jpg")</f>
        <v>http://pbs.twimg.com/media/FgBfM6JWIAE-9ky.jpg</v>
      </c>
      <c r="L852">
        <v>0</v>
      </c>
      <c r="M852">
        <v>0</v>
      </c>
      <c r="N852">
        <v>1</v>
      </c>
      <c r="O852">
        <v>0</v>
      </c>
    </row>
    <row r="853" spans="1:15" x14ac:dyDescent="0.2">
      <c r="A853" s="1" t="str">
        <f>HYPERLINK("http://www.twitter.com/banuakdenizli/status/1585650757717688321", "1585650757717688321")</f>
        <v>1585650757717688321</v>
      </c>
      <c r="B853" t="s">
        <v>15</v>
      </c>
      <c r="C853" s="2">
        <v>44861.633969907409</v>
      </c>
      <c r="D853">
        <v>0</v>
      </c>
      <c r="E853">
        <v>3</v>
      </c>
      <c r="F853" t="s">
        <v>17</v>
      </c>
      <c r="G853" t="s">
        <v>918</v>
      </c>
      <c r="H853" t="str">
        <f>HYPERLINK("http://pbs.twimg.com/media/FgBfLF8XEAEeERM.jpg", "http://pbs.twimg.com/media/FgBfLF8XEAEeERM.jpg")</f>
        <v>http://pbs.twimg.com/media/FgBfLF8XEAEeERM.jpg</v>
      </c>
      <c r="I853" t="str">
        <f>HYPERLINK("http://pbs.twimg.com/media/FgBfLGFXEAUtIOB.jpg", "http://pbs.twimg.com/media/FgBfLGFXEAUtIOB.jpg")</f>
        <v>http://pbs.twimg.com/media/FgBfLGFXEAUtIOB.jpg</v>
      </c>
      <c r="J853" t="str">
        <f>HYPERLINK("http://pbs.twimg.com/media/FgBfLF9WQAIo93J.jpg", "http://pbs.twimg.com/media/FgBfLF9WQAIo93J.jpg")</f>
        <v>http://pbs.twimg.com/media/FgBfLF9WQAIo93J.jpg</v>
      </c>
      <c r="L853">
        <v>0.38179999999999997</v>
      </c>
      <c r="M853">
        <v>0</v>
      </c>
      <c r="N853">
        <v>0.86699999999999999</v>
      </c>
      <c r="O853">
        <v>0.13300000000000001</v>
      </c>
    </row>
    <row r="854" spans="1:15" x14ac:dyDescent="0.2">
      <c r="A854" s="1" t="str">
        <f>HYPERLINK("http://www.twitter.com/banuakdenizli/status/1585650715762036736", "1585650715762036736")</f>
        <v>1585650715762036736</v>
      </c>
      <c r="B854" t="s">
        <v>15</v>
      </c>
      <c r="C854" s="2">
        <v>44861.63385416667</v>
      </c>
      <c r="D854">
        <v>0</v>
      </c>
      <c r="E854">
        <v>4</v>
      </c>
      <c r="F854" t="s">
        <v>16</v>
      </c>
      <c r="G854" t="s">
        <v>919</v>
      </c>
      <c r="H854" t="str">
        <f>HYPERLINK("http://pbs.twimg.com/media/FgEoCKFWYAMfySH.jpg", "http://pbs.twimg.com/media/FgEoCKFWYAMfySH.jpg")</f>
        <v>http://pbs.twimg.com/media/FgEoCKFWYAMfySH.jpg</v>
      </c>
      <c r="I854" t="str">
        <f>HYPERLINK("http://pbs.twimg.com/media/FgEoCKFWYAExxNd.jpg", "http://pbs.twimg.com/media/FgEoCKFWYAExxNd.jpg")</f>
        <v>http://pbs.twimg.com/media/FgEoCKFWYAExxNd.jpg</v>
      </c>
      <c r="L854">
        <v>0</v>
      </c>
      <c r="M854">
        <v>0</v>
      </c>
      <c r="N854">
        <v>1</v>
      </c>
      <c r="O854">
        <v>0</v>
      </c>
    </row>
    <row r="855" spans="1:15" x14ac:dyDescent="0.2">
      <c r="A855" s="1" t="str">
        <f>HYPERLINK("http://www.twitter.com/banuakdenizli/status/1585650629715828736", "1585650629715828736")</f>
        <v>1585650629715828736</v>
      </c>
      <c r="B855" t="s">
        <v>15</v>
      </c>
      <c r="C855" s="2">
        <v>44861.633611111109</v>
      </c>
      <c r="D855">
        <v>0</v>
      </c>
      <c r="E855">
        <v>5</v>
      </c>
      <c r="F855" t="s">
        <v>16</v>
      </c>
      <c r="G855" t="s">
        <v>920</v>
      </c>
      <c r="H855" t="str">
        <f>HYPERLINK("http://pbs.twimg.com/media/FgEWRJ0XgAA4tBB.jpg", "http://pbs.twimg.com/media/FgEWRJ0XgAA4tBB.jpg")</f>
        <v>http://pbs.twimg.com/media/FgEWRJ0XgAA4tBB.jpg</v>
      </c>
      <c r="L855">
        <v>0</v>
      </c>
      <c r="M855">
        <v>0</v>
      </c>
      <c r="N855">
        <v>1</v>
      </c>
      <c r="O855">
        <v>0</v>
      </c>
    </row>
    <row r="856" spans="1:15" x14ac:dyDescent="0.2">
      <c r="A856" s="1" t="str">
        <f>HYPERLINK("http://www.twitter.com/banuakdenizli/status/1585650610501730304", "1585650610501730304")</f>
        <v>1585650610501730304</v>
      </c>
      <c r="B856" t="s">
        <v>15</v>
      </c>
      <c r="C856" s="2">
        <v>44861.633564814823</v>
      </c>
      <c r="D856">
        <v>0</v>
      </c>
      <c r="E856">
        <v>6</v>
      </c>
      <c r="F856" t="s">
        <v>16</v>
      </c>
      <c r="G856" t="s">
        <v>921</v>
      </c>
      <c r="H856" t="str">
        <f>HYPERLINK("http://pbs.twimg.com/media/FgFXz0zUAAEIZml.jpg", "http://pbs.twimg.com/media/FgFXz0zUAAEIZml.jpg")</f>
        <v>http://pbs.twimg.com/media/FgFXz0zUAAEIZml.jpg</v>
      </c>
      <c r="L856">
        <v>0</v>
      </c>
      <c r="M856">
        <v>0</v>
      </c>
      <c r="N856">
        <v>1</v>
      </c>
      <c r="O856">
        <v>0</v>
      </c>
    </row>
    <row r="857" spans="1:15" x14ac:dyDescent="0.2">
      <c r="A857" s="1" t="str">
        <f>HYPERLINK("http://www.twitter.com/banuakdenizli/status/1585650525151920130", "1585650525151920130")</f>
        <v>1585650525151920130</v>
      </c>
      <c r="B857" t="s">
        <v>15</v>
      </c>
      <c r="C857" s="2">
        <v>44861.633321759262</v>
      </c>
      <c r="D857">
        <v>0</v>
      </c>
      <c r="E857">
        <v>8</v>
      </c>
      <c r="F857" t="s">
        <v>17</v>
      </c>
      <c r="G857" t="s">
        <v>922</v>
      </c>
      <c r="H857" t="str">
        <f>HYPERLINK("http://pbs.twimg.com/media/FgFVJkBUAAM28ee.jpg", "http://pbs.twimg.com/media/FgFVJkBUAAM28ee.jpg")</f>
        <v>http://pbs.twimg.com/media/FgFVJkBUAAM28ee.jpg</v>
      </c>
      <c r="L857">
        <v>-0.40189999999999998</v>
      </c>
      <c r="M857">
        <v>0.24099999999999999</v>
      </c>
      <c r="N857">
        <v>0.65300000000000002</v>
      </c>
      <c r="O857">
        <v>0.106</v>
      </c>
    </row>
    <row r="858" spans="1:15" x14ac:dyDescent="0.2">
      <c r="A858" s="1" t="str">
        <f>HYPERLINK("http://www.twitter.com/banuakdenizli/status/1585650511247728641", "1585650511247728641")</f>
        <v>1585650511247728641</v>
      </c>
      <c r="B858" t="s">
        <v>15</v>
      </c>
      <c r="C858" s="2">
        <v>44861.633287037039</v>
      </c>
      <c r="D858">
        <v>0</v>
      </c>
      <c r="E858">
        <v>9</v>
      </c>
      <c r="F858" t="s">
        <v>16</v>
      </c>
      <c r="G858" t="s">
        <v>923</v>
      </c>
      <c r="H858" t="str">
        <f>HYPERLINK("http://pbs.twimg.com/media/FgFZ9doVIAYjfko.jpg", "http://pbs.twimg.com/media/FgFZ9doVIAYjfko.jpg")</f>
        <v>http://pbs.twimg.com/media/FgFZ9doVIAYjfko.jpg</v>
      </c>
      <c r="I858" t="str">
        <f>HYPERLINK("http://pbs.twimg.com/media/FgFZ-tdUUAEOWB0.jpg", "http://pbs.twimg.com/media/FgFZ-tdUUAEOWB0.jpg")</f>
        <v>http://pbs.twimg.com/media/FgFZ-tdUUAEOWB0.jpg</v>
      </c>
      <c r="J858" t="str">
        <f>HYPERLINK("http://pbs.twimg.com/media/FgFZgj9VUAAsYt7.jpg", "http://pbs.twimg.com/media/FgFZgj9VUAAsYt7.jpg")</f>
        <v>http://pbs.twimg.com/media/FgFZgj9VUAAsYt7.jpg</v>
      </c>
      <c r="L858">
        <v>0</v>
      </c>
      <c r="M858">
        <v>0</v>
      </c>
      <c r="N858">
        <v>1</v>
      </c>
      <c r="O858">
        <v>0</v>
      </c>
    </row>
    <row r="859" spans="1:15" x14ac:dyDescent="0.2">
      <c r="A859" s="1" t="str">
        <f>HYPERLINK("http://www.twitter.com/banuakdenizli/status/1585650389869023232", "1585650389869023232")</f>
        <v>1585650389869023232</v>
      </c>
      <c r="B859" t="s">
        <v>15</v>
      </c>
      <c r="C859" s="2">
        <v>44861.632951388892</v>
      </c>
      <c r="D859">
        <v>0</v>
      </c>
      <c r="E859">
        <v>3</v>
      </c>
      <c r="F859" t="s">
        <v>17</v>
      </c>
      <c r="G859" t="s">
        <v>924</v>
      </c>
      <c r="H859" t="str">
        <f>HYPERLINK("http://pbs.twimg.com/media/FgE82K4XwAEa121.jpg", "http://pbs.twimg.com/media/FgE82K4XwAEa121.jpg")</f>
        <v>http://pbs.twimg.com/media/FgE82K4XwAEa121.jpg</v>
      </c>
      <c r="I859" t="str">
        <f>HYPERLINK("http://pbs.twimg.com/media/FgE82KpWAAARYED.jpg", "http://pbs.twimg.com/media/FgE82KpWAAARYED.jpg")</f>
        <v>http://pbs.twimg.com/media/FgE82KpWAAARYED.jpg</v>
      </c>
      <c r="L859">
        <v>0.65969999999999995</v>
      </c>
      <c r="M859">
        <v>0</v>
      </c>
      <c r="N859">
        <v>0.56499999999999995</v>
      </c>
      <c r="O859">
        <v>0.435</v>
      </c>
    </row>
    <row r="860" spans="1:15" x14ac:dyDescent="0.2">
      <c r="A860" s="1" t="str">
        <f>HYPERLINK("http://www.twitter.com/banuakdenizli/status/1585650368410697729", "1585650368410697729")</f>
        <v>1585650368410697729</v>
      </c>
      <c r="B860" t="s">
        <v>15</v>
      </c>
      <c r="C860" s="2">
        <v>44861.632893518523</v>
      </c>
      <c r="D860">
        <v>0</v>
      </c>
      <c r="E860">
        <v>2</v>
      </c>
      <c r="F860" t="s">
        <v>17</v>
      </c>
      <c r="G860" t="s">
        <v>925</v>
      </c>
      <c r="H860" t="str">
        <f>HYPERLINK("http://pbs.twimg.com/media/FgEa4DPXgAAQxYm.jpg", "http://pbs.twimg.com/media/FgEa4DPXgAAQxYm.jpg")</f>
        <v>http://pbs.twimg.com/media/FgEa4DPXgAAQxYm.jpg</v>
      </c>
      <c r="L860">
        <v>0</v>
      </c>
      <c r="M860">
        <v>0</v>
      </c>
      <c r="N860">
        <v>1</v>
      </c>
      <c r="O860">
        <v>0</v>
      </c>
    </row>
    <row r="861" spans="1:15" x14ac:dyDescent="0.2">
      <c r="A861" s="1" t="str">
        <f>HYPERLINK("http://www.twitter.com/banuakdenizli/status/1585650350090076161", "1585650350090076161")</f>
        <v>1585650350090076161</v>
      </c>
      <c r="B861" t="s">
        <v>15</v>
      </c>
      <c r="C861" s="2">
        <v>44861.632847222223</v>
      </c>
      <c r="D861">
        <v>0</v>
      </c>
      <c r="E861">
        <v>4</v>
      </c>
      <c r="F861" t="s">
        <v>17</v>
      </c>
      <c r="G861" t="s">
        <v>926</v>
      </c>
      <c r="H861" t="str">
        <f>HYPERLINK("http://pbs.twimg.com/media/FgBbgmtXEBIyuca.jpg", "http://pbs.twimg.com/media/FgBbgmtXEBIyuca.jpg")</f>
        <v>http://pbs.twimg.com/media/FgBbgmtXEBIyuca.jpg</v>
      </c>
      <c r="L861">
        <v>0</v>
      </c>
      <c r="M861">
        <v>0</v>
      </c>
      <c r="N861">
        <v>1</v>
      </c>
      <c r="O861">
        <v>0</v>
      </c>
    </row>
    <row r="862" spans="1:15" x14ac:dyDescent="0.2">
      <c r="A862" s="1" t="str">
        <f>HYPERLINK("http://www.twitter.com/banuakdenizli/status/1585650333014974464", "1585650333014974464")</f>
        <v>1585650333014974464</v>
      </c>
      <c r="B862" t="s">
        <v>15</v>
      </c>
      <c r="C862" s="2">
        <v>44861.632800925923</v>
      </c>
      <c r="D862">
        <v>0</v>
      </c>
      <c r="E862">
        <v>4</v>
      </c>
      <c r="F862" t="s">
        <v>17</v>
      </c>
      <c r="G862" t="s">
        <v>927</v>
      </c>
      <c r="H862" t="str">
        <f>HYPERLINK("http://pbs.twimg.com/media/FgE7qi3XEAAQy_M.jpg", "http://pbs.twimg.com/media/FgE7qi3XEAAQy_M.jpg")</f>
        <v>http://pbs.twimg.com/media/FgE7qi3XEAAQy_M.jpg</v>
      </c>
      <c r="L862">
        <v>0</v>
      </c>
      <c r="M862">
        <v>0</v>
      </c>
      <c r="N862">
        <v>1</v>
      </c>
      <c r="O862">
        <v>0</v>
      </c>
    </row>
    <row r="863" spans="1:15" x14ac:dyDescent="0.2">
      <c r="A863" s="1" t="str">
        <f>HYPERLINK("http://www.twitter.com/banuakdenizli/status/1585650309342416897", "1585650309342416897")</f>
        <v>1585650309342416897</v>
      </c>
      <c r="B863" t="s">
        <v>15</v>
      </c>
      <c r="C863" s="2">
        <v>44861.632731481477</v>
      </c>
      <c r="D863">
        <v>0</v>
      </c>
      <c r="E863">
        <v>5</v>
      </c>
      <c r="F863" t="s">
        <v>17</v>
      </c>
      <c r="G863" t="s">
        <v>928</v>
      </c>
      <c r="H863" t="str">
        <f>HYPERLINK("http://pbs.twimg.com/media/FgEts6RWAAAwfBo.jpg", "http://pbs.twimg.com/media/FgEts6RWAAAwfBo.jpg")</f>
        <v>http://pbs.twimg.com/media/FgEts6RWAAAwfBo.jpg</v>
      </c>
      <c r="I863" t="str">
        <f>HYPERLINK("http://pbs.twimg.com/media/FgEtsyVXwAA8Z-d.jpg", "http://pbs.twimg.com/media/FgEtsyVXwAA8Z-d.jpg")</f>
        <v>http://pbs.twimg.com/media/FgEtsyVXwAA8Z-d.jpg</v>
      </c>
      <c r="L863">
        <v>0</v>
      </c>
      <c r="M863">
        <v>0</v>
      </c>
      <c r="N863">
        <v>1</v>
      </c>
      <c r="O863">
        <v>0</v>
      </c>
    </row>
    <row r="864" spans="1:15" x14ac:dyDescent="0.2">
      <c r="A864" s="1" t="str">
        <f>HYPERLINK("http://www.twitter.com/banuakdenizli/status/1585650288689664000", "1585650288689664000")</f>
        <v>1585650288689664000</v>
      </c>
      <c r="B864" t="s">
        <v>15</v>
      </c>
      <c r="C864" s="2">
        <v>44861.632673611108</v>
      </c>
      <c r="D864">
        <v>0</v>
      </c>
      <c r="E864">
        <v>6</v>
      </c>
      <c r="F864" t="s">
        <v>17</v>
      </c>
      <c r="G864" t="s">
        <v>929</v>
      </c>
      <c r="H864" t="str">
        <f>HYPERLINK("http://pbs.twimg.com/media/FgBgsxKX0AEsa4m.jpg", "http://pbs.twimg.com/media/FgBgsxKX0AEsa4m.jpg")</f>
        <v>http://pbs.twimg.com/media/FgBgsxKX0AEsa4m.jpg</v>
      </c>
      <c r="I864" t="str">
        <f>HYPERLINK("http://pbs.twimg.com/media/FgBgsxRXgAIr9bx.jpg", "http://pbs.twimg.com/media/FgBgsxRXgAIr9bx.jpg")</f>
        <v>http://pbs.twimg.com/media/FgBgsxRXgAIr9bx.jpg</v>
      </c>
      <c r="L864">
        <v>0</v>
      </c>
      <c r="M864">
        <v>0</v>
      </c>
      <c r="N864">
        <v>1</v>
      </c>
      <c r="O864">
        <v>0</v>
      </c>
    </row>
    <row r="865" spans="1:15" x14ac:dyDescent="0.2">
      <c r="A865" s="1" t="str">
        <f>HYPERLINK("http://www.twitter.com/banuakdenizli/status/1585649716754350081", "1585649716754350081")</f>
        <v>1585649716754350081</v>
      </c>
      <c r="B865" t="s">
        <v>15</v>
      </c>
      <c r="C865" s="2">
        <v>44861.631099537037</v>
      </c>
      <c r="D865">
        <v>0</v>
      </c>
      <c r="E865">
        <v>4</v>
      </c>
      <c r="F865" t="s">
        <v>16</v>
      </c>
      <c r="G865" t="s">
        <v>930</v>
      </c>
      <c r="H865" t="str">
        <f>HYPERLINK("http://pbs.twimg.com/media/FgEqzq0WIAMlrUE.jpg", "http://pbs.twimg.com/media/FgEqzq0WIAMlrUE.jpg")</f>
        <v>http://pbs.twimg.com/media/FgEqzq0WIAMlrUE.jpg</v>
      </c>
      <c r="L865">
        <v>0</v>
      </c>
      <c r="M865">
        <v>0</v>
      </c>
      <c r="N865">
        <v>1</v>
      </c>
      <c r="O865">
        <v>0</v>
      </c>
    </row>
    <row r="866" spans="1:15" x14ac:dyDescent="0.2">
      <c r="A866" s="1" t="str">
        <f>HYPERLINK("http://www.twitter.com/banuakdenizli/status/1585649672613466112", "1585649672613466112")</f>
        <v>1585649672613466112</v>
      </c>
      <c r="B866" t="s">
        <v>15</v>
      </c>
      <c r="C866" s="2">
        <v>44861.630972222221</v>
      </c>
      <c r="D866">
        <v>0</v>
      </c>
      <c r="E866">
        <v>5</v>
      </c>
      <c r="F866" t="s">
        <v>17</v>
      </c>
      <c r="G866" t="s">
        <v>931</v>
      </c>
      <c r="H866" t="str">
        <f>HYPERLINK("http://pbs.twimg.com/media/FgBhkSyWAAAS-vR.jpg", "http://pbs.twimg.com/media/FgBhkSyWAAAS-vR.jpg")</f>
        <v>http://pbs.twimg.com/media/FgBhkSyWAAAS-vR.jpg</v>
      </c>
      <c r="L866">
        <v>0</v>
      </c>
      <c r="M866">
        <v>0</v>
      </c>
      <c r="N866">
        <v>1</v>
      </c>
      <c r="O866">
        <v>0</v>
      </c>
    </row>
    <row r="867" spans="1:15" x14ac:dyDescent="0.2">
      <c r="A867" s="1" t="str">
        <f>HYPERLINK("http://www.twitter.com/banuakdenizli/status/1585649652636033029", "1585649652636033029")</f>
        <v>1585649652636033029</v>
      </c>
      <c r="B867" t="s">
        <v>15</v>
      </c>
      <c r="C867" s="2">
        <v>44861.630914351852</v>
      </c>
      <c r="D867">
        <v>0</v>
      </c>
      <c r="E867">
        <v>16</v>
      </c>
      <c r="F867" t="s">
        <v>28</v>
      </c>
      <c r="G867" t="s">
        <v>932</v>
      </c>
      <c r="H867" t="str">
        <f>HYPERLINK("http://pbs.twimg.com/media/FgDrTByWQAAj-Fj.jpg", "http://pbs.twimg.com/media/FgDrTByWQAAj-Fj.jpg")</f>
        <v>http://pbs.twimg.com/media/FgDrTByWQAAj-Fj.jpg</v>
      </c>
      <c r="L867">
        <v>0</v>
      </c>
      <c r="M867">
        <v>0</v>
      </c>
      <c r="N867">
        <v>1</v>
      </c>
      <c r="O867">
        <v>0</v>
      </c>
    </row>
    <row r="868" spans="1:15" x14ac:dyDescent="0.2">
      <c r="A868" s="1" t="str">
        <f>HYPERLINK("http://www.twitter.com/banuakdenizli/status/1585649639604514816", "1585649639604514816")</f>
        <v>1585649639604514816</v>
      </c>
      <c r="B868" t="s">
        <v>15</v>
      </c>
      <c r="C868" s="2">
        <v>44861.630879629629</v>
      </c>
      <c r="D868">
        <v>0</v>
      </c>
      <c r="E868">
        <v>38</v>
      </c>
      <c r="F868" t="s">
        <v>18</v>
      </c>
      <c r="G868" t="s">
        <v>933</v>
      </c>
      <c r="H868" t="str">
        <f>HYPERLINK("http://pbs.twimg.com/media/FgFKVoqVIAERI89.jpg", "http://pbs.twimg.com/media/FgFKVoqVIAERI89.jpg")</f>
        <v>http://pbs.twimg.com/media/FgFKVoqVIAERI89.jpg</v>
      </c>
      <c r="L868">
        <v>0</v>
      </c>
      <c r="M868">
        <v>0</v>
      </c>
      <c r="N868">
        <v>1</v>
      </c>
      <c r="O868">
        <v>0</v>
      </c>
    </row>
    <row r="869" spans="1:15" x14ac:dyDescent="0.2">
      <c r="A869" s="1" t="str">
        <f>HYPERLINK("http://www.twitter.com/banuakdenizli/status/1585649615193477121", "1585649615193477121")</f>
        <v>1585649615193477121</v>
      </c>
      <c r="B869" t="s">
        <v>15</v>
      </c>
      <c r="C869" s="2">
        <v>44861.630810185183</v>
      </c>
      <c r="D869">
        <v>0</v>
      </c>
      <c r="E869">
        <v>16</v>
      </c>
      <c r="F869" t="s">
        <v>16</v>
      </c>
      <c r="G869" t="s">
        <v>934</v>
      </c>
      <c r="H869" t="str">
        <f>HYPERLINK("http://pbs.twimg.com/media/FgEWhv-X0AEYrMc.jpg", "http://pbs.twimg.com/media/FgEWhv-X0AEYrMc.jpg")</f>
        <v>http://pbs.twimg.com/media/FgEWhv-X0AEYrMc.jpg</v>
      </c>
      <c r="L869">
        <v>0</v>
      </c>
      <c r="M869">
        <v>0</v>
      </c>
      <c r="N869">
        <v>1</v>
      </c>
      <c r="O869">
        <v>0</v>
      </c>
    </row>
    <row r="870" spans="1:15" x14ac:dyDescent="0.2">
      <c r="A870" s="1" t="str">
        <f>HYPERLINK("http://www.twitter.com/banuakdenizli/status/1585649574072516609", "1585649574072516609")</f>
        <v>1585649574072516609</v>
      </c>
      <c r="B870" t="s">
        <v>15</v>
      </c>
      <c r="C870" s="2">
        <v>44861.630706018521</v>
      </c>
      <c r="D870">
        <v>0</v>
      </c>
      <c r="E870">
        <v>7</v>
      </c>
      <c r="F870" t="s">
        <v>17</v>
      </c>
      <c r="G870" t="s">
        <v>935</v>
      </c>
      <c r="H870" t="str">
        <f>HYPERLINK("http://pbs.twimg.com/media/FgD0QyVWAAEi1bd.jpg", "http://pbs.twimg.com/media/FgD0QyVWAAEi1bd.jpg")</f>
        <v>http://pbs.twimg.com/media/FgD0QyVWAAEi1bd.jpg</v>
      </c>
      <c r="L870">
        <v>-0.62490000000000001</v>
      </c>
      <c r="M870">
        <v>0.434</v>
      </c>
      <c r="N870">
        <v>0.42</v>
      </c>
      <c r="O870">
        <v>0.14699999999999999</v>
      </c>
    </row>
    <row r="871" spans="1:15" x14ac:dyDescent="0.2">
      <c r="A871" s="1" t="str">
        <f>HYPERLINK("http://www.twitter.com/banuakdenizli/status/1585649380568272901", "1585649380568272901")</f>
        <v>1585649380568272901</v>
      </c>
      <c r="B871" t="s">
        <v>15</v>
      </c>
      <c r="C871" s="2">
        <v>44861.630162037043</v>
      </c>
      <c r="D871">
        <v>0</v>
      </c>
      <c r="E871">
        <v>20</v>
      </c>
      <c r="F871" t="s">
        <v>16</v>
      </c>
      <c r="G871" t="s">
        <v>936</v>
      </c>
      <c r="H871" t="str">
        <f>HYPERLINK("http://pbs.twimg.com/media/FgEpGqVXEAEpJ1U.jpg", "http://pbs.twimg.com/media/FgEpGqVXEAEpJ1U.jpg")</f>
        <v>http://pbs.twimg.com/media/FgEpGqVXEAEpJ1U.jpg</v>
      </c>
      <c r="I871" t="str">
        <f>HYPERLINK("http://pbs.twimg.com/media/FgEpLfcWYAMdXWM.jpg", "http://pbs.twimg.com/media/FgEpLfcWYAMdXWM.jpg")</f>
        <v>http://pbs.twimg.com/media/FgEpLfcWYAMdXWM.jpg</v>
      </c>
      <c r="L871">
        <v>0</v>
      </c>
      <c r="M871">
        <v>0</v>
      </c>
      <c r="N871">
        <v>1</v>
      </c>
      <c r="O871">
        <v>0</v>
      </c>
    </row>
    <row r="872" spans="1:15" x14ac:dyDescent="0.2">
      <c r="A872" s="1" t="str">
        <f>HYPERLINK("http://www.twitter.com/banuakdenizli/status/1585649311861407744", "1585649311861407744")</f>
        <v>1585649311861407744</v>
      </c>
      <c r="B872" t="s">
        <v>15</v>
      </c>
      <c r="C872" s="2">
        <v>44861.629976851851</v>
      </c>
      <c r="D872">
        <v>0</v>
      </c>
      <c r="E872">
        <v>3</v>
      </c>
      <c r="F872" t="s">
        <v>20</v>
      </c>
      <c r="G872" t="s">
        <v>937</v>
      </c>
      <c r="H872" t="str">
        <f>HYPERLINK("http://pbs.twimg.com/media/FgBsbvlXgAIX6yU.jpg", "http://pbs.twimg.com/media/FgBsbvlXgAIX6yU.jpg")</f>
        <v>http://pbs.twimg.com/media/FgBsbvlXgAIX6yU.jpg</v>
      </c>
      <c r="L872">
        <v>0</v>
      </c>
      <c r="M872">
        <v>0</v>
      </c>
      <c r="N872">
        <v>1</v>
      </c>
      <c r="O872">
        <v>0</v>
      </c>
    </row>
    <row r="873" spans="1:15" x14ac:dyDescent="0.2">
      <c r="A873" s="1" t="str">
        <f>HYPERLINK("http://www.twitter.com/banuakdenizli/status/1585649286011920386", "1585649286011920386")</f>
        <v>1585649286011920386</v>
      </c>
      <c r="B873" t="s">
        <v>15</v>
      </c>
      <c r="C873" s="2">
        <v>44861.629907407398</v>
      </c>
      <c r="D873">
        <v>0</v>
      </c>
      <c r="E873">
        <v>35</v>
      </c>
      <c r="F873" t="s">
        <v>18</v>
      </c>
      <c r="G873" t="s">
        <v>938</v>
      </c>
      <c r="H873" t="str">
        <f>HYPERLINK("http://pbs.twimg.com/media/FgFOQeTUoAAcQWy.jpg", "http://pbs.twimg.com/media/FgFOQeTUoAAcQWy.jpg")</f>
        <v>http://pbs.twimg.com/media/FgFOQeTUoAAcQWy.jpg</v>
      </c>
      <c r="L873">
        <v>0.51060000000000005</v>
      </c>
      <c r="M873">
        <v>0</v>
      </c>
      <c r="N873">
        <v>0.89600000000000002</v>
      </c>
      <c r="O873">
        <v>0.104</v>
      </c>
    </row>
    <row r="874" spans="1:15" x14ac:dyDescent="0.2">
      <c r="A874" s="1" t="str">
        <f>HYPERLINK("http://www.twitter.com/banuakdenizli/status/1585649265828839425", "1585649265828839425")</f>
        <v>1585649265828839425</v>
      </c>
      <c r="B874" t="s">
        <v>15</v>
      </c>
      <c r="C874" s="2">
        <v>44861.629849537043</v>
      </c>
      <c r="D874">
        <v>0</v>
      </c>
      <c r="E874">
        <v>9</v>
      </c>
      <c r="F874" t="s">
        <v>17</v>
      </c>
      <c r="G874" t="s">
        <v>939</v>
      </c>
      <c r="H874" t="str">
        <f>HYPERLINK("http://pbs.twimg.com/media/FgBczJuXEAse8cr.jpg", "http://pbs.twimg.com/media/FgBczJuXEAse8cr.jpg")</f>
        <v>http://pbs.twimg.com/media/FgBczJuXEAse8cr.jpg</v>
      </c>
      <c r="L874">
        <v>0</v>
      </c>
      <c r="M874">
        <v>0</v>
      </c>
      <c r="N874">
        <v>1</v>
      </c>
      <c r="O874">
        <v>0</v>
      </c>
    </row>
    <row r="875" spans="1:15" x14ac:dyDescent="0.2">
      <c r="A875" s="1" t="str">
        <f>HYPERLINK("http://www.twitter.com/banuakdenizli/status/1585646383188492289", "1585646383188492289")</f>
        <v>1585646383188492289</v>
      </c>
      <c r="B875" t="s">
        <v>15</v>
      </c>
      <c r="C875" s="2">
        <v>44861.621898148151</v>
      </c>
      <c r="D875">
        <v>0</v>
      </c>
      <c r="E875">
        <v>17</v>
      </c>
      <c r="F875" t="s">
        <v>16</v>
      </c>
      <c r="G875" t="s">
        <v>940</v>
      </c>
      <c r="H875" t="str">
        <f>HYPERLINK("http://pbs.twimg.com/media/FgDkJQCXwAAHRlZ.jpg", "http://pbs.twimg.com/media/FgDkJQCXwAAHRlZ.jpg")</f>
        <v>http://pbs.twimg.com/media/FgDkJQCXwAAHRlZ.jpg</v>
      </c>
      <c r="L875">
        <v>0</v>
      </c>
      <c r="M875">
        <v>0</v>
      </c>
      <c r="N875">
        <v>1</v>
      </c>
      <c r="O875">
        <v>0</v>
      </c>
    </row>
    <row r="876" spans="1:15" x14ac:dyDescent="0.2">
      <c r="A876" s="1" t="str">
        <f>HYPERLINK("http://www.twitter.com/banuakdenizli/status/1585346060565684224", "1585346060565684224")</f>
        <v>1585346060565684224</v>
      </c>
      <c r="B876" t="s">
        <v>15</v>
      </c>
      <c r="C876" s="2">
        <v>44860.79315972222</v>
      </c>
      <c r="D876">
        <v>0</v>
      </c>
      <c r="E876">
        <v>5</v>
      </c>
      <c r="F876" t="s">
        <v>16</v>
      </c>
      <c r="G876" t="s">
        <v>941</v>
      </c>
      <c r="H876" t="str">
        <f>HYPERLINK("http://pbs.twimg.com/media/FgBDuQBWAAsy3TQ.jpg", "http://pbs.twimg.com/media/FgBDuQBWAAsy3TQ.jpg")</f>
        <v>http://pbs.twimg.com/media/FgBDuQBWAAsy3TQ.jpg</v>
      </c>
      <c r="L876">
        <v>0</v>
      </c>
      <c r="M876">
        <v>0</v>
      </c>
      <c r="N876">
        <v>1</v>
      </c>
      <c r="O876">
        <v>0</v>
      </c>
    </row>
    <row r="877" spans="1:15" x14ac:dyDescent="0.2">
      <c r="A877" s="1" t="str">
        <f>HYPERLINK("http://www.twitter.com/banuakdenizli/status/1585346038483025920", "1585346038483025920")</f>
        <v>1585346038483025920</v>
      </c>
      <c r="B877" t="s">
        <v>15</v>
      </c>
      <c r="C877" s="2">
        <v>44860.79310185185</v>
      </c>
      <c r="D877">
        <v>0</v>
      </c>
      <c r="E877">
        <v>5</v>
      </c>
      <c r="F877" t="s">
        <v>16</v>
      </c>
      <c r="G877" t="s">
        <v>942</v>
      </c>
      <c r="H877" t="str">
        <f>HYPERLINK("http://pbs.twimg.com/media/FgBDejXWAAgGyxB.jpg", "http://pbs.twimg.com/media/FgBDejXWAAgGyxB.jpg")</f>
        <v>http://pbs.twimg.com/media/FgBDejXWAAgGyxB.jpg</v>
      </c>
      <c r="I877" t="str">
        <f>HYPERLINK("http://pbs.twimg.com/media/FgBDejUWAAY9sgL.jpg", "http://pbs.twimg.com/media/FgBDejUWAAY9sgL.jpg")</f>
        <v>http://pbs.twimg.com/media/FgBDejUWAAY9sgL.jpg</v>
      </c>
      <c r="L877">
        <v>0</v>
      </c>
      <c r="M877">
        <v>0</v>
      </c>
      <c r="N877">
        <v>1</v>
      </c>
      <c r="O877">
        <v>0</v>
      </c>
    </row>
    <row r="878" spans="1:15" x14ac:dyDescent="0.2">
      <c r="A878" s="1" t="str">
        <f>HYPERLINK("http://www.twitter.com/banuakdenizli/status/1585338622085304320", "1585338622085304320")</f>
        <v>1585338622085304320</v>
      </c>
      <c r="B878" t="s">
        <v>15</v>
      </c>
      <c r="C878" s="2">
        <v>44860.772638888891</v>
      </c>
      <c r="D878">
        <v>0</v>
      </c>
      <c r="E878">
        <v>2</v>
      </c>
      <c r="F878" t="s">
        <v>16</v>
      </c>
      <c r="G878" t="s">
        <v>943</v>
      </c>
      <c r="H878" t="str">
        <f>HYPERLINK("https://video.twimg.com/ext_tw_video/1585337015263952900/pu/vid/1280x720/ziCwXXfFFyPAyXr_.mp4?tag=12", "https://video.twimg.com/ext_tw_video/1585337015263952900/pu/vid/1280x720/ziCwXXfFFyPAyXr_.mp4?tag=12")</f>
        <v>https://video.twimg.com/ext_tw_video/1585337015263952900/pu/vid/1280x720/ziCwXXfFFyPAyXr_.mp4?tag=12</v>
      </c>
      <c r="L878">
        <v>0</v>
      </c>
      <c r="M878">
        <v>0</v>
      </c>
      <c r="N878">
        <v>1</v>
      </c>
      <c r="O878">
        <v>0</v>
      </c>
    </row>
    <row r="879" spans="1:15" x14ac:dyDescent="0.2">
      <c r="A879" s="1" t="str">
        <f>HYPERLINK("http://www.twitter.com/banuakdenizli/status/1585332015120797698", "1585332015120797698")</f>
        <v>1585332015120797698</v>
      </c>
      <c r="B879" t="s">
        <v>15</v>
      </c>
      <c r="C879" s="2">
        <v>44860.75440972222</v>
      </c>
      <c r="D879">
        <v>0</v>
      </c>
      <c r="E879">
        <v>4</v>
      </c>
      <c r="F879" t="s">
        <v>16</v>
      </c>
      <c r="G879" t="s">
        <v>944</v>
      </c>
      <c r="H879" t="str">
        <f>HYPERLINK("http://pbs.twimg.com/media/FgA0Z7ZXwCktkZi.jpg", "http://pbs.twimg.com/media/FgA0Z7ZXwCktkZi.jpg")</f>
        <v>http://pbs.twimg.com/media/FgA0Z7ZXwCktkZi.jpg</v>
      </c>
      <c r="I879" t="str">
        <f>HYPERLINK("http://pbs.twimg.com/media/FgA0Z7ZWQAANF37.jpg", "http://pbs.twimg.com/media/FgA0Z7ZWQAANF37.jpg")</f>
        <v>http://pbs.twimg.com/media/FgA0Z7ZWQAANF37.jpg</v>
      </c>
      <c r="L879">
        <v>0</v>
      </c>
      <c r="M879">
        <v>0</v>
      </c>
      <c r="N879">
        <v>1</v>
      </c>
      <c r="O879">
        <v>0</v>
      </c>
    </row>
    <row r="880" spans="1:15" x14ac:dyDescent="0.2">
      <c r="A880" s="1" t="str">
        <f>HYPERLINK("http://www.twitter.com/banuakdenizli/status/1585331981394804736", "1585331981394804736")</f>
        <v>1585331981394804736</v>
      </c>
      <c r="B880" t="s">
        <v>15</v>
      </c>
      <c r="C880" s="2">
        <v>44860.754317129627</v>
      </c>
      <c r="D880">
        <v>0</v>
      </c>
      <c r="E880">
        <v>3</v>
      </c>
      <c r="F880" t="s">
        <v>16</v>
      </c>
      <c r="G880" t="s">
        <v>945</v>
      </c>
      <c r="H880" t="str">
        <f>HYPERLINK("http://pbs.twimg.com/media/FgA0Uu1XwA4X5no.jpg", "http://pbs.twimg.com/media/FgA0Uu1XwA4X5no.jpg")</f>
        <v>http://pbs.twimg.com/media/FgA0Uu1XwA4X5no.jpg</v>
      </c>
      <c r="I880" t="str">
        <f>HYPERLINK("http://pbs.twimg.com/media/FgA0Uu9XwBgtFjD.jpg", "http://pbs.twimg.com/media/FgA0Uu9XwBgtFjD.jpg")</f>
        <v>http://pbs.twimg.com/media/FgA0Uu9XwBgtFjD.jpg</v>
      </c>
      <c r="J880" t="str">
        <f>HYPERLINK("http://pbs.twimg.com/media/FgA0UvPXoAEKmIP.jpg", "http://pbs.twimg.com/media/FgA0UvPXoAEKmIP.jpg")</f>
        <v>http://pbs.twimg.com/media/FgA0UvPXoAEKmIP.jpg</v>
      </c>
      <c r="K880" t="str">
        <f>HYPERLINK("http://pbs.twimg.com/media/FgA0UvMXwA4YzdY.jpg", "http://pbs.twimg.com/media/FgA0UvMXwA4YzdY.jpg")</f>
        <v>http://pbs.twimg.com/media/FgA0UvMXwA4YzdY.jpg</v>
      </c>
      <c r="L880">
        <v>0</v>
      </c>
      <c r="M880">
        <v>0</v>
      </c>
      <c r="N880">
        <v>1</v>
      </c>
      <c r="O880">
        <v>0</v>
      </c>
    </row>
    <row r="881" spans="1:15" x14ac:dyDescent="0.2">
      <c r="A881" s="1" t="str">
        <f>HYPERLINK("http://www.twitter.com/banuakdenizli/status/1585331939170717696", "1585331939170717696")</f>
        <v>1585331939170717696</v>
      </c>
      <c r="B881" t="s">
        <v>15</v>
      </c>
      <c r="C881" s="2">
        <v>44860.754189814812</v>
      </c>
      <c r="D881">
        <v>0</v>
      </c>
      <c r="E881">
        <v>8</v>
      </c>
      <c r="F881" t="s">
        <v>16</v>
      </c>
      <c r="G881" t="s">
        <v>946</v>
      </c>
      <c r="H881" t="str">
        <f>HYPERLINK("http://pbs.twimg.com/media/FgA0BbLXwA4Gbzr.jpg", "http://pbs.twimg.com/media/FgA0BbLXwA4Gbzr.jpg")</f>
        <v>http://pbs.twimg.com/media/FgA0BbLXwA4Gbzr.jpg</v>
      </c>
      <c r="I881" t="str">
        <f>HYPERLINK("http://pbs.twimg.com/media/FgA0BbDXEAA0A-1.jpg", "http://pbs.twimg.com/media/FgA0BbDXEAA0A-1.jpg")</f>
        <v>http://pbs.twimg.com/media/FgA0BbDXEAA0A-1.jpg</v>
      </c>
      <c r="J881" t="str">
        <f>HYPERLINK("http://pbs.twimg.com/media/FgA0BbJXwAwOv8O.jpg", "http://pbs.twimg.com/media/FgA0BbJXwAwOv8O.jpg")</f>
        <v>http://pbs.twimg.com/media/FgA0BbJXwAwOv8O.jpg</v>
      </c>
      <c r="L881">
        <v>0</v>
      </c>
      <c r="M881">
        <v>0</v>
      </c>
      <c r="N881">
        <v>1</v>
      </c>
      <c r="O881">
        <v>0</v>
      </c>
    </row>
    <row r="882" spans="1:15" x14ac:dyDescent="0.2">
      <c r="A882" s="1" t="str">
        <f>HYPERLINK("http://www.twitter.com/banuakdenizli/status/1585321275106508810", "1585321275106508810")</f>
        <v>1585321275106508810</v>
      </c>
      <c r="B882" t="s">
        <v>15</v>
      </c>
      <c r="C882" s="2">
        <v>44860.724768518521</v>
      </c>
      <c r="D882">
        <v>0</v>
      </c>
      <c r="E882">
        <v>6</v>
      </c>
      <c r="F882" t="s">
        <v>16</v>
      </c>
      <c r="G882" t="s">
        <v>947</v>
      </c>
      <c r="H882" t="str">
        <f>HYPERLINK("http://pbs.twimg.com/media/FgAdpKWWIAMSqmw.jpg", "http://pbs.twimg.com/media/FgAdpKWWIAMSqmw.jpg")</f>
        <v>http://pbs.twimg.com/media/FgAdpKWWIAMSqmw.jpg</v>
      </c>
      <c r="L882">
        <v>0</v>
      </c>
      <c r="M882">
        <v>0</v>
      </c>
      <c r="N882">
        <v>1</v>
      </c>
      <c r="O882">
        <v>0</v>
      </c>
    </row>
    <row r="883" spans="1:15" x14ac:dyDescent="0.2">
      <c r="A883" s="1" t="str">
        <f>HYPERLINK("http://www.twitter.com/banuakdenizli/status/1585321254705414146", "1585321254705414146")</f>
        <v>1585321254705414146</v>
      </c>
      <c r="B883" t="s">
        <v>15</v>
      </c>
      <c r="C883" s="2">
        <v>44860.724710648137</v>
      </c>
      <c r="D883">
        <v>0</v>
      </c>
      <c r="E883">
        <v>4</v>
      </c>
      <c r="F883" t="s">
        <v>16</v>
      </c>
      <c r="G883" t="s">
        <v>948</v>
      </c>
      <c r="H883" t="str">
        <f>HYPERLINK("http://pbs.twimg.com/media/FgAt8SXX0AAQuEU.jpg", "http://pbs.twimg.com/media/FgAt8SXX0AAQuEU.jpg")</f>
        <v>http://pbs.twimg.com/media/FgAt8SXX0AAQuEU.jpg</v>
      </c>
      <c r="L883">
        <v>0</v>
      </c>
      <c r="M883">
        <v>0</v>
      </c>
      <c r="N883">
        <v>1</v>
      </c>
      <c r="O883">
        <v>0</v>
      </c>
    </row>
    <row r="884" spans="1:15" x14ac:dyDescent="0.2">
      <c r="A884" s="1" t="str">
        <f>HYPERLINK("http://www.twitter.com/banuakdenizli/status/1585296923900055553", "1585296923900055553")</f>
        <v>1585296923900055553</v>
      </c>
      <c r="B884" t="s">
        <v>15</v>
      </c>
      <c r="C884" s="2">
        <v>44860.657569444447</v>
      </c>
      <c r="D884">
        <v>0</v>
      </c>
      <c r="E884">
        <v>4</v>
      </c>
      <c r="F884" t="s">
        <v>17</v>
      </c>
      <c r="G884" t="s">
        <v>949</v>
      </c>
      <c r="H884" t="str">
        <f>HYPERLINK("http://pbs.twimg.com/media/Ff8NU7PWICYBhtX.jpg", "http://pbs.twimg.com/media/Ff8NU7PWICYBhtX.jpg")</f>
        <v>http://pbs.twimg.com/media/Ff8NU7PWICYBhtX.jpg</v>
      </c>
      <c r="L884">
        <v>0</v>
      </c>
      <c r="M884">
        <v>0</v>
      </c>
      <c r="N884">
        <v>1</v>
      </c>
      <c r="O884">
        <v>0</v>
      </c>
    </row>
    <row r="885" spans="1:15" x14ac:dyDescent="0.2">
      <c r="A885" s="1" t="str">
        <f>HYPERLINK("http://www.twitter.com/banuakdenizli/status/1585296851812728832", "1585296851812728832")</f>
        <v>1585296851812728832</v>
      </c>
      <c r="B885" t="s">
        <v>15</v>
      </c>
      <c r="C885" s="2">
        <v>44860.657372685193</v>
      </c>
      <c r="D885">
        <v>0</v>
      </c>
      <c r="E885">
        <v>4</v>
      </c>
      <c r="F885" t="s">
        <v>17</v>
      </c>
      <c r="G885" t="s">
        <v>950</v>
      </c>
      <c r="H885" t="str">
        <f>HYPERLINK("http://pbs.twimg.com/media/Ff-Lg0rXEAE5An5.jpg", "http://pbs.twimg.com/media/Ff-Lg0rXEAE5An5.jpg")</f>
        <v>http://pbs.twimg.com/media/Ff-Lg0rXEAE5An5.jpg</v>
      </c>
      <c r="L885">
        <v>0.49390000000000001</v>
      </c>
      <c r="M885">
        <v>0</v>
      </c>
      <c r="N885">
        <v>0.80200000000000005</v>
      </c>
      <c r="O885">
        <v>0.19800000000000001</v>
      </c>
    </row>
    <row r="886" spans="1:15" x14ac:dyDescent="0.2">
      <c r="A886" s="1" t="str">
        <f>HYPERLINK("http://www.twitter.com/banuakdenizli/status/1585296590444539905", "1585296590444539905")</f>
        <v>1585296590444539905</v>
      </c>
      <c r="B886" t="s">
        <v>15</v>
      </c>
      <c r="C886" s="2">
        <v>44860.656655092593</v>
      </c>
      <c r="D886">
        <v>0</v>
      </c>
      <c r="E886">
        <v>4</v>
      </c>
      <c r="F886" t="s">
        <v>16</v>
      </c>
      <c r="G886" t="s">
        <v>951</v>
      </c>
      <c r="H886" t="str">
        <f>HYPERLINK("http://pbs.twimg.com/media/Ff7Yb7eXwAEpPhP.jpg", "http://pbs.twimg.com/media/Ff7Yb7eXwAEpPhP.jpg")</f>
        <v>http://pbs.twimg.com/media/Ff7Yb7eXwAEpPhP.jpg</v>
      </c>
      <c r="L886">
        <v>0</v>
      </c>
      <c r="M886">
        <v>0</v>
      </c>
      <c r="N886">
        <v>1</v>
      </c>
      <c r="O886">
        <v>0</v>
      </c>
    </row>
    <row r="887" spans="1:15" x14ac:dyDescent="0.2">
      <c r="A887" s="1" t="str">
        <f>HYPERLINK("http://www.twitter.com/banuakdenizli/status/1585296566474387461", "1585296566474387461")</f>
        <v>1585296566474387461</v>
      </c>
      <c r="B887" t="s">
        <v>15</v>
      </c>
      <c r="C887" s="2">
        <v>44860.656585648147</v>
      </c>
      <c r="D887">
        <v>0</v>
      </c>
      <c r="E887">
        <v>8</v>
      </c>
      <c r="F887" t="s">
        <v>16</v>
      </c>
      <c r="G887" t="s">
        <v>952</v>
      </c>
      <c r="H887" t="str">
        <f>HYPERLINK("http://pbs.twimg.com/media/Ff7gnrnXEAY4zud.jpg", "http://pbs.twimg.com/media/Ff7gnrnXEAY4zud.jpg")</f>
        <v>http://pbs.twimg.com/media/Ff7gnrnXEAY4zud.jpg</v>
      </c>
      <c r="I887" t="str">
        <f>HYPERLINK("http://pbs.twimg.com/media/Ff7gnrmXgAAHKjc.jpg", "http://pbs.twimg.com/media/Ff7gnrmXgAAHKjc.jpg")</f>
        <v>http://pbs.twimg.com/media/Ff7gnrmXgAAHKjc.jpg</v>
      </c>
      <c r="J887" t="str">
        <f>HYPERLINK("http://pbs.twimg.com/media/Ff7gnrsXgAAtYkE.jpg", "http://pbs.twimg.com/media/Ff7gnrsXgAAtYkE.jpg")</f>
        <v>http://pbs.twimg.com/media/Ff7gnrsXgAAtYkE.jpg</v>
      </c>
      <c r="K887" t="str">
        <f>HYPERLINK("http://pbs.twimg.com/media/Ff7gnrnXoAIqy1O.jpg", "http://pbs.twimg.com/media/Ff7gnrnXoAIqy1O.jpg")</f>
        <v>http://pbs.twimg.com/media/Ff7gnrnXoAIqy1O.jpg</v>
      </c>
      <c r="L887">
        <v>0</v>
      </c>
      <c r="M887">
        <v>0</v>
      </c>
      <c r="N887">
        <v>1</v>
      </c>
      <c r="O887">
        <v>0</v>
      </c>
    </row>
    <row r="888" spans="1:15" x14ac:dyDescent="0.2">
      <c r="A888" s="1" t="str">
        <f>HYPERLINK("http://www.twitter.com/banuakdenizli/status/1585296489890258949", "1585296489890258949")</f>
        <v>1585296489890258949</v>
      </c>
      <c r="B888" t="s">
        <v>15</v>
      </c>
      <c r="C888" s="2">
        <v>44860.656377314823</v>
      </c>
      <c r="D888">
        <v>0</v>
      </c>
      <c r="E888">
        <v>10</v>
      </c>
      <c r="F888" t="s">
        <v>16</v>
      </c>
      <c r="G888" t="s">
        <v>953</v>
      </c>
      <c r="H888" t="str">
        <f>HYPERLINK("http://pbs.twimg.com/media/Ff8b4w6X0AAPkvh.jpg", "http://pbs.twimg.com/media/Ff8b4w6X0AAPkvh.jpg")</f>
        <v>http://pbs.twimg.com/media/Ff8b4w6X0AAPkvh.jpg</v>
      </c>
      <c r="I888" t="str">
        <f>HYPERLINK("http://pbs.twimg.com/media/Ff8b4wwWIAIpF-t.jpg", "http://pbs.twimg.com/media/Ff8b4wwWIAIpF-t.jpg")</f>
        <v>http://pbs.twimg.com/media/Ff8b4wwWIAIpF-t.jpg</v>
      </c>
      <c r="L888">
        <v>0</v>
      </c>
      <c r="M888">
        <v>0</v>
      </c>
      <c r="N888">
        <v>1</v>
      </c>
      <c r="O888">
        <v>0</v>
      </c>
    </row>
    <row r="889" spans="1:15" x14ac:dyDescent="0.2">
      <c r="A889" s="1" t="str">
        <f>HYPERLINK("http://www.twitter.com/banuakdenizli/status/1585296464414396416", "1585296464414396416")</f>
        <v>1585296464414396416</v>
      </c>
      <c r="B889" t="s">
        <v>15</v>
      </c>
      <c r="C889" s="2">
        <v>44860.656307870369</v>
      </c>
      <c r="D889">
        <v>0</v>
      </c>
      <c r="E889">
        <v>5</v>
      </c>
      <c r="F889" t="s">
        <v>16</v>
      </c>
      <c r="G889" t="s">
        <v>954</v>
      </c>
      <c r="H889" t="str">
        <f>HYPERLINK("http://pbs.twimg.com/media/Ff-LIFBXgAAo5ft.jpg", "http://pbs.twimg.com/media/Ff-LIFBXgAAo5ft.jpg")</f>
        <v>http://pbs.twimg.com/media/Ff-LIFBXgAAo5ft.jpg</v>
      </c>
      <c r="L889">
        <v>0</v>
      </c>
      <c r="M889">
        <v>0</v>
      </c>
      <c r="N889">
        <v>1</v>
      </c>
      <c r="O889">
        <v>0</v>
      </c>
    </row>
    <row r="890" spans="1:15" x14ac:dyDescent="0.2">
      <c r="A890" s="1" t="str">
        <f>HYPERLINK("http://www.twitter.com/banuakdenizli/status/1585296360022368257", "1585296360022368257")</f>
        <v>1585296360022368257</v>
      </c>
      <c r="B890" t="s">
        <v>15</v>
      </c>
      <c r="C890" s="2">
        <v>44860.656018518523</v>
      </c>
      <c r="D890">
        <v>0</v>
      </c>
      <c r="E890">
        <v>5</v>
      </c>
      <c r="F890" t="s">
        <v>16</v>
      </c>
      <c r="G890" t="s">
        <v>955</v>
      </c>
      <c r="H890" t="str">
        <f>HYPERLINK("http://pbs.twimg.com/media/Ff_Y6vlWIAAnYHE.jpg", "http://pbs.twimg.com/media/Ff_Y6vlWIAAnYHE.jpg")</f>
        <v>http://pbs.twimg.com/media/Ff_Y6vlWIAAnYHE.jpg</v>
      </c>
      <c r="L890">
        <v>0</v>
      </c>
      <c r="M890">
        <v>0</v>
      </c>
      <c r="N890">
        <v>1</v>
      </c>
      <c r="O890">
        <v>0</v>
      </c>
    </row>
    <row r="891" spans="1:15" x14ac:dyDescent="0.2">
      <c r="A891" s="1" t="str">
        <f>HYPERLINK("http://www.twitter.com/banuakdenizli/status/1585296319392157701", "1585296319392157701")</f>
        <v>1585296319392157701</v>
      </c>
      <c r="B891" t="s">
        <v>15</v>
      </c>
      <c r="C891" s="2">
        <v>44860.655902777777</v>
      </c>
      <c r="D891">
        <v>0</v>
      </c>
      <c r="E891">
        <v>17</v>
      </c>
      <c r="F891" t="s">
        <v>956</v>
      </c>
      <c r="G891" t="s">
        <v>957</v>
      </c>
      <c r="H891" t="str">
        <f>HYPERLINK("https://video.twimg.com/ext_tw_video/1585237775611207683/pu/vid/1280x720/TMJQnU3hc3uHTMOB.mp4?tag=12", "https://video.twimg.com/ext_tw_video/1585237775611207683/pu/vid/1280x720/TMJQnU3hc3uHTMOB.mp4?tag=12")</f>
        <v>https://video.twimg.com/ext_tw_video/1585237775611207683/pu/vid/1280x720/TMJQnU3hc3uHTMOB.mp4?tag=12</v>
      </c>
      <c r="L891">
        <v>0</v>
      </c>
      <c r="M891">
        <v>0</v>
      </c>
      <c r="N891">
        <v>1</v>
      </c>
      <c r="O891">
        <v>0</v>
      </c>
    </row>
    <row r="892" spans="1:15" x14ac:dyDescent="0.2">
      <c r="A892" s="1" t="str">
        <f>HYPERLINK("http://www.twitter.com/banuakdenizli/status/1585296291449348096", "1585296291449348096")</f>
        <v>1585296291449348096</v>
      </c>
      <c r="B892" t="s">
        <v>15</v>
      </c>
      <c r="C892" s="2">
        <v>44860.655821759261</v>
      </c>
      <c r="D892">
        <v>0</v>
      </c>
      <c r="E892">
        <v>19</v>
      </c>
      <c r="F892" t="s">
        <v>28</v>
      </c>
      <c r="G892" t="s">
        <v>958</v>
      </c>
      <c r="L892">
        <v>0</v>
      </c>
      <c r="M892">
        <v>0</v>
      </c>
      <c r="N892">
        <v>1</v>
      </c>
      <c r="O892">
        <v>0</v>
      </c>
    </row>
    <row r="893" spans="1:15" x14ac:dyDescent="0.2">
      <c r="A893" s="1" t="str">
        <f>HYPERLINK("http://www.twitter.com/banuakdenizli/status/1585293588703088640", "1585293588703088640")</f>
        <v>1585293588703088640</v>
      </c>
      <c r="B893" t="s">
        <v>15</v>
      </c>
      <c r="C893" s="2">
        <v>44860.648368055547</v>
      </c>
      <c r="D893">
        <v>0</v>
      </c>
      <c r="E893">
        <v>3</v>
      </c>
      <c r="F893" t="s">
        <v>39</v>
      </c>
      <c r="G893" t="s">
        <v>959</v>
      </c>
      <c r="L893">
        <v>0</v>
      </c>
      <c r="M893">
        <v>0</v>
      </c>
      <c r="N893">
        <v>1</v>
      </c>
      <c r="O893">
        <v>0</v>
      </c>
    </row>
    <row r="894" spans="1:15" x14ac:dyDescent="0.2">
      <c r="A894" s="1" t="str">
        <f>HYPERLINK("http://www.twitter.com/banuakdenizli/status/1585293582390685698", "1585293582390685698")</f>
        <v>1585293582390685698</v>
      </c>
      <c r="B894" t="s">
        <v>15</v>
      </c>
      <c r="C894" s="2">
        <v>44860.648356481477</v>
      </c>
      <c r="D894">
        <v>0</v>
      </c>
      <c r="E894">
        <v>7</v>
      </c>
      <c r="F894" t="s">
        <v>39</v>
      </c>
      <c r="G894" t="s">
        <v>960</v>
      </c>
      <c r="H894" t="str">
        <f>HYPERLINK("http://pbs.twimg.com/media/Ff_Ql7lXgAAtxOd.jpg", "http://pbs.twimg.com/media/Ff_Ql7lXgAAtxOd.jpg")</f>
        <v>http://pbs.twimg.com/media/Ff_Ql7lXgAAtxOd.jpg</v>
      </c>
      <c r="I894" t="str">
        <f>HYPERLINK("http://pbs.twimg.com/media/Ff_Ql7iXEAIB2q0.jpg", "http://pbs.twimg.com/media/Ff_Ql7iXEAIB2q0.jpg")</f>
        <v>http://pbs.twimg.com/media/Ff_Ql7iXEAIB2q0.jpg</v>
      </c>
      <c r="L894">
        <v>0</v>
      </c>
      <c r="M894">
        <v>0</v>
      </c>
      <c r="N894">
        <v>1</v>
      </c>
      <c r="O894">
        <v>0</v>
      </c>
    </row>
    <row r="895" spans="1:15" x14ac:dyDescent="0.2">
      <c r="A895" s="1" t="str">
        <f>HYPERLINK("http://www.twitter.com/banuakdenizli/status/1585290737222139908", "1585290737222139908")</f>
        <v>1585290737222139908</v>
      </c>
      <c r="B895" t="s">
        <v>15</v>
      </c>
      <c r="C895" s="2">
        <v>44860.640497685177</v>
      </c>
      <c r="D895">
        <v>0</v>
      </c>
      <c r="E895">
        <v>3</v>
      </c>
      <c r="F895" t="s">
        <v>22</v>
      </c>
      <c r="G895" t="s">
        <v>961</v>
      </c>
      <c r="L895">
        <v>0.72689999999999999</v>
      </c>
      <c r="M895">
        <v>0</v>
      </c>
      <c r="N895">
        <v>0.83099999999999996</v>
      </c>
      <c r="O895">
        <v>0.16900000000000001</v>
      </c>
    </row>
    <row r="896" spans="1:15" x14ac:dyDescent="0.2">
      <c r="A896" s="1" t="str">
        <f>HYPERLINK("http://www.twitter.com/banuakdenizli/status/1585290710529384448", "1585290710529384448")</f>
        <v>1585290710529384448</v>
      </c>
      <c r="B896" t="s">
        <v>15</v>
      </c>
      <c r="C896" s="2">
        <v>44860.640428240738</v>
      </c>
      <c r="D896">
        <v>0</v>
      </c>
      <c r="E896">
        <v>5</v>
      </c>
      <c r="F896" t="s">
        <v>19</v>
      </c>
      <c r="G896" t="s">
        <v>962</v>
      </c>
      <c r="H896" t="str">
        <f>HYPERLINK("http://pbs.twimg.com/media/Ff9jnQEWAAEuke6.jpg", "http://pbs.twimg.com/media/Ff9jnQEWAAEuke6.jpg")</f>
        <v>http://pbs.twimg.com/media/Ff9jnQEWAAEuke6.jpg</v>
      </c>
      <c r="I896" t="str">
        <f>HYPERLINK("http://pbs.twimg.com/media/Ff9jnQEXwAEZVot.jpg", "http://pbs.twimg.com/media/Ff9jnQEXwAEZVot.jpg")</f>
        <v>http://pbs.twimg.com/media/Ff9jnQEXwAEZVot.jpg</v>
      </c>
      <c r="L896">
        <v>0.5423</v>
      </c>
      <c r="M896">
        <v>5.2999999999999999E-2</v>
      </c>
      <c r="N896">
        <v>0.81200000000000006</v>
      </c>
      <c r="O896">
        <v>0.13500000000000001</v>
      </c>
    </row>
    <row r="897" spans="1:15" x14ac:dyDescent="0.2">
      <c r="A897" s="1" t="str">
        <f>HYPERLINK("http://www.twitter.com/banuakdenizli/status/1585290662341124097", "1585290662341124097")</f>
        <v>1585290662341124097</v>
      </c>
      <c r="B897" t="s">
        <v>15</v>
      </c>
      <c r="C897" s="2">
        <v>44860.640289351853</v>
      </c>
      <c r="D897">
        <v>0</v>
      </c>
      <c r="E897">
        <v>3</v>
      </c>
      <c r="F897" t="s">
        <v>25</v>
      </c>
      <c r="G897" t="s">
        <v>963</v>
      </c>
      <c r="H897" t="str">
        <f>HYPERLINK("http://pbs.twimg.com/media/Ff8btEHWIA0_O-4.jpg", "http://pbs.twimg.com/media/Ff8btEHWIA0_O-4.jpg")</f>
        <v>http://pbs.twimg.com/media/Ff8btEHWIA0_O-4.jpg</v>
      </c>
      <c r="L897">
        <v>0.82250000000000001</v>
      </c>
      <c r="M897">
        <v>5.0999999999999997E-2</v>
      </c>
      <c r="N897">
        <v>0.69599999999999995</v>
      </c>
      <c r="O897">
        <v>0.253</v>
      </c>
    </row>
    <row r="898" spans="1:15" x14ac:dyDescent="0.2">
      <c r="A898" s="1" t="str">
        <f>HYPERLINK("http://www.twitter.com/banuakdenizli/status/1585273517016322055", "1585273517016322055")</f>
        <v>1585273517016322055</v>
      </c>
      <c r="B898" t="s">
        <v>15</v>
      </c>
      <c r="C898" s="2">
        <v>44860.592986111107</v>
      </c>
      <c r="D898">
        <v>0</v>
      </c>
      <c r="E898">
        <v>6</v>
      </c>
      <c r="F898" t="s">
        <v>726</v>
      </c>
      <c r="G898" t="s">
        <v>964</v>
      </c>
      <c r="H898" t="str">
        <f>HYPERLINK("http://pbs.twimg.com/media/Ff-uyceWYAAxkUf.jpg", "http://pbs.twimg.com/media/Ff-uyceWYAAxkUf.jpg")</f>
        <v>http://pbs.twimg.com/media/Ff-uyceWYAAxkUf.jpg</v>
      </c>
      <c r="L898">
        <v>0.25</v>
      </c>
      <c r="M898">
        <v>0</v>
      </c>
      <c r="N898">
        <v>0.95199999999999996</v>
      </c>
      <c r="O898">
        <v>4.8000000000000001E-2</v>
      </c>
    </row>
    <row r="899" spans="1:15" x14ac:dyDescent="0.2">
      <c r="A899" s="1" t="str">
        <f>HYPERLINK("http://www.twitter.com/banuakdenizli/status/1585273217559789575", "1585273217559789575")</f>
        <v>1585273217559789575</v>
      </c>
      <c r="B899" t="s">
        <v>15</v>
      </c>
      <c r="C899" s="2">
        <v>44860.592152777783</v>
      </c>
      <c r="D899">
        <v>0</v>
      </c>
      <c r="E899">
        <v>9</v>
      </c>
      <c r="F899" t="s">
        <v>17</v>
      </c>
      <c r="G899" t="s">
        <v>965</v>
      </c>
      <c r="H899" t="str">
        <f>HYPERLINK("http://pbs.twimg.com/media/Ff-Z_2gXgAM-4hf.jpg", "http://pbs.twimg.com/media/Ff-Z_2gXgAM-4hf.jpg")</f>
        <v>http://pbs.twimg.com/media/Ff-Z_2gXgAM-4hf.jpg</v>
      </c>
      <c r="L899">
        <v>0</v>
      </c>
      <c r="M899">
        <v>0</v>
      </c>
      <c r="N899">
        <v>1</v>
      </c>
      <c r="O899">
        <v>0</v>
      </c>
    </row>
    <row r="900" spans="1:15" x14ac:dyDescent="0.2">
      <c r="A900" s="1" t="str">
        <f>HYPERLINK("http://www.twitter.com/banuakdenizli/status/1585273189529227264", "1585273189529227264")</f>
        <v>1585273189529227264</v>
      </c>
      <c r="B900" t="s">
        <v>15</v>
      </c>
      <c r="C900" s="2">
        <v>44860.59207175926</v>
      </c>
      <c r="D900">
        <v>0</v>
      </c>
      <c r="E900">
        <v>8</v>
      </c>
      <c r="F900" t="s">
        <v>17</v>
      </c>
      <c r="G900" t="s">
        <v>966</v>
      </c>
      <c r="H900" t="str">
        <f>HYPERLINK("http://pbs.twimg.com/media/Ff-cYM2X0AABWOG.jpg", "http://pbs.twimg.com/media/Ff-cYM2X0AABWOG.jpg")</f>
        <v>http://pbs.twimg.com/media/Ff-cYM2X0AABWOG.jpg</v>
      </c>
      <c r="L900">
        <v>0</v>
      </c>
      <c r="M900">
        <v>0</v>
      </c>
      <c r="N900">
        <v>1</v>
      </c>
      <c r="O900">
        <v>0</v>
      </c>
    </row>
    <row r="901" spans="1:15" x14ac:dyDescent="0.2">
      <c r="A901" s="1" t="str">
        <f>HYPERLINK("http://www.twitter.com/banuakdenizli/status/1585273171191779328", "1585273171191779328")</f>
        <v>1585273171191779328</v>
      </c>
      <c r="B901" t="s">
        <v>15</v>
      </c>
      <c r="C901" s="2">
        <v>44860.59202546296</v>
      </c>
      <c r="D901">
        <v>0</v>
      </c>
      <c r="E901">
        <v>4</v>
      </c>
      <c r="F901" t="s">
        <v>17</v>
      </c>
      <c r="G901" t="s">
        <v>967</v>
      </c>
      <c r="H901" t="str">
        <f>HYPERLINK("http://pbs.twimg.com/media/Ff_JUuDWQAA7SW1.jpg", "http://pbs.twimg.com/media/Ff_JUuDWQAA7SW1.jpg")</f>
        <v>http://pbs.twimg.com/media/Ff_JUuDWQAA7SW1.jpg</v>
      </c>
      <c r="L901">
        <v>0</v>
      </c>
      <c r="M901">
        <v>0</v>
      </c>
      <c r="N901">
        <v>1</v>
      </c>
      <c r="O901">
        <v>0</v>
      </c>
    </row>
    <row r="902" spans="1:15" x14ac:dyDescent="0.2">
      <c r="A902" s="1" t="str">
        <f>HYPERLINK("http://www.twitter.com/banuakdenizli/status/1585273156545253377", "1585273156545253377")</f>
        <v>1585273156545253377</v>
      </c>
      <c r="B902" t="s">
        <v>15</v>
      </c>
      <c r="C902" s="2">
        <v>44860.591990740737</v>
      </c>
      <c r="D902">
        <v>0</v>
      </c>
      <c r="E902">
        <v>6</v>
      </c>
      <c r="F902" t="s">
        <v>17</v>
      </c>
      <c r="G902" t="s">
        <v>968</v>
      </c>
      <c r="H902" t="str">
        <f>HYPERLINK("http://pbs.twimg.com/media/Ff7w2kgXEB4FzlM.jpg", "http://pbs.twimg.com/media/Ff7w2kgXEB4FzlM.jpg")</f>
        <v>http://pbs.twimg.com/media/Ff7w2kgXEB4FzlM.jpg</v>
      </c>
      <c r="L902">
        <v>0.36120000000000002</v>
      </c>
      <c r="M902">
        <v>0</v>
      </c>
      <c r="N902">
        <v>0.83899999999999997</v>
      </c>
      <c r="O902">
        <v>0.161</v>
      </c>
    </row>
    <row r="903" spans="1:15" x14ac:dyDescent="0.2">
      <c r="A903" s="1" t="str">
        <f>HYPERLINK("http://www.twitter.com/banuakdenizli/status/1585273141382811648", "1585273141382811648")</f>
        <v>1585273141382811648</v>
      </c>
      <c r="B903" t="s">
        <v>15</v>
      </c>
      <c r="C903" s="2">
        <v>44860.591944444437</v>
      </c>
      <c r="D903">
        <v>0</v>
      </c>
      <c r="E903">
        <v>4</v>
      </c>
      <c r="F903" t="s">
        <v>17</v>
      </c>
      <c r="G903" t="s">
        <v>969</v>
      </c>
      <c r="H903" t="str">
        <f>HYPERLINK("http://pbs.twimg.com/media/Ff8NQs2WIAUxcn_.jpg", "http://pbs.twimg.com/media/Ff8NQs2WIAUxcn_.jpg")</f>
        <v>http://pbs.twimg.com/media/Ff8NQs2WIAUxcn_.jpg</v>
      </c>
      <c r="I903" t="str">
        <f>HYPERLINK("http://pbs.twimg.com/media/Ff8NQsuWIAEtm6P.jpg", "http://pbs.twimg.com/media/Ff8NQsuWIAEtm6P.jpg")</f>
        <v>http://pbs.twimg.com/media/Ff8NQsuWIAEtm6P.jpg</v>
      </c>
      <c r="L903">
        <v>0</v>
      </c>
      <c r="M903">
        <v>0</v>
      </c>
      <c r="N903">
        <v>1</v>
      </c>
      <c r="O903">
        <v>0</v>
      </c>
    </row>
    <row r="904" spans="1:15" x14ac:dyDescent="0.2">
      <c r="A904" s="1" t="str">
        <f>HYPERLINK("http://www.twitter.com/banuakdenizli/status/1585273118481842176", "1585273118481842176")</f>
        <v>1585273118481842176</v>
      </c>
      <c r="B904" t="s">
        <v>15</v>
      </c>
      <c r="C904" s="2">
        <v>44860.591886574082</v>
      </c>
      <c r="D904">
        <v>0</v>
      </c>
      <c r="E904">
        <v>14</v>
      </c>
      <c r="F904" t="s">
        <v>17</v>
      </c>
      <c r="G904" t="s">
        <v>970</v>
      </c>
      <c r="H904" t="str">
        <f>HYPERLINK("https://video.twimg.com/ext_tw_video/1584955286284128256/pu/vid/1280x720/DRRbb0KHLXBKv-V9.mp4?tag=12", "https://video.twimg.com/ext_tw_video/1584955286284128256/pu/vid/1280x720/DRRbb0KHLXBKv-V9.mp4?tag=12")</f>
        <v>https://video.twimg.com/ext_tw_video/1584955286284128256/pu/vid/1280x720/DRRbb0KHLXBKv-V9.mp4?tag=12</v>
      </c>
      <c r="L904">
        <v>0.68079999999999996</v>
      </c>
      <c r="M904">
        <v>0</v>
      </c>
      <c r="N904">
        <v>0.85899999999999999</v>
      </c>
      <c r="O904">
        <v>0.14099999999999999</v>
      </c>
    </row>
    <row r="905" spans="1:15" x14ac:dyDescent="0.2">
      <c r="A905" s="1" t="str">
        <f>HYPERLINK("http://www.twitter.com/banuakdenizli/status/1585272998034112512", "1585272998034112512")</f>
        <v>1585272998034112512</v>
      </c>
      <c r="B905" t="s">
        <v>15</v>
      </c>
      <c r="C905" s="2">
        <v>44860.591550925928</v>
      </c>
      <c r="D905">
        <v>0</v>
      </c>
      <c r="E905">
        <v>11</v>
      </c>
      <c r="F905" t="s">
        <v>16</v>
      </c>
      <c r="G905" t="s">
        <v>971</v>
      </c>
      <c r="H905" t="str">
        <f>HYPERLINK("https://video.twimg.com/amplify_video/1584876659819261952/vid/1280x720/eUIEXVuuLYa48hLi.mp4?tag=14", "https://video.twimg.com/amplify_video/1584876659819261952/vid/1280x720/eUIEXVuuLYa48hLi.mp4?tag=14")</f>
        <v>https://video.twimg.com/amplify_video/1584876659819261952/vid/1280x720/eUIEXVuuLYa48hLi.mp4?tag=14</v>
      </c>
      <c r="L905">
        <v>0</v>
      </c>
      <c r="M905">
        <v>0</v>
      </c>
      <c r="N905">
        <v>1</v>
      </c>
      <c r="O905">
        <v>0</v>
      </c>
    </row>
    <row r="906" spans="1:15" x14ac:dyDescent="0.2">
      <c r="A906" s="1" t="str">
        <f>HYPERLINK("http://www.twitter.com/banuakdenizli/status/1585272949468168193", "1585272949468168193")</f>
        <v>1585272949468168193</v>
      </c>
      <c r="B906" t="s">
        <v>15</v>
      </c>
      <c r="C906" s="2">
        <v>44860.591412037043</v>
      </c>
      <c r="D906">
        <v>0</v>
      </c>
      <c r="E906">
        <v>9</v>
      </c>
      <c r="F906" t="s">
        <v>17</v>
      </c>
      <c r="G906" t="s">
        <v>972</v>
      </c>
      <c r="H906" t="str">
        <f>HYPERLINK("http://pbs.twimg.com/media/Ff73ypLWQAA1jGF.jpg", "http://pbs.twimg.com/media/Ff73ypLWQAA1jGF.jpg")</f>
        <v>http://pbs.twimg.com/media/Ff73ypLWQAA1jGF.jpg</v>
      </c>
      <c r="I906" t="str">
        <f>HYPERLINK("http://pbs.twimg.com/media/Ff73ypLXgAgOxd9.jpg", "http://pbs.twimg.com/media/Ff73ypLXgAgOxd9.jpg")</f>
        <v>http://pbs.twimg.com/media/Ff73ypLXgAgOxd9.jpg</v>
      </c>
      <c r="L906">
        <v>0</v>
      </c>
      <c r="M906">
        <v>0</v>
      </c>
      <c r="N906">
        <v>1</v>
      </c>
      <c r="O906">
        <v>0</v>
      </c>
    </row>
    <row r="907" spans="1:15" x14ac:dyDescent="0.2">
      <c r="A907" s="1" t="str">
        <f>HYPERLINK("http://www.twitter.com/banuakdenizli/status/1585272928891031552", "1585272928891031552")</f>
        <v>1585272928891031552</v>
      </c>
      <c r="B907" t="s">
        <v>15</v>
      </c>
      <c r="C907" s="2">
        <v>44860.591354166667</v>
      </c>
      <c r="D907">
        <v>0</v>
      </c>
      <c r="E907">
        <v>4</v>
      </c>
      <c r="F907" t="s">
        <v>16</v>
      </c>
      <c r="G907" t="s">
        <v>973</v>
      </c>
      <c r="H907" t="str">
        <f>HYPERLINK("http://pbs.twimg.com/media/Ff7xd6xXEAAC4F1.jpg", "http://pbs.twimg.com/media/Ff7xd6xXEAAC4F1.jpg")</f>
        <v>http://pbs.twimg.com/media/Ff7xd6xXEAAC4F1.jpg</v>
      </c>
      <c r="I907" t="str">
        <f>HYPERLINK("http://pbs.twimg.com/media/Ff7xd8qXECoVWxm.jpg", "http://pbs.twimg.com/media/Ff7xd8qXECoVWxm.jpg")</f>
        <v>http://pbs.twimg.com/media/Ff7xd8qXECoVWxm.jpg</v>
      </c>
      <c r="L907">
        <v>0</v>
      </c>
      <c r="M907">
        <v>0</v>
      </c>
      <c r="N907">
        <v>1</v>
      </c>
      <c r="O907">
        <v>0</v>
      </c>
    </row>
    <row r="908" spans="1:15" x14ac:dyDescent="0.2">
      <c r="A908" s="1" t="str">
        <f>HYPERLINK("http://www.twitter.com/banuakdenizli/status/1585272897958023169", "1585272897958023169")</f>
        <v>1585272897958023169</v>
      </c>
      <c r="B908" t="s">
        <v>15</v>
      </c>
      <c r="C908" s="2">
        <v>44860.591273148151</v>
      </c>
      <c r="D908">
        <v>0</v>
      </c>
      <c r="E908">
        <v>6</v>
      </c>
      <c r="F908" t="s">
        <v>16</v>
      </c>
      <c r="G908" t="s">
        <v>974</v>
      </c>
      <c r="H908" t="str">
        <f>HYPERLINK("http://pbs.twimg.com/media/Ff-cJVdWIAE6Kbb.jpg", "http://pbs.twimg.com/media/Ff-cJVdWIAE6Kbb.jpg")</f>
        <v>http://pbs.twimg.com/media/Ff-cJVdWIAE6Kbb.jpg</v>
      </c>
      <c r="L908">
        <v>0</v>
      </c>
      <c r="M908">
        <v>0</v>
      </c>
      <c r="N908">
        <v>1</v>
      </c>
      <c r="O908">
        <v>0</v>
      </c>
    </row>
    <row r="909" spans="1:15" x14ac:dyDescent="0.2">
      <c r="A909" s="1" t="str">
        <f>HYPERLINK("http://www.twitter.com/banuakdenizli/status/1585272868459405314", "1585272868459405314")</f>
        <v>1585272868459405314</v>
      </c>
      <c r="B909" t="s">
        <v>15</v>
      </c>
      <c r="C909" s="2">
        <v>44860.591192129628</v>
      </c>
      <c r="D909">
        <v>0</v>
      </c>
      <c r="E909">
        <v>3</v>
      </c>
      <c r="F909" t="s">
        <v>16</v>
      </c>
      <c r="G909" t="s">
        <v>975</v>
      </c>
      <c r="H909" t="str">
        <f>HYPERLINK("http://pbs.twimg.com/media/Ff-VlZYXgAAZg18.jpg", "http://pbs.twimg.com/media/Ff-VlZYXgAAZg18.jpg")</f>
        <v>http://pbs.twimg.com/media/Ff-VlZYXgAAZg18.jpg</v>
      </c>
      <c r="L909">
        <v>0</v>
      </c>
      <c r="M909">
        <v>0</v>
      </c>
      <c r="N909">
        <v>1</v>
      </c>
      <c r="O909">
        <v>0</v>
      </c>
    </row>
    <row r="910" spans="1:15" x14ac:dyDescent="0.2">
      <c r="A910" s="1" t="str">
        <f>HYPERLINK("http://www.twitter.com/banuakdenizli/status/1585272815590187008", "1585272815590187008")</f>
        <v>1585272815590187008</v>
      </c>
      <c r="B910" t="s">
        <v>15</v>
      </c>
      <c r="C910" s="2">
        <v>44860.591041666667</v>
      </c>
      <c r="D910">
        <v>0</v>
      </c>
      <c r="E910">
        <v>13</v>
      </c>
      <c r="F910" t="s">
        <v>16</v>
      </c>
      <c r="G910" t="s">
        <v>976</v>
      </c>
      <c r="H910" t="str">
        <f>HYPERLINK("http://pbs.twimg.com/media/Ff703nVXEAwJqzQ.jpg", "http://pbs.twimg.com/media/Ff703nVXEAwJqzQ.jpg")</f>
        <v>http://pbs.twimg.com/media/Ff703nVXEAwJqzQ.jpg</v>
      </c>
      <c r="L910">
        <v>0</v>
      </c>
      <c r="M910">
        <v>0</v>
      </c>
      <c r="N910">
        <v>1</v>
      </c>
      <c r="O910">
        <v>0</v>
      </c>
    </row>
    <row r="911" spans="1:15" x14ac:dyDescent="0.2">
      <c r="A911" s="1" t="str">
        <f>HYPERLINK("http://www.twitter.com/banuakdenizli/status/1585272774964252676", "1585272774964252676")</f>
        <v>1585272774964252676</v>
      </c>
      <c r="B911" t="s">
        <v>15</v>
      </c>
      <c r="C911" s="2">
        <v>44860.590937499997</v>
      </c>
      <c r="D911">
        <v>0</v>
      </c>
      <c r="E911">
        <v>5</v>
      </c>
      <c r="F911" t="s">
        <v>16</v>
      </c>
      <c r="G911" t="s">
        <v>977</v>
      </c>
      <c r="H911" t="str">
        <f>HYPERLINK("http://pbs.twimg.com/media/Ff7g9KdXEA0KYiy.jpg", "http://pbs.twimg.com/media/Ff7g9KdXEA0KYiy.jpg")</f>
        <v>http://pbs.twimg.com/media/Ff7g9KdXEA0KYiy.jpg</v>
      </c>
      <c r="I911" t="str">
        <f>HYPERLINK("http://pbs.twimg.com/media/Ff7g9KcXkAIXCGe.jpg", "http://pbs.twimg.com/media/Ff7g9KcXkAIXCGe.jpg")</f>
        <v>http://pbs.twimg.com/media/Ff7g9KcXkAIXCGe.jpg</v>
      </c>
      <c r="L911">
        <v>0</v>
      </c>
      <c r="M911">
        <v>0</v>
      </c>
      <c r="N911">
        <v>1</v>
      </c>
      <c r="O911">
        <v>0</v>
      </c>
    </row>
    <row r="912" spans="1:15" x14ac:dyDescent="0.2">
      <c r="A912" s="1" t="str">
        <f>HYPERLINK("http://www.twitter.com/banuakdenizli/status/1585272755968249857", "1585272755968249857")</f>
        <v>1585272755968249857</v>
      </c>
      <c r="B912" t="s">
        <v>15</v>
      </c>
      <c r="C912" s="2">
        <v>44860.590879629628</v>
      </c>
      <c r="D912">
        <v>0</v>
      </c>
      <c r="E912">
        <v>3</v>
      </c>
      <c r="F912" t="s">
        <v>17</v>
      </c>
      <c r="G912" t="s">
        <v>978</v>
      </c>
      <c r="H912" t="str">
        <f>HYPERLINK("http://pbs.twimg.com/media/Ff_ZEaYWIAEXZfz.jpg", "http://pbs.twimg.com/media/Ff_ZEaYWIAEXZfz.jpg")</f>
        <v>http://pbs.twimg.com/media/Ff_ZEaYWIAEXZfz.jpg</v>
      </c>
      <c r="L912">
        <v>0</v>
      </c>
      <c r="M912">
        <v>0</v>
      </c>
      <c r="N912">
        <v>1</v>
      </c>
      <c r="O912">
        <v>0</v>
      </c>
    </row>
    <row r="913" spans="1:15" x14ac:dyDescent="0.2">
      <c r="A913" s="1" t="str">
        <f>HYPERLINK("http://www.twitter.com/banuakdenizli/status/1585272731679035392", "1585272731679035392")</f>
        <v>1585272731679035392</v>
      </c>
      <c r="B913" t="s">
        <v>15</v>
      </c>
      <c r="C913" s="2">
        <v>44860.590810185182</v>
      </c>
      <c r="D913">
        <v>0</v>
      </c>
      <c r="E913">
        <v>9</v>
      </c>
      <c r="F913" t="s">
        <v>16</v>
      </c>
      <c r="G913" t="s">
        <v>979</v>
      </c>
      <c r="H913" t="str">
        <f>HYPERLINK("http://pbs.twimg.com/media/Ff70HwlWYAEnT62.jpg", "http://pbs.twimg.com/media/Ff70HwlWYAEnT62.jpg")</f>
        <v>http://pbs.twimg.com/media/Ff70HwlWYAEnT62.jpg</v>
      </c>
      <c r="I913" t="str">
        <f>HYPERLINK("http://pbs.twimg.com/media/Ff70HwjXEAoKu-e.jpg", "http://pbs.twimg.com/media/Ff70HwjXEAoKu-e.jpg")</f>
        <v>http://pbs.twimg.com/media/Ff70HwjXEAoKu-e.jpg</v>
      </c>
      <c r="L913">
        <v>0</v>
      </c>
      <c r="M913">
        <v>0</v>
      </c>
      <c r="N913">
        <v>1</v>
      </c>
      <c r="O913">
        <v>0</v>
      </c>
    </row>
    <row r="914" spans="1:15" x14ac:dyDescent="0.2">
      <c r="A914" s="1" t="str">
        <f>HYPERLINK("http://www.twitter.com/banuakdenizli/status/1585272715161763846", "1585272715161763846")</f>
        <v>1585272715161763846</v>
      </c>
      <c r="B914" t="s">
        <v>15</v>
      </c>
      <c r="C914" s="2">
        <v>44860.590763888889</v>
      </c>
      <c r="D914">
        <v>0</v>
      </c>
      <c r="E914">
        <v>5</v>
      </c>
      <c r="F914" t="s">
        <v>726</v>
      </c>
      <c r="G914" t="s">
        <v>980</v>
      </c>
      <c r="H914" t="str">
        <f>HYPERLINK("http://pbs.twimg.com/media/Ff_WqSuWAAE1YEl.jpg", "http://pbs.twimg.com/media/Ff_WqSuWAAE1YEl.jpg")</f>
        <v>http://pbs.twimg.com/media/Ff_WqSuWAAE1YEl.jpg</v>
      </c>
      <c r="L914">
        <v>0</v>
      </c>
      <c r="M914">
        <v>0</v>
      </c>
      <c r="N914">
        <v>1</v>
      </c>
      <c r="O914">
        <v>0</v>
      </c>
    </row>
    <row r="915" spans="1:15" x14ac:dyDescent="0.2">
      <c r="A915" s="1" t="str">
        <f>HYPERLINK("http://www.twitter.com/banuakdenizli/status/1585272692445515777", "1585272692445515777")</f>
        <v>1585272692445515777</v>
      </c>
      <c r="B915" t="s">
        <v>15</v>
      </c>
      <c r="C915" s="2">
        <v>44860.59070601852</v>
      </c>
      <c r="D915">
        <v>0</v>
      </c>
      <c r="E915">
        <v>5</v>
      </c>
      <c r="F915" t="s">
        <v>17</v>
      </c>
      <c r="G915" t="s">
        <v>981</v>
      </c>
      <c r="H915" t="str">
        <f>HYPERLINK("http://pbs.twimg.com/media/Ff_hfcIXkAMduai.jpg", "http://pbs.twimg.com/media/Ff_hfcIXkAMduai.jpg")</f>
        <v>http://pbs.twimg.com/media/Ff_hfcIXkAMduai.jpg</v>
      </c>
      <c r="L915">
        <v>0</v>
      </c>
      <c r="M915">
        <v>0</v>
      </c>
      <c r="N915">
        <v>1</v>
      </c>
      <c r="O915">
        <v>0</v>
      </c>
    </row>
    <row r="916" spans="1:15" x14ac:dyDescent="0.2">
      <c r="A916" s="1" t="str">
        <f>HYPERLINK("http://www.twitter.com/banuakdenizli/status/1585272669599154177", "1585272669599154177")</f>
        <v>1585272669599154177</v>
      </c>
      <c r="B916" t="s">
        <v>15</v>
      </c>
      <c r="C916" s="2">
        <v>44860.590648148151</v>
      </c>
      <c r="D916">
        <v>0</v>
      </c>
      <c r="E916">
        <v>5</v>
      </c>
      <c r="F916" t="s">
        <v>16</v>
      </c>
      <c r="G916" t="s">
        <v>982</v>
      </c>
      <c r="H916" t="str">
        <f>HYPERLINK("http://pbs.twimg.com/media/Ff_DNRbXoAA5T8f.jpg", "http://pbs.twimg.com/media/Ff_DNRbXoAA5T8f.jpg")</f>
        <v>http://pbs.twimg.com/media/Ff_DNRbXoAA5T8f.jpg</v>
      </c>
      <c r="I916" t="str">
        <f>HYPERLINK("http://pbs.twimg.com/media/Ff_DNRcWIAI_LV_.jpg", "http://pbs.twimg.com/media/Ff_DNRcWIAI_LV_.jpg")</f>
        <v>http://pbs.twimg.com/media/Ff_DNRcWIAI_LV_.jpg</v>
      </c>
      <c r="L916">
        <v>0</v>
      </c>
      <c r="M916">
        <v>0</v>
      </c>
      <c r="N916">
        <v>1</v>
      </c>
      <c r="O916">
        <v>0</v>
      </c>
    </row>
    <row r="917" spans="1:15" x14ac:dyDescent="0.2">
      <c r="A917" s="1" t="str">
        <f>HYPERLINK("http://www.twitter.com/banuakdenizli/status/1585272631875575809", "1585272631875575809")</f>
        <v>1585272631875575809</v>
      </c>
      <c r="B917" t="s">
        <v>15</v>
      </c>
      <c r="C917" s="2">
        <v>44860.590543981481</v>
      </c>
      <c r="D917">
        <v>0</v>
      </c>
      <c r="E917">
        <v>3</v>
      </c>
      <c r="F917" t="s">
        <v>22</v>
      </c>
      <c r="G917" t="s">
        <v>983</v>
      </c>
      <c r="H917" t="str">
        <f>HYPERLINK("http://pbs.twimg.com/media/Ff_3YhaX0AENw9_.jpg", "http://pbs.twimg.com/media/Ff_3YhaX0AENw9_.jpg")</f>
        <v>http://pbs.twimg.com/media/Ff_3YhaX0AENw9_.jpg</v>
      </c>
      <c r="I917" t="str">
        <f>HYPERLINK("http://pbs.twimg.com/media/Ff_3YhYXkAErZq9.jpg", "http://pbs.twimg.com/media/Ff_3YhYXkAErZq9.jpg")</f>
        <v>http://pbs.twimg.com/media/Ff_3YhYXkAErZq9.jpg</v>
      </c>
      <c r="L917">
        <v>0.52669999999999995</v>
      </c>
      <c r="M917">
        <v>0</v>
      </c>
      <c r="N917">
        <v>0.92300000000000004</v>
      </c>
      <c r="O917">
        <v>7.6999999999999999E-2</v>
      </c>
    </row>
    <row r="918" spans="1:15" x14ac:dyDescent="0.2">
      <c r="A918" s="1" t="str">
        <f>HYPERLINK("http://www.twitter.com/banuakdenizli/status/1585272618915172352", "1585272618915172352")</f>
        <v>1585272618915172352</v>
      </c>
      <c r="B918" t="s">
        <v>15</v>
      </c>
      <c r="C918" s="2">
        <v>44860.590497685182</v>
      </c>
      <c r="D918">
        <v>0</v>
      </c>
      <c r="E918">
        <v>4</v>
      </c>
      <c r="F918" t="s">
        <v>17</v>
      </c>
      <c r="G918" t="s">
        <v>984</v>
      </c>
      <c r="H918" t="str">
        <f>HYPERLINK("http://pbs.twimg.com/media/Ff_TLA-XgAEwiRH.jpg", "http://pbs.twimg.com/media/Ff_TLA-XgAEwiRH.jpg")</f>
        <v>http://pbs.twimg.com/media/Ff_TLA-XgAEwiRH.jpg</v>
      </c>
      <c r="I918" t="str">
        <f>HYPERLINK("http://pbs.twimg.com/media/Ff_TLBAWIAIrWSP.jpg", "http://pbs.twimg.com/media/Ff_TLBAWIAIrWSP.jpg")</f>
        <v>http://pbs.twimg.com/media/Ff_TLBAWIAIrWSP.jpg</v>
      </c>
      <c r="L918">
        <v>0</v>
      </c>
      <c r="M918">
        <v>0</v>
      </c>
      <c r="N918">
        <v>1</v>
      </c>
      <c r="O918">
        <v>0</v>
      </c>
    </row>
    <row r="919" spans="1:15" x14ac:dyDescent="0.2">
      <c r="A919" s="1" t="str">
        <f>HYPERLINK("http://www.twitter.com/banuakdenizli/status/1585272608643321858", "1585272608643321858")</f>
        <v>1585272608643321858</v>
      </c>
      <c r="B919" t="s">
        <v>15</v>
      </c>
      <c r="C919" s="2">
        <v>44860.590474537043</v>
      </c>
      <c r="D919">
        <v>0</v>
      </c>
      <c r="E919">
        <v>3</v>
      </c>
      <c r="F919" t="s">
        <v>16</v>
      </c>
      <c r="G919" t="s">
        <v>985</v>
      </c>
      <c r="H919" t="str">
        <f>HYPERLINK("http://pbs.twimg.com/media/Ff_QUq1XgAA0Uud.jpg", "http://pbs.twimg.com/media/Ff_QUq1XgAA0Uud.jpg")</f>
        <v>http://pbs.twimg.com/media/Ff_QUq1XgAA0Uud.jpg</v>
      </c>
      <c r="L919">
        <v>0</v>
      </c>
      <c r="M919">
        <v>0</v>
      </c>
      <c r="N919">
        <v>1</v>
      </c>
      <c r="O919">
        <v>0</v>
      </c>
    </row>
    <row r="920" spans="1:15" x14ac:dyDescent="0.2">
      <c r="A920" s="1" t="str">
        <f>HYPERLINK("http://www.twitter.com/banuakdenizli/status/1585272580121968640", "1585272580121968640")</f>
        <v>1585272580121968640</v>
      </c>
      <c r="B920" t="s">
        <v>15</v>
      </c>
      <c r="C920" s="2">
        <v>44860.59039351852</v>
      </c>
      <c r="D920">
        <v>0</v>
      </c>
      <c r="E920">
        <v>10</v>
      </c>
      <c r="F920" t="s">
        <v>17</v>
      </c>
      <c r="G920" t="s">
        <v>986</v>
      </c>
      <c r="H920" t="str">
        <f>HYPERLINK("http://pbs.twimg.com/media/Ff8pG2IWQAMY3sg.jpg", "http://pbs.twimg.com/media/Ff8pG2IWQAMY3sg.jpg")</f>
        <v>http://pbs.twimg.com/media/Ff8pG2IWQAMY3sg.jpg</v>
      </c>
      <c r="I920" t="str">
        <f>HYPERLINK("http://pbs.twimg.com/media/Ff8pG2HWIAAmVcq.jpg", "http://pbs.twimg.com/media/Ff8pG2HWIAAmVcq.jpg")</f>
        <v>http://pbs.twimg.com/media/Ff8pG2HWIAAmVcq.jpg</v>
      </c>
      <c r="L920">
        <v>0</v>
      </c>
      <c r="M920">
        <v>0</v>
      </c>
      <c r="N920">
        <v>1</v>
      </c>
      <c r="O920">
        <v>0</v>
      </c>
    </row>
    <row r="921" spans="1:15" x14ac:dyDescent="0.2">
      <c r="A921" s="1" t="str">
        <f>HYPERLINK("http://www.twitter.com/banuakdenizli/status/1585257196547616774", "1585257196547616774")</f>
        <v>1585257196547616774</v>
      </c>
      <c r="B921" t="s">
        <v>15</v>
      </c>
      <c r="C921" s="2">
        <v>44860.547939814824</v>
      </c>
      <c r="D921">
        <v>0</v>
      </c>
      <c r="E921">
        <v>10</v>
      </c>
      <c r="F921" t="s">
        <v>17</v>
      </c>
      <c r="G921" t="s">
        <v>987</v>
      </c>
      <c r="H921" t="str">
        <f>HYPERLINK("http://pbs.twimg.com/media/Ff8U_UOWIAMP3g8.jpg", "http://pbs.twimg.com/media/Ff8U_UOWIAMP3g8.jpg")</f>
        <v>http://pbs.twimg.com/media/Ff8U_UOWIAMP3g8.jpg</v>
      </c>
      <c r="I921" t="str">
        <f>HYPERLINK("http://pbs.twimg.com/media/Ff8U_UQXgAABqTG.jpg", "http://pbs.twimg.com/media/Ff8U_UQXgAABqTG.jpg")</f>
        <v>http://pbs.twimg.com/media/Ff8U_UQXgAABqTG.jpg</v>
      </c>
      <c r="L921">
        <v>7.7200000000000005E-2</v>
      </c>
      <c r="M921">
        <v>0</v>
      </c>
      <c r="N921">
        <v>0.90200000000000002</v>
      </c>
      <c r="O921">
        <v>9.8000000000000004E-2</v>
      </c>
    </row>
    <row r="922" spans="1:15" x14ac:dyDescent="0.2">
      <c r="A922" s="1" t="str">
        <f>HYPERLINK("http://www.twitter.com/banuakdenizli/status/1585257186086699008", "1585257186086699008")</f>
        <v>1585257186086699008</v>
      </c>
      <c r="B922" t="s">
        <v>15</v>
      </c>
      <c r="C922" s="2">
        <v>44860.54791666667</v>
      </c>
      <c r="D922">
        <v>0</v>
      </c>
      <c r="E922">
        <v>69</v>
      </c>
      <c r="F922" t="s">
        <v>28</v>
      </c>
      <c r="G922" t="s">
        <v>988</v>
      </c>
      <c r="H922" t="str">
        <f>HYPERLINK("https://video.twimg.com/ext_tw_video/1584988732465225728/pu/vid/1280x720/1wr-7nDU7B9NBbou.mp4?tag=12", "https://video.twimg.com/ext_tw_video/1584988732465225728/pu/vid/1280x720/1wr-7nDU7B9NBbou.mp4?tag=12")</f>
        <v>https://video.twimg.com/ext_tw_video/1584988732465225728/pu/vid/1280x720/1wr-7nDU7B9NBbou.mp4?tag=12</v>
      </c>
      <c r="L922">
        <v>0</v>
      </c>
      <c r="M922">
        <v>0</v>
      </c>
      <c r="N922">
        <v>1</v>
      </c>
      <c r="O922">
        <v>0</v>
      </c>
    </row>
    <row r="923" spans="1:15" x14ac:dyDescent="0.2">
      <c r="A923" s="1" t="str">
        <f>HYPERLINK("http://www.twitter.com/banuakdenizli/status/1585257174065852416", "1585257174065852416")</f>
        <v>1585257174065852416</v>
      </c>
      <c r="B923" t="s">
        <v>15</v>
      </c>
      <c r="C923" s="2">
        <v>44860.547881944447</v>
      </c>
      <c r="D923">
        <v>0</v>
      </c>
      <c r="E923">
        <v>6</v>
      </c>
      <c r="F923" t="s">
        <v>16</v>
      </c>
      <c r="G923" t="s">
        <v>989</v>
      </c>
      <c r="H923" t="str">
        <f>HYPERLINK("http://pbs.twimg.com/media/Ff7wrx9XEBIZ0L7.jpg", "http://pbs.twimg.com/media/Ff7wrx9XEBIZ0L7.jpg")</f>
        <v>http://pbs.twimg.com/media/Ff7wrx9XEBIZ0L7.jpg</v>
      </c>
      <c r="L923">
        <v>0</v>
      </c>
      <c r="M923">
        <v>0</v>
      </c>
      <c r="N923">
        <v>1</v>
      </c>
      <c r="O923">
        <v>0</v>
      </c>
    </row>
    <row r="924" spans="1:15" x14ac:dyDescent="0.2">
      <c r="A924" s="1" t="str">
        <f>HYPERLINK("http://www.twitter.com/banuakdenizli/status/1585257155946770435", "1585257155946770435")</f>
        <v>1585257155946770435</v>
      </c>
      <c r="B924" t="s">
        <v>15</v>
      </c>
      <c r="C924" s="2">
        <v>44860.547835648147</v>
      </c>
      <c r="D924">
        <v>0</v>
      </c>
      <c r="E924">
        <v>5</v>
      </c>
      <c r="F924" t="s">
        <v>20</v>
      </c>
      <c r="G924" t="s">
        <v>990</v>
      </c>
      <c r="H924" t="str">
        <f>HYPERLINK("http://pbs.twimg.com/media/Ff_f7DrWYAEmB99.jpg", "http://pbs.twimg.com/media/Ff_f7DrWYAEmB99.jpg")</f>
        <v>http://pbs.twimg.com/media/Ff_f7DrWYAEmB99.jpg</v>
      </c>
      <c r="L924">
        <v>0</v>
      </c>
      <c r="M924">
        <v>0</v>
      </c>
      <c r="N924">
        <v>1</v>
      </c>
      <c r="O924">
        <v>0</v>
      </c>
    </row>
    <row r="925" spans="1:15" x14ac:dyDescent="0.2">
      <c r="A925" s="1" t="str">
        <f>HYPERLINK("http://www.twitter.com/banuakdenizli/status/1585257141069262848", "1585257141069262848")</f>
        <v>1585257141069262848</v>
      </c>
      <c r="B925" t="s">
        <v>15</v>
      </c>
      <c r="C925" s="2">
        <v>44860.547789351847</v>
      </c>
      <c r="D925">
        <v>0</v>
      </c>
      <c r="E925">
        <v>5</v>
      </c>
      <c r="F925" t="s">
        <v>17</v>
      </c>
      <c r="G925" t="s">
        <v>991</v>
      </c>
      <c r="H925" t="str">
        <f>HYPERLINK("http://pbs.twimg.com/media/Ff_TehhX0AAw5xk.jpg", "http://pbs.twimg.com/media/Ff_TehhX0AAw5xk.jpg")</f>
        <v>http://pbs.twimg.com/media/Ff_TehhX0AAw5xk.jpg</v>
      </c>
      <c r="L925">
        <v>0</v>
      </c>
      <c r="M925">
        <v>0</v>
      </c>
      <c r="N925">
        <v>1</v>
      </c>
      <c r="O925">
        <v>0</v>
      </c>
    </row>
    <row r="926" spans="1:15" x14ac:dyDescent="0.2">
      <c r="A926" s="1" t="str">
        <f>HYPERLINK("http://www.twitter.com/banuakdenizli/status/1585257121829990400", "1585257121829990400")</f>
        <v>1585257121829990400</v>
      </c>
      <c r="B926" t="s">
        <v>15</v>
      </c>
      <c r="C926" s="2">
        <v>44860.547743055547</v>
      </c>
      <c r="D926">
        <v>0</v>
      </c>
      <c r="E926">
        <v>11</v>
      </c>
      <c r="F926" t="s">
        <v>16</v>
      </c>
      <c r="G926" t="s">
        <v>992</v>
      </c>
      <c r="H926" t="str">
        <f>HYPERLINK("http://pbs.twimg.com/media/Ff_OgmGXkAATyqK.jpg", "http://pbs.twimg.com/media/Ff_OgmGXkAATyqK.jpg")</f>
        <v>http://pbs.twimg.com/media/Ff_OgmGXkAATyqK.jpg</v>
      </c>
      <c r="L926">
        <v>0</v>
      </c>
      <c r="M926">
        <v>0</v>
      </c>
      <c r="N926">
        <v>1</v>
      </c>
      <c r="O926">
        <v>0</v>
      </c>
    </row>
    <row r="927" spans="1:15" x14ac:dyDescent="0.2">
      <c r="A927" s="1" t="str">
        <f>HYPERLINK("http://www.twitter.com/banuakdenizli/status/1585257012115275777", "1585257012115275777")</f>
        <v>1585257012115275777</v>
      </c>
      <c r="B927" t="s">
        <v>15</v>
      </c>
      <c r="C927" s="2">
        <v>44860.547430555547</v>
      </c>
      <c r="D927">
        <v>0</v>
      </c>
      <c r="E927">
        <v>12</v>
      </c>
      <c r="F927" t="s">
        <v>19</v>
      </c>
      <c r="G927" t="s">
        <v>993</v>
      </c>
      <c r="H927" t="str">
        <f>HYPERLINK("http://pbs.twimg.com/media/Ff9h5nLWIAEOSGo.jpg", "http://pbs.twimg.com/media/Ff9h5nLWIAEOSGo.jpg")</f>
        <v>http://pbs.twimg.com/media/Ff9h5nLWIAEOSGo.jpg</v>
      </c>
      <c r="I927" t="str">
        <f>HYPERLINK("http://pbs.twimg.com/media/Ff9h5msWIAAWOEn.jpg", "http://pbs.twimg.com/media/Ff9h5msWIAAWOEn.jpg")</f>
        <v>http://pbs.twimg.com/media/Ff9h5msWIAAWOEn.jpg</v>
      </c>
      <c r="L927">
        <v>0.63690000000000002</v>
      </c>
      <c r="M927">
        <v>5.6000000000000001E-2</v>
      </c>
      <c r="N927">
        <v>0.76700000000000002</v>
      </c>
      <c r="O927">
        <v>0.17699999999999999</v>
      </c>
    </row>
    <row r="928" spans="1:15" x14ac:dyDescent="0.2">
      <c r="A928" s="1" t="str">
        <f>HYPERLINK("http://www.twitter.com/banuakdenizli/status/1585256996231528452", "1585256996231528452")</f>
        <v>1585256996231528452</v>
      </c>
      <c r="B928" t="s">
        <v>15</v>
      </c>
      <c r="C928" s="2">
        <v>44860.547395833331</v>
      </c>
      <c r="D928">
        <v>0</v>
      </c>
      <c r="E928">
        <v>34</v>
      </c>
      <c r="F928" t="s">
        <v>28</v>
      </c>
      <c r="G928" t="s">
        <v>994</v>
      </c>
      <c r="H928" t="str">
        <f>HYPERLINK("http://pbs.twimg.com/media/Ff_h9AQX0AATwCa.jpg", "http://pbs.twimg.com/media/Ff_h9AQX0AATwCa.jpg")</f>
        <v>http://pbs.twimg.com/media/Ff_h9AQX0AATwCa.jpg</v>
      </c>
      <c r="L928">
        <v>0</v>
      </c>
      <c r="M928">
        <v>0</v>
      </c>
      <c r="N928">
        <v>1</v>
      </c>
      <c r="O928">
        <v>0</v>
      </c>
    </row>
    <row r="929" spans="1:15" x14ac:dyDescent="0.2">
      <c r="A929" s="1" t="str">
        <f>HYPERLINK("http://www.twitter.com/banuakdenizli/status/1584943298384658433", "1584943298384658433")</f>
        <v>1584943298384658433</v>
      </c>
      <c r="B929" t="s">
        <v>15</v>
      </c>
      <c r="C929" s="2">
        <v>44859.681747685187</v>
      </c>
      <c r="D929">
        <v>0</v>
      </c>
      <c r="E929">
        <v>24</v>
      </c>
      <c r="F929" t="s">
        <v>28</v>
      </c>
      <c r="G929" t="s">
        <v>995</v>
      </c>
      <c r="L929">
        <v>0</v>
      </c>
      <c r="M929">
        <v>0</v>
      </c>
      <c r="N929">
        <v>1</v>
      </c>
      <c r="O929">
        <v>0</v>
      </c>
    </row>
    <row r="930" spans="1:15" x14ac:dyDescent="0.2">
      <c r="A930" s="1" t="str">
        <f>HYPERLINK("http://www.twitter.com/banuakdenizli/status/1584943176535547904", "1584943176535547904")</f>
        <v>1584943176535547904</v>
      </c>
      <c r="B930" t="s">
        <v>15</v>
      </c>
      <c r="C930" s="2">
        <v>44859.68141203704</v>
      </c>
      <c r="D930">
        <v>0</v>
      </c>
      <c r="E930">
        <v>1</v>
      </c>
      <c r="F930" t="s">
        <v>38</v>
      </c>
      <c r="G930" t="s">
        <v>996</v>
      </c>
      <c r="H930" t="str">
        <f>HYPERLINK("http://pbs.twimg.com/media/Ff7WWm_WIAAV62r.jpg", "http://pbs.twimg.com/media/Ff7WWm_WIAAV62r.jpg")</f>
        <v>http://pbs.twimg.com/media/Ff7WWm_WIAAV62r.jpg</v>
      </c>
      <c r="I930" t="str">
        <f>HYPERLINK("http://pbs.twimg.com/media/Ff7WWmjXkAI_Ucw.jpg", "http://pbs.twimg.com/media/Ff7WWmjXkAI_Ucw.jpg")</f>
        <v>http://pbs.twimg.com/media/Ff7WWmjXkAI_Ucw.jpg</v>
      </c>
      <c r="L930">
        <v>0</v>
      </c>
      <c r="M930">
        <v>0</v>
      </c>
      <c r="N930">
        <v>1</v>
      </c>
      <c r="O930">
        <v>0</v>
      </c>
    </row>
    <row r="931" spans="1:15" x14ac:dyDescent="0.2">
      <c r="A931" s="1" t="str">
        <f>HYPERLINK("http://www.twitter.com/banuakdenizli/status/1584930815191896064", "1584930815191896064")</f>
        <v>1584930815191896064</v>
      </c>
      <c r="B931" t="s">
        <v>15</v>
      </c>
      <c r="C931" s="2">
        <v>44859.647303240738</v>
      </c>
      <c r="D931">
        <v>0</v>
      </c>
      <c r="E931">
        <v>8</v>
      </c>
      <c r="F931" t="s">
        <v>726</v>
      </c>
      <c r="G931" t="s">
        <v>997</v>
      </c>
      <c r="H931" t="str">
        <f>HYPERLINK("http://pbs.twimg.com/media/Ff6sexZXgAIjZIP.jpg", "http://pbs.twimg.com/media/Ff6sexZXgAIjZIP.jpg")</f>
        <v>http://pbs.twimg.com/media/Ff6sexZXgAIjZIP.jpg</v>
      </c>
      <c r="L931">
        <v>0</v>
      </c>
      <c r="M931">
        <v>0</v>
      </c>
      <c r="N931">
        <v>1</v>
      </c>
      <c r="O931">
        <v>0</v>
      </c>
    </row>
    <row r="932" spans="1:15" x14ac:dyDescent="0.2">
      <c r="A932" s="1" t="str">
        <f>HYPERLINK("http://www.twitter.com/banuakdenizli/status/1584914889067433986", "1584914889067433986")</f>
        <v>1584914889067433986</v>
      </c>
      <c r="B932" t="s">
        <v>15</v>
      </c>
      <c r="C932" s="2">
        <v>44859.603356481479</v>
      </c>
      <c r="D932">
        <v>0</v>
      </c>
      <c r="E932">
        <v>1</v>
      </c>
      <c r="F932" t="s">
        <v>29</v>
      </c>
      <c r="G932" t="s">
        <v>998</v>
      </c>
      <c r="H932" t="str">
        <f>HYPERLINK("http://pbs.twimg.com/media/Ff6_No0XEAUdgXh.jpg", "http://pbs.twimg.com/media/Ff6_No0XEAUdgXh.jpg")</f>
        <v>http://pbs.twimg.com/media/Ff6_No0XEAUdgXh.jpg</v>
      </c>
      <c r="L932">
        <v>-0.34</v>
      </c>
      <c r="M932">
        <v>5.8999999999999997E-2</v>
      </c>
      <c r="N932">
        <v>0.94099999999999995</v>
      </c>
      <c r="O932">
        <v>0</v>
      </c>
    </row>
    <row r="933" spans="1:15" x14ac:dyDescent="0.2">
      <c r="A933" s="1" t="str">
        <f>HYPERLINK("http://www.twitter.com/banuakdenizli/status/1584911740583673859", "1584911740583673859")</f>
        <v>1584911740583673859</v>
      </c>
      <c r="B933" t="s">
        <v>15</v>
      </c>
      <c r="C933" s="2">
        <v>44859.594664351847</v>
      </c>
      <c r="D933">
        <v>0</v>
      </c>
      <c r="E933">
        <v>1</v>
      </c>
      <c r="F933" t="s">
        <v>38</v>
      </c>
      <c r="G933" t="s">
        <v>999</v>
      </c>
      <c r="H933" t="str">
        <f>HYPERLINK("http://pbs.twimg.com/media/Ff5EIRMWAAQglsH.jpg", "http://pbs.twimg.com/media/Ff5EIRMWAAQglsH.jpg")</f>
        <v>http://pbs.twimg.com/media/Ff5EIRMWAAQglsH.jpg</v>
      </c>
      <c r="I933" t="str">
        <f>HYPERLINK("http://pbs.twimg.com/media/Ff5EISMWAAA6wWU.jpg", "http://pbs.twimg.com/media/Ff5EISMWAAA6wWU.jpg")</f>
        <v>http://pbs.twimg.com/media/Ff5EISMWAAA6wWU.jpg</v>
      </c>
      <c r="L933">
        <v>0</v>
      </c>
      <c r="M933">
        <v>0</v>
      </c>
      <c r="N933">
        <v>1</v>
      </c>
      <c r="O933">
        <v>0</v>
      </c>
    </row>
    <row r="934" spans="1:15" x14ac:dyDescent="0.2">
      <c r="A934" s="1" t="str">
        <f>HYPERLINK("http://www.twitter.com/banuakdenizli/status/1584911612640727042", "1584911612640727042")</f>
        <v>1584911612640727042</v>
      </c>
      <c r="B934" t="s">
        <v>15</v>
      </c>
      <c r="C934" s="2">
        <v>44859.594317129631</v>
      </c>
      <c r="D934">
        <v>0</v>
      </c>
      <c r="E934">
        <v>4</v>
      </c>
      <c r="F934" t="s">
        <v>38</v>
      </c>
      <c r="G934" t="s">
        <v>1000</v>
      </c>
      <c r="H934" t="str">
        <f>HYPERLINK("http://pbs.twimg.com/media/Ff6zP0QWYAE4aPR.jpg", "http://pbs.twimg.com/media/Ff6zP0QWYAE4aPR.jpg")</f>
        <v>http://pbs.twimg.com/media/Ff6zP0QWYAE4aPR.jpg</v>
      </c>
      <c r="L934">
        <v>0</v>
      </c>
      <c r="M934">
        <v>0</v>
      </c>
      <c r="N934">
        <v>1</v>
      </c>
      <c r="O934">
        <v>0</v>
      </c>
    </row>
    <row r="935" spans="1:15" x14ac:dyDescent="0.2">
      <c r="A935" s="1" t="str">
        <f>HYPERLINK("http://www.twitter.com/banuakdenizli/status/1584910842642006018", "1584910842642006018")</f>
        <v>1584910842642006018</v>
      </c>
      <c r="B935" t="s">
        <v>15</v>
      </c>
      <c r="C935" s="2">
        <v>44859.592187499999</v>
      </c>
      <c r="D935">
        <v>0</v>
      </c>
      <c r="E935">
        <v>2</v>
      </c>
      <c r="F935" t="s">
        <v>29</v>
      </c>
      <c r="G935" t="s">
        <v>1001</v>
      </c>
      <c r="H935" t="str">
        <f>HYPERLINK("http://pbs.twimg.com/media/Ff67hjoWIAEiOOS.jpg", "http://pbs.twimg.com/media/Ff67hjoWIAEiOOS.jpg")</f>
        <v>http://pbs.twimg.com/media/Ff67hjoWIAEiOOS.jpg</v>
      </c>
      <c r="L935">
        <v>0</v>
      </c>
      <c r="M935">
        <v>0</v>
      </c>
      <c r="N935">
        <v>1</v>
      </c>
      <c r="O935">
        <v>0</v>
      </c>
    </row>
    <row r="936" spans="1:15" x14ac:dyDescent="0.2">
      <c r="A936" s="1" t="str">
        <f>HYPERLINK("http://www.twitter.com/banuakdenizli/status/1584910461320978432", "1584910461320978432")</f>
        <v>1584910461320978432</v>
      </c>
      <c r="B936" t="s">
        <v>15</v>
      </c>
      <c r="C936" s="2">
        <v>44859.591134259259</v>
      </c>
      <c r="D936">
        <v>0</v>
      </c>
      <c r="E936">
        <v>1</v>
      </c>
      <c r="F936" t="s">
        <v>29</v>
      </c>
      <c r="G936" t="s">
        <v>1002</v>
      </c>
      <c r="H936" t="str">
        <f>HYPERLINK("http://pbs.twimg.com/media/Ff60LomXwAEVCJH.jpg", "http://pbs.twimg.com/media/Ff60LomXwAEVCJH.jpg")</f>
        <v>http://pbs.twimg.com/media/Ff60LomXwAEVCJH.jpg</v>
      </c>
      <c r="L936">
        <v>0</v>
      </c>
      <c r="M936">
        <v>0</v>
      </c>
      <c r="N936">
        <v>1</v>
      </c>
      <c r="O936">
        <v>0</v>
      </c>
    </row>
    <row r="937" spans="1:15" x14ac:dyDescent="0.2">
      <c r="A937" s="1" t="str">
        <f>HYPERLINK("http://www.twitter.com/banuakdenizli/status/1584910382812090382", "1584910382812090382")</f>
        <v>1584910382812090382</v>
      </c>
      <c r="B937" t="s">
        <v>15</v>
      </c>
      <c r="C937" s="2">
        <v>44859.590925925928</v>
      </c>
      <c r="D937">
        <v>0</v>
      </c>
      <c r="E937">
        <v>1</v>
      </c>
      <c r="F937" t="s">
        <v>29</v>
      </c>
      <c r="G937" t="s">
        <v>1003</v>
      </c>
      <c r="H937" t="str">
        <f>HYPERLINK("http://pbs.twimg.com/media/Ff60yHDWIAMf_mQ.jpg", "http://pbs.twimg.com/media/Ff60yHDWIAMf_mQ.jpg")</f>
        <v>http://pbs.twimg.com/media/Ff60yHDWIAMf_mQ.jpg</v>
      </c>
      <c r="L937">
        <v>-0.59940000000000004</v>
      </c>
      <c r="M937">
        <v>8.1000000000000003E-2</v>
      </c>
      <c r="N937">
        <v>0.91900000000000004</v>
      </c>
      <c r="O937">
        <v>0</v>
      </c>
    </row>
    <row r="938" spans="1:15" x14ac:dyDescent="0.2">
      <c r="A938" s="1" t="str">
        <f>HYPERLINK("http://www.twitter.com/banuakdenizli/status/1584910276159324161", "1584910276159324161")</f>
        <v>1584910276159324161</v>
      </c>
      <c r="B938" t="s">
        <v>15</v>
      </c>
      <c r="C938" s="2">
        <v>44859.590624999997</v>
      </c>
      <c r="D938">
        <v>0</v>
      </c>
      <c r="E938">
        <v>1</v>
      </c>
      <c r="F938" t="s">
        <v>29</v>
      </c>
      <c r="G938" t="s">
        <v>1004</v>
      </c>
      <c r="H938" t="str">
        <f>HYPERLINK("http://pbs.twimg.com/media/Ff61QgtXoAEx4sg.jpg", "http://pbs.twimg.com/media/Ff61QgtXoAEx4sg.jpg")</f>
        <v>http://pbs.twimg.com/media/Ff61QgtXoAEx4sg.jpg</v>
      </c>
      <c r="L938">
        <v>-0.59940000000000004</v>
      </c>
      <c r="M938">
        <v>0.08</v>
      </c>
      <c r="N938">
        <v>0.92</v>
      </c>
      <c r="O938">
        <v>0</v>
      </c>
    </row>
    <row r="939" spans="1:15" x14ac:dyDescent="0.2">
      <c r="A939" s="1" t="str">
        <f>HYPERLINK("http://www.twitter.com/banuakdenizli/status/1584909771404189696", "1584909771404189696")</f>
        <v>1584909771404189696</v>
      </c>
      <c r="B939" t="s">
        <v>15</v>
      </c>
      <c r="C939" s="2">
        <v>44859.589236111111</v>
      </c>
      <c r="D939">
        <v>0</v>
      </c>
      <c r="E939">
        <v>4</v>
      </c>
      <c r="F939" t="s">
        <v>30</v>
      </c>
      <c r="G939" t="s">
        <v>1005</v>
      </c>
      <c r="H939" t="str">
        <f>HYPERLINK("http://pbs.twimg.com/media/Ff6z-6MXEAA92_W.jpg", "http://pbs.twimg.com/media/Ff6z-6MXEAA92_W.jpg")</f>
        <v>http://pbs.twimg.com/media/Ff6z-6MXEAA92_W.jpg</v>
      </c>
      <c r="L939">
        <v>0</v>
      </c>
      <c r="M939">
        <v>0</v>
      </c>
      <c r="N939">
        <v>1</v>
      </c>
      <c r="O939">
        <v>0</v>
      </c>
    </row>
    <row r="940" spans="1:15" x14ac:dyDescent="0.2">
      <c r="A940" s="1" t="str">
        <f>HYPERLINK("http://www.twitter.com/banuakdenizli/status/1584909635710029829", "1584909635710029829")</f>
        <v>1584909635710029829</v>
      </c>
      <c r="B940" t="s">
        <v>15</v>
      </c>
      <c r="C940" s="2">
        <v>44859.588865740741</v>
      </c>
      <c r="D940">
        <v>0</v>
      </c>
      <c r="E940">
        <v>11</v>
      </c>
      <c r="F940" t="s">
        <v>26</v>
      </c>
      <c r="G940" t="s">
        <v>1006</v>
      </c>
      <c r="H940" t="str">
        <f>HYPERLINK("http://pbs.twimg.com/media/Ff64EdoX0AQ27qA.jpg", "http://pbs.twimg.com/media/Ff64EdoX0AQ27qA.jpg")</f>
        <v>http://pbs.twimg.com/media/Ff64EdoX0AQ27qA.jpg</v>
      </c>
      <c r="L940">
        <v>0.44040000000000001</v>
      </c>
      <c r="M940">
        <v>5.0999999999999997E-2</v>
      </c>
      <c r="N940">
        <v>0.83099999999999996</v>
      </c>
      <c r="O940">
        <v>0.11799999999999999</v>
      </c>
    </row>
    <row r="941" spans="1:15" x14ac:dyDescent="0.2">
      <c r="A941" s="1" t="str">
        <f>HYPERLINK("http://www.twitter.com/banuakdenizli/status/1584900936954253316", "1584900936954253316")</f>
        <v>1584900936954253316</v>
      </c>
      <c r="B941" t="s">
        <v>15</v>
      </c>
      <c r="C941" s="2">
        <v>44859.56486111111</v>
      </c>
      <c r="D941">
        <v>0</v>
      </c>
      <c r="E941">
        <v>11</v>
      </c>
      <c r="F941" t="s">
        <v>651</v>
      </c>
      <c r="G941" t="s">
        <v>1007</v>
      </c>
      <c r="H941" t="str">
        <f>HYPERLINK("http://pbs.twimg.com/media/Ff6k3luXkAUYbo2.jpg", "http://pbs.twimg.com/media/Ff6k3luXkAUYbo2.jpg")</f>
        <v>http://pbs.twimg.com/media/Ff6k3luXkAUYbo2.jpg</v>
      </c>
      <c r="I941" t="str">
        <f>HYPERLINK("http://pbs.twimg.com/media/Ff6k3lzXwAATtGC.jpg", "http://pbs.twimg.com/media/Ff6k3lzXwAATtGC.jpg")</f>
        <v>http://pbs.twimg.com/media/Ff6k3lzXwAATtGC.jpg</v>
      </c>
      <c r="L941">
        <v>0.82709999999999995</v>
      </c>
      <c r="M941">
        <v>0</v>
      </c>
      <c r="N941">
        <v>0.78400000000000003</v>
      </c>
      <c r="O941">
        <v>0.216</v>
      </c>
    </row>
    <row r="942" spans="1:15" x14ac:dyDescent="0.2">
      <c r="A942" s="1" t="str">
        <f>HYPERLINK("http://www.twitter.com/banuakdenizli/status/1584900925625405441", "1584900925625405441")</f>
        <v>1584900925625405441</v>
      </c>
      <c r="B942" t="s">
        <v>15</v>
      </c>
      <c r="C942" s="2">
        <v>44859.564826388887</v>
      </c>
      <c r="D942">
        <v>0</v>
      </c>
      <c r="E942">
        <v>7</v>
      </c>
      <c r="F942" t="s">
        <v>651</v>
      </c>
      <c r="G942" t="s">
        <v>1008</v>
      </c>
      <c r="L942">
        <v>0</v>
      </c>
      <c r="M942">
        <v>0</v>
      </c>
      <c r="N942">
        <v>1</v>
      </c>
      <c r="O942">
        <v>0</v>
      </c>
    </row>
    <row r="943" spans="1:15" x14ac:dyDescent="0.2">
      <c r="A943" s="1" t="str">
        <f>HYPERLINK("http://www.twitter.com/banuakdenizli/status/1584900192788250624", "1584900192788250624")</f>
        <v>1584900192788250624</v>
      </c>
      <c r="B943" t="s">
        <v>15</v>
      </c>
      <c r="C943" s="2">
        <v>44859.562800925924</v>
      </c>
      <c r="D943">
        <v>0</v>
      </c>
      <c r="E943">
        <v>2</v>
      </c>
      <c r="F943" t="s">
        <v>21</v>
      </c>
      <c r="G943" t="s">
        <v>1009</v>
      </c>
      <c r="L943">
        <v>0.36120000000000002</v>
      </c>
      <c r="M943">
        <v>0</v>
      </c>
      <c r="N943">
        <v>0.90900000000000003</v>
      </c>
      <c r="O943">
        <v>9.0999999999999998E-2</v>
      </c>
    </row>
    <row r="944" spans="1:15" x14ac:dyDescent="0.2">
      <c r="A944" s="1" t="str">
        <f>HYPERLINK("http://www.twitter.com/banuakdenizli/status/1584899314375327744", "1584899314375327744")</f>
        <v>1584899314375327744</v>
      </c>
      <c r="B944" t="s">
        <v>15</v>
      </c>
      <c r="C944" s="2">
        <v>44859.560381944437</v>
      </c>
      <c r="D944">
        <v>0</v>
      </c>
      <c r="E944">
        <v>5</v>
      </c>
      <c r="F944" t="s">
        <v>16</v>
      </c>
      <c r="G944" t="s">
        <v>1010</v>
      </c>
      <c r="H944" t="str">
        <f>HYPERLINK("http://pbs.twimg.com/media/Ff5GnpQXoAA_h2h.jpg", "http://pbs.twimg.com/media/Ff5GnpQXoAA_h2h.jpg")</f>
        <v>http://pbs.twimg.com/media/Ff5GnpQXoAA_h2h.jpg</v>
      </c>
      <c r="L944">
        <v>0</v>
      </c>
      <c r="M944">
        <v>0</v>
      </c>
      <c r="N944">
        <v>1</v>
      </c>
      <c r="O944">
        <v>0</v>
      </c>
    </row>
    <row r="945" spans="1:15" x14ac:dyDescent="0.2">
      <c r="A945" s="1" t="str">
        <f>HYPERLINK("http://www.twitter.com/banuakdenizli/status/1584898928558100481", "1584898928558100481")</f>
        <v>1584898928558100481</v>
      </c>
      <c r="B945" t="s">
        <v>15</v>
      </c>
      <c r="C945" s="2">
        <v>44859.559317129628</v>
      </c>
      <c r="D945">
        <v>0</v>
      </c>
      <c r="E945">
        <v>3</v>
      </c>
      <c r="F945" t="s">
        <v>21</v>
      </c>
      <c r="G945" t="s">
        <v>1011</v>
      </c>
      <c r="H945" t="str">
        <f>HYPERLINK("http://pbs.twimg.com/media/Ff6wYXBX0Ag-vfx.jpg", "http://pbs.twimg.com/media/Ff6wYXBX0Ag-vfx.jpg")</f>
        <v>http://pbs.twimg.com/media/Ff6wYXBX0Ag-vfx.jpg</v>
      </c>
      <c r="L945">
        <v>0</v>
      </c>
      <c r="M945">
        <v>0</v>
      </c>
      <c r="N945">
        <v>1</v>
      </c>
      <c r="O945">
        <v>0</v>
      </c>
    </row>
    <row r="946" spans="1:15" x14ac:dyDescent="0.2">
      <c r="A946" s="1" t="str">
        <f>HYPERLINK("http://www.twitter.com/banuakdenizli/status/1584898887659102208", "1584898887659102208")</f>
        <v>1584898887659102208</v>
      </c>
      <c r="B946" t="s">
        <v>15</v>
      </c>
      <c r="C946" s="2">
        <v>44859.559201388889</v>
      </c>
      <c r="D946">
        <v>0</v>
      </c>
      <c r="E946">
        <v>9</v>
      </c>
      <c r="F946" t="s">
        <v>16</v>
      </c>
      <c r="G946" t="s">
        <v>1012</v>
      </c>
      <c r="H946" t="str">
        <f>HYPERLINK("http://pbs.twimg.com/media/Ff6udDZXwAAAsgB.jpg", "http://pbs.twimg.com/media/Ff6udDZXwAAAsgB.jpg")</f>
        <v>http://pbs.twimg.com/media/Ff6udDZXwAAAsgB.jpg</v>
      </c>
      <c r="L946">
        <v>0</v>
      </c>
      <c r="M946">
        <v>0</v>
      </c>
      <c r="N946">
        <v>1</v>
      </c>
      <c r="O946">
        <v>0</v>
      </c>
    </row>
    <row r="947" spans="1:15" x14ac:dyDescent="0.2">
      <c r="A947" s="1" t="str">
        <f>HYPERLINK("http://www.twitter.com/banuakdenizli/status/1584898812493312003", "1584898812493312003")</f>
        <v>1584898812493312003</v>
      </c>
      <c r="B947" t="s">
        <v>15</v>
      </c>
      <c r="C947" s="2">
        <v>44859.558993055558</v>
      </c>
      <c r="D947">
        <v>0</v>
      </c>
      <c r="E947">
        <v>7</v>
      </c>
      <c r="F947" t="s">
        <v>17</v>
      </c>
      <c r="G947" t="s">
        <v>1013</v>
      </c>
      <c r="H947" t="str">
        <f>HYPERLINK("http://pbs.twimg.com/media/Ff5HG1zWIAA8DCq.jpg", "http://pbs.twimg.com/media/Ff5HG1zWIAA8DCq.jpg")</f>
        <v>http://pbs.twimg.com/media/Ff5HG1zWIAA8DCq.jpg</v>
      </c>
      <c r="L947">
        <v>0.49390000000000001</v>
      </c>
      <c r="M947">
        <v>0</v>
      </c>
      <c r="N947">
        <v>0.80200000000000005</v>
      </c>
      <c r="O947">
        <v>0.19800000000000001</v>
      </c>
    </row>
    <row r="948" spans="1:15" x14ac:dyDescent="0.2">
      <c r="A948" s="1" t="str">
        <f>HYPERLINK("http://www.twitter.com/banuakdenizli/status/1584898713423683586", "1584898713423683586")</f>
        <v>1584898713423683586</v>
      </c>
      <c r="B948" t="s">
        <v>15</v>
      </c>
      <c r="C948" s="2">
        <v>44859.558715277781</v>
      </c>
      <c r="D948">
        <v>0</v>
      </c>
      <c r="E948">
        <v>5</v>
      </c>
      <c r="F948" t="s">
        <v>17</v>
      </c>
      <c r="G948" t="s">
        <v>1014</v>
      </c>
      <c r="H948" t="str">
        <f>HYPERLINK("http://pbs.twimg.com/media/Ff6uyBDXEAAXMoU.jpg", "http://pbs.twimg.com/media/Ff6uyBDXEAAXMoU.jpg")</f>
        <v>http://pbs.twimg.com/media/Ff6uyBDXEAAXMoU.jpg</v>
      </c>
      <c r="L948">
        <v>0</v>
      </c>
      <c r="M948">
        <v>0</v>
      </c>
      <c r="N948">
        <v>1</v>
      </c>
      <c r="O948">
        <v>0</v>
      </c>
    </row>
    <row r="949" spans="1:15" x14ac:dyDescent="0.2">
      <c r="A949" s="1" t="str">
        <f>HYPERLINK("http://www.twitter.com/banuakdenizli/status/1584898700186644484", "1584898700186644484")</f>
        <v>1584898700186644484</v>
      </c>
      <c r="B949" t="s">
        <v>15</v>
      </c>
      <c r="C949" s="2">
        <v>44859.558680555558</v>
      </c>
      <c r="D949">
        <v>0</v>
      </c>
      <c r="E949">
        <v>11</v>
      </c>
      <c r="F949" t="s">
        <v>17</v>
      </c>
      <c r="G949" t="s">
        <v>1015</v>
      </c>
      <c r="H949" t="str">
        <f>HYPERLINK("http://pbs.twimg.com/media/Ff6vYz2WAAAUKID.jpg", "http://pbs.twimg.com/media/Ff6vYz2WAAAUKID.jpg")</f>
        <v>http://pbs.twimg.com/media/Ff6vYz2WAAAUKID.jpg</v>
      </c>
      <c r="L949">
        <v>0.73509999999999998</v>
      </c>
      <c r="M949">
        <v>0</v>
      </c>
      <c r="N949">
        <v>0.78800000000000003</v>
      </c>
      <c r="O949">
        <v>0.21199999999999999</v>
      </c>
    </row>
    <row r="950" spans="1:15" x14ac:dyDescent="0.2">
      <c r="A950" s="1" t="str">
        <f>HYPERLINK("http://www.twitter.com/banuakdenizli/status/1584891815739940864", "1584891815739940864")</f>
        <v>1584891815739940864</v>
      </c>
      <c r="B950" t="s">
        <v>15</v>
      </c>
      <c r="C950" s="2">
        <v>44859.539687500001</v>
      </c>
      <c r="D950">
        <v>0</v>
      </c>
      <c r="E950">
        <v>13</v>
      </c>
      <c r="F950" t="s">
        <v>25</v>
      </c>
      <c r="G950" t="s">
        <v>1016</v>
      </c>
      <c r="H950" t="str">
        <f>HYPERLINK("http://pbs.twimg.com/media/Ff5qXMIXwAAK0TI.jpg", "http://pbs.twimg.com/media/Ff5qXMIXwAAK0TI.jpg")</f>
        <v>http://pbs.twimg.com/media/Ff5qXMIXwAAK0TI.jpg</v>
      </c>
      <c r="L950">
        <v>0</v>
      </c>
      <c r="M950">
        <v>0</v>
      </c>
      <c r="N950">
        <v>1</v>
      </c>
      <c r="O950">
        <v>0</v>
      </c>
    </row>
    <row r="951" spans="1:15" x14ac:dyDescent="0.2">
      <c r="A951" s="1" t="str">
        <f>HYPERLINK("http://www.twitter.com/banuakdenizli/status/1584891559715438598", "1584891559715438598")</f>
        <v>1584891559715438598</v>
      </c>
      <c r="B951" t="s">
        <v>15</v>
      </c>
      <c r="C951" s="2">
        <v>44859.538981481477</v>
      </c>
      <c r="D951">
        <v>0</v>
      </c>
      <c r="E951">
        <v>71</v>
      </c>
      <c r="F951" t="s">
        <v>51</v>
      </c>
      <c r="G951" t="s">
        <v>1017</v>
      </c>
      <c r="H951" t="str">
        <f>HYPERLINK("http://pbs.twimg.com/media/Ff6L9q8XkAAL92n.jpg", "http://pbs.twimg.com/media/Ff6L9q8XkAAL92n.jpg")</f>
        <v>http://pbs.twimg.com/media/Ff6L9q8XkAAL92n.jpg</v>
      </c>
      <c r="L951">
        <v>0</v>
      </c>
      <c r="M951">
        <v>0</v>
      </c>
      <c r="N951">
        <v>1</v>
      </c>
      <c r="O951">
        <v>0</v>
      </c>
    </row>
    <row r="952" spans="1:15" x14ac:dyDescent="0.2">
      <c r="A952" s="1" t="str">
        <f>HYPERLINK("http://www.twitter.com/banuakdenizli/status/1584891193757835264", "1584891193757835264")</f>
        <v>1584891193757835264</v>
      </c>
      <c r="B952" t="s">
        <v>15</v>
      </c>
      <c r="C952" s="2">
        <v>44859.537974537037</v>
      </c>
      <c r="D952">
        <v>0</v>
      </c>
      <c r="E952">
        <v>2</v>
      </c>
      <c r="F952" t="s">
        <v>29</v>
      </c>
      <c r="G952" t="s">
        <v>1018</v>
      </c>
      <c r="H952" t="str">
        <f>HYPERLINK("http://pbs.twimg.com/media/Ff3dr_DX0AAnuWe.jpg", "http://pbs.twimg.com/media/Ff3dr_DX0AAnuWe.jpg")</f>
        <v>http://pbs.twimg.com/media/Ff3dr_DX0AAnuWe.jpg</v>
      </c>
      <c r="L952">
        <v>0</v>
      </c>
      <c r="M952">
        <v>0</v>
      </c>
      <c r="N952">
        <v>1</v>
      </c>
      <c r="O952">
        <v>0</v>
      </c>
    </row>
    <row r="953" spans="1:15" x14ac:dyDescent="0.2">
      <c r="A953" s="1" t="str">
        <f>HYPERLINK("http://www.twitter.com/banuakdenizli/status/1584891128968802304", "1584891128968802304")</f>
        <v>1584891128968802304</v>
      </c>
      <c r="B953" t="s">
        <v>15</v>
      </c>
      <c r="C953" s="2">
        <v>44859.537789351853</v>
      </c>
      <c r="D953">
        <v>0</v>
      </c>
      <c r="E953">
        <v>4</v>
      </c>
      <c r="F953" t="s">
        <v>38</v>
      </c>
      <c r="G953" t="s">
        <v>1019</v>
      </c>
      <c r="H953" t="str">
        <f>HYPERLINK("http://pbs.twimg.com/media/Ff6U2NlWAAEKT6e.jpg", "http://pbs.twimg.com/media/Ff6U2NlWAAEKT6e.jpg")</f>
        <v>http://pbs.twimg.com/media/Ff6U2NlWAAEKT6e.jpg</v>
      </c>
      <c r="L953">
        <v>0</v>
      </c>
      <c r="M953">
        <v>0</v>
      </c>
      <c r="N953">
        <v>1</v>
      </c>
      <c r="O953">
        <v>0</v>
      </c>
    </row>
    <row r="954" spans="1:15" x14ac:dyDescent="0.2">
      <c r="A954" s="1" t="str">
        <f>HYPERLINK("http://www.twitter.com/banuakdenizli/status/1584890859790606336", "1584890859790606336")</f>
        <v>1584890859790606336</v>
      </c>
      <c r="B954" t="s">
        <v>15</v>
      </c>
      <c r="C954" s="2">
        <v>44859.537048611113</v>
      </c>
      <c r="D954">
        <v>0</v>
      </c>
      <c r="E954">
        <v>3</v>
      </c>
      <c r="F954" t="s">
        <v>29</v>
      </c>
      <c r="G954" t="s">
        <v>1020</v>
      </c>
      <c r="H954" t="str">
        <f>HYPERLINK("http://pbs.twimg.com/media/Ff6dY7iXwAUpVIr.jpg", "http://pbs.twimg.com/media/Ff6dY7iXwAUpVIr.jpg")</f>
        <v>http://pbs.twimg.com/media/Ff6dY7iXwAUpVIr.jpg</v>
      </c>
      <c r="L954">
        <v>0</v>
      </c>
      <c r="M954">
        <v>0</v>
      </c>
      <c r="N954">
        <v>1</v>
      </c>
      <c r="O954">
        <v>0</v>
      </c>
    </row>
    <row r="955" spans="1:15" x14ac:dyDescent="0.2">
      <c r="A955" s="1" t="str">
        <f>HYPERLINK("http://www.twitter.com/banuakdenizli/status/1584890844296794112", "1584890844296794112")</f>
        <v>1584890844296794112</v>
      </c>
      <c r="B955" t="s">
        <v>15</v>
      </c>
      <c r="C955" s="2">
        <v>44859.537002314813</v>
      </c>
      <c r="D955">
        <v>0</v>
      </c>
      <c r="E955">
        <v>4</v>
      </c>
      <c r="F955" t="s">
        <v>29</v>
      </c>
      <c r="G955" t="s">
        <v>1021</v>
      </c>
      <c r="H955" t="str">
        <f>HYPERLINK("http://pbs.twimg.com/media/Ff6dAR5WAAI-ZWD.jpg", "http://pbs.twimg.com/media/Ff6dAR5WAAI-ZWD.jpg")</f>
        <v>http://pbs.twimg.com/media/Ff6dAR5WAAI-ZWD.jpg</v>
      </c>
      <c r="L955">
        <v>0</v>
      </c>
      <c r="M955">
        <v>0</v>
      </c>
      <c r="N955">
        <v>1</v>
      </c>
      <c r="O955">
        <v>0</v>
      </c>
    </row>
    <row r="956" spans="1:15" x14ac:dyDescent="0.2">
      <c r="A956" s="1" t="str">
        <f>HYPERLINK("http://www.twitter.com/banuakdenizli/status/1584890717151047681", "1584890717151047681")</f>
        <v>1584890717151047681</v>
      </c>
      <c r="B956" t="s">
        <v>15</v>
      </c>
      <c r="C956" s="2">
        <v>44859.53665509259</v>
      </c>
      <c r="D956">
        <v>0</v>
      </c>
      <c r="E956">
        <v>35</v>
      </c>
      <c r="F956" t="s">
        <v>18</v>
      </c>
      <c r="G956" t="s">
        <v>1022</v>
      </c>
      <c r="H956" t="str">
        <f>HYPERLINK("http://pbs.twimg.com/media/Ff5yvgPWAAEaePc.jpg", "http://pbs.twimg.com/media/Ff5yvgPWAAEaePc.jpg")</f>
        <v>http://pbs.twimg.com/media/Ff5yvgPWAAEaePc.jpg</v>
      </c>
      <c r="L956">
        <v>0</v>
      </c>
      <c r="M956">
        <v>0</v>
      </c>
      <c r="N956">
        <v>1</v>
      </c>
      <c r="O956">
        <v>0</v>
      </c>
    </row>
    <row r="957" spans="1:15" x14ac:dyDescent="0.2">
      <c r="A957" s="1" t="str">
        <f>HYPERLINK("http://www.twitter.com/banuakdenizli/status/1584890706187149314", "1584890706187149314")</f>
        <v>1584890706187149314</v>
      </c>
      <c r="B957" t="s">
        <v>15</v>
      </c>
      <c r="C957" s="2">
        <v>44859.536620370367</v>
      </c>
      <c r="D957">
        <v>0</v>
      </c>
      <c r="E957">
        <v>31</v>
      </c>
      <c r="F957" t="s">
        <v>24</v>
      </c>
      <c r="G957" t="s">
        <v>1023</v>
      </c>
      <c r="H957" t="str">
        <f>HYPERLINK("http://pbs.twimg.com/media/Ff6Sys2XoAMP2Bk.jpg", "http://pbs.twimg.com/media/Ff6Sys2XoAMP2Bk.jpg")</f>
        <v>http://pbs.twimg.com/media/Ff6Sys2XoAMP2Bk.jpg</v>
      </c>
      <c r="L957">
        <v>0.25</v>
      </c>
      <c r="M957">
        <v>0</v>
      </c>
      <c r="N957">
        <v>0.95699999999999996</v>
      </c>
      <c r="O957">
        <v>4.2999999999999997E-2</v>
      </c>
    </row>
    <row r="958" spans="1:15" x14ac:dyDescent="0.2">
      <c r="A958" s="1" t="str">
        <f>HYPERLINK("http://www.twitter.com/banuakdenizli/status/1584890629481725953", "1584890629481725953")</f>
        <v>1584890629481725953</v>
      </c>
      <c r="B958" t="s">
        <v>15</v>
      </c>
      <c r="C958" s="2">
        <v>44859.536412037043</v>
      </c>
      <c r="D958">
        <v>0</v>
      </c>
      <c r="E958">
        <v>31</v>
      </c>
      <c r="F958" t="s">
        <v>25</v>
      </c>
      <c r="G958" t="s">
        <v>1024</v>
      </c>
      <c r="H958" t="str">
        <f>HYPERLINK("http://pbs.twimg.com/media/Ff5gBBjXwAUuXmk.jpg", "http://pbs.twimg.com/media/Ff5gBBjXwAUuXmk.jpg")</f>
        <v>http://pbs.twimg.com/media/Ff5gBBjXwAUuXmk.jpg</v>
      </c>
      <c r="L958">
        <v>0</v>
      </c>
      <c r="M958">
        <v>0</v>
      </c>
      <c r="N958">
        <v>1</v>
      </c>
      <c r="O958">
        <v>0</v>
      </c>
    </row>
    <row r="959" spans="1:15" x14ac:dyDescent="0.2">
      <c r="A959" s="1" t="str">
        <f>HYPERLINK("http://www.twitter.com/banuakdenizli/status/1584890537668005888", "1584890537668005888")</f>
        <v>1584890537668005888</v>
      </c>
      <c r="B959" t="s">
        <v>15</v>
      </c>
      <c r="C959" s="2">
        <v>44859.536157407398</v>
      </c>
      <c r="D959">
        <v>0</v>
      </c>
      <c r="E959">
        <v>5</v>
      </c>
      <c r="F959" t="s">
        <v>16</v>
      </c>
      <c r="G959" t="s">
        <v>1025</v>
      </c>
      <c r="H959" t="str">
        <f>HYPERLINK("http://pbs.twimg.com/media/Ff6YhYsWAAAE4g_.jpg", "http://pbs.twimg.com/media/Ff6YhYsWAAAE4g_.jpg")</f>
        <v>http://pbs.twimg.com/media/Ff6YhYsWAAAE4g_.jpg</v>
      </c>
      <c r="L959">
        <v>0</v>
      </c>
      <c r="M959">
        <v>0</v>
      </c>
      <c r="N959">
        <v>1</v>
      </c>
      <c r="O959">
        <v>0</v>
      </c>
    </row>
    <row r="960" spans="1:15" x14ac:dyDescent="0.2">
      <c r="A960" s="1" t="str">
        <f>HYPERLINK("http://www.twitter.com/banuakdenizli/status/1584890515811508224", "1584890515811508224")</f>
        <v>1584890515811508224</v>
      </c>
      <c r="B960" t="s">
        <v>15</v>
      </c>
      <c r="C960" s="2">
        <v>44859.536099537043</v>
      </c>
      <c r="D960">
        <v>0</v>
      </c>
      <c r="E960">
        <v>56</v>
      </c>
      <c r="F960" t="s">
        <v>28</v>
      </c>
      <c r="G960" t="s">
        <v>1026</v>
      </c>
      <c r="H960" t="str">
        <f>HYPERLINK("http://pbs.twimg.com/media/Ff5ux8NXEAMyl4U.jpg", "http://pbs.twimg.com/media/Ff5ux8NXEAMyl4U.jpg")</f>
        <v>http://pbs.twimg.com/media/Ff5ux8NXEAMyl4U.jpg</v>
      </c>
      <c r="I960" t="str">
        <f>HYPERLINK("http://pbs.twimg.com/media/Ff5ux8RWYAU4gn8.jpg", "http://pbs.twimg.com/media/Ff5ux8RWYAU4gn8.jpg")</f>
        <v>http://pbs.twimg.com/media/Ff5ux8RWYAU4gn8.jpg</v>
      </c>
      <c r="J960" t="str">
        <f>HYPERLINK("http://pbs.twimg.com/media/Ff5ux8RXgAArKWn.jpg", "http://pbs.twimg.com/media/Ff5ux8RXgAArKWn.jpg")</f>
        <v>http://pbs.twimg.com/media/Ff5ux8RXgAArKWn.jpg</v>
      </c>
      <c r="K960" t="str">
        <f>HYPERLINK("http://pbs.twimg.com/media/Ff5ux8NXkAAo2zC.jpg", "http://pbs.twimg.com/media/Ff5ux8NXkAAo2zC.jpg")</f>
        <v>http://pbs.twimg.com/media/Ff5ux8NXkAAo2zC.jpg</v>
      </c>
      <c r="L960">
        <v>0</v>
      </c>
      <c r="M960">
        <v>0</v>
      </c>
      <c r="N960">
        <v>1</v>
      </c>
      <c r="O960">
        <v>0</v>
      </c>
    </row>
    <row r="961" spans="1:15" x14ac:dyDescent="0.2">
      <c r="A961" s="1" t="str">
        <f>HYPERLINK("http://www.twitter.com/banuakdenizli/status/1584890452750188547", "1584890452750188547")</f>
        <v>1584890452750188547</v>
      </c>
      <c r="B961" t="s">
        <v>15</v>
      </c>
      <c r="C961" s="2">
        <v>44859.535925925928</v>
      </c>
      <c r="D961">
        <v>0</v>
      </c>
      <c r="E961">
        <v>30</v>
      </c>
      <c r="F961" t="s">
        <v>18</v>
      </c>
      <c r="G961" t="s">
        <v>1027</v>
      </c>
      <c r="H961" t="str">
        <f>HYPERLINK("http://pbs.twimg.com/media/Ff6BGHCXgAEakYa.jpg", "http://pbs.twimg.com/media/Ff6BGHCXgAEakYa.jpg")</f>
        <v>http://pbs.twimg.com/media/Ff6BGHCXgAEakYa.jpg</v>
      </c>
      <c r="L961">
        <v>0.2263</v>
      </c>
      <c r="M961">
        <v>4.7E-2</v>
      </c>
      <c r="N961">
        <v>0.88800000000000001</v>
      </c>
      <c r="O961">
        <v>6.5000000000000002E-2</v>
      </c>
    </row>
    <row r="962" spans="1:15" x14ac:dyDescent="0.2">
      <c r="A962" s="1" t="str">
        <f>HYPERLINK("http://www.twitter.com/banuakdenizli/status/1584890442172502020", "1584890442172502020")</f>
        <v>1584890442172502020</v>
      </c>
      <c r="B962" t="s">
        <v>15</v>
      </c>
      <c r="C962" s="2">
        <v>44859.535891203697</v>
      </c>
      <c r="D962">
        <v>0</v>
      </c>
      <c r="E962">
        <v>48</v>
      </c>
      <c r="F962" t="s">
        <v>18</v>
      </c>
      <c r="G962" t="s">
        <v>1028</v>
      </c>
      <c r="H962" t="str">
        <f>HYPERLINK("http://pbs.twimg.com/media/Ff6BEr_WAAEg_NX.jpg", "http://pbs.twimg.com/media/Ff6BEr_WAAEg_NX.jpg")</f>
        <v>http://pbs.twimg.com/media/Ff6BEr_WAAEg_NX.jpg</v>
      </c>
      <c r="L962">
        <v>0.79059999999999997</v>
      </c>
      <c r="M962">
        <v>0</v>
      </c>
      <c r="N962">
        <v>0.83</v>
      </c>
      <c r="O962">
        <v>0.17</v>
      </c>
    </row>
    <row r="963" spans="1:15" x14ac:dyDescent="0.2">
      <c r="A963" s="1" t="str">
        <f>HYPERLINK("http://www.twitter.com/banuakdenizli/status/1584890413265326080", "1584890413265326080")</f>
        <v>1584890413265326080</v>
      </c>
      <c r="B963" t="s">
        <v>15</v>
      </c>
      <c r="C963" s="2">
        <v>44859.535821759258</v>
      </c>
      <c r="D963">
        <v>0</v>
      </c>
      <c r="E963">
        <v>5</v>
      </c>
      <c r="F963" t="s">
        <v>19</v>
      </c>
      <c r="G963" t="s">
        <v>1029</v>
      </c>
      <c r="L963">
        <v>0.93710000000000004</v>
      </c>
      <c r="M963">
        <v>0</v>
      </c>
      <c r="N963">
        <v>0.70899999999999996</v>
      </c>
      <c r="O963">
        <v>0.29099999999999998</v>
      </c>
    </row>
    <row r="964" spans="1:15" x14ac:dyDescent="0.2">
      <c r="A964" s="1" t="str">
        <f>HYPERLINK("http://www.twitter.com/banuakdenizli/status/1584890396613652481", "1584890396613652481")</f>
        <v>1584890396613652481</v>
      </c>
      <c r="B964" t="s">
        <v>15</v>
      </c>
      <c r="C964" s="2">
        <v>44859.535775462973</v>
      </c>
      <c r="D964">
        <v>0</v>
      </c>
      <c r="E964">
        <v>43</v>
      </c>
      <c r="F964" t="s">
        <v>28</v>
      </c>
      <c r="G964" t="s">
        <v>1030</v>
      </c>
      <c r="H964" t="str">
        <f>HYPERLINK("http://pbs.twimg.com/media/Ff55CAuXEAUlH6Q.jpg", "http://pbs.twimg.com/media/Ff55CAuXEAUlH6Q.jpg")</f>
        <v>http://pbs.twimg.com/media/Ff55CAuXEAUlH6Q.jpg</v>
      </c>
      <c r="I964" t="str">
        <f>HYPERLINK("http://pbs.twimg.com/media/Ff55CAxX0AMqYIL.jpg", "http://pbs.twimg.com/media/Ff55CAxX0AMqYIL.jpg")</f>
        <v>http://pbs.twimg.com/media/Ff55CAxX0AMqYIL.jpg</v>
      </c>
      <c r="L964">
        <v>0</v>
      </c>
      <c r="M964">
        <v>0</v>
      </c>
      <c r="N964">
        <v>1</v>
      </c>
      <c r="O964">
        <v>0</v>
      </c>
    </row>
    <row r="965" spans="1:15" x14ac:dyDescent="0.2">
      <c r="A965" s="1" t="str">
        <f>HYPERLINK("http://www.twitter.com/banuakdenizli/status/1584890347074727937", "1584890347074727937")</f>
        <v>1584890347074727937</v>
      </c>
      <c r="B965" t="s">
        <v>15</v>
      </c>
      <c r="C965" s="2">
        <v>44859.535636574074</v>
      </c>
      <c r="D965">
        <v>0</v>
      </c>
      <c r="E965">
        <v>12</v>
      </c>
      <c r="F965" t="s">
        <v>19</v>
      </c>
      <c r="G965" t="s">
        <v>1031</v>
      </c>
      <c r="H965" t="str">
        <f>HYPERLINK("http://pbs.twimg.com/media/Ff4lY60XoAAWwMk.jpg", "http://pbs.twimg.com/media/Ff4lY60XoAAWwMk.jpg")</f>
        <v>http://pbs.twimg.com/media/Ff4lY60XoAAWwMk.jpg</v>
      </c>
      <c r="I965" t="str">
        <f>HYPERLINK("http://pbs.twimg.com/media/Ff4lY6zWQAAhji3.jpg", "http://pbs.twimg.com/media/Ff4lY6zWQAAhji3.jpg")</f>
        <v>http://pbs.twimg.com/media/Ff4lY6zWQAAhji3.jpg</v>
      </c>
      <c r="J965" t="str">
        <f>HYPERLINK("http://pbs.twimg.com/media/Ff4lY6tX0AAcleb.jpg", "http://pbs.twimg.com/media/Ff4lY6tX0AAcleb.jpg")</f>
        <v>http://pbs.twimg.com/media/Ff4lY6tX0AAcleb.jpg</v>
      </c>
      <c r="L965">
        <v>0.42149999999999999</v>
      </c>
      <c r="M965">
        <v>0</v>
      </c>
      <c r="N965">
        <v>0.93300000000000005</v>
      </c>
      <c r="O965">
        <v>6.7000000000000004E-2</v>
      </c>
    </row>
    <row r="966" spans="1:15" x14ac:dyDescent="0.2">
      <c r="A966" s="1" t="str">
        <f>HYPERLINK("http://www.twitter.com/banuakdenizli/status/1584890322257346562", "1584890322257346562")</f>
        <v>1584890322257346562</v>
      </c>
      <c r="B966" t="s">
        <v>15</v>
      </c>
      <c r="C966" s="2">
        <v>44859.535567129627</v>
      </c>
      <c r="D966">
        <v>0</v>
      </c>
      <c r="E966">
        <v>7</v>
      </c>
      <c r="F966" t="s">
        <v>35</v>
      </c>
      <c r="G966" t="s">
        <v>1032</v>
      </c>
      <c r="H966" t="str">
        <f>HYPERLINK("http://pbs.twimg.com/media/Ff5U4dmX0AAWiWh.jpg", "http://pbs.twimg.com/media/Ff5U4dmX0AAWiWh.jpg")</f>
        <v>http://pbs.twimg.com/media/Ff5U4dmX0AAWiWh.jpg</v>
      </c>
      <c r="L966">
        <v>0.92169999999999996</v>
      </c>
      <c r="M966">
        <v>0</v>
      </c>
      <c r="N966">
        <v>0.73799999999999999</v>
      </c>
      <c r="O966">
        <v>0.26200000000000001</v>
      </c>
    </row>
    <row r="967" spans="1:15" x14ac:dyDescent="0.2">
      <c r="A967" s="1" t="str">
        <f>HYPERLINK("http://www.twitter.com/banuakdenizli/status/1584890306797109248", "1584890306797109248")</f>
        <v>1584890306797109248</v>
      </c>
      <c r="B967" t="s">
        <v>15</v>
      </c>
      <c r="C967" s="2">
        <v>44859.535520833328</v>
      </c>
      <c r="D967">
        <v>0</v>
      </c>
      <c r="E967">
        <v>38</v>
      </c>
      <c r="F967" t="s">
        <v>28</v>
      </c>
      <c r="G967" t="s">
        <v>1033</v>
      </c>
      <c r="H967" t="str">
        <f>HYPERLINK("http://pbs.twimg.com/media/Ff50damWYAAv8yl.jpg", "http://pbs.twimg.com/media/Ff50damWYAAv8yl.jpg")</f>
        <v>http://pbs.twimg.com/media/Ff50damWYAAv8yl.jpg</v>
      </c>
      <c r="L967">
        <v>0</v>
      </c>
      <c r="M967">
        <v>0</v>
      </c>
      <c r="N967">
        <v>1</v>
      </c>
      <c r="O967">
        <v>0</v>
      </c>
    </row>
    <row r="968" spans="1:15" x14ac:dyDescent="0.2">
      <c r="A968" s="1" t="str">
        <f>HYPERLINK("http://www.twitter.com/banuakdenizli/status/1584890295342465028", "1584890295342465028")</f>
        <v>1584890295342465028</v>
      </c>
      <c r="B968" t="s">
        <v>15</v>
      </c>
      <c r="C968" s="2">
        <v>44859.535486111112</v>
      </c>
      <c r="D968">
        <v>0</v>
      </c>
      <c r="E968">
        <v>30</v>
      </c>
      <c r="F968" t="s">
        <v>16</v>
      </c>
      <c r="G968" t="s">
        <v>1034</v>
      </c>
      <c r="H968" t="str">
        <f>HYPERLINK("http://pbs.twimg.com/media/Ff6M6YeWQAEeWMU.jpg", "http://pbs.twimg.com/media/Ff6M6YeWQAEeWMU.jpg")</f>
        <v>http://pbs.twimg.com/media/Ff6M6YeWQAEeWMU.jpg</v>
      </c>
      <c r="L968">
        <v>0</v>
      </c>
      <c r="M968">
        <v>0</v>
      </c>
      <c r="N968">
        <v>1</v>
      </c>
      <c r="O968">
        <v>0</v>
      </c>
    </row>
    <row r="969" spans="1:15" x14ac:dyDescent="0.2">
      <c r="A969" s="1" t="str">
        <f>HYPERLINK("http://www.twitter.com/banuakdenizli/status/1584890273087520770", "1584890273087520770")</f>
        <v>1584890273087520770</v>
      </c>
      <c r="B969" t="s">
        <v>15</v>
      </c>
      <c r="C969" s="2">
        <v>44859.535428240742</v>
      </c>
      <c r="D969">
        <v>0</v>
      </c>
      <c r="E969">
        <v>17</v>
      </c>
      <c r="F969" t="s">
        <v>26</v>
      </c>
      <c r="G969" t="s">
        <v>1035</v>
      </c>
      <c r="H969" t="str">
        <f>HYPERLINK("http://pbs.twimg.com/media/Ff6CHE7WIAEEWCB.jpg", "http://pbs.twimg.com/media/Ff6CHE7WIAEEWCB.jpg")</f>
        <v>http://pbs.twimg.com/media/Ff6CHE7WIAEEWCB.jpg</v>
      </c>
      <c r="L969">
        <v>0</v>
      </c>
      <c r="M969">
        <v>0</v>
      </c>
      <c r="N969">
        <v>1</v>
      </c>
      <c r="O969">
        <v>0</v>
      </c>
    </row>
    <row r="970" spans="1:15" x14ac:dyDescent="0.2">
      <c r="A970" s="1" t="str">
        <f>HYPERLINK("http://www.twitter.com/banuakdenizli/status/1584890262668857344", "1584890262668857344")</f>
        <v>1584890262668857344</v>
      </c>
      <c r="B970" t="s">
        <v>15</v>
      </c>
      <c r="C970" s="2">
        <v>44859.535405092603</v>
      </c>
      <c r="D970">
        <v>0</v>
      </c>
      <c r="E970">
        <v>7</v>
      </c>
      <c r="F970" t="s">
        <v>35</v>
      </c>
      <c r="G970" t="s">
        <v>1036</v>
      </c>
      <c r="H970" t="str">
        <f>HYPERLINK("http://pbs.twimg.com/media/Ff5aDApXgAAc4d0.jpg", "http://pbs.twimg.com/media/Ff5aDApXgAAc4d0.jpg")</f>
        <v>http://pbs.twimg.com/media/Ff5aDApXgAAc4d0.jpg</v>
      </c>
      <c r="L970">
        <v>0</v>
      </c>
      <c r="M970">
        <v>0</v>
      </c>
      <c r="N970">
        <v>1</v>
      </c>
      <c r="O970">
        <v>0</v>
      </c>
    </row>
    <row r="971" spans="1:15" x14ac:dyDescent="0.2">
      <c r="A971" s="1" t="str">
        <f>HYPERLINK("http://www.twitter.com/banuakdenizli/status/1584890190556205057", "1584890190556205057")</f>
        <v>1584890190556205057</v>
      </c>
      <c r="B971" t="s">
        <v>15</v>
      </c>
      <c r="C971" s="2">
        <v>44859.535196759258</v>
      </c>
      <c r="D971">
        <v>0</v>
      </c>
      <c r="E971">
        <v>1011</v>
      </c>
      <c r="F971" t="s">
        <v>27</v>
      </c>
      <c r="G971" t="s">
        <v>1037</v>
      </c>
      <c r="H971" t="str">
        <f>HYPERLINK("http://pbs.twimg.com/media/Ff6B1rgWIAMI2eT.jpg", "http://pbs.twimg.com/media/Ff6B1rgWIAMI2eT.jpg")</f>
        <v>http://pbs.twimg.com/media/Ff6B1rgWIAMI2eT.jpg</v>
      </c>
      <c r="L971">
        <v>0</v>
      </c>
      <c r="M971">
        <v>0</v>
      </c>
      <c r="N971">
        <v>1</v>
      </c>
      <c r="O971">
        <v>0</v>
      </c>
    </row>
    <row r="972" spans="1:15" x14ac:dyDescent="0.2">
      <c r="A972" s="1" t="str">
        <f>HYPERLINK("http://www.twitter.com/banuakdenizli/status/1584890178803732480", "1584890178803732480")</f>
        <v>1584890178803732480</v>
      </c>
      <c r="B972" t="s">
        <v>15</v>
      </c>
      <c r="C972" s="2">
        <v>44859.535173611112</v>
      </c>
      <c r="D972">
        <v>0</v>
      </c>
      <c r="E972">
        <v>84</v>
      </c>
      <c r="F972" t="s">
        <v>18</v>
      </c>
      <c r="G972" t="s">
        <v>1038</v>
      </c>
      <c r="H972" t="str">
        <f>HYPERLINK("http://pbs.twimg.com/media/Ff5yuijWAAAHHB2.jpg", "http://pbs.twimg.com/media/Ff5yuijWAAAHHB2.jpg")</f>
        <v>http://pbs.twimg.com/media/Ff5yuijWAAAHHB2.jpg</v>
      </c>
      <c r="L972">
        <v>0</v>
      </c>
      <c r="M972">
        <v>0</v>
      </c>
      <c r="N972">
        <v>1</v>
      </c>
      <c r="O972">
        <v>0</v>
      </c>
    </row>
    <row r="973" spans="1:15" x14ac:dyDescent="0.2">
      <c r="A973" s="1" t="str">
        <f>HYPERLINK("http://www.twitter.com/banuakdenizli/status/1584890154409680898", "1584890154409680898")</f>
        <v>1584890154409680898</v>
      </c>
      <c r="B973" t="s">
        <v>15</v>
      </c>
      <c r="C973" s="2">
        <v>44859.535104166673</v>
      </c>
      <c r="D973">
        <v>0</v>
      </c>
      <c r="E973">
        <v>5</v>
      </c>
      <c r="F973" t="s">
        <v>16</v>
      </c>
      <c r="G973" t="s">
        <v>1039</v>
      </c>
      <c r="H973" t="str">
        <f>HYPERLINK("http://pbs.twimg.com/media/Ff6YtXpXoAARQLK.jpg", "http://pbs.twimg.com/media/Ff6YtXpXoAARQLK.jpg")</f>
        <v>http://pbs.twimg.com/media/Ff6YtXpXoAARQLK.jpg</v>
      </c>
      <c r="L973">
        <v>0</v>
      </c>
      <c r="M973">
        <v>0</v>
      </c>
      <c r="N973">
        <v>1</v>
      </c>
      <c r="O973">
        <v>0</v>
      </c>
    </row>
    <row r="974" spans="1:15" x14ac:dyDescent="0.2">
      <c r="A974" s="1" t="str">
        <f>HYPERLINK("http://www.twitter.com/banuakdenizli/status/1584890136046669824", "1584890136046669824")</f>
        <v>1584890136046669824</v>
      </c>
      <c r="B974" t="s">
        <v>15</v>
      </c>
      <c r="C974" s="2">
        <v>44859.535046296303</v>
      </c>
      <c r="D974">
        <v>0</v>
      </c>
      <c r="E974">
        <v>65</v>
      </c>
      <c r="F974" t="s">
        <v>28</v>
      </c>
      <c r="G974" t="s">
        <v>1040</v>
      </c>
      <c r="H974" t="str">
        <f>HYPERLINK("http://pbs.twimg.com/media/Ff6d_faXEAAEbkV.jpg", "http://pbs.twimg.com/media/Ff6d_faXEAAEbkV.jpg")</f>
        <v>http://pbs.twimg.com/media/Ff6d_faXEAAEbkV.jpg</v>
      </c>
      <c r="L974">
        <v>0</v>
      </c>
      <c r="M974">
        <v>0</v>
      </c>
      <c r="N974">
        <v>1</v>
      </c>
      <c r="O974">
        <v>0</v>
      </c>
    </row>
    <row r="975" spans="1:15" x14ac:dyDescent="0.2">
      <c r="A975" s="1" t="str">
        <f>HYPERLINK("http://www.twitter.com/banuakdenizli/status/1584618791136555008", "1584618791136555008")</f>
        <v>1584618791136555008</v>
      </c>
      <c r="B975" t="s">
        <v>15</v>
      </c>
      <c r="C975" s="2">
        <v>44858.78628472222</v>
      </c>
      <c r="D975">
        <v>0</v>
      </c>
      <c r="E975">
        <v>6</v>
      </c>
      <c r="F975" t="s">
        <v>16</v>
      </c>
      <c r="G975" t="s">
        <v>1041</v>
      </c>
      <c r="H975" t="str">
        <f>HYPERLINK("http://pbs.twimg.com/media/Ff2u_srXoAEmyMM.jpg", "http://pbs.twimg.com/media/Ff2u_srXoAEmyMM.jpg")</f>
        <v>http://pbs.twimg.com/media/Ff2u_srXoAEmyMM.jpg</v>
      </c>
      <c r="I975" t="str">
        <f>HYPERLINK("http://pbs.twimg.com/media/Ff2u_suXgAM9TJz.jpg", "http://pbs.twimg.com/media/Ff2u_suXgAM9TJz.jpg")</f>
        <v>http://pbs.twimg.com/media/Ff2u_suXgAM9TJz.jpg</v>
      </c>
      <c r="J975" t="str">
        <f>HYPERLINK("http://pbs.twimg.com/media/Ff2vAtiXgAwc1iV.jpg", "http://pbs.twimg.com/media/Ff2vAtiXgAwc1iV.jpg")</f>
        <v>http://pbs.twimg.com/media/Ff2vAtiXgAwc1iV.jpg</v>
      </c>
      <c r="K975" t="str">
        <f>HYPERLINK("http://pbs.twimg.com/media/Ff2vAtlXgAoWUGK.jpg", "http://pbs.twimg.com/media/Ff2vAtlXgAoWUGK.jpg")</f>
        <v>http://pbs.twimg.com/media/Ff2vAtlXgAoWUGK.jpg</v>
      </c>
      <c r="L975">
        <v>0</v>
      </c>
      <c r="M975">
        <v>0</v>
      </c>
      <c r="N975">
        <v>1</v>
      </c>
      <c r="O975">
        <v>0</v>
      </c>
    </row>
    <row r="976" spans="1:15" x14ac:dyDescent="0.2">
      <c r="A976" s="1" t="str">
        <f>HYPERLINK("http://www.twitter.com/banuakdenizli/status/1584612211930333186", "1584612211930333186")</f>
        <v>1584612211930333186</v>
      </c>
      <c r="B976" t="s">
        <v>15</v>
      </c>
      <c r="C976" s="2">
        <v>44858.768125000002</v>
      </c>
      <c r="D976">
        <v>0</v>
      </c>
      <c r="E976">
        <v>1</v>
      </c>
      <c r="F976" t="s">
        <v>38</v>
      </c>
      <c r="G976" t="s">
        <v>1042</v>
      </c>
      <c r="H976" t="str">
        <f>HYPERLINK("http://pbs.twimg.com/media/Ff2m3VCXEBwWFOc.jpg", "http://pbs.twimg.com/media/Ff2m3VCXEBwWFOc.jpg")</f>
        <v>http://pbs.twimg.com/media/Ff2m3VCXEBwWFOc.jpg</v>
      </c>
      <c r="I976" t="str">
        <f>HYPERLINK("http://pbs.twimg.com/media/Ff2m3VQXEBIMd8Z.jpg", "http://pbs.twimg.com/media/Ff2m3VQXEBIMd8Z.jpg")</f>
        <v>http://pbs.twimg.com/media/Ff2m3VQXEBIMd8Z.jpg</v>
      </c>
      <c r="L976">
        <v>0</v>
      </c>
      <c r="M976">
        <v>0</v>
      </c>
      <c r="N976">
        <v>1</v>
      </c>
      <c r="O976">
        <v>0</v>
      </c>
    </row>
    <row r="977" spans="1:15" x14ac:dyDescent="0.2">
      <c r="A977" s="1" t="str">
        <f>HYPERLINK("http://www.twitter.com/banuakdenizli/status/1584609627521810432", "1584609627521810432")</f>
        <v>1584609627521810432</v>
      </c>
      <c r="B977" t="s">
        <v>15</v>
      </c>
      <c r="C977" s="2">
        <v>44858.760995370372</v>
      </c>
      <c r="D977">
        <v>0</v>
      </c>
      <c r="E977">
        <v>2</v>
      </c>
      <c r="F977" t="s">
        <v>29</v>
      </c>
      <c r="G977" t="s">
        <v>1043</v>
      </c>
      <c r="H977" t="str">
        <f>HYPERLINK("http://pbs.twimg.com/media/Ff2ptBKXEAoTl80.jpg", "http://pbs.twimg.com/media/Ff2ptBKXEAoTl80.jpg")</f>
        <v>http://pbs.twimg.com/media/Ff2ptBKXEAoTl80.jpg</v>
      </c>
      <c r="I977" t="str">
        <f>HYPERLINK("http://pbs.twimg.com/media/Ff2ptDaXkAAdzp2.jpg", "http://pbs.twimg.com/media/Ff2ptDaXkAAdzp2.jpg")</f>
        <v>http://pbs.twimg.com/media/Ff2ptDaXkAAdzp2.jpg</v>
      </c>
      <c r="L977">
        <v>0.57189999999999996</v>
      </c>
      <c r="M977">
        <v>0.159</v>
      </c>
      <c r="N977">
        <v>0.57099999999999995</v>
      </c>
      <c r="O977">
        <v>0.26900000000000002</v>
      </c>
    </row>
    <row r="978" spans="1:15" x14ac:dyDescent="0.2">
      <c r="A978" s="1" t="str">
        <f>HYPERLINK("http://www.twitter.com/banuakdenizli/status/1584609433065492480", "1584609433065492480")</f>
        <v>1584609433065492480</v>
      </c>
      <c r="B978" t="s">
        <v>15</v>
      </c>
      <c r="C978" s="2">
        <v>44858.760462962957</v>
      </c>
      <c r="D978">
        <v>0</v>
      </c>
      <c r="E978">
        <v>9</v>
      </c>
      <c r="F978" t="s">
        <v>1044</v>
      </c>
      <c r="G978" t="s">
        <v>1045</v>
      </c>
      <c r="H978" t="str">
        <f>HYPERLINK("http://pbs.twimg.com/media/Ff2nH1YXoAAC8_1.jpg", "http://pbs.twimg.com/media/Ff2nH1YXoAAC8_1.jpg")</f>
        <v>http://pbs.twimg.com/media/Ff2nH1YXoAAC8_1.jpg</v>
      </c>
      <c r="L978">
        <v>0.9325</v>
      </c>
      <c r="M978">
        <v>0</v>
      </c>
      <c r="N978">
        <v>0.69199999999999995</v>
      </c>
      <c r="O978">
        <v>0.308</v>
      </c>
    </row>
    <row r="979" spans="1:15" x14ac:dyDescent="0.2">
      <c r="A979" s="1" t="str">
        <f>HYPERLINK("http://www.twitter.com/banuakdenizli/status/1584577308341719040", "1584577308341719040")</f>
        <v>1584577308341719040</v>
      </c>
      <c r="B979" t="s">
        <v>15</v>
      </c>
      <c r="C979" s="2">
        <v>44858.671805555547</v>
      </c>
      <c r="D979">
        <v>0</v>
      </c>
      <c r="E979">
        <v>4</v>
      </c>
      <c r="F979" t="s">
        <v>20</v>
      </c>
      <c r="G979" t="s">
        <v>1046</v>
      </c>
      <c r="H979" t="str">
        <f>HYPERLINK("http://pbs.twimg.com/media/Ff2HYmkWQAEeBZP.jpg", "http://pbs.twimg.com/media/Ff2HYmkWQAEeBZP.jpg")</f>
        <v>http://pbs.twimg.com/media/Ff2HYmkWQAEeBZP.jpg</v>
      </c>
      <c r="L979">
        <v>0</v>
      </c>
      <c r="M979">
        <v>0</v>
      </c>
      <c r="N979">
        <v>1</v>
      </c>
      <c r="O979">
        <v>0</v>
      </c>
    </row>
    <row r="980" spans="1:15" x14ac:dyDescent="0.2">
      <c r="A980" s="1" t="str">
        <f>HYPERLINK("http://www.twitter.com/banuakdenizli/status/1584574261858947072", "1584574261858947072")</f>
        <v>1584574261858947072</v>
      </c>
      <c r="B980" t="s">
        <v>15</v>
      </c>
      <c r="C980" s="2">
        <v>44858.663402777784</v>
      </c>
      <c r="D980">
        <v>0</v>
      </c>
      <c r="E980">
        <v>3</v>
      </c>
      <c r="F980" t="s">
        <v>20</v>
      </c>
      <c r="G980" t="s">
        <v>1047</v>
      </c>
      <c r="H980" t="str">
        <f>HYPERLINK("http://pbs.twimg.com/media/Ff2G7rlX0AAcOOu.jpg", "http://pbs.twimg.com/media/Ff2G7rlX0AAcOOu.jpg")</f>
        <v>http://pbs.twimg.com/media/Ff2G7rlX0AAcOOu.jpg</v>
      </c>
      <c r="L980">
        <v>0</v>
      </c>
      <c r="M980">
        <v>0</v>
      </c>
      <c r="N980">
        <v>1</v>
      </c>
      <c r="O980">
        <v>0</v>
      </c>
    </row>
    <row r="981" spans="1:15" x14ac:dyDescent="0.2">
      <c r="A981" s="1" t="str">
        <f>HYPERLINK("http://www.twitter.com/banuakdenizli/status/1584574242766536704", "1584574242766536704")</f>
        <v>1584574242766536704</v>
      </c>
      <c r="B981" t="s">
        <v>15</v>
      </c>
      <c r="C981" s="2">
        <v>44858.663356481477</v>
      </c>
      <c r="D981">
        <v>0</v>
      </c>
      <c r="E981">
        <v>1</v>
      </c>
      <c r="F981" t="s">
        <v>20</v>
      </c>
      <c r="G981" t="s">
        <v>1048</v>
      </c>
      <c r="H981" t="str">
        <f>HYPERLINK("http://pbs.twimg.com/media/Ff2JbDzXgAMAQ01.jpg", "http://pbs.twimg.com/media/Ff2JbDzXgAMAQ01.jpg")</f>
        <v>http://pbs.twimg.com/media/Ff2JbDzXgAMAQ01.jpg</v>
      </c>
      <c r="L981">
        <v>0</v>
      </c>
      <c r="M981">
        <v>0</v>
      </c>
      <c r="N981">
        <v>1</v>
      </c>
      <c r="O981">
        <v>0</v>
      </c>
    </row>
    <row r="982" spans="1:15" x14ac:dyDescent="0.2">
      <c r="A982" s="1" t="str">
        <f>HYPERLINK("http://www.twitter.com/banuakdenizli/status/1584571763589287936", "1584571763589287936")</f>
        <v>1584571763589287936</v>
      </c>
      <c r="B982" t="s">
        <v>15</v>
      </c>
      <c r="C982" s="2">
        <v>44858.6565162037</v>
      </c>
      <c r="D982">
        <v>0</v>
      </c>
      <c r="E982">
        <v>1</v>
      </c>
      <c r="F982" t="s">
        <v>20</v>
      </c>
      <c r="G982" t="s">
        <v>1049</v>
      </c>
      <c r="H982" t="str">
        <f>HYPERLINK("http://pbs.twimg.com/media/Ff2GXDsWQAARt_C.jpg", "http://pbs.twimg.com/media/Ff2GXDsWQAARt_C.jpg")</f>
        <v>http://pbs.twimg.com/media/Ff2GXDsWQAARt_C.jpg</v>
      </c>
      <c r="L982">
        <v>0</v>
      </c>
      <c r="M982">
        <v>0</v>
      </c>
      <c r="N982">
        <v>1</v>
      </c>
      <c r="O982">
        <v>0</v>
      </c>
    </row>
    <row r="983" spans="1:15" x14ac:dyDescent="0.2">
      <c r="A983" s="1" t="str">
        <f>HYPERLINK("http://www.twitter.com/banuakdenizli/status/1584570091064025088", "1584570091064025088")</f>
        <v>1584570091064025088</v>
      </c>
      <c r="B983" t="s">
        <v>15</v>
      </c>
      <c r="C983" s="2">
        <v>44858.651898148149</v>
      </c>
      <c r="D983">
        <v>0</v>
      </c>
      <c r="E983">
        <v>6</v>
      </c>
      <c r="F983" t="s">
        <v>651</v>
      </c>
      <c r="G983" t="s">
        <v>1050</v>
      </c>
      <c r="H983" t="str">
        <f>HYPERLINK("http://pbs.twimg.com/media/Ff1gRCEXEAMjjVo.jpg", "http://pbs.twimg.com/media/Ff1gRCEXEAMjjVo.jpg")</f>
        <v>http://pbs.twimg.com/media/Ff1gRCEXEAMjjVo.jpg</v>
      </c>
      <c r="I983" t="str">
        <f>HYPERLINK("http://pbs.twimg.com/media/Ff1gRCAWAAAh8Sq.jpg", "http://pbs.twimg.com/media/Ff1gRCAWAAAh8Sq.jpg")</f>
        <v>http://pbs.twimg.com/media/Ff1gRCAWAAAh8Sq.jpg</v>
      </c>
      <c r="J983" t="str">
        <f>HYPERLINK("http://pbs.twimg.com/media/Ff1gRB_XEAAjwLn.jpg", "http://pbs.twimg.com/media/Ff1gRB_XEAAjwLn.jpg")</f>
        <v>http://pbs.twimg.com/media/Ff1gRB_XEAAjwLn.jpg</v>
      </c>
      <c r="L983">
        <v>0.9325</v>
      </c>
      <c r="M983">
        <v>0</v>
      </c>
      <c r="N983">
        <v>0.68100000000000005</v>
      </c>
      <c r="O983">
        <v>0.31900000000000001</v>
      </c>
    </row>
    <row r="984" spans="1:15" x14ac:dyDescent="0.2">
      <c r="A984" s="1" t="str">
        <f>HYPERLINK("http://www.twitter.com/banuakdenizli/status/1584566969222975490", "1584566969222975490")</f>
        <v>1584566969222975490</v>
      </c>
      <c r="B984" t="s">
        <v>15</v>
      </c>
      <c r="C984" s="2">
        <v>44858.643275462957</v>
      </c>
      <c r="D984">
        <v>0</v>
      </c>
      <c r="E984">
        <v>31</v>
      </c>
      <c r="F984" t="s">
        <v>18</v>
      </c>
      <c r="G984" t="s">
        <v>1051</v>
      </c>
      <c r="L984">
        <v>0.85189999999999999</v>
      </c>
      <c r="M984">
        <v>3.5999999999999997E-2</v>
      </c>
      <c r="N984">
        <v>0.71299999999999997</v>
      </c>
      <c r="O984">
        <v>0.252</v>
      </c>
    </row>
    <row r="985" spans="1:15" x14ac:dyDescent="0.2">
      <c r="A985" s="1" t="str">
        <f>HYPERLINK("http://www.twitter.com/banuakdenizli/status/1584562764202532870", "1584562764202532870")</f>
        <v>1584562764202532870</v>
      </c>
      <c r="B985" t="s">
        <v>15</v>
      </c>
      <c r="C985" s="2">
        <v>44858.631678240738</v>
      </c>
      <c r="D985">
        <v>0</v>
      </c>
      <c r="E985">
        <v>38</v>
      </c>
      <c r="F985" t="s">
        <v>18</v>
      </c>
      <c r="G985" t="s">
        <v>1052</v>
      </c>
      <c r="L985">
        <v>0</v>
      </c>
      <c r="M985">
        <v>0</v>
      </c>
      <c r="N985">
        <v>1</v>
      </c>
      <c r="O985">
        <v>0</v>
      </c>
    </row>
    <row r="986" spans="1:15" x14ac:dyDescent="0.2">
      <c r="A986" s="1" t="str">
        <f>HYPERLINK("http://www.twitter.com/banuakdenizli/status/1584555658430775296", "1584555658430775296")</f>
        <v>1584555658430775296</v>
      </c>
      <c r="B986" t="s">
        <v>15</v>
      </c>
      <c r="C986" s="2">
        <v>44858.612071759257</v>
      </c>
      <c r="D986">
        <v>0</v>
      </c>
      <c r="E986">
        <v>1</v>
      </c>
      <c r="F986" t="s">
        <v>29</v>
      </c>
      <c r="G986" t="s">
        <v>1053</v>
      </c>
      <c r="H986" t="str">
        <f>HYPERLINK("http://pbs.twimg.com/media/FfxmOaBWQAAkDeh.jpg", "http://pbs.twimg.com/media/FfxmOaBWQAAkDeh.jpg")</f>
        <v>http://pbs.twimg.com/media/FfxmOaBWQAAkDeh.jpg</v>
      </c>
      <c r="L986">
        <v>0</v>
      </c>
      <c r="M986">
        <v>0</v>
      </c>
      <c r="N986">
        <v>1</v>
      </c>
      <c r="O986">
        <v>0</v>
      </c>
    </row>
    <row r="987" spans="1:15" x14ac:dyDescent="0.2">
      <c r="A987" s="1" t="str">
        <f>HYPERLINK("http://www.twitter.com/banuakdenizli/status/1584555624385642496", "1584555624385642496")</f>
        <v>1584555624385642496</v>
      </c>
      <c r="B987" t="s">
        <v>15</v>
      </c>
      <c r="C987" s="2">
        <v>44858.611979166657</v>
      </c>
      <c r="D987">
        <v>0</v>
      </c>
      <c r="E987">
        <v>1</v>
      </c>
      <c r="F987" t="s">
        <v>29</v>
      </c>
      <c r="G987" t="s">
        <v>1054</v>
      </c>
      <c r="H987" t="str">
        <f>HYPERLINK("http://pbs.twimg.com/media/FfxmH98WAAEWc3c.jpg", "http://pbs.twimg.com/media/FfxmH98WAAEWc3c.jpg")</f>
        <v>http://pbs.twimg.com/media/FfxmH98WAAEWc3c.jpg</v>
      </c>
      <c r="L987">
        <v>0</v>
      </c>
      <c r="M987">
        <v>0</v>
      </c>
      <c r="N987">
        <v>1</v>
      </c>
      <c r="O987">
        <v>0</v>
      </c>
    </row>
    <row r="988" spans="1:15" x14ac:dyDescent="0.2">
      <c r="A988" s="1" t="str">
        <f>HYPERLINK("http://www.twitter.com/banuakdenizli/status/1584555534451367936", "1584555534451367936")</f>
        <v>1584555534451367936</v>
      </c>
      <c r="B988" t="s">
        <v>15</v>
      </c>
      <c r="C988" s="2">
        <v>44858.611724537041</v>
      </c>
      <c r="D988">
        <v>0</v>
      </c>
      <c r="E988">
        <v>6</v>
      </c>
      <c r="F988" t="s">
        <v>22</v>
      </c>
      <c r="G988" t="s">
        <v>1055</v>
      </c>
      <c r="H988" t="str">
        <f>HYPERLINK("http://pbs.twimg.com/media/Ff0FXGaXkAUdWhL.jpg", "http://pbs.twimg.com/media/Ff0FXGaXkAUdWhL.jpg")</f>
        <v>http://pbs.twimg.com/media/Ff0FXGaXkAUdWhL.jpg</v>
      </c>
      <c r="L988">
        <v>0</v>
      </c>
      <c r="M988">
        <v>0</v>
      </c>
      <c r="N988">
        <v>1</v>
      </c>
      <c r="O988">
        <v>0</v>
      </c>
    </row>
    <row r="989" spans="1:15" x14ac:dyDescent="0.2">
      <c r="A989" s="1" t="str">
        <f>HYPERLINK("http://www.twitter.com/banuakdenizli/status/1584555500917895176", "1584555500917895176")</f>
        <v>1584555500917895176</v>
      </c>
      <c r="B989" t="s">
        <v>15</v>
      </c>
      <c r="C989" s="2">
        <v>44858.611631944441</v>
      </c>
      <c r="D989">
        <v>0</v>
      </c>
      <c r="E989">
        <v>4</v>
      </c>
      <c r="F989" t="s">
        <v>20</v>
      </c>
      <c r="G989" t="s">
        <v>1056</v>
      </c>
      <c r="H989" t="str">
        <f>HYPERLINK("https://video.twimg.com/amplify_video/1584541129805942784/vid/848x480/7oFnV-DWgjhDTEOn.mp4?tag=14", "https://video.twimg.com/amplify_video/1584541129805942784/vid/848x480/7oFnV-DWgjhDTEOn.mp4?tag=14")</f>
        <v>https://video.twimg.com/amplify_video/1584541129805942784/vid/848x480/7oFnV-DWgjhDTEOn.mp4?tag=14</v>
      </c>
      <c r="L989">
        <v>0</v>
      </c>
      <c r="M989">
        <v>0</v>
      </c>
      <c r="N989">
        <v>1</v>
      </c>
      <c r="O989">
        <v>0</v>
      </c>
    </row>
    <row r="990" spans="1:15" x14ac:dyDescent="0.2">
      <c r="A990" s="1" t="str">
        <f>HYPERLINK("http://www.twitter.com/banuakdenizli/status/1584536011668717568", "1584536011668717568")</f>
        <v>1584536011668717568</v>
      </c>
      <c r="B990" t="s">
        <v>15</v>
      </c>
      <c r="C990" s="2">
        <v>44858.557858796303</v>
      </c>
      <c r="D990">
        <v>0</v>
      </c>
      <c r="E990">
        <v>9</v>
      </c>
      <c r="F990" t="s">
        <v>38</v>
      </c>
      <c r="G990" t="s">
        <v>1057</v>
      </c>
      <c r="H990" t="str">
        <f>HYPERLINK("http://pbs.twimg.com/media/Ff1BpA6XwAIxrZK.jpg", "http://pbs.twimg.com/media/Ff1BpA6XwAIxrZK.jpg")</f>
        <v>http://pbs.twimg.com/media/Ff1BpA6XwAIxrZK.jpg</v>
      </c>
      <c r="L990">
        <v>0</v>
      </c>
      <c r="M990">
        <v>0</v>
      </c>
      <c r="N990">
        <v>1</v>
      </c>
      <c r="O990">
        <v>0</v>
      </c>
    </row>
    <row r="991" spans="1:15" x14ac:dyDescent="0.2">
      <c r="A991" s="1" t="str">
        <f>HYPERLINK("http://www.twitter.com/banuakdenizli/status/1584535945663041536", "1584535945663041536")</f>
        <v>1584535945663041536</v>
      </c>
      <c r="B991" t="s">
        <v>15</v>
      </c>
      <c r="C991" s="2">
        <v>44858.557673611111</v>
      </c>
      <c r="D991">
        <v>0</v>
      </c>
      <c r="E991">
        <v>4</v>
      </c>
      <c r="F991" t="s">
        <v>1058</v>
      </c>
      <c r="G991" t="s">
        <v>1059</v>
      </c>
      <c r="L991">
        <v>0</v>
      </c>
      <c r="M991">
        <v>0</v>
      </c>
      <c r="N991">
        <v>1</v>
      </c>
      <c r="O991">
        <v>0</v>
      </c>
    </row>
    <row r="992" spans="1:15" x14ac:dyDescent="0.2">
      <c r="A992" s="1" t="str">
        <f>HYPERLINK("http://www.twitter.com/banuakdenizli/status/1584535805812682752", "1584535805812682752")</f>
        <v>1584535805812682752</v>
      </c>
      <c r="B992" t="s">
        <v>15</v>
      </c>
      <c r="C992" s="2">
        <v>44858.557291666657</v>
      </c>
      <c r="D992">
        <v>0</v>
      </c>
      <c r="E992">
        <v>2</v>
      </c>
      <c r="F992" t="s">
        <v>29</v>
      </c>
      <c r="G992" t="s">
        <v>1060</v>
      </c>
      <c r="H992" t="str">
        <f>HYPERLINK("http://pbs.twimg.com/media/Ff1FpGmWYAEuSgt.jpg", "http://pbs.twimg.com/media/Ff1FpGmWYAEuSgt.jpg")</f>
        <v>http://pbs.twimg.com/media/Ff1FpGmWYAEuSgt.jpg</v>
      </c>
      <c r="L992">
        <v>0.25</v>
      </c>
      <c r="M992">
        <v>0</v>
      </c>
      <c r="N992">
        <v>0.9</v>
      </c>
      <c r="O992">
        <v>0.1</v>
      </c>
    </row>
    <row r="993" spans="1:15" x14ac:dyDescent="0.2">
      <c r="A993" s="1" t="str">
        <f>HYPERLINK("http://www.twitter.com/banuakdenizli/status/1584535588023447552", "1584535588023447552")</f>
        <v>1584535588023447552</v>
      </c>
      <c r="B993" t="s">
        <v>15</v>
      </c>
      <c r="C993" s="2">
        <v>44858.556689814817</v>
      </c>
      <c r="D993">
        <v>0</v>
      </c>
      <c r="E993">
        <v>3</v>
      </c>
      <c r="F993" t="s">
        <v>17</v>
      </c>
      <c r="G993" t="s">
        <v>1061</v>
      </c>
      <c r="H993" t="str">
        <f>HYPERLINK("http://pbs.twimg.com/media/Ff08KftWAAAgpWm.jpg", "http://pbs.twimg.com/media/Ff08KftWAAAgpWm.jpg")</f>
        <v>http://pbs.twimg.com/media/Ff08KftWAAAgpWm.jpg</v>
      </c>
      <c r="L993">
        <v>0</v>
      </c>
      <c r="M993">
        <v>0</v>
      </c>
      <c r="N993">
        <v>1</v>
      </c>
      <c r="O993">
        <v>0</v>
      </c>
    </row>
    <row r="994" spans="1:15" x14ac:dyDescent="0.2">
      <c r="A994" s="1" t="str">
        <f>HYPERLINK("http://www.twitter.com/banuakdenizli/status/1584535571359465473", "1584535571359465473")</f>
        <v>1584535571359465473</v>
      </c>
      <c r="B994" t="s">
        <v>15</v>
      </c>
      <c r="C994" s="2">
        <v>44858.556643518517</v>
      </c>
      <c r="D994">
        <v>0</v>
      </c>
      <c r="E994">
        <v>15</v>
      </c>
      <c r="F994" t="s">
        <v>17</v>
      </c>
      <c r="G994" t="s">
        <v>1062</v>
      </c>
      <c r="H994" t="str">
        <f>HYPERLINK("https://video.twimg.com/amplify_video/1584512005221687296/vid/848x480/YDvw_09RdWVSVLAC.mp4?tag=14", "https://video.twimg.com/amplify_video/1584512005221687296/vid/848x480/YDvw_09RdWVSVLAC.mp4?tag=14")</f>
        <v>https://video.twimg.com/amplify_video/1584512005221687296/vid/848x480/YDvw_09RdWVSVLAC.mp4?tag=14</v>
      </c>
      <c r="L994">
        <v>0.128</v>
      </c>
      <c r="M994">
        <v>0</v>
      </c>
      <c r="N994">
        <v>0.95899999999999996</v>
      </c>
      <c r="O994">
        <v>4.1000000000000002E-2</v>
      </c>
    </row>
    <row r="995" spans="1:15" x14ac:dyDescent="0.2">
      <c r="A995" s="1" t="str">
        <f>HYPERLINK("http://www.twitter.com/banuakdenizli/status/1584535551512018947", "1584535551512018947")</f>
        <v>1584535551512018947</v>
      </c>
      <c r="B995" t="s">
        <v>15</v>
      </c>
      <c r="C995" s="2">
        <v>44858.556585648148</v>
      </c>
      <c r="D995">
        <v>0</v>
      </c>
      <c r="E995">
        <v>26</v>
      </c>
      <c r="F995" t="s">
        <v>28</v>
      </c>
      <c r="G995" t="s">
        <v>1063</v>
      </c>
      <c r="L995">
        <v>0</v>
      </c>
      <c r="M995">
        <v>0</v>
      </c>
      <c r="N995">
        <v>1</v>
      </c>
      <c r="O995">
        <v>0</v>
      </c>
    </row>
    <row r="996" spans="1:15" x14ac:dyDescent="0.2">
      <c r="A996" s="1" t="str">
        <f>HYPERLINK("http://www.twitter.com/banuakdenizli/status/1584535531534266368", "1584535531534266368")</f>
        <v>1584535531534266368</v>
      </c>
      <c r="B996" t="s">
        <v>15</v>
      </c>
      <c r="C996" s="2">
        <v>44858.556527777779</v>
      </c>
      <c r="D996">
        <v>0</v>
      </c>
      <c r="E996">
        <v>3</v>
      </c>
      <c r="F996" t="s">
        <v>17</v>
      </c>
      <c r="G996" t="s">
        <v>1064</v>
      </c>
      <c r="H996" t="str">
        <f>HYPERLINK("http://pbs.twimg.com/media/Ff06eurWIAEne42.jpg", "http://pbs.twimg.com/media/Ff06eurWIAEne42.jpg")</f>
        <v>http://pbs.twimg.com/media/Ff06eurWIAEne42.jpg</v>
      </c>
      <c r="L996">
        <v>0</v>
      </c>
      <c r="M996">
        <v>0</v>
      </c>
      <c r="N996">
        <v>1</v>
      </c>
      <c r="O996">
        <v>0</v>
      </c>
    </row>
    <row r="997" spans="1:15" x14ac:dyDescent="0.2">
      <c r="A997" s="1" t="str">
        <f>HYPERLINK("http://www.twitter.com/banuakdenizli/status/1584535519026810882", "1584535519026810882")</f>
        <v>1584535519026810882</v>
      </c>
      <c r="B997" t="s">
        <v>15</v>
      </c>
      <c r="C997" s="2">
        <v>44858.556493055563</v>
      </c>
      <c r="D997">
        <v>0</v>
      </c>
      <c r="E997">
        <v>16</v>
      </c>
      <c r="F997" t="s">
        <v>16</v>
      </c>
      <c r="G997" t="s">
        <v>1065</v>
      </c>
      <c r="H997" t="str">
        <f>HYPERLINK("https://video.twimg.com/amplify_video/1584510282801778690/vid/848x480/MdhzDtHDv5nfyGLG.mp4?tag=14", "https://video.twimg.com/amplify_video/1584510282801778690/vid/848x480/MdhzDtHDv5nfyGLG.mp4?tag=14")</f>
        <v>https://video.twimg.com/amplify_video/1584510282801778690/vid/848x480/MdhzDtHDv5nfyGLG.mp4?tag=14</v>
      </c>
      <c r="L997">
        <v>0</v>
      </c>
      <c r="M997">
        <v>0</v>
      </c>
      <c r="N997">
        <v>1</v>
      </c>
      <c r="O997">
        <v>0</v>
      </c>
    </row>
    <row r="998" spans="1:15" x14ac:dyDescent="0.2">
      <c r="A998" s="1" t="str">
        <f>HYPERLINK("http://www.twitter.com/banuakdenizli/status/1584535476291383296", "1584535476291383296")</f>
        <v>1584535476291383296</v>
      </c>
      <c r="B998" t="s">
        <v>15</v>
      </c>
      <c r="C998" s="2">
        <v>44858.556377314817</v>
      </c>
      <c r="D998">
        <v>0</v>
      </c>
      <c r="E998">
        <v>79</v>
      </c>
      <c r="F998" t="s">
        <v>28</v>
      </c>
      <c r="G998" t="s">
        <v>1066</v>
      </c>
      <c r="L998">
        <v>0</v>
      </c>
      <c r="M998">
        <v>0</v>
      </c>
      <c r="N998">
        <v>1</v>
      </c>
      <c r="O998">
        <v>0</v>
      </c>
    </row>
    <row r="999" spans="1:15" x14ac:dyDescent="0.2">
      <c r="A999" s="1" t="str">
        <f>HYPERLINK("http://www.twitter.com/banuakdenizli/status/1584535448046956544", "1584535448046956544")</f>
        <v>1584535448046956544</v>
      </c>
      <c r="B999" t="s">
        <v>15</v>
      </c>
      <c r="C999" s="2">
        <v>44858.556296296287</v>
      </c>
      <c r="D999">
        <v>0</v>
      </c>
      <c r="E999">
        <v>5</v>
      </c>
      <c r="F999" t="s">
        <v>16</v>
      </c>
      <c r="G999" t="s">
        <v>1067</v>
      </c>
      <c r="H999" t="str">
        <f>HYPERLINK("http://pbs.twimg.com/media/Ff0UryLWQAEx8c4.jpg", "http://pbs.twimg.com/media/Ff0UryLWQAEx8c4.jpg")</f>
        <v>http://pbs.twimg.com/media/Ff0UryLWQAEx8c4.jpg</v>
      </c>
      <c r="L999">
        <v>0</v>
      </c>
      <c r="M999">
        <v>0</v>
      </c>
      <c r="N999">
        <v>1</v>
      </c>
      <c r="O999">
        <v>0</v>
      </c>
    </row>
    <row r="1000" spans="1:15" x14ac:dyDescent="0.2">
      <c r="A1000" s="1" t="str">
        <f>HYPERLINK("http://www.twitter.com/banuakdenizli/status/1584535431039045632", "1584535431039045632")</f>
        <v>1584535431039045632</v>
      </c>
      <c r="B1000" t="s">
        <v>15</v>
      </c>
      <c r="C1000" s="2">
        <v>44858.556250000001</v>
      </c>
      <c r="D1000">
        <v>0</v>
      </c>
      <c r="E1000">
        <v>9</v>
      </c>
      <c r="F1000" t="s">
        <v>17</v>
      </c>
      <c r="G1000" t="s">
        <v>1068</v>
      </c>
      <c r="H1000" t="str">
        <f>HYPERLINK("https://video.twimg.com/ext_tw_video/1584424519015473152/pu/vid/1280x720/vXfhurDSUJ5zbSU6.mp4?tag=12", "https://video.twimg.com/ext_tw_video/1584424519015473152/pu/vid/1280x720/vXfhurDSUJ5zbSU6.mp4?tag=12")</f>
        <v>https://video.twimg.com/ext_tw_video/1584424519015473152/pu/vid/1280x720/vXfhurDSUJ5zbSU6.mp4?tag=12</v>
      </c>
      <c r="L1000">
        <v>0.77170000000000005</v>
      </c>
      <c r="M1000">
        <v>0</v>
      </c>
      <c r="N1000">
        <v>0.83099999999999996</v>
      </c>
      <c r="O1000">
        <v>0.16900000000000001</v>
      </c>
    </row>
    <row r="1001" spans="1:15" x14ac:dyDescent="0.2">
      <c r="A1001" s="1" t="str">
        <f>HYPERLINK("http://www.twitter.com/banuakdenizli/status/1584535415520137216", "1584535415520137216")</f>
        <v>1584535415520137216</v>
      </c>
      <c r="B1001" t="s">
        <v>15</v>
      </c>
      <c r="C1001" s="2">
        <v>44858.556203703702</v>
      </c>
      <c r="D1001">
        <v>0</v>
      </c>
      <c r="E1001">
        <v>15</v>
      </c>
      <c r="F1001" t="s">
        <v>17</v>
      </c>
      <c r="G1001" t="s">
        <v>1069</v>
      </c>
      <c r="H1001" t="str">
        <f>HYPERLINK("http://pbs.twimg.com/media/Ff1RnW6UcAAMXk7.jpg", "http://pbs.twimg.com/media/Ff1RnW6UcAAMXk7.jpg")</f>
        <v>http://pbs.twimg.com/media/Ff1RnW6UcAAMXk7.jpg</v>
      </c>
      <c r="L1001">
        <v>0.42149999999999999</v>
      </c>
      <c r="M1001">
        <v>0</v>
      </c>
      <c r="N1001">
        <v>0.872</v>
      </c>
      <c r="O1001">
        <v>0.128</v>
      </c>
    </row>
    <row r="1002" spans="1:15" x14ac:dyDescent="0.2">
      <c r="A1002" s="1" t="str">
        <f>HYPERLINK("http://www.twitter.com/banuakdenizli/status/1584535374436528129", "1584535374436528129")</f>
        <v>1584535374436528129</v>
      </c>
      <c r="B1002" t="s">
        <v>15</v>
      </c>
      <c r="C1002" s="2">
        <v>44858.55609953704</v>
      </c>
      <c r="D1002">
        <v>0</v>
      </c>
      <c r="E1002">
        <v>6</v>
      </c>
      <c r="F1002" t="s">
        <v>16</v>
      </c>
      <c r="G1002" t="s">
        <v>1070</v>
      </c>
      <c r="H1002" t="str">
        <f>HYPERLINK("http://pbs.twimg.com/media/Ff0tcahWQAY4iMb.jpg", "http://pbs.twimg.com/media/Ff0tcahWQAY4iMb.jpg")</f>
        <v>http://pbs.twimg.com/media/Ff0tcahWQAY4iMb.jpg</v>
      </c>
      <c r="L1002">
        <v>0</v>
      </c>
      <c r="M1002">
        <v>0</v>
      </c>
      <c r="N1002">
        <v>1</v>
      </c>
      <c r="O1002">
        <v>0</v>
      </c>
    </row>
    <row r="1003" spans="1:15" x14ac:dyDescent="0.2">
      <c r="A1003" s="1" t="str">
        <f>HYPERLINK("http://www.twitter.com/banuakdenizli/status/1584535338889797632", "1584535338889797632")</f>
        <v>1584535338889797632</v>
      </c>
      <c r="B1003" t="s">
        <v>15</v>
      </c>
      <c r="C1003" s="2">
        <v>44858.555995370371</v>
      </c>
      <c r="D1003">
        <v>0</v>
      </c>
      <c r="E1003">
        <v>23</v>
      </c>
      <c r="F1003" t="s">
        <v>17</v>
      </c>
      <c r="G1003" t="s">
        <v>1071</v>
      </c>
      <c r="H1003" t="str">
        <f>HYPERLINK("https://video.twimg.com/ext_tw_video/1584421930328891393/pu/vid/1280x720/ORFz5P0cHUSr3Eb1.mp4?tag=12", "https://video.twimg.com/ext_tw_video/1584421930328891393/pu/vid/1280x720/ORFz5P0cHUSr3Eb1.mp4?tag=12")</f>
        <v>https://video.twimg.com/ext_tw_video/1584421930328891393/pu/vid/1280x720/ORFz5P0cHUSr3Eb1.mp4?tag=12</v>
      </c>
      <c r="L1003">
        <v>0.86250000000000004</v>
      </c>
      <c r="M1003">
        <v>0</v>
      </c>
      <c r="N1003">
        <v>0.76800000000000002</v>
      </c>
      <c r="O1003">
        <v>0.23200000000000001</v>
      </c>
    </row>
    <row r="1004" spans="1:15" x14ac:dyDescent="0.2">
      <c r="A1004" s="1" t="str">
        <f>HYPERLINK("http://www.twitter.com/banuakdenizli/status/1584535305000226817", "1584535305000226817")</f>
        <v>1584535305000226817</v>
      </c>
      <c r="B1004" t="s">
        <v>15</v>
      </c>
      <c r="C1004" s="2">
        <v>44858.555902777778</v>
      </c>
      <c r="D1004">
        <v>0</v>
      </c>
      <c r="E1004">
        <v>6</v>
      </c>
      <c r="F1004" t="s">
        <v>16</v>
      </c>
      <c r="G1004" t="s">
        <v>1072</v>
      </c>
      <c r="H1004" t="str">
        <f>HYPERLINK("http://pbs.twimg.com/media/Ff01VfGWYAAj9VN.jpg", "http://pbs.twimg.com/media/Ff01VfGWYAAj9VN.jpg")</f>
        <v>http://pbs.twimg.com/media/Ff01VfGWYAAj9VN.jpg</v>
      </c>
      <c r="L1004">
        <v>0</v>
      </c>
      <c r="M1004">
        <v>0</v>
      </c>
      <c r="N1004">
        <v>1</v>
      </c>
      <c r="O1004">
        <v>0</v>
      </c>
    </row>
    <row r="1005" spans="1:15" x14ac:dyDescent="0.2">
      <c r="A1005" s="1" t="str">
        <f>HYPERLINK("http://www.twitter.com/banuakdenizli/status/1584535279058055168", "1584535279058055168")</f>
        <v>1584535279058055168</v>
      </c>
      <c r="B1005" t="s">
        <v>15</v>
      </c>
      <c r="C1005" s="2">
        <v>44858.555833333332</v>
      </c>
      <c r="D1005">
        <v>0</v>
      </c>
      <c r="E1005">
        <v>7</v>
      </c>
      <c r="F1005" t="s">
        <v>16</v>
      </c>
      <c r="G1005" t="s">
        <v>1073</v>
      </c>
      <c r="L1005">
        <v>0</v>
      </c>
      <c r="M1005">
        <v>0</v>
      </c>
      <c r="N1005">
        <v>1</v>
      </c>
      <c r="O1005">
        <v>0</v>
      </c>
    </row>
    <row r="1006" spans="1:15" x14ac:dyDescent="0.2">
      <c r="A1006" s="1" t="str">
        <f>HYPERLINK("http://www.twitter.com/banuakdenizli/status/1584535264302886912", "1584535264302886912")</f>
        <v>1584535264302886912</v>
      </c>
      <c r="B1006" t="s">
        <v>15</v>
      </c>
      <c r="C1006" s="2">
        <v>44858.555787037039</v>
      </c>
      <c r="D1006">
        <v>0</v>
      </c>
      <c r="E1006">
        <v>23</v>
      </c>
      <c r="F1006" t="s">
        <v>16</v>
      </c>
      <c r="G1006" t="s">
        <v>1074</v>
      </c>
      <c r="H1006" t="str">
        <f>HYPERLINK("https://video.twimg.com/ext_tw_video/1584417943080914951/pu/vid/1280x720/HI3XOdEyS-c3tuhP.mp4?tag=12", "https://video.twimg.com/ext_tw_video/1584417943080914951/pu/vid/1280x720/HI3XOdEyS-c3tuhP.mp4?tag=12")</f>
        <v>https://video.twimg.com/ext_tw_video/1584417943080914951/pu/vid/1280x720/HI3XOdEyS-c3tuhP.mp4?tag=12</v>
      </c>
      <c r="L1006">
        <v>0</v>
      </c>
      <c r="M1006">
        <v>0</v>
      </c>
      <c r="N1006">
        <v>1</v>
      </c>
      <c r="O1006">
        <v>0</v>
      </c>
    </row>
    <row r="1007" spans="1:15" x14ac:dyDescent="0.2">
      <c r="A1007" s="1" t="str">
        <f>HYPERLINK("http://www.twitter.com/banuakdenizli/status/1584535242982817792", "1584535242982817792")</f>
        <v>1584535242982817792</v>
      </c>
      <c r="B1007" t="s">
        <v>15</v>
      </c>
      <c r="C1007" s="2">
        <v>44858.55572916667</v>
      </c>
      <c r="D1007">
        <v>0</v>
      </c>
      <c r="E1007">
        <v>6</v>
      </c>
      <c r="F1007" t="s">
        <v>17</v>
      </c>
      <c r="G1007" t="s">
        <v>1075</v>
      </c>
      <c r="L1007">
        <v>0.5423</v>
      </c>
      <c r="M1007">
        <v>0</v>
      </c>
      <c r="N1007">
        <v>0.86799999999999999</v>
      </c>
      <c r="O1007">
        <v>0.13200000000000001</v>
      </c>
    </row>
    <row r="1008" spans="1:15" x14ac:dyDescent="0.2">
      <c r="A1008" s="1" t="str">
        <f>HYPERLINK("http://www.twitter.com/banuakdenizli/status/1584535217200472064", "1584535217200472064")</f>
        <v>1584535217200472064</v>
      </c>
      <c r="B1008" t="s">
        <v>15</v>
      </c>
      <c r="C1008" s="2">
        <v>44858.555659722217</v>
      </c>
      <c r="D1008">
        <v>0</v>
      </c>
      <c r="E1008">
        <v>12</v>
      </c>
      <c r="F1008" t="s">
        <v>16</v>
      </c>
      <c r="G1008" t="s">
        <v>1076</v>
      </c>
      <c r="H1008" t="str">
        <f>HYPERLINK("http://pbs.twimg.com/media/Ff1OKJ2XwAExo9v.jpg", "http://pbs.twimg.com/media/Ff1OKJ2XwAExo9v.jpg")</f>
        <v>http://pbs.twimg.com/media/Ff1OKJ2XwAExo9v.jpg</v>
      </c>
      <c r="L1008">
        <v>0</v>
      </c>
      <c r="M1008">
        <v>0</v>
      </c>
      <c r="N1008">
        <v>1</v>
      </c>
      <c r="O1008">
        <v>0</v>
      </c>
    </row>
    <row r="1009" spans="1:15" x14ac:dyDescent="0.2">
      <c r="A1009" s="1" t="str">
        <f>HYPERLINK("http://www.twitter.com/banuakdenizli/status/1584535203917463552", "1584535203917463552")</f>
        <v>1584535203917463552</v>
      </c>
      <c r="B1009" t="s">
        <v>15</v>
      </c>
      <c r="C1009" s="2">
        <v>44858.555625000001</v>
      </c>
      <c r="D1009">
        <v>0</v>
      </c>
      <c r="E1009">
        <v>11</v>
      </c>
      <c r="F1009" t="s">
        <v>17</v>
      </c>
      <c r="G1009" t="s">
        <v>1077</v>
      </c>
      <c r="H1009" t="str">
        <f>HYPERLINK("http://pbs.twimg.com/media/Ff1N8XAWYAYPqd9.jpg", "http://pbs.twimg.com/media/Ff1N8XAWYAYPqd9.jpg")</f>
        <v>http://pbs.twimg.com/media/Ff1N8XAWYAYPqd9.jpg</v>
      </c>
      <c r="L1009">
        <v>0</v>
      </c>
      <c r="M1009">
        <v>0</v>
      </c>
      <c r="N1009">
        <v>1</v>
      </c>
      <c r="O1009">
        <v>0</v>
      </c>
    </row>
    <row r="1010" spans="1:15" x14ac:dyDescent="0.2">
      <c r="A1010" s="1" t="str">
        <f>HYPERLINK("http://www.twitter.com/banuakdenizli/status/1584535192068591617", "1584535192068591617")</f>
        <v>1584535192068591617</v>
      </c>
      <c r="B1010" t="s">
        <v>15</v>
      </c>
      <c r="C1010" s="2">
        <v>44858.555590277778</v>
      </c>
      <c r="D1010">
        <v>0</v>
      </c>
      <c r="E1010">
        <v>17</v>
      </c>
      <c r="F1010" t="s">
        <v>16</v>
      </c>
      <c r="G1010" t="s">
        <v>1078</v>
      </c>
      <c r="H1010" t="str">
        <f>HYPERLINK("http://pbs.twimg.com/media/Ff1RFihVQAISGAV.jpg", "http://pbs.twimg.com/media/Ff1RFihVQAISGAV.jpg")</f>
        <v>http://pbs.twimg.com/media/Ff1RFihVQAISGAV.jpg</v>
      </c>
      <c r="L1010">
        <v>0</v>
      </c>
      <c r="M1010">
        <v>0</v>
      </c>
      <c r="N1010">
        <v>1</v>
      </c>
      <c r="O1010">
        <v>0</v>
      </c>
    </row>
    <row r="1011" spans="1:15" x14ac:dyDescent="0.2">
      <c r="A1011" s="1" t="str">
        <f>HYPERLINK("http://www.twitter.com/banuakdenizli/status/1584535166000562176", "1584535166000562176")</f>
        <v>1584535166000562176</v>
      </c>
      <c r="B1011" t="s">
        <v>15</v>
      </c>
      <c r="C1011" s="2">
        <v>44858.555520833332</v>
      </c>
      <c r="D1011">
        <v>0</v>
      </c>
      <c r="E1011">
        <v>15</v>
      </c>
      <c r="F1011" t="s">
        <v>17</v>
      </c>
      <c r="G1011" t="s">
        <v>1079</v>
      </c>
      <c r="H1011" t="str">
        <f>HYPERLINK("http://pbs.twimg.com/media/Ff1OkAEWIAEJX5y.jpg", "http://pbs.twimg.com/media/Ff1OkAEWIAEJX5y.jpg")</f>
        <v>http://pbs.twimg.com/media/Ff1OkAEWIAEJX5y.jpg</v>
      </c>
      <c r="L1011">
        <v>0.42149999999999999</v>
      </c>
      <c r="M1011">
        <v>0</v>
      </c>
      <c r="N1011">
        <v>0.71399999999999997</v>
      </c>
      <c r="O1011">
        <v>0.28599999999999998</v>
      </c>
    </row>
    <row r="1012" spans="1:15" x14ac:dyDescent="0.2">
      <c r="A1012" s="1" t="str">
        <f>HYPERLINK("http://www.twitter.com/banuakdenizli/status/1584535151605821443", "1584535151605821443")</f>
        <v>1584535151605821443</v>
      </c>
      <c r="B1012" t="s">
        <v>15</v>
      </c>
      <c r="C1012" s="2">
        <v>44858.555486111109</v>
      </c>
      <c r="D1012">
        <v>0</v>
      </c>
      <c r="E1012">
        <v>13</v>
      </c>
      <c r="F1012" t="s">
        <v>16</v>
      </c>
      <c r="G1012" t="s">
        <v>1080</v>
      </c>
      <c r="H1012" t="str">
        <f>HYPERLINK("http://pbs.twimg.com/media/Ff1OX8KXoAEJZkt.jpg", "http://pbs.twimg.com/media/Ff1OX8KXoAEJZkt.jpg")</f>
        <v>http://pbs.twimg.com/media/Ff1OX8KXoAEJZkt.jpg</v>
      </c>
      <c r="L1012">
        <v>0</v>
      </c>
      <c r="M1012">
        <v>0</v>
      </c>
      <c r="N1012">
        <v>1</v>
      </c>
      <c r="O1012">
        <v>0</v>
      </c>
    </row>
    <row r="1013" spans="1:15" x14ac:dyDescent="0.2">
      <c r="A1013" s="1" t="str">
        <f>HYPERLINK("http://www.twitter.com/banuakdenizli/status/1584535121247358976", "1584535121247358976")</f>
        <v>1584535121247358976</v>
      </c>
      <c r="B1013" t="s">
        <v>15</v>
      </c>
      <c r="C1013" s="2">
        <v>44858.555393518523</v>
      </c>
      <c r="D1013">
        <v>0</v>
      </c>
      <c r="E1013">
        <v>4</v>
      </c>
      <c r="F1013" t="s">
        <v>35</v>
      </c>
      <c r="G1013" t="s">
        <v>1081</v>
      </c>
      <c r="H1013" t="str">
        <f>HYPERLINK("http://pbs.twimg.com/media/Ff1bQYhXkAEVpxJ.jpg", "http://pbs.twimg.com/media/Ff1bQYhXkAEVpxJ.jpg")</f>
        <v>http://pbs.twimg.com/media/Ff1bQYhXkAEVpxJ.jpg</v>
      </c>
      <c r="L1013">
        <v>0.76290000000000002</v>
      </c>
      <c r="M1013">
        <v>9.8000000000000004E-2</v>
      </c>
      <c r="N1013">
        <v>0.67100000000000004</v>
      </c>
      <c r="O1013">
        <v>0.23100000000000001</v>
      </c>
    </row>
    <row r="1014" spans="1:15" x14ac:dyDescent="0.2">
      <c r="A1014" s="1" t="str">
        <f>HYPERLINK("http://www.twitter.com/banuakdenizli/status/1584535110837096449", "1584535110837096449")</f>
        <v>1584535110837096449</v>
      </c>
      <c r="B1014" t="s">
        <v>15</v>
      </c>
      <c r="C1014" s="2">
        <v>44858.55537037037</v>
      </c>
      <c r="D1014">
        <v>0</v>
      </c>
      <c r="E1014">
        <v>3</v>
      </c>
      <c r="F1014" t="s">
        <v>20</v>
      </c>
      <c r="G1014" t="s">
        <v>1082</v>
      </c>
      <c r="H1014" t="str">
        <f>HYPERLINK("http://pbs.twimg.com/media/Ff0a22BXkAAcOEP.jpg", "http://pbs.twimg.com/media/Ff0a22BXkAAcOEP.jpg")</f>
        <v>http://pbs.twimg.com/media/Ff0a22BXkAAcOEP.jpg</v>
      </c>
      <c r="L1014">
        <v>0</v>
      </c>
      <c r="M1014">
        <v>0</v>
      </c>
      <c r="N1014">
        <v>1</v>
      </c>
      <c r="O1014">
        <v>0</v>
      </c>
    </row>
    <row r="1015" spans="1:15" x14ac:dyDescent="0.2">
      <c r="A1015" s="1" t="str">
        <f>HYPERLINK("http://www.twitter.com/banuakdenizli/status/1584535095230484480", "1584535095230484480")</f>
        <v>1584535095230484480</v>
      </c>
      <c r="B1015" t="s">
        <v>15</v>
      </c>
      <c r="C1015" s="2">
        <v>44858.555324074077</v>
      </c>
      <c r="D1015">
        <v>0</v>
      </c>
      <c r="E1015">
        <v>25</v>
      </c>
      <c r="F1015" t="s">
        <v>28</v>
      </c>
      <c r="G1015" t="s">
        <v>1083</v>
      </c>
      <c r="H1015" t="str">
        <f>HYPERLINK("http://pbs.twimg.com/media/Ff0s-u4WYAEB7Cu.jpg", "http://pbs.twimg.com/media/Ff0s-u4WYAEB7Cu.jpg")</f>
        <v>http://pbs.twimg.com/media/Ff0s-u4WYAEB7Cu.jpg</v>
      </c>
      <c r="L1015">
        <v>0</v>
      </c>
      <c r="M1015">
        <v>0</v>
      </c>
      <c r="N1015">
        <v>1</v>
      </c>
      <c r="O1015">
        <v>0</v>
      </c>
    </row>
    <row r="1016" spans="1:15" x14ac:dyDescent="0.2">
      <c r="A1016" s="1" t="str">
        <f>HYPERLINK("http://www.twitter.com/banuakdenizli/status/1584535041274970113", "1584535041274970113")</f>
        <v>1584535041274970113</v>
      </c>
      <c r="B1016" t="s">
        <v>15</v>
      </c>
      <c r="C1016" s="2">
        <v>44858.555173611108</v>
      </c>
      <c r="D1016">
        <v>0</v>
      </c>
      <c r="E1016">
        <v>17</v>
      </c>
      <c r="F1016" t="s">
        <v>17</v>
      </c>
      <c r="G1016" t="s">
        <v>1084</v>
      </c>
      <c r="H1016" t="str">
        <f>HYPERLINK("http://pbs.twimg.com/media/Ff1NYPWX0AguQBX.jpg", "http://pbs.twimg.com/media/Ff1NYPWX0AguQBX.jpg")</f>
        <v>http://pbs.twimg.com/media/Ff1NYPWX0AguQBX.jpg</v>
      </c>
      <c r="L1016">
        <v>0.42149999999999999</v>
      </c>
      <c r="M1016">
        <v>0</v>
      </c>
      <c r="N1016">
        <v>0.76300000000000001</v>
      </c>
      <c r="O1016">
        <v>0.23699999999999999</v>
      </c>
    </row>
    <row r="1017" spans="1:15" x14ac:dyDescent="0.2">
      <c r="A1017" s="1" t="str">
        <f>HYPERLINK("http://www.twitter.com/banuakdenizli/status/1584535014578221057", "1584535014578221057")</f>
        <v>1584535014578221057</v>
      </c>
      <c r="B1017" t="s">
        <v>15</v>
      </c>
      <c r="C1017" s="2">
        <v>44858.555104166669</v>
      </c>
      <c r="D1017">
        <v>0</v>
      </c>
      <c r="E1017">
        <v>13</v>
      </c>
      <c r="F1017" t="s">
        <v>16</v>
      </c>
      <c r="G1017" t="s">
        <v>1085</v>
      </c>
      <c r="H1017" t="str">
        <f>HYPERLINK("http://pbs.twimg.com/media/Ff1M8RmWAAMdtcW.jpg", "http://pbs.twimg.com/media/Ff1M8RmWAAMdtcW.jpg")</f>
        <v>http://pbs.twimg.com/media/Ff1M8RmWAAMdtcW.jpg</v>
      </c>
      <c r="L1017">
        <v>0</v>
      </c>
      <c r="M1017">
        <v>0</v>
      </c>
      <c r="N1017">
        <v>1</v>
      </c>
      <c r="O1017">
        <v>0</v>
      </c>
    </row>
    <row r="1018" spans="1:15" x14ac:dyDescent="0.2">
      <c r="A1018" s="1" t="str">
        <f>HYPERLINK("http://www.twitter.com/banuakdenizli/status/1584534975918968832", "1584534975918968832")</f>
        <v>1584534975918968832</v>
      </c>
      <c r="B1018" t="s">
        <v>15</v>
      </c>
      <c r="C1018" s="2">
        <v>44858.555</v>
      </c>
      <c r="D1018">
        <v>0</v>
      </c>
      <c r="E1018">
        <v>64</v>
      </c>
      <c r="F1018" t="s">
        <v>30</v>
      </c>
      <c r="G1018" t="s">
        <v>1086</v>
      </c>
      <c r="L1018">
        <v>0</v>
      </c>
      <c r="M1018">
        <v>0</v>
      </c>
      <c r="N1018">
        <v>1</v>
      </c>
      <c r="O1018">
        <v>0</v>
      </c>
    </row>
    <row r="1019" spans="1:15" x14ac:dyDescent="0.2">
      <c r="A1019" s="1" t="str">
        <f>HYPERLINK("http://www.twitter.com/banuakdenizli/status/1584344203823194112", "1584344203823194112")</f>
        <v>1584344203823194112</v>
      </c>
      <c r="B1019" t="s">
        <v>15</v>
      </c>
      <c r="C1019" s="2">
        <v>44858.028564814813</v>
      </c>
      <c r="D1019">
        <v>0</v>
      </c>
      <c r="E1019">
        <v>11</v>
      </c>
      <c r="F1019" t="s">
        <v>16</v>
      </c>
      <c r="G1019" t="s">
        <v>1087</v>
      </c>
      <c r="H1019" t="str">
        <f>HYPERLINK("http://pbs.twimg.com/media/FfxzuxFXgAgETRw.jpg", "http://pbs.twimg.com/media/FfxzuxFXgAgETRw.jpg")</f>
        <v>http://pbs.twimg.com/media/FfxzuxFXgAgETRw.jpg</v>
      </c>
      <c r="I1019" t="str">
        <f>HYPERLINK("http://pbs.twimg.com/media/FfxzuxKXEAEkSzG.jpg", "http://pbs.twimg.com/media/FfxzuxKXEAEkSzG.jpg")</f>
        <v>http://pbs.twimg.com/media/FfxzuxKXEAEkSzG.jpg</v>
      </c>
      <c r="J1019" t="str">
        <f>HYPERLINK("http://pbs.twimg.com/media/FfxzuxOXwAA51lA.jpg", "http://pbs.twimg.com/media/FfxzuxOXwAA51lA.jpg")</f>
        <v>http://pbs.twimg.com/media/FfxzuxOXwAA51lA.jpg</v>
      </c>
      <c r="K1019" t="str">
        <f>HYPERLINK("http://pbs.twimg.com/media/Ffxzv0fWIAAoaPU.jpg", "http://pbs.twimg.com/media/Ffxzv0fWIAAoaPU.jpg")</f>
        <v>http://pbs.twimg.com/media/Ffxzv0fWIAAoaPU.jpg</v>
      </c>
      <c r="L1019">
        <v>0</v>
      </c>
      <c r="M1019">
        <v>0</v>
      </c>
      <c r="N1019">
        <v>1</v>
      </c>
      <c r="O1019">
        <v>0</v>
      </c>
    </row>
    <row r="1020" spans="1:15" x14ac:dyDescent="0.2">
      <c r="A1020" s="1" t="str">
        <f>HYPERLINK("http://www.twitter.com/banuakdenizli/status/1584343920930336768", "1584343920930336768")</f>
        <v>1584343920930336768</v>
      </c>
      <c r="B1020" t="s">
        <v>15</v>
      </c>
      <c r="C1020" s="2">
        <v>44858.027789351851</v>
      </c>
      <c r="D1020">
        <v>0</v>
      </c>
      <c r="E1020">
        <v>1</v>
      </c>
      <c r="F1020" t="s">
        <v>29</v>
      </c>
      <c r="G1020" t="s">
        <v>1088</v>
      </c>
      <c r="H1020" t="str">
        <f>HYPERLINK("http://pbs.twimg.com/media/Ffv1ShoXEAMTTPO.jpg", "http://pbs.twimg.com/media/Ffv1ShoXEAMTTPO.jpg")</f>
        <v>http://pbs.twimg.com/media/Ffv1ShoXEAMTTPO.jpg</v>
      </c>
      <c r="I1020" t="str">
        <f>HYPERLINK("http://pbs.twimg.com/media/Ffv1Sh-WAAAVk_T.jpg", "http://pbs.twimg.com/media/Ffv1Sh-WAAAVk_T.jpg")</f>
        <v>http://pbs.twimg.com/media/Ffv1Sh-WAAAVk_T.jpg</v>
      </c>
      <c r="L1020">
        <v>0.31819999999999998</v>
      </c>
      <c r="M1020">
        <v>0</v>
      </c>
      <c r="N1020">
        <v>0.93700000000000006</v>
      </c>
      <c r="O1020">
        <v>6.3E-2</v>
      </c>
    </row>
    <row r="1021" spans="1:15" x14ac:dyDescent="0.2">
      <c r="A1021" s="1" t="str">
        <f>HYPERLINK("http://www.twitter.com/banuakdenizli/status/1584343908288712704", "1584343908288712704")</f>
        <v>1584343908288712704</v>
      </c>
      <c r="B1021" t="s">
        <v>15</v>
      </c>
      <c r="C1021" s="2">
        <v>44858.027754629627</v>
      </c>
      <c r="D1021">
        <v>0</v>
      </c>
      <c r="E1021">
        <v>3</v>
      </c>
      <c r="F1021" t="s">
        <v>29</v>
      </c>
      <c r="G1021" t="s">
        <v>1089</v>
      </c>
      <c r="H1021" t="str">
        <f>HYPERLINK("http://pbs.twimg.com/media/Ffvk2mWWQAALd3r.jpg", "http://pbs.twimg.com/media/Ffvk2mWWQAALd3r.jpg")</f>
        <v>http://pbs.twimg.com/media/Ffvk2mWWQAALd3r.jpg</v>
      </c>
      <c r="I1021" t="str">
        <f>HYPERLINK("http://pbs.twimg.com/media/Ffvk2mfXkAApxU9.jpg", "http://pbs.twimg.com/media/Ffvk2mfXkAApxU9.jpg")</f>
        <v>http://pbs.twimg.com/media/Ffvk2mfXkAApxU9.jpg</v>
      </c>
      <c r="L1021">
        <v>0.93</v>
      </c>
      <c r="M1021">
        <v>0</v>
      </c>
      <c r="N1021">
        <v>0.73</v>
      </c>
      <c r="O1021">
        <v>0.27</v>
      </c>
    </row>
    <row r="1022" spans="1:15" x14ac:dyDescent="0.2">
      <c r="A1022" s="1" t="str">
        <f>HYPERLINK("http://www.twitter.com/banuakdenizli/status/1584343784598691840", "1584343784598691840")</f>
        <v>1584343784598691840</v>
      </c>
      <c r="B1022" t="s">
        <v>15</v>
      </c>
      <c r="C1022" s="2">
        <v>44858.027407407397</v>
      </c>
      <c r="D1022">
        <v>0</v>
      </c>
      <c r="E1022">
        <v>4</v>
      </c>
      <c r="F1022" t="s">
        <v>44</v>
      </c>
      <c r="G1022" t="s">
        <v>1090</v>
      </c>
      <c r="H1022" t="str">
        <f>HYPERLINK("http://pbs.twimg.com/media/FfweyZiWIAES38F.jpg", "http://pbs.twimg.com/media/FfweyZiWIAES38F.jpg")</f>
        <v>http://pbs.twimg.com/media/FfweyZiWIAES38F.jpg</v>
      </c>
      <c r="I1022" t="str">
        <f>HYPERLINK("http://pbs.twimg.com/media/FfweyZhXoAI39rv.jpg", "http://pbs.twimg.com/media/FfweyZhXoAI39rv.jpg")</f>
        <v>http://pbs.twimg.com/media/FfweyZhXoAI39rv.jpg</v>
      </c>
      <c r="J1022" t="str">
        <f>HYPERLINK("http://pbs.twimg.com/media/FfweyZeWYAAEjrw.jpg", "http://pbs.twimg.com/media/FfweyZeWYAAEjrw.jpg")</f>
        <v>http://pbs.twimg.com/media/FfweyZeWYAAEjrw.jpg</v>
      </c>
      <c r="K1022" t="str">
        <f>HYPERLINK("http://pbs.twimg.com/media/FfweyZlWAAEy8vd.jpg", "http://pbs.twimg.com/media/FfweyZlWAAEy8vd.jpg")</f>
        <v>http://pbs.twimg.com/media/FfweyZlWAAEy8vd.jpg</v>
      </c>
      <c r="L1022">
        <v>0.76500000000000001</v>
      </c>
      <c r="M1022">
        <v>0</v>
      </c>
      <c r="N1022">
        <v>0.84499999999999997</v>
      </c>
      <c r="O1022">
        <v>0.155</v>
      </c>
    </row>
    <row r="1023" spans="1:15" x14ac:dyDescent="0.2">
      <c r="A1023" s="1" t="str">
        <f>HYPERLINK("http://www.twitter.com/banuakdenizli/status/1584343753610829824", "1584343753610829824")</f>
        <v>1584343753610829824</v>
      </c>
      <c r="B1023" t="s">
        <v>15</v>
      </c>
      <c r="C1023" s="2">
        <v>44858.027326388888</v>
      </c>
      <c r="D1023">
        <v>0</v>
      </c>
      <c r="E1023">
        <v>22</v>
      </c>
      <c r="F1023" t="s">
        <v>16</v>
      </c>
      <c r="G1023" t="s">
        <v>1091</v>
      </c>
      <c r="H1023" t="str">
        <f>HYPERLINK("https://video.twimg.com/amplify_video/1584277779989680131/vid/1280x720/z1DsUF66fGdXjF9c.mp4?tag=14", "https://video.twimg.com/amplify_video/1584277779989680131/vid/1280x720/z1DsUF66fGdXjF9c.mp4?tag=14")</f>
        <v>https://video.twimg.com/amplify_video/1584277779989680131/vid/1280x720/z1DsUF66fGdXjF9c.mp4?tag=14</v>
      </c>
      <c r="L1023">
        <v>0</v>
      </c>
      <c r="M1023">
        <v>0</v>
      </c>
      <c r="N1023">
        <v>1</v>
      </c>
      <c r="O1023">
        <v>0</v>
      </c>
    </row>
    <row r="1024" spans="1:15" x14ac:dyDescent="0.2">
      <c r="A1024" s="1" t="str">
        <f>HYPERLINK("http://www.twitter.com/banuakdenizli/status/1584343739916746752", "1584343739916746752")</f>
        <v>1584343739916746752</v>
      </c>
      <c r="B1024" t="s">
        <v>15</v>
      </c>
      <c r="C1024" s="2">
        <v>44858.027280092603</v>
      </c>
      <c r="D1024">
        <v>0</v>
      </c>
      <c r="E1024">
        <v>13</v>
      </c>
      <c r="F1024" t="s">
        <v>17</v>
      </c>
      <c r="G1024" t="s">
        <v>1092</v>
      </c>
      <c r="H1024" t="str">
        <f>HYPERLINK("http://pbs.twimg.com/media/Ffx6wixXgAEG-Kf.jpg", "http://pbs.twimg.com/media/Ffx6wixXgAEG-Kf.jpg")</f>
        <v>http://pbs.twimg.com/media/Ffx6wixXgAEG-Kf.jpg</v>
      </c>
      <c r="I1024" t="str">
        <f>HYPERLINK("http://pbs.twimg.com/media/Ffx6wi7WYAEYbXN.jpg", "http://pbs.twimg.com/media/Ffx6wi7WYAEYbXN.jpg")</f>
        <v>http://pbs.twimg.com/media/Ffx6wi7WYAEYbXN.jpg</v>
      </c>
      <c r="J1024" t="str">
        <f>HYPERLINK("http://pbs.twimg.com/media/Ffx6wVgXwAAzW62.jpg", "http://pbs.twimg.com/media/Ffx6wVgXwAAzW62.jpg")</f>
        <v>http://pbs.twimg.com/media/Ffx6wVgXwAAzW62.jpg</v>
      </c>
      <c r="K1024" t="str">
        <f>HYPERLINK("http://pbs.twimg.com/media/Ffx6x7UXgAUAlke.jpg", "http://pbs.twimg.com/media/Ffx6x7UXgAUAlke.jpg")</f>
        <v>http://pbs.twimg.com/media/Ffx6x7UXgAUAlke.jpg</v>
      </c>
      <c r="L1024">
        <v>0</v>
      </c>
      <c r="M1024">
        <v>0</v>
      </c>
      <c r="N1024">
        <v>1</v>
      </c>
      <c r="O1024">
        <v>0</v>
      </c>
    </row>
    <row r="1025" spans="1:15" x14ac:dyDescent="0.2">
      <c r="A1025" s="1" t="str">
        <f>HYPERLINK("http://www.twitter.com/banuakdenizli/status/1584343727727726593", "1584343727727726593")</f>
        <v>1584343727727726593</v>
      </c>
      <c r="B1025" t="s">
        <v>15</v>
      </c>
      <c r="C1025" s="2">
        <v>44858.027256944442</v>
      </c>
      <c r="D1025">
        <v>0</v>
      </c>
      <c r="E1025">
        <v>17</v>
      </c>
      <c r="F1025" t="s">
        <v>17</v>
      </c>
      <c r="G1025" t="s">
        <v>1093</v>
      </c>
      <c r="H1025" t="str">
        <f>HYPERLINK("http://pbs.twimg.com/media/Ffxyf0pXEAID7LC.jpg", "http://pbs.twimg.com/media/Ffxyf0pXEAID7LC.jpg")</f>
        <v>http://pbs.twimg.com/media/Ffxyf0pXEAID7LC.jpg</v>
      </c>
      <c r="I1025" t="str">
        <f>HYPERLINK("http://pbs.twimg.com/media/Ffxyf0LWQAA8PvR.jpg", "http://pbs.twimg.com/media/Ffxyf0LWQAA8PvR.jpg")</f>
        <v>http://pbs.twimg.com/media/Ffxyf0LWQAA8PvR.jpg</v>
      </c>
      <c r="J1025" t="str">
        <f>HYPERLINK("http://pbs.twimg.com/media/Ffxyf0zXgAA0xBX.jpg", "http://pbs.twimg.com/media/Ffxyf0zXgAA0xBX.jpg")</f>
        <v>http://pbs.twimg.com/media/Ffxyf0zXgAA0xBX.jpg</v>
      </c>
      <c r="K1025" t="str">
        <f>HYPERLINK("http://pbs.twimg.com/media/Ffxyf0ZXEAAlRjw.jpg", "http://pbs.twimg.com/media/Ffxyf0ZXEAAlRjw.jpg")</f>
        <v>http://pbs.twimg.com/media/Ffxyf0ZXEAAlRjw.jpg</v>
      </c>
      <c r="L1025">
        <v>0</v>
      </c>
      <c r="M1025">
        <v>0</v>
      </c>
      <c r="N1025">
        <v>1</v>
      </c>
      <c r="O1025">
        <v>0</v>
      </c>
    </row>
    <row r="1026" spans="1:15" x14ac:dyDescent="0.2">
      <c r="A1026" s="1" t="str">
        <f>HYPERLINK("http://www.twitter.com/banuakdenizli/status/1584343685051088896", "1584343685051088896")</f>
        <v>1584343685051088896</v>
      </c>
      <c r="B1026" t="s">
        <v>15</v>
      </c>
      <c r="C1026" s="2">
        <v>44858.027129629627</v>
      </c>
      <c r="D1026">
        <v>0</v>
      </c>
      <c r="E1026">
        <v>16</v>
      </c>
      <c r="F1026" t="s">
        <v>16</v>
      </c>
      <c r="G1026" t="s">
        <v>1094</v>
      </c>
      <c r="H1026" t="str">
        <f>HYPERLINK("http://pbs.twimg.com/media/FfxxFplXwAAp0d3.jpg", "http://pbs.twimg.com/media/FfxxFplXwAAp0d3.jpg")</f>
        <v>http://pbs.twimg.com/media/FfxxFplXwAAp0d3.jpg</v>
      </c>
      <c r="I1026" t="str">
        <f>HYPERLINK("http://pbs.twimg.com/media/FfxxJ5uXEAAtBf_.jpg", "http://pbs.twimg.com/media/FfxxJ5uXEAAtBf_.jpg")</f>
        <v>http://pbs.twimg.com/media/FfxxJ5uXEAAtBf_.jpg</v>
      </c>
      <c r="J1026" t="str">
        <f>HYPERLINK("http://pbs.twimg.com/media/FfxxJ60WIAEg7yV.jpg", "http://pbs.twimg.com/media/FfxxJ60WIAEg7yV.jpg")</f>
        <v>http://pbs.twimg.com/media/FfxxJ60WIAEg7yV.jpg</v>
      </c>
      <c r="K1026" t="str">
        <f>HYPERLINK("http://pbs.twimg.com/media/FfxxJ7hXgAQbRO1.jpg", "http://pbs.twimg.com/media/FfxxJ7hXgAQbRO1.jpg")</f>
        <v>http://pbs.twimg.com/media/FfxxJ7hXgAQbRO1.jpg</v>
      </c>
      <c r="L1026">
        <v>0</v>
      </c>
      <c r="M1026">
        <v>0</v>
      </c>
      <c r="N1026">
        <v>1</v>
      </c>
      <c r="O1026">
        <v>0</v>
      </c>
    </row>
    <row r="1027" spans="1:15" x14ac:dyDescent="0.2">
      <c r="A1027" s="1" t="str">
        <f>HYPERLINK("http://www.twitter.com/banuakdenizli/status/1584343550455865344", "1584343550455865344")</f>
        <v>1584343550455865344</v>
      </c>
      <c r="B1027" t="s">
        <v>15</v>
      </c>
      <c r="C1027" s="2">
        <v>44858.026759259257</v>
      </c>
      <c r="D1027">
        <v>0</v>
      </c>
      <c r="E1027">
        <v>3</v>
      </c>
      <c r="F1027" t="s">
        <v>16</v>
      </c>
      <c r="G1027" t="s">
        <v>1095</v>
      </c>
      <c r="H1027" t="str">
        <f>HYPERLINK("http://pbs.twimg.com/media/FfvtyHAXwAUi2tv.jpg", "http://pbs.twimg.com/media/FfvtyHAXwAUi2tv.jpg")</f>
        <v>http://pbs.twimg.com/media/FfvtyHAXwAUi2tv.jpg</v>
      </c>
      <c r="L1027">
        <v>0</v>
      </c>
      <c r="M1027">
        <v>0</v>
      </c>
      <c r="N1027">
        <v>1</v>
      </c>
      <c r="O1027">
        <v>0</v>
      </c>
    </row>
    <row r="1028" spans="1:15" x14ac:dyDescent="0.2">
      <c r="A1028" s="1" t="str">
        <f>HYPERLINK("http://www.twitter.com/banuakdenizli/status/1584343537164115969", "1584343537164115969")</f>
        <v>1584343537164115969</v>
      </c>
      <c r="B1028" t="s">
        <v>15</v>
      </c>
      <c r="C1028" s="2">
        <v>44858.026724537027</v>
      </c>
      <c r="D1028">
        <v>0</v>
      </c>
      <c r="E1028">
        <v>2</v>
      </c>
      <c r="F1028" t="s">
        <v>17</v>
      </c>
      <c r="G1028" t="s">
        <v>1096</v>
      </c>
      <c r="H1028" t="str">
        <f>HYPERLINK("http://pbs.twimg.com/media/FfwNueuXwAAFDl7.jpg", "http://pbs.twimg.com/media/FfwNueuXwAAFDl7.jpg")</f>
        <v>http://pbs.twimg.com/media/FfwNueuXwAAFDl7.jpg</v>
      </c>
      <c r="L1028">
        <v>0</v>
      </c>
      <c r="M1028">
        <v>0</v>
      </c>
      <c r="N1028">
        <v>1</v>
      </c>
      <c r="O1028">
        <v>0</v>
      </c>
    </row>
    <row r="1029" spans="1:15" x14ac:dyDescent="0.2">
      <c r="A1029" s="1" t="str">
        <f>HYPERLINK("http://www.twitter.com/banuakdenizli/status/1584343523934883840", "1584343523934883840")</f>
        <v>1584343523934883840</v>
      </c>
      <c r="B1029" t="s">
        <v>15</v>
      </c>
      <c r="C1029" s="2">
        <v>44858.026689814818</v>
      </c>
      <c r="D1029">
        <v>0</v>
      </c>
      <c r="E1029">
        <v>3</v>
      </c>
      <c r="F1029" t="s">
        <v>17</v>
      </c>
      <c r="G1029" t="s">
        <v>1097</v>
      </c>
      <c r="H1029" t="str">
        <f>HYPERLINK("http://pbs.twimg.com/media/FfwNSuUX0Ak4eFt.jpg", "http://pbs.twimg.com/media/FfwNSuUX0Ak4eFt.jpg")</f>
        <v>http://pbs.twimg.com/media/FfwNSuUX0Ak4eFt.jpg</v>
      </c>
      <c r="L1029">
        <v>0</v>
      </c>
      <c r="M1029">
        <v>0</v>
      </c>
      <c r="N1029">
        <v>1</v>
      </c>
      <c r="O1029">
        <v>0</v>
      </c>
    </row>
    <row r="1030" spans="1:15" x14ac:dyDescent="0.2">
      <c r="A1030" s="1" t="str">
        <f>HYPERLINK("http://www.twitter.com/banuakdenizli/status/1584343502602706944", "1584343502602706944")</f>
        <v>1584343502602706944</v>
      </c>
      <c r="B1030" t="s">
        <v>15</v>
      </c>
      <c r="C1030" s="2">
        <v>44858.026631944442</v>
      </c>
      <c r="D1030">
        <v>0</v>
      </c>
      <c r="E1030">
        <v>6</v>
      </c>
      <c r="F1030" t="s">
        <v>16</v>
      </c>
      <c r="G1030" t="s">
        <v>1098</v>
      </c>
      <c r="H1030" t="str">
        <f>HYPERLINK("http://pbs.twimg.com/media/Ffv2OdCXkAQblz0.jpg", "http://pbs.twimg.com/media/Ffv2OdCXkAQblz0.jpg")</f>
        <v>http://pbs.twimg.com/media/Ffv2OdCXkAQblz0.jpg</v>
      </c>
      <c r="I1030" t="str">
        <f>HYPERLINK("http://pbs.twimg.com/media/Ffv2OdGWAAgAUYw.jpg", "http://pbs.twimg.com/media/Ffv2OdGWAAgAUYw.jpg")</f>
        <v>http://pbs.twimg.com/media/Ffv2OdGWAAgAUYw.jpg</v>
      </c>
      <c r="J1030" t="str">
        <f>HYPERLINK("http://pbs.twimg.com/media/Ffv2OdIWIAAt3c5.jpg", "http://pbs.twimg.com/media/Ffv2OdIWIAAt3c5.jpg")</f>
        <v>http://pbs.twimg.com/media/Ffv2OdIWIAAt3c5.jpg</v>
      </c>
      <c r="L1030">
        <v>0</v>
      </c>
      <c r="M1030">
        <v>0</v>
      </c>
      <c r="N1030">
        <v>1</v>
      </c>
      <c r="O1030">
        <v>0</v>
      </c>
    </row>
    <row r="1031" spans="1:15" x14ac:dyDescent="0.2">
      <c r="A1031" s="1" t="str">
        <f>HYPERLINK("http://www.twitter.com/banuakdenizli/status/1584343481782128640", "1584343481782128640")</f>
        <v>1584343481782128640</v>
      </c>
      <c r="B1031" t="s">
        <v>15</v>
      </c>
      <c r="C1031" s="2">
        <v>44858.026574074072</v>
      </c>
      <c r="D1031">
        <v>0</v>
      </c>
      <c r="E1031">
        <v>5</v>
      </c>
      <c r="F1031" t="s">
        <v>17</v>
      </c>
      <c r="G1031" t="s">
        <v>1099</v>
      </c>
      <c r="H1031" t="str">
        <f>HYPERLINK("http://pbs.twimg.com/media/FfwP-udXEAIdqdl.jpg", "http://pbs.twimg.com/media/FfwP-udXEAIdqdl.jpg")</f>
        <v>http://pbs.twimg.com/media/FfwP-udXEAIdqdl.jpg</v>
      </c>
      <c r="I1031" t="str">
        <f>HYPERLINK("http://pbs.twimg.com/media/FfwP-w0XEAAUWeG.jpg", "http://pbs.twimg.com/media/FfwP-w0XEAAUWeG.jpg")</f>
        <v>http://pbs.twimg.com/media/FfwP-w0XEAAUWeG.jpg</v>
      </c>
      <c r="J1031" t="str">
        <f>HYPERLINK("http://pbs.twimg.com/media/FfwP-uUXwAEjyhT.jpg", "http://pbs.twimg.com/media/FfwP-uUXwAEjyhT.jpg")</f>
        <v>http://pbs.twimg.com/media/FfwP-uUXwAEjyhT.jpg</v>
      </c>
      <c r="L1031">
        <v>0</v>
      </c>
      <c r="M1031">
        <v>0</v>
      </c>
      <c r="N1031">
        <v>1</v>
      </c>
      <c r="O1031">
        <v>0</v>
      </c>
    </row>
    <row r="1032" spans="1:15" x14ac:dyDescent="0.2">
      <c r="A1032" s="1" t="str">
        <f>HYPERLINK("http://www.twitter.com/banuakdenizli/status/1584343448240300032", "1584343448240300032")</f>
        <v>1584343448240300032</v>
      </c>
      <c r="B1032" t="s">
        <v>15</v>
      </c>
      <c r="C1032" s="2">
        <v>44858.02648148148</v>
      </c>
      <c r="D1032">
        <v>0</v>
      </c>
      <c r="E1032">
        <v>6</v>
      </c>
      <c r="F1032" t="s">
        <v>16</v>
      </c>
      <c r="G1032" t="s">
        <v>1100</v>
      </c>
      <c r="H1032" t="str">
        <f>HYPERLINK("http://pbs.twimg.com/media/Ffu1c2IXgAAPMLJ.jpg", "http://pbs.twimg.com/media/Ffu1c2IXgAAPMLJ.jpg")</f>
        <v>http://pbs.twimg.com/media/Ffu1c2IXgAAPMLJ.jpg</v>
      </c>
      <c r="L1032">
        <v>0</v>
      </c>
      <c r="M1032">
        <v>0</v>
      </c>
      <c r="N1032">
        <v>1</v>
      </c>
      <c r="O1032">
        <v>0</v>
      </c>
    </row>
    <row r="1033" spans="1:15" x14ac:dyDescent="0.2">
      <c r="A1033" s="1" t="str">
        <f>HYPERLINK("http://www.twitter.com/banuakdenizli/status/1584343435074412545", "1584343435074412545")</f>
        <v>1584343435074412545</v>
      </c>
      <c r="B1033" t="s">
        <v>15</v>
      </c>
      <c r="C1033" s="2">
        <v>44858.026446759257</v>
      </c>
      <c r="D1033">
        <v>0</v>
      </c>
      <c r="E1033">
        <v>54</v>
      </c>
      <c r="F1033" t="s">
        <v>18</v>
      </c>
      <c r="G1033" t="s">
        <v>1101</v>
      </c>
      <c r="H1033" t="str">
        <f>HYPERLINK("http://pbs.twimg.com/media/Ffxqi3AXEAA9SJ3.jpg", "http://pbs.twimg.com/media/Ffxqi3AXEAA9SJ3.jpg")</f>
        <v>http://pbs.twimg.com/media/Ffxqi3AXEAA9SJ3.jpg</v>
      </c>
      <c r="I1033" t="str">
        <f>HYPERLINK("http://pbs.twimg.com/media/Ffxqi3BXkAMAVrQ.jpg", "http://pbs.twimg.com/media/Ffxqi3BXkAMAVrQ.jpg")</f>
        <v>http://pbs.twimg.com/media/Ffxqi3BXkAMAVrQ.jpg</v>
      </c>
      <c r="L1033">
        <v>0</v>
      </c>
      <c r="M1033">
        <v>0</v>
      </c>
      <c r="N1033">
        <v>1</v>
      </c>
      <c r="O1033">
        <v>0</v>
      </c>
    </row>
    <row r="1034" spans="1:15" x14ac:dyDescent="0.2">
      <c r="A1034" s="1" t="str">
        <f>HYPERLINK("http://www.twitter.com/banuakdenizli/status/1584343415260532737", "1584343415260532737")</f>
        <v>1584343415260532737</v>
      </c>
      <c r="B1034" t="s">
        <v>15</v>
      </c>
      <c r="C1034" s="2">
        <v>44858.026388888888</v>
      </c>
      <c r="D1034">
        <v>0</v>
      </c>
      <c r="E1034">
        <v>5</v>
      </c>
      <c r="F1034" t="s">
        <v>16</v>
      </c>
      <c r="G1034" t="s">
        <v>1102</v>
      </c>
      <c r="H1034" t="str">
        <f>HYPERLINK("http://pbs.twimg.com/media/Ffxt-i5WIAEgJq5.jpg", "http://pbs.twimg.com/media/Ffxt-i5WIAEgJq5.jpg")</f>
        <v>http://pbs.twimg.com/media/Ffxt-i5WIAEgJq5.jpg</v>
      </c>
      <c r="L1034">
        <v>0</v>
      </c>
      <c r="M1034">
        <v>0</v>
      </c>
      <c r="N1034">
        <v>1</v>
      </c>
      <c r="O1034">
        <v>0</v>
      </c>
    </row>
    <row r="1035" spans="1:15" x14ac:dyDescent="0.2">
      <c r="A1035" s="1" t="str">
        <f>HYPERLINK("http://www.twitter.com/banuakdenizli/status/1584343395174346752", "1584343395174346752")</f>
        <v>1584343395174346752</v>
      </c>
      <c r="B1035" t="s">
        <v>15</v>
      </c>
      <c r="C1035" s="2">
        <v>44858.026331018518</v>
      </c>
      <c r="D1035">
        <v>0</v>
      </c>
      <c r="E1035">
        <v>17</v>
      </c>
      <c r="F1035" t="s">
        <v>686</v>
      </c>
      <c r="G1035" t="s">
        <v>1103</v>
      </c>
      <c r="H1035" t="str">
        <f>HYPERLINK("http://pbs.twimg.com/media/Ffv_op8XkAAj58H.jpg", "http://pbs.twimg.com/media/Ffv_op8XkAAj58H.jpg")</f>
        <v>http://pbs.twimg.com/media/Ffv_op8XkAAj58H.jpg</v>
      </c>
      <c r="I1035" t="str">
        <f>HYPERLINK("http://pbs.twimg.com/media/FfwGjNQXEAA-EHq.jpg", "http://pbs.twimg.com/media/FfwGjNQXEAA-EHq.jpg")</f>
        <v>http://pbs.twimg.com/media/FfwGjNQXEAA-EHq.jpg</v>
      </c>
      <c r="L1035">
        <v>0</v>
      </c>
      <c r="M1035">
        <v>0</v>
      </c>
      <c r="N1035">
        <v>1</v>
      </c>
      <c r="O1035">
        <v>0</v>
      </c>
    </row>
    <row r="1036" spans="1:15" x14ac:dyDescent="0.2">
      <c r="A1036" s="1" t="str">
        <f>HYPERLINK("http://www.twitter.com/banuakdenizli/status/1584343287489777664", "1584343287489777664")</f>
        <v>1584343287489777664</v>
      </c>
      <c r="B1036" t="s">
        <v>15</v>
      </c>
      <c r="C1036" s="2">
        <v>44858.026041666657</v>
      </c>
      <c r="D1036">
        <v>0</v>
      </c>
      <c r="E1036">
        <v>24</v>
      </c>
      <c r="F1036" t="s">
        <v>16</v>
      </c>
      <c r="G1036" t="s">
        <v>1104</v>
      </c>
      <c r="H1036" t="str">
        <f>HYPERLINK("https://video.twimg.com/amplify_video/1584254698747400193/vid/1280x720/9cRxL-Rn2zq9Tc7l.mp4?tag=14", "https://video.twimg.com/amplify_video/1584254698747400193/vid/1280x720/9cRxL-Rn2zq9Tc7l.mp4?tag=14")</f>
        <v>https://video.twimg.com/amplify_video/1584254698747400193/vid/1280x720/9cRxL-Rn2zq9Tc7l.mp4?tag=14</v>
      </c>
      <c r="L1036">
        <v>0</v>
      </c>
      <c r="M1036">
        <v>0</v>
      </c>
      <c r="N1036">
        <v>1</v>
      </c>
      <c r="O1036">
        <v>0</v>
      </c>
    </row>
    <row r="1037" spans="1:15" x14ac:dyDescent="0.2">
      <c r="A1037" s="1" t="str">
        <f>HYPERLINK("http://www.twitter.com/banuakdenizli/status/1584343272662523904", "1584343272662523904")</f>
        <v>1584343272662523904</v>
      </c>
      <c r="B1037" t="s">
        <v>15</v>
      </c>
      <c r="C1037" s="2">
        <v>44858.025995370372</v>
      </c>
      <c r="D1037">
        <v>0</v>
      </c>
      <c r="E1037">
        <v>11</v>
      </c>
      <c r="F1037" t="s">
        <v>17</v>
      </c>
      <c r="G1037" t="s">
        <v>1105</v>
      </c>
      <c r="H1037" t="str">
        <f>HYPERLINK("http://pbs.twimg.com/media/Ffx-dVsWIAM-fQb.jpg", "http://pbs.twimg.com/media/Ffx-dVsWIAM-fQb.jpg")</f>
        <v>http://pbs.twimg.com/media/Ffx-dVsWIAM-fQb.jpg</v>
      </c>
      <c r="L1037">
        <v>-0.29599999999999999</v>
      </c>
      <c r="M1037">
        <v>0.246</v>
      </c>
      <c r="N1037">
        <v>0.59699999999999998</v>
      </c>
      <c r="O1037">
        <v>0.157</v>
      </c>
    </row>
    <row r="1038" spans="1:15" x14ac:dyDescent="0.2">
      <c r="A1038" s="1" t="str">
        <f>HYPERLINK("http://www.twitter.com/banuakdenizli/status/1584343256401182720", "1584343256401182720")</f>
        <v>1584343256401182720</v>
      </c>
      <c r="B1038" t="s">
        <v>15</v>
      </c>
      <c r="C1038" s="2">
        <v>44858.025949074072</v>
      </c>
      <c r="D1038">
        <v>0</v>
      </c>
      <c r="E1038">
        <v>2</v>
      </c>
      <c r="F1038" t="s">
        <v>20</v>
      </c>
      <c r="G1038" t="s">
        <v>1106</v>
      </c>
      <c r="H1038" t="str">
        <f>HYPERLINK("http://pbs.twimg.com/media/FfvAf1kXgAAMOot.jpg", "http://pbs.twimg.com/media/FfvAf1kXgAAMOot.jpg")</f>
        <v>http://pbs.twimg.com/media/FfvAf1kXgAAMOot.jpg</v>
      </c>
      <c r="L1038">
        <v>0</v>
      </c>
      <c r="M1038">
        <v>0</v>
      </c>
      <c r="N1038">
        <v>1</v>
      </c>
      <c r="O1038">
        <v>0</v>
      </c>
    </row>
    <row r="1039" spans="1:15" x14ac:dyDescent="0.2">
      <c r="A1039" s="1" t="str">
        <f>HYPERLINK("http://www.twitter.com/banuakdenizli/status/1584343242002554882", "1584343242002554882")</f>
        <v>1584343242002554882</v>
      </c>
      <c r="B1039" t="s">
        <v>15</v>
      </c>
      <c r="C1039" s="2">
        <v>44858.025914351849</v>
      </c>
      <c r="D1039">
        <v>0</v>
      </c>
      <c r="E1039">
        <v>39</v>
      </c>
      <c r="F1039" t="s">
        <v>18</v>
      </c>
      <c r="G1039" t="s">
        <v>1107</v>
      </c>
      <c r="H1039" t="str">
        <f>HYPERLINK("http://pbs.twimg.com/media/FfxunkbXoAUlRRb.jpg", "http://pbs.twimg.com/media/FfxunkbXoAUlRRb.jpg")</f>
        <v>http://pbs.twimg.com/media/FfxunkbXoAUlRRb.jpg</v>
      </c>
      <c r="I1039" t="str">
        <f>HYPERLINK("http://pbs.twimg.com/media/FfxunkZWQAcmET2.jpg", "http://pbs.twimg.com/media/FfxunkZWQAcmET2.jpg")</f>
        <v>http://pbs.twimg.com/media/FfxunkZWQAcmET2.jpg</v>
      </c>
      <c r="L1039">
        <v>0.95289999999999997</v>
      </c>
      <c r="M1039">
        <v>0</v>
      </c>
      <c r="N1039">
        <v>0.69299999999999995</v>
      </c>
      <c r="O1039">
        <v>0.307</v>
      </c>
    </row>
    <row r="1040" spans="1:15" x14ac:dyDescent="0.2">
      <c r="A1040" s="1" t="str">
        <f>HYPERLINK("http://www.twitter.com/banuakdenizli/status/1584343226445893632", "1584343226445893632")</f>
        <v>1584343226445893632</v>
      </c>
      <c r="B1040" t="s">
        <v>15</v>
      </c>
      <c r="C1040" s="2">
        <v>44858.025868055563</v>
      </c>
      <c r="D1040">
        <v>0</v>
      </c>
      <c r="E1040">
        <v>43</v>
      </c>
      <c r="F1040" t="s">
        <v>28</v>
      </c>
      <c r="G1040" t="s">
        <v>1108</v>
      </c>
      <c r="H1040" t="str">
        <f>HYPERLINK("http://pbs.twimg.com/media/FfvqwnfWYAEj92B.jpg", "http://pbs.twimg.com/media/FfvqwnfWYAEj92B.jpg")</f>
        <v>http://pbs.twimg.com/media/FfvqwnfWYAEj92B.jpg</v>
      </c>
      <c r="I1040" t="str">
        <f>HYPERLINK("http://pbs.twimg.com/media/FfvqwnfX0AAUA9X.jpg", "http://pbs.twimg.com/media/FfvqwnfX0AAUA9X.jpg")</f>
        <v>http://pbs.twimg.com/media/FfvqwnfX0AAUA9X.jpg</v>
      </c>
      <c r="L1040">
        <v>0</v>
      </c>
      <c r="M1040">
        <v>0</v>
      </c>
      <c r="N1040">
        <v>1</v>
      </c>
      <c r="O1040">
        <v>0</v>
      </c>
    </row>
    <row r="1041" spans="1:15" x14ac:dyDescent="0.2">
      <c r="A1041" s="1" t="str">
        <f>HYPERLINK("http://www.twitter.com/banuakdenizli/status/1583514507816468480", "1583514507816468480")</f>
        <v>1583514507816468480</v>
      </c>
      <c r="B1041" t="s">
        <v>15</v>
      </c>
      <c r="C1041" s="2">
        <v>44855.739039351851</v>
      </c>
      <c r="D1041">
        <v>0</v>
      </c>
      <c r="E1041">
        <v>11</v>
      </c>
      <c r="F1041" t="s">
        <v>17</v>
      </c>
      <c r="G1041" t="s">
        <v>1109</v>
      </c>
      <c r="H1041" t="str">
        <f>HYPERLINK("http://pbs.twimg.com/media/FfnF-TLWAAYkQoK.jpg", "http://pbs.twimg.com/media/FfnF-TLWAAYkQoK.jpg")</f>
        <v>http://pbs.twimg.com/media/FfnF-TLWAAYkQoK.jpg</v>
      </c>
      <c r="L1041">
        <v>-0.34</v>
      </c>
      <c r="M1041">
        <v>0.14599999999999999</v>
      </c>
      <c r="N1041">
        <v>0.85399999999999998</v>
      </c>
      <c r="O1041">
        <v>0</v>
      </c>
    </row>
    <row r="1042" spans="1:15" x14ac:dyDescent="0.2">
      <c r="A1042" s="1" t="str">
        <f>HYPERLINK("http://www.twitter.com/banuakdenizli/status/1583505847069863936", "1583505847069863936")</f>
        <v>1583505847069863936</v>
      </c>
      <c r="B1042" t="s">
        <v>15</v>
      </c>
      <c r="C1042" s="2">
        <v>44855.715138888889</v>
      </c>
      <c r="D1042">
        <v>0</v>
      </c>
      <c r="E1042">
        <v>173</v>
      </c>
      <c r="F1042" t="s">
        <v>45</v>
      </c>
      <c r="G1042" t="s">
        <v>1110</v>
      </c>
      <c r="H1042" t="str">
        <f>HYPERLINK("https://video.twimg.com/ext_tw_video/1583478288202211328/pu/vid/848x480/wovWNWS0ZO04OgDy.mp4?tag=12", "https://video.twimg.com/ext_tw_video/1583478288202211328/pu/vid/848x480/wovWNWS0ZO04OgDy.mp4?tag=12")</f>
        <v>https://video.twimg.com/ext_tw_video/1583478288202211328/pu/vid/848x480/wovWNWS0ZO04OgDy.mp4?tag=12</v>
      </c>
      <c r="L1042">
        <v>0</v>
      </c>
      <c r="M1042">
        <v>0</v>
      </c>
      <c r="N1042">
        <v>1</v>
      </c>
      <c r="O1042">
        <v>0</v>
      </c>
    </row>
    <row r="1043" spans="1:15" x14ac:dyDescent="0.2">
      <c r="A1043" s="1" t="str">
        <f>HYPERLINK("http://www.twitter.com/banuakdenizli/status/1583502920225787904", "1583502920225787904")</f>
        <v>1583502920225787904</v>
      </c>
      <c r="B1043" t="s">
        <v>15</v>
      </c>
      <c r="C1043" s="2">
        <v>44855.707060185188</v>
      </c>
      <c r="D1043">
        <v>0</v>
      </c>
      <c r="E1043">
        <v>22</v>
      </c>
      <c r="F1043" t="s">
        <v>1111</v>
      </c>
      <c r="G1043" t="s">
        <v>1112</v>
      </c>
      <c r="H1043" t="str">
        <f>HYPERLINK("https://video.twimg.com/ext_tw_video/1583090456950444032/pu/vid/640x352/fPAwAjIFio_Opm5q.mp4?tag=12", "https://video.twimg.com/ext_tw_video/1583090456950444032/pu/vid/640x352/fPAwAjIFio_Opm5q.mp4?tag=12")</f>
        <v>https://video.twimg.com/ext_tw_video/1583090456950444032/pu/vid/640x352/fPAwAjIFio_Opm5q.mp4?tag=12</v>
      </c>
      <c r="L1043">
        <v>0.9214</v>
      </c>
      <c r="M1043">
        <v>0</v>
      </c>
      <c r="N1043">
        <v>0.66400000000000003</v>
      </c>
      <c r="O1043">
        <v>0.33600000000000002</v>
      </c>
    </row>
    <row r="1044" spans="1:15" x14ac:dyDescent="0.2">
      <c r="A1044" s="1" t="str">
        <f>HYPERLINK("http://www.twitter.com/banuakdenizli/status/1583502636917006344", "1583502636917006344")</f>
        <v>1583502636917006344</v>
      </c>
      <c r="B1044" t="s">
        <v>15</v>
      </c>
      <c r="C1044" s="2">
        <v>44855.706284722219</v>
      </c>
      <c r="D1044">
        <v>0</v>
      </c>
      <c r="E1044">
        <v>14</v>
      </c>
      <c r="F1044" t="s">
        <v>16</v>
      </c>
      <c r="G1044" t="s">
        <v>1113</v>
      </c>
      <c r="H1044" t="str">
        <f>HYPERLINK("http://pbs.twimg.com/media/FfmwUaoX0AIDfvu.jpg", "http://pbs.twimg.com/media/FfmwUaoX0AIDfvu.jpg")</f>
        <v>http://pbs.twimg.com/media/FfmwUaoX0AIDfvu.jpg</v>
      </c>
      <c r="L1044">
        <v>0</v>
      </c>
      <c r="M1044">
        <v>0</v>
      </c>
      <c r="N1044">
        <v>1</v>
      </c>
      <c r="O1044">
        <v>0</v>
      </c>
    </row>
    <row r="1045" spans="1:15" x14ac:dyDescent="0.2">
      <c r="A1045" s="1" t="str">
        <f>HYPERLINK("http://www.twitter.com/banuakdenizli/status/1583462690852216834", "1583462690852216834")</f>
        <v>1583462690852216834</v>
      </c>
      <c r="B1045" t="s">
        <v>15</v>
      </c>
      <c r="C1045" s="2">
        <v>44855.596053240741</v>
      </c>
      <c r="D1045">
        <v>0</v>
      </c>
      <c r="E1045">
        <v>57</v>
      </c>
      <c r="F1045" t="s">
        <v>1114</v>
      </c>
      <c r="G1045" t="s">
        <v>1115</v>
      </c>
      <c r="H1045" t="str">
        <f>HYPERLINK("https://video.twimg.com/amplify_video/1583437862384680961/vid/1280x720/1DOnHCab2BApP9tZ.mp4?tag=14", "https://video.twimg.com/amplify_video/1583437862384680961/vid/1280x720/1DOnHCab2BApP9tZ.mp4?tag=14")</f>
        <v>https://video.twimg.com/amplify_video/1583437862384680961/vid/1280x720/1DOnHCab2BApP9tZ.mp4?tag=14</v>
      </c>
      <c r="L1045">
        <v>0</v>
      </c>
      <c r="M1045">
        <v>0</v>
      </c>
      <c r="N1045">
        <v>1</v>
      </c>
      <c r="O1045">
        <v>0</v>
      </c>
    </row>
    <row r="1046" spans="1:15" x14ac:dyDescent="0.2">
      <c r="A1046" s="1" t="str">
        <f>HYPERLINK("http://www.twitter.com/banuakdenizli/status/1583439681047625730", "1583439681047625730")</f>
        <v>1583439681047625730</v>
      </c>
      <c r="B1046" t="s">
        <v>15</v>
      </c>
      <c r="C1046" s="2">
        <v>44855.532557870371</v>
      </c>
      <c r="D1046">
        <v>0</v>
      </c>
      <c r="E1046">
        <v>9</v>
      </c>
      <c r="F1046" t="s">
        <v>17</v>
      </c>
      <c r="G1046" t="s">
        <v>1116</v>
      </c>
      <c r="H1046" t="str">
        <f>HYPERLINK("http://pbs.twimg.com/media/FfiaTFmXEAoyZ-J.jpg", "http://pbs.twimg.com/media/FfiaTFmXEAoyZ-J.jpg")</f>
        <v>http://pbs.twimg.com/media/FfiaTFmXEAoyZ-J.jpg</v>
      </c>
      <c r="I1046" t="str">
        <f>HYPERLINK("http://pbs.twimg.com/media/FfiaTFlXEBoW4r0.jpg", "http://pbs.twimg.com/media/FfiaTFlXEBoW4r0.jpg")</f>
        <v>http://pbs.twimg.com/media/FfiaTFlXEBoW4r0.jpg</v>
      </c>
      <c r="L1046">
        <v>0</v>
      </c>
      <c r="M1046">
        <v>0</v>
      </c>
      <c r="N1046">
        <v>1</v>
      </c>
      <c r="O1046">
        <v>0</v>
      </c>
    </row>
    <row r="1047" spans="1:15" x14ac:dyDescent="0.2">
      <c r="A1047" s="1" t="str">
        <f>HYPERLINK("http://www.twitter.com/banuakdenizli/status/1583146446211416065", "1583146446211416065")</f>
        <v>1583146446211416065</v>
      </c>
      <c r="B1047" t="s">
        <v>15</v>
      </c>
      <c r="C1047" s="2">
        <v>44854.723379629628</v>
      </c>
      <c r="D1047">
        <v>0</v>
      </c>
      <c r="E1047">
        <v>6</v>
      </c>
      <c r="F1047" t="s">
        <v>16</v>
      </c>
      <c r="G1047" t="s">
        <v>1117</v>
      </c>
      <c r="H1047" t="str">
        <f>HYPERLINK("http://pbs.twimg.com/media/Ffgjt6BWQAI9Bwl.jpg", "http://pbs.twimg.com/media/Ffgjt6BWQAI9Bwl.jpg")</f>
        <v>http://pbs.twimg.com/media/Ffgjt6BWQAI9Bwl.jpg</v>
      </c>
      <c r="L1047">
        <v>0</v>
      </c>
      <c r="M1047">
        <v>0</v>
      </c>
      <c r="N1047">
        <v>1</v>
      </c>
      <c r="O1047">
        <v>0</v>
      </c>
    </row>
    <row r="1048" spans="1:15" x14ac:dyDescent="0.2">
      <c r="A1048" s="1" t="str">
        <f>HYPERLINK("http://www.twitter.com/banuakdenizli/status/1583145395059798018", "1583145395059798018")</f>
        <v>1583145395059798018</v>
      </c>
      <c r="B1048" t="s">
        <v>15</v>
      </c>
      <c r="C1048" s="2">
        <v>44854.720486111109</v>
      </c>
      <c r="D1048">
        <v>0</v>
      </c>
      <c r="E1048">
        <v>6</v>
      </c>
      <c r="F1048" t="s">
        <v>16</v>
      </c>
      <c r="G1048" t="s">
        <v>1118</v>
      </c>
      <c r="H1048" t="str">
        <f>HYPERLINK("http://pbs.twimg.com/media/Ffh1tZSX0AAYvVR.jpg", "http://pbs.twimg.com/media/Ffh1tZSX0AAYvVR.jpg")</f>
        <v>http://pbs.twimg.com/media/Ffh1tZSX0AAYvVR.jpg</v>
      </c>
      <c r="I1048" t="str">
        <f>HYPERLINK("http://pbs.twimg.com/media/Ffh1tZRX0AEmto2.jpg", "http://pbs.twimg.com/media/Ffh1tZRX0AEmto2.jpg")</f>
        <v>http://pbs.twimg.com/media/Ffh1tZRX0AEmto2.jpg</v>
      </c>
      <c r="L1048">
        <v>0</v>
      </c>
      <c r="M1048">
        <v>0</v>
      </c>
      <c r="N1048">
        <v>1</v>
      </c>
      <c r="O1048">
        <v>0</v>
      </c>
    </row>
    <row r="1049" spans="1:15" x14ac:dyDescent="0.2">
      <c r="A1049" s="1" t="str">
        <f>HYPERLINK("http://www.twitter.com/banuakdenizli/status/1583124434210025473", "1583124434210025473")</f>
        <v>1583124434210025473</v>
      </c>
      <c r="B1049" t="s">
        <v>15</v>
      </c>
      <c r="C1049" s="2">
        <v>44854.662638888891</v>
      </c>
      <c r="D1049">
        <v>0</v>
      </c>
      <c r="E1049">
        <v>14</v>
      </c>
      <c r="F1049" t="s">
        <v>16</v>
      </c>
      <c r="G1049" t="s">
        <v>1119</v>
      </c>
      <c r="H1049" t="str">
        <f>HYPERLINK("https://video.twimg.com/amplify_video/1583108047693443072/vid/1280x720/30En18H4tGcB3krn.mp4?tag=14", "https://video.twimg.com/amplify_video/1583108047693443072/vid/1280x720/30En18H4tGcB3krn.mp4?tag=14")</f>
        <v>https://video.twimg.com/amplify_video/1583108047693443072/vid/1280x720/30En18H4tGcB3krn.mp4?tag=14</v>
      </c>
      <c r="L1049">
        <v>0</v>
      </c>
      <c r="M1049">
        <v>0</v>
      </c>
      <c r="N1049">
        <v>1</v>
      </c>
      <c r="O1049">
        <v>0</v>
      </c>
    </row>
    <row r="1050" spans="1:15" x14ac:dyDescent="0.2">
      <c r="A1050" s="1" t="str">
        <f>HYPERLINK("http://www.twitter.com/banuakdenizli/status/1583124186863915009", "1583124186863915009")</f>
        <v>1583124186863915009</v>
      </c>
      <c r="B1050" t="s">
        <v>15</v>
      </c>
      <c r="C1050" s="2">
        <v>44854.661956018521</v>
      </c>
      <c r="D1050">
        <v>0</v>
      </c>
      <c r="E1050">
        <v>2</v>
      </c>
      <c r="F1050" t="s">
        <v>37</v>
      </c>
      <c r="G1050" t="s">
        <v>1120</v>
      </c>
      <c r="H1050" t="str">
        <f>HYPERLINK("http://pbs.twimg.com/media/Fffs_xkWQAAsy1_.jpg", "http://pbs.twimg.com/media/Fffs_xkWQAAsy1_.jpg")</f>
        <v>http://pbs.twimg.com/media/Fffs_xkWQAAsy1_.jpg</v>
      </c>
      <c r="I1050" t="str">
        <f>HYPERLINK("http://pbs.twimg.com/media/Fffs_z8XwAEC2c2.jpg", "http://pbs.twimg.com/media/Fffs_z8XwAEC2c2.jpg")</f>
        <v>http://pbs.twimg.com/media/Fffs_z8XwAEC2c2.jpg</v>
      </c>
      <c r="L1050">
        <v>0</v>
      </c>
      <c r="M1050">
        <v>0</v>
      </c>
      <c r="N1050">
        <v>1</v>
      </c>
      <c r="O1050">
        <v>0</v>
      </c>
    </row>
    <row r="1051" spans="1:15" x14ac:dyDescent="0.2">
      <c r="A1051" s="1" t="str">
        <f>HYPERLINK("http://www.twitter.com/banuakdenizli/status/1583123874429906944", "1583123874429906944")</f>
        <v>1583123874429906944</v>
      </c>
      <c r="B1051" t="s">
        <v>15</v>
      </c>
      <c r="C1051" s="2">
        <v>44854.661099537043</v>
      </c>
      <c r="D1051">
        <v>0</v>
      </c>
      <c r="E1051">
        <v>4</v>
      </c>
      <c r="F1051" t="s">
        <v>16</v>
      </c>
      <c r="G1051" t="s">
        <v>1121</v>
      </c>
      <c r="H1051" t="str">
        <f>HYPERLINK("http://pbs.twimg.com/media/FfgOhiuXgAQTPSL.jpg", "http://pbs.twimg.com/media/FfgOhiuXgAQTPSL.jpg")</f>
        <v>http://pbs.twimg.com/media/FfgOhiuXgAQTPSL.jpg</v>
      </c>
      <c r="L1051">
        <v>0</v>
      </c>
      <c r="M1051">
        <v>0</v>
      </c>
      <c r="N1051">
        <v>1</v>
      </c>
      <c r="O1051">
        <v>0</v>
      </c>
    </row>
    <row r="1052" spans="1:15" x14ac:dyDescent="0.2">
      <c r="A1052" s="1" t="str">
        <f>HYPERLINK("http://www.twitter.com/banuakdenizli/status/1583123822383075330", "1583123822383075330")</f>
        <v>1583123822383075330</v>
      </c>
      <c r="B1052" t="s">
        <v>15</v>
      </c>
      <c r="C1052" s="2">
        <v>44854.660949074067</v>
      </c>
      <c r="D1052">
        <v>0</v>
      </c>
      <c r="E1052">
        <v>8</v>
      </c>
      <c r="F1052" t="s">
        <v>16</v>
      </c>
      <c r="G1052" t="s">
        <v>1122</v>
      </c>
      <c r="H1052" t="str">
        <f>HYPERLINK("http://pbs.twimg.com/media/FfgTOc-XgAAtTqT.jpg", "http://pbs.twimg.com/media/FfgTOc-XgAAtTqT.jpg")</f>
        <v>http://pbs.twimg.com/media/FfgTOc-XgAAtTqT.jpg</v>
      </c>
      <c r="L1052">
        <v>0</v>
      </c>
      <c r="M1052">
        <v>0</v>
      </c>
      <c r="N1052">
        <v>1</v>
      </c>
      <c r="O1052">
        <v>0</v>
      </c>
    </row>
    <row r="1053" spans="1:15" x14ac:dyDescent="0.2">
      <c r="A1053" s="1" t="str">
        <f>HYPERLINK("http://www.twitter.com/banuakdenizli/status/1583123803420643328", "1583123803420643328")</f>
        <v>1583123803420643328</v>
      </c>
      <c r="B1053" t="s">
        <v>15</v>
      </c>
      <c r="C1053" s="2">
        <v>44854.660902777781</v>
      </c>
      <c r="D1053">
        <v>0</v>
      </c>
      <c r="E1053">
        <v>8</v>
      </c>
      <c r="F1053" t="s">
        <v>17</v>
      </c>
      <c r="G1053" t="s">
        <v>1123</v>
      </c>
      <c r="H1053" t="str">
        <f>HYPERLINK("http://pbs.twimg.com/media/FfgW7TxXkAAZvSa.jpg", "http://pbs.twimg.com/media/FfgW7TxXkAAZvSa.jpg")</f>
        <v>http://pbs.twimg.com/media/FfgW7TxXkAAZvSa.jpg</v>
      </c>
      <c r="L1053">
        <v>0.62490000000000001</v>
      </c>
      <c r="M1053">
        <v>0</v>
      </c>
      <c r="N1053">
        <v>0.77300000000000002</v>
      </c>
      <c r="O1053">
        <v>0.22700000000000001</v>
      </c>
    </row>
    <row r="1054" spans="1:15" x14ac:dyDescent="0.2">
      <c r="A1054" s="1" t="str">
        <f>HYPERLINK("http://www.twitter.com/banuakdenizli/status/1583123778389045248", "1583123778389045248")</f>
        <v>1583123778389045248</v>
      </c>
      <c r="B1054" t="s">
        <v>15</v>
      </c>
      <c r="C1054" s="2">
        <v>44854.660833333342</v>
      </c>
      <c r="D1054">
        <v>0</v>
      </c>
      <c r="E1054">
        <v>113</v>
      </c>
      <c r="F1054" t="s">
        <v>28</v>
      </c>
      <c r="G1054" t="s">
        <v>1124</v>
      </c>
      <c r="H1054" t="str">
        <f>HYPERLINK("http://pbs.twimg.com/media/Ffgpn5HWIAMWSRe.jpg", "http://pbs.twimg.com/media/Ffgpn5HWIAMWSRe.jpg")</f>
        <v>http://pbs.twimg.com/media/Ffgpn5HWIAMWSRe.jpg</v>
      </c>
      <c r="I1054" t="str">
        <f>HYPERLINK("http://pbs.twimg.com/media/Ffgpn5KX0AEHypu.jpg", "http://pbs.twimg.com/media/Ffgpn5KX0AEHypu.jpg")</f>
        <v>http://pbs.twimg.com/media/Ffgpn5KX0AEHypu.jpg</v>
      </c>
      <c r="J1054" t="str">
        <f>HYPERLINK("http://pbs.twimg.com/media/Ffgpn5MXoAEuBDN.jpg", "http://pbs.twimg.com/media/Ffgpn5MXoAEuBDN.jpg")</f>
        <v>http://pbs.twimg.com/media/Ffgpn5MXoAEuBDN.jpg</v>
      </c>
      <c r="K1054" t="str">
        <f>HYPERLINK("http://pbs.twimg.com/media/Ffgpn5KWYAExvBS.jpg", "http://pbs.twimg.com/media/Ffgpn5KWYAExvBS.jpg")</f>
        <v>http://pbs.twimg.com/media/Ffgpn5KWYAExvBS.jpg</v>
      </c>
      <c r="L1054">
        <v>0</v>
      </c>
      <c r="M1054">
        <v>0</v>
      </c>
      <c r="N1054">
        <v>1</v>
      </c>
      <c r="O1054">
        <v>0</v>
      </c>
    </row>
    <row r="1055" spans="1:15" x14ac:dyDescent="0.2">
      <c r="A1055" s="1" t="str">
        <f>HYPERLINK("http://www.twitter.com/banuakdenizli/status/1583107444569669637", "1583107444569669637")</f>
        <v>1583107444569669637</v>
      </c>
      <c r="B1055" t="s">
        <v>15</v>
      </c>
      <c r="C1055" s="2">
        <v>44854.615763888891</v>
      </c>
      <c r="D1055">
        <v>0</v>
      </c>
      <c r="E1055">
        <v>6</v>
      </c>
      <c r="F1055" t="s">
        <v>17</v>
      </c>
      <c r="G1055" t="s">
        <v>1125</v>
      </c>
      <c r="H1055" t="str">
        <f>HYPERLINK("http://pbs.twimg.com/media/FfgYXJxXoAAMV9M.jpg", "http://pbs.twimg.com/media/FfgYXJxXoAAMV9M.jpg")</f>
        <v>http://pbs.twimg.com/media/FfgYXJxXoAAMV9M.jpg</v>
      </c>
      <c r="L1055">
        <v>0</v>
      </c>
      <c r="M1055">
        <v>0</v>
      </c>
      <c r="N1055">
        <v>1</v>
      </c>
      <c r="O1055">
        <v>0</v>
      </c>
    </row>
    <row r="1056" spans="1:15" x14ac:dyDescent="0.2">
      <c r="A1056" s="1" t="str">
        <f>HYPERLINK("http://www.twitter.com/banuakdenizli/status/1583107428862029825", "1583107428862029825")</f>
        <v>1583107428862029825</v>
      </c>
      <c r="B1056" t="s">
        <v>15</v>
      </c>
      <c r="C1056" s="2">
        <v>44854.615717592591</v>
      </c>
      <c r="D1056">
        <v>0</v>
      </c>
      <c r="E1056">
        <v>14</v>
      </c>
      <c r="F1056" t="s">
        <v>19</v>
      </c>
      <c r="G1056" t="s">
        <v>1126</v>
      </c>
      <c r="H1056" t="str">
        <f>HYPERLINK("http://pbs.twimg.com/media/FfhCbIsX0AIGhru.jpg", "http://pbs.twimg.com/media/FfhCbIsX0AIGhru.jpg")</f>
        <v>http://pbs.twimg.com/media/FfhCbIsX0AIGhru.jpg</v>
      </c>
      <c r="L1056">
        <v>0.89790000000000003</v>
      </c>
      <c r="M1056">
        <v>0</v>
      </c>
      <c r="N1056">
        <v>0.78300000000000003</v>
      </c>
      <c r="O1056">
        <v>0.217</v>
      </c>
    </row>
    <row r="1057" spans="1:15" x14ac:dyDescent="0.2">
      <c r="A1057" s="1" t="str">
        <f>HYPERLINK("http://www.twitter.com/banuakdenizli/status/1583107416245563392", "1583107416245563392")</f>
        <v>1583107416245563392</v>
      </c>
      <c r="B1057" t="s">
        <v>15</v>
      </c>
      <c r="C1057" s="2">
        <v>44854.615682870368</v>
      </c>
      <c r="D1057">
        <v>0</v>
      </c>
      <c r="E1057">
        <v>36</v>
      </c>
      <c r="F1057" t="s">
        <v>18</v>
      </c>
      <c r="G1057" t="s">
        <v>1127</v>
      </c>
      <c r="H1057" t="str">
        <f>HYPERLINK("http://pbs.twimg.com/media/FfhH1RDXkAITRPm.jpg", "http://pbs.twimg.com/media/FfhH1RDXkAITRPm.jpg")</f>
        <v>http://pbs.twimg.com/media/FfhH1RDXkAITRPm.jpg</v>
      </c>
      <c r="L1057">
        <v>0.69079999999999997</v>
      </c>
      <c r="M1057">
        <v>0</v>
      </c>
      <c r="N1057">
        <v>0.878</v>
      </c>
      <c r="O1057">
        <v>0.122</v>
      </c>
    </row>
    <row r="1058" spans="1:15" x14ac:dyDescent="0.2">
      <c r="A1058" s="1" t="str">
        <f>HYPERLINK("http://www.twitter.com/banuakdenizli/status/1583107403901698048", "1583107403901698048")</f>
        <v>1583107403901698048</v>
      </c>
      <c r="B1058" t="s">
        <v>15</v>
      </c>
      <c r="C1058" s="2">
        <v>44854.615648148138</v>
      </c>
      <c r="D1058">
        <v>0</v>
      </c>
      <c r="E1058">
        <v>2</v>
      </c>
      <c r="F1058" t="s">
        <v>17</v>
      </c>
      <c r="G1058" t="s">
        <v>1128</v>
      </c>
      <c r="H1058" t="str">
        <f>HYPERLINK("http://pbs.twimg.com/media/Ffg34JxXoAAVMRy.jpg", "http://pbs.twimg.com/media/Ffg34JxXoAAVMRy.jpg")</f>
        <v>http://pbs.twimg.com/media/Ffg34JxXoAAVMRy.jpg</v>
      </c>
      <c r="L1058">
        <v>0</v>
      </c>
      <c r="M1058">
        <v>0</v>
      </c>
      <c r="N1058">
        <v>1</v>
      </c>
      <c r="O1058">
        <v>0</v>
      </c>
    </row>
    <row r="1059" spans="1:15" x14ac:dyDescent="0.2">
      <c r="A1059" s="1" t="str">
        <f>HYPERLINK("http://www.twitter.com/banuakdenizli/status/1583107375376269312", "1583107375376269312")</f>
        <v>1583107375376269312</v>
      </c>
      <c r="B1059" t="s">
        <v>15</v>
      </c>
      <c r="C1059" s="2">
        <v>44854.615567129629</v>
      </c>
      <c r="D1059">
        <v>0</v>
      </c>
      <c r="E1059">
        <v>3</v>
      </c>
      <c r="F1059" t="s">
        <v>20</v>
      </c>
      <c r="G1059" t="s">
        <v>1129</v>
      </c>
      <c r="H1059" t="str">
        <f>HYPERLINK("http://pbs.twimg.com/media/FffBDJuWAAEoUPF.jpg", "http://pbs.twimg.com/media/FffBDJuWAAEoUPF.jpg")</f>
        <v>http://pbs.twimg.com/media/FffBDJuWAAEoUPF.jpg</v>
      </c>
      <c r="L1059">
        <v>0</v>
      </c>
      <c r="M1059">
        <v>0</v>
      </c>
      <c r="N1059">
        <v>1</v>
      </c>
      <c r="O1059">
        <v>0</v>
      </c>
    </row>
    <row r="1060" spans="1:15" x14ac:dyDescent="0.2">
      <c r="A1060" s="1" t="str">
        <f>HYPERLINK("http://www.twitter.com/banuakdenizli/status/1583107341670846465", "1583107341670846465")</f>
        <v>1583107341670846465</v>
      </c>
      <c r="B1060" t="s">
        <v>15</v>
      </c>
      <c r="C1060" s="2">
        <v>44854.615474537037</v>
      </c>
      <c r="D1060">
        <v>0</v>
      </c>
      <c r="E1060">
        <v>9</v>
      </c>
      <c r="F1060" t="s">
        <v>16</v>
      </c>
      <c r="G1060" t="s">
        <v>1130</v>
      </c>
      <c r="H1060" t="str">
        <f>HYPERLINK("http://pbs.twimg.com/media/Ffg3UykXgAAq_qg.jpg", "http://pbs.twimg.com/media/Ffg3UykXgAAq_qg.jpg")</f>
        <v>http://pbs.twimg.com/media/Ffg3UykXgAAq_qg.jpg</v>
      </c>
      <c r="I1060" t="str">
        <f>HYPERLINK("http://pbs.twimg.com/media/Ffg3UylXoAEouMB.jpg", "http://pbs.twimg.com/media/Ffg3UylXoAEouMB.jpg")</f>
        <v>http://pbs.twimg.com/media/Ffg3UylXoAEouMB.jpg</v>
      </c>
      <c r="J1060" t="str">
        <f>HYPERLINK("http://pbs.twimg.com/media/Ffg2TcuWYAMgQAC.jpg", "http://pbs.twimg.com/media/Ffg2TcuWYAMgQAC.jpg")</f>
        <v>http://pbs.twimg.com/media/Ffg2TcuWYAMgQAC.jpg</v>
      </c>
      <c r="K1060" t="str">
        <f>HYPERLINK("http://pbs.twimg.com/media/Ffg3UyiWIAUYbZM.jpg", "http://pbs.twimg.com/media/Ffg3UyiWIAUYbZM.jpg")</f>
        <v>http://pbs.twimg.com/media/Ffg3UyiWIAUYbZM.jpg</v>
      </c>
      <c r="L1060">
        <v>0</v>
      </c>
      <c r="M1060">
        <v>0</v>
      </c>
      <c r="N1060">
        <v>1</v>
      </c>
      <c r="O1060">
        <v>0</v>
      </c>
    </row>
    <row r="1061" spans="1:15" x14ac:dyDescent="0.2">
      <c r="A1061" s="1" t="str">
        <f>HYPERLINK("http://www.twitter.com/banuakdenizli/status/1583107307814420480", "1583107307814420480")</f>
        <v>1583107307814420480</v>
      </c>
      <c r="B1061" t="s">
        <v>15</v>
      </c>
      <c r="C1061" s="2">
        <v>44854.615381944437</v>
      </c>
      <c r="D1061">
        <v>0</v>
      </c>
      <c r="E1061">
        <v>45</v>
      </c>
      <c r="F1061" t="s">
        <v>28</v>
      </c>
      <c r="G1061" t="s">
        <v>1131</v>
      </c>
      <c r="H1061" t="str">
        <f>HYPERLINK("http://pbs.twimg.com/media/FfgppKVWYAoaDjc.jpg", "http://pbs.twimg.com/media/FfgppKVWYAoaDjc.jpg")</f>
        <v>http://pbs.twimg.com/media/FfgppKVWYAoaDjc.jpg</v>
      </c>
      <c r="I1061" t="str">
        <f>HYPERLINK("http://pbs.twimg.com/media/FfgppH6XoAQtyfm.jpg", "http://pbs.twimg.com/media/FfgppH6XoAQtyfm.jpg")</f>
        <v>http://pbs.twimg.com/media/FfgppH6XoAQtyfm.jpg</v>
      </c>
      <c r="J1061" t="str">
        <f>HYPERLINK("http://pbs.twimg.com/media/FfgppKVWIAEKgoY.jpg", "http://pbs.twimg.com/media/FfgppKVWIAEKgoY.jpg")</f>
        <v>http://pbs.twimg.com/media/FfgppKVWIAEKgoY.jpg</v>
      </c>
      <c r="K1061" t="str">
        <f>HYPERLINK("http://pbs.twimg.com/media/FfgppKZXkAE3ITx.jpg", "http://pbs.twimg.com/media/FfgppKZXkAE3ITx.jpg")</f>
        <v>http://pbs.twimg.com/media/FfgppKZXkAE3ITx.jpg</v>
      </c>
      <c r="L1061">
        <v>0</v>
      </c>
      <c r="M1061">
        <v>0</v>
      </c>
      <c r="N1061">
        <v>1</v>
      </c>
      <c r="O1061">
        <v>0</v>
      </c>
    </row>
    <row r="1062" spans="1:15" x14ac:dyDescent="0.2">
      <c r="A1062" s="1" t="str">
        <f>HYPERLINK("http://www.twitter.com/banuakdenizli/status/1583107286188204032", "1583107286188204032")</f>
        <v>1583107286188204032</v>
      </c>
      <c r="B1062" t="s">
        <v>15</v>
      </c>
      <c r="C1062" s="2">
        <v>44854.615324074082</v>
      </c>
      <c r="D1062">
        <v>0</v>
      </c>
      <c r="E1062">
        <v>7</v>
      </c>
      <c r="F1062" t="s">
        <v>35</v>
      </c>
      <c r="G1062" t="s">
        <v>1132</v>
      </c>
      <c r="H1062" t="str">
        <f>HYPERLINK("http://pbs.twimg.com/media/FfhSt4VXEAYDcvo.jpg", "http://pbs.twimg.com/media/FfhSt4VXEAYDcvo.jpg")</f>
        <v>http://pbs.twimg.com/media/FfhSt4VXEAYDcvo.jpg</v>
      </c>
      <c r="L1062">
        <v>0.75739999999999996</v>
      </c>
      <c r="M1062">
        <v>0</v>
      </c>
      <c r="N1062">
        <v>0.83599999999999997</v>
      </c>
      <c r="O1062">
        <v>0.16400000000000001</v>
      </c>
    </row>
    <row r="1063" spans="1:15" x14ac:dyDescent="0.2">
      <c r="A1063" s="1" t="str">
        <f>HYPERLINK("http://www.twitter.com/banuakdenizli/status/1583107269373218822", "1583107269373218822")</f>
        <v>1583107269373218822</v>
      </c>
      <c r="B1063" t="s">
        <v>15</v>
      </c>
      <c r="C1063" s="2">
        <v>44854.615277777782</v>
      </c>
      <c r="D1063">
        <v>0</v>
      </c>
      <c r="E1063">
        <v>13</v>
      </c>
      <c r="F1063" t="s">
        <v>19</v>
      </c>
      <c r="G1063" t="s">
        <v>1133</v>
      </c>
      <c r="H1063" t="str">
        <f>HYPERLINK("http://pbs.twimg.com/media/FfhCn_LWQAEhPUJ.jpg", "http://pbs.twimg.com/media/FfhCn_LWQAEhPUJ.jpg")</f>
        <v>http://pbs.twimg.com/media/FfhCn_LWQAEhPUJ.jpg</v>
      </c>
      <c r="L1063">
        <v>0</v>
      </c>
      <c r="M1063">
        <v>0</v>
      </c>
      <c r="N1063">
        <v>1</v>
      </c>
      <c r="O1063">
        <v>0</v>
      </c>
    </row>
    <row r="1064" spans="1:15" x14ac:dyDescent="0.2">
      <c r="A1064" s="1" t="str">
        <f>HYPERLINK("http://www.twitter.com/banuakdenizli/status/1583107209294008323", "1583107209294008323")</f>
        <v>1583107209294008323</v>
      </c>
      <c r="B1064" t="s">
        <v>15</v>
      </c>
      <c r="C1064" s="2">
        <v>44854.615115740737</v>
      </c>
      <c r="D1064">
        <v>0</v>
      </c>
      <c r="E1064">
        <v>961</v>
      </c>
      <c r="F1064" t="s">
        <v>27</v>
      </c>
      <c r="G1064" t="s">
        <v>1134</v>
      </c>
      <c r="H1064" t="str">
        <f>HYPERLINK("http://pbs.twimg.com/media/FfgquWEXoAQ4qtC.jpg", "http://pbs.twimg.com/media/FfgquWEXoAQ4qtC.jpg")</f>
        <v>http://pbs.twimg.com/media/FfgquWEXoAQ4qtC.jpg</v>
      </c>
      <c r="I1064" t="str">
        <f>HYPERLINK("http://pbs.twimg.com/media/FfgquWOWQAEJlHT.jpg", "http://pbs.twimg.com/media/FfgquWOWQAEJlHT.jpg")</f>
        <v>http://pbs.twimg.com/media/FfgquWOWQAEJlHT.jpg</v>
      </c>
      <c r="J1064" t="str">
        <f>HYPERLINK("http://pbs.twimg.com/media/FfgquWIXkAAu4E1.jpg", "http://pbs.twimg.com/media/FfgquWIXkAAu4E1.jpg")</f>
        <v>http://pbs.twimg.com/media/FfgquWIXkAAu4E1.jpg</v>
      </c>
      <c r="L1064">
        <v>0</v>
      </c>
      <c r="M1064">
        <v>0</v>
      </c>
      <c r="N1064">
        <v>1</v>
      </c>
      <c r="O1064">
        <v>0</v>
      </c>
    </row>
    <row r="1065" spans="1:15" x14ac:dyDescent="0.2">
      <c r="A1065" s="1" t="str">
        <f>HYPERLINK("http://www.twitter.com/banuakdenizli/status/1583107170131812352", "1583107170131812352")</f>
        <v>1583107170131812352</v>
      </c>
      <c r="B1065" t="s">
        <v>15</v>
      </c>
      <c r="C1065" s="2">
        <v>44854.614999999998</v>
      </c>
      <c r="D1065">
        <v>0</v>
      </c>
      <c r="E1065">
        <v>8</v>
      </c>
      <c r="F1065" t="s">
        <v>17</v>
      </c>
      <c r="G1065" t="s">
        <v>1135</v>
      </c>
      <c r="H1065" t="str">
        <f>HYPERLINK("http://pbs.twimg.com/media/FfhDWP8WQAgNDbo.jpg", "http://pbs.twimg.com/media/FfhDWP8WQAgNDbo.jpg")</f>
        <v>http://pbs.twimg.com/media/FfhDWP8WQAgNDbo.jpg</v>
      </c>
      <c r="I1065" t="str">
        <f>HYPERLINK("http://pbs.twimg.com/media/FfhDWPIX0AApBC6.jpg", "http://pbs.twimg.com/media/FfhDWPIX0AApBC6.jpg")</f>
        <v>http://pbs.twimg.com/media/FfhDWPIX0AApBC6.jpg</v>
      </c>
      <c r="J1065" t="str">
        <f>HYPERLINK("http://pbs.twimg.com/media/FfhDyWoXEAAonJy.jpg", "http://pbs.twimg.com/media/FfhDyWoXEAAonJy.jpg")</f>
        <v>http://pbs.twimg.com/media/FfhDyWoXEAAonJy.jpg</v>
      </c>
      <c r="K1065" t="str">
        <f>HYPERLINK("http://pbs.twimg.com/media/FfhDWO8WIAA0I5N.jpg", "http://pbs.twimg.com/media/FfhDWO8WIAA0I5N.jpg")</f>
        <v>http://pbs.twimg.com/media/FfhDWO8WIAA0I5N.jpg</v>
      </c>
      <c r="L1065">
        <v>0</v>
      </c>
      <c r="M1065">
        <v>0</v>
      </c>
      <c r="N1065">
        <v>1</v>
      </c>
      <c r="O1065">
        <v>0</v>
      </c>
    </row>
    <row r="1066" spans="1:15" x14ac:dyDescent="0.2">
      <c r="A1066" s="1" t="str">
        <f>HYPERLINK("http://www.twitter.com/banuakdenizli/status/1583107140645814272", "1583107140645814272")</f>
        <v>1583107140645814272</v>
      </c>
      <c r="B1066" t="s">
        <v>15</v>
      </c>
      <c r="C1066" s="2">
        <v>44854.614918981482</v>
      </c>
      <c r="D1066">
        <v>0</v>
      </c>
      <c r="E1066">
        <v>38</v>
      </c>
      <c r="F1066" t="s">
        <v>18</v>
      </c>
      <c r="G1066" t="s">
        <v>1136</v>
      </c>
      <c r="H1066" t="str">
        <f>HYPERLINK("http://pbs.twimg.com/media/FfhEfGEXkAUPEPH.jpg", "http://pbs.twimg.com/media/FfhEfGEXkAUPEPH.jpg")</f>
        <v>http://pbs.twimg.com/media/FfhEfGEXkAUPEPH.jpg</v>
      </c>
      <c r="L1066">
        <v>0</v>
      </c>
      <c r="M1066">
        <v>0</v>
      </c>
      <c r="N1066">
        <v>1</v>
      </c>
      <c r="O1066">
        <v>0</v>
      </c>
    </row>
    <row r="1067" spans="1:15" x14ac:dyDescent="0.2">
      <c r="A1067" s="1" t="str">
        <f>HYPERLINK("http://www.twitter.com/banuakdenizli/status/1582880499671781376", "1582880499671781376")</f>
        <v>1582880499671781376</v>
      </c>
      <c r="B1067" t="s">
        <v>15</v>
      </c>
      <c r="C1067" s="2">
        <v>44853.98951388889</v>
      </c>
      <c r="D1067">
        <v>0</v>
      </c>
      <c r="E1067">
        <v>1</v>
      </c>
      <c r="F1067" t="s">
        <v>29</v>
      </c>
      <c r="G1067" t="s">
        <v>1137</v>
      </c>
      <c r="H1067" t="str">
        <f>HYPERLINK("http://pbs.twimg.com/media/FfdYstqXEAIw4Uh.jpg", "http://pbs.twimg.com/media/FfdYstqXEAIw4Uh.jpg")</f>
        <v>http://pbs.twimg.com/media/FfdYstqXEAIw4Uh.jpg</v>
      </c>
      <c r="I1067" t="str">
        <f>HYPERLINK("http://pbs.twimg.com/media/FfdYsuYXEAM-W6a.jpg", "http://pbs.twimg.com/media/FfdYsuYXEAM-W6a.jpg")</f>
        <v>http://pbs.twimg.com/media/FfdYsuYXEAM-W6a.jpg</v>
      </c>
      <c r="L1067">
        <v>0</v>
      </c>
      <c r="M1067">
        <v>0</v>
      </c>
      <c r="N1067">
        <v>1</v>
      </c>
      <c r="O1067">
        <v>0</v>
      </c>
    </row>
    <row r="1068" spans="1:15" x14ac:dyDescent="0.2">
      <c r="A1068" s="1" t="str">
        <f>HYPERLINK("http://www.twitter.com/banuakdenizli/status/1582880432877862913", "1582880432877862913")</f>
        <v>1582880432877862913</v>
      </c>
      <c r="B1068" t="s">
        <v>15</v>
      </c>
      <c r="C1068" s="2">
        <v>44853.989328703698</v>
      </c>
      <c r="D1068">
        <v>0</v>
      </c>
      <c r="E1068">
        <v>11</v>
      </c>
      <c r="F1068" t="s">
        <v>26</v>
      </c>
      <c r="G1068" t="s">
        <v>1138</v>
      </c>
      <c r="H1068" t="str">
        <f>HYPERLINK("http://pbs.twimg.com/media/FfdOajXWYAAdQEU.jpg", "http://pbs.twimg.com/media/FfdOajXWYAAdQEU.jpg")</f>
        <v>http://pbs.twimg.com/media/FfdOajXWYAAdQEU.jpg</v>
      </c>
      <c r="L1068">
        <v>0</v>
      </c>
      <c r="M1068">
        <v>0</v>
      </c>
      <c r="N1068">
        <v>1</v>
      </c>
      <c r="O1068">
        <v>0</v>
      </c>
    </row>
    <row r="1069" spans="1:15" x14ac:dyDescent="0.2">
      <c r="A1069" s="1" t="str">
        <f>HYPERLINK("http://www.twitter.com/banuakdenizli/status/1582880406746955781", "1582880406746955781")</f>
        <v>1582880406746955781</v>
      </c>
      <c r="B1069" t="s">
        <v>15</v>
      </c>
      <c r="C1069" s="2">
        <v>44853.989259259259</v>
      </c>
      <c r="D1069">
        <v>0</v>
      </c>
      <c r="E1069">
        <v>20</v>
      </c>
      <c r="F1069" t="s">
        <v>26</v>
      </c>
      <c r="G1069" t="s">
        <v>1139</v>
      </c>
      <c r="H1069" t="str">
        <f>HYPERLINK("http://pbs.twimg.com/media/FfdOrN8XEB4MNc7.jpg", "http://pbs.twimg.com/media/FfdOrN8XEB4MNc7.jpg")</f>
        <v>http://pbs.twimg.com/media/FfdOrN8XEB4MNc7.jpg</v>
      </c>
      <c r="L1069">
        <v>0.76500000000000001</v>
      </c>
      <c r="M1069">
        <v>0</v>
      </c>
      <c r="N1069">
        <v>0.84099999999999997</v>
      </c>
      <c r="O1069">
        <v>0.159</v>
      </c>
    </row>
    <row r="1070" spans="1:15" x14ac:dyDescent="0.2">
      <c r="A1070" s="1" t="str">
        <f>HYPERLINK("http://www.twitter.com/banuakdenizli/status/1582871663254786048", "1582871663254786048")</f>
        <v>1582871663254786048</v>
      </c>
      <c r="B1070" t="s">
        <v>15</v>
      </c>
      <c r="C1070" s="2">
        <v>44853.965127314812</v>
      </c>
      <c r="D1070">
        <v>0</v>
      </c>
      <c r="E1070">
        <v>7</v>
      </c>
      <c r="F1070" t="s">
        <v>16</v>
      </c>
      <c r="G1070" t="s">
        <v>1140</v>
      </c>
      <c r="H1070" t="str">
        <f>HYPERLINK("http://pbs.twimg.com/media/FfdIGHTXEAsgtE4.jpg", "http://pbs.twimg.com/media/FfdIGHTXEAsgtE4.jpg")</f>
        <v>http://pbs.twimg.com/media/FfdIGHTXEAsgtE4.jpg</v>
      </c>
      <c r="L1070">
        <v>0</v>
      </c>
      <c r="M1070">
        <v>0</v>
      </c>
      <c r="N1070">
        <v>1</v>
      </c>
      <c r="O1070">
        <v>0</v>
      </c>
    </row>
    <row r="1071" spans="1:15" x14ac:dyDescent="0.2">
      <c r="A1071" s="1" t="str">
        <f>HYPERLINK("http://www.twitter.com/banuakdenizli/status/1582871621307551744", "1582871621307551744")</f>
        <v>1582871621307551744</v>
      </c>
      <c r="B1071" t="s">
        <v>15</v>
      </c>
      <c r="C1071" s="2">
        <v>44853.965011574073</v>
      </c>
      <c r="D1071">
        <v>0</v>
      </c>
      <c r="E1071">
        <v>4</v>
      </c>
      <c r="F1071" t="s">
        <v>16</v>
      </c>
      <c r="G1071" t="s">
        <v>1141</v>
      </c>
      <c r="H1071" t="str">
        <f>HYPERLINK("http://pbs.twimg.com/media/FfdS0FIXEB05Dm1.jpg", "http://pbs.twimg.com/media/FfdS0FIXEB05Dm1.jpg")</f>
        <v>http://pbs.twimg.com/media/FfdS0FIXEB05Dm1.jpg</v>
      </c>
      <c r="I1071" t="str">
        <f>HYPERLINK("http://pbs.twimg.com/media/FfdS0FHXECMNrbp.jpg", "http://pbs.twimg.com/media/FfdS0FHXECMNrbp.jpg")</f>
        <v>http://pbs.twimg.com/media/FfdS0FHXECMNrbp.jpg</v>
      </c>
      <c r="L1071">
        <v>0</v>
      </c>
      <c r="M1071">
        <v>0</v>
      </c>
      <c r="N1071">
        <v>1</v>
      </c>
      <c r="O1071">
        <v>0</v>
      </c>
    </row>
    <row r="1072" spans="1:15" x14ac:dyDescent="0.2">
      <c r="A1072" s="1" t="str">
        <f>HYPERLINK("http://www.twitter.com/banuakdenizli/status/1582871532199890944", "1582871532199890944")</f>
        <v>1582871532199890944</v>
      </c>
      <c r="B1072" t="s">
        <v>15</v>
      </c>
      <c r="C1072" s="2">
        <v>44853.964768518519</v>
      </c>
      <c r="D1072">
        <v>0</v>
      </c>
      <c r="E1072">
        <v>6</v>
      </c>
      <c r="F1072" t="s">
        <v>17</v>
      </c>
      <c r="G1072" t="s">
        <v>1142</v>
      </c>
      <c r="H1072" t="str">
        <f>HYPERLINK("http://pbs.twimg.com/media/FfdfKV2WYBszr4L.jpg", "http://pbs.twimg.com/media/FfdfKV2WYBszr4L.jpg")</f>
        <v>http://pbs.twimg.com/media/FfdfKV2WYBszr4L.jpg</v>
      </c>
      <c r="L1072">
        <v>0</v>
      </c>
      <c r="M1072">
        <v>0</v>
      </c>
      <c r="N1072">
        <v>1</v>
      </c>
      <c r="O1072">
        <v>0</v>
      </c>
    </row>
    <row r="1073" spans="1:15" x14ac:dyDescent="0.2">
      <c r="A1073" s="1" t="str">
        <f>HYPERLINK("http://www.twitter.com/banuakdenizli/status/1582871491447619584", "1582871491447619584")</f>
        <v>1582871491447619584</v>
      </c>
      <c r="B1073" t="s">
        <v>15</v>
      </c>
      <c r="C1073" s="2">
        <v>44853.96465277778</v>
      </c>
      <c r="D1073">
        <v>0</v>
      </c>
      <c r="E1073">
        <v>5</v>
      </c>
      <c r="F1073" t="s">
        <v>17</v>
      </c>
      <c r="G1073" t="s">
        <v>1143</v>
      </c>
      <c r="H1073" t="str">
        <f>HYPERLINK("http://pbs.twimg.com/media/FfdTEhhXEAIng1B.jpg", "http://pbs.twimg.com/media/FfdTEhhXEAIng1B.jpg")</f>
        <v>http://pbs.twimg.com/media/FfdTEhhXEAIng1B.jpg</v>
      </c>
      <c r="I1073" t="str">
        <f>HYPERLINK("http://pbs.twimg.com/media/FfdTEhfXEAEidKB.jpg", "http://pbs.twimg.com/media/FfdTEhfXEAEidKB.jpg")</f>
        <v>http://pbs.twimg.com/media/FfdTEhfXEAEidKB.jpg</v>
      </c>
      <c r="L1073">
        <v>0</v>
      </c>
      <c r="M1073">
        <v>0</v>
      </c>
      <c r="N1073">
        <v>1</v>
      </c>
      <c r="O1073">
        <v>0</v>
      </c>
    </row>
    <row r="1074" spans="1:15" x14ac:dyDescent="0.2">
      <c r="A1074" s="1" t="str">
        <f>HYPERLINK("http://www.twitter.com/banuakdenizli/status/1582801095889330178", "1582801095889330178")</f>
        <v>1582801095889330178</v>
      </c>
      <c r="B1074" t="s">
        <v>15</v>
      </c>
      <c r="C1074" s="2">
        <v>44853.77039351852</v>
      </c>
      <c r="D1074">
        <v>0</v>
      </c>
      <c r="E1074">
        <v>5</v>
      </c>
      <c r="F1074" t="s">
        <v>20</v>
      </c>
      <c r="G1074" t="s">
        <v>1144</v>
      </c>
      <c r="H1074" t="str">
        <f>HYPERLINK("http://pbs.twimg.com/media/Ffc4T1oXwBQ5MT-.jpg", "http://pbs.twimg.com/media/Ffc4T1oXwBQ5MT-.jpg")</f>
        <v>http://pbs.twimg.com/media/Ffc4T1oXwBQ5MT-.jpg</v>
      </c>
      <c r="L1074">
        <v>0</v>
      </c>
      <c r="M1074">
        <v>0</v>
      </c>
      <c r="N1074">
        <v>1</v>
      </c>
      <c r="O1074">
        <v>0</v>
      </c>
    </row>
    <row r="1075" spans="1:15" x14ac:dyDescent="0.2">
      <c r="A1075" s="1" t="str">
        <f>HYPERLINK("http://www.twitter.com/banuakdenizli/status/1582801043015901184", "1582801043015901184")</f>
        <v>1582801043015901184</v>
      </c>
      <c r="B1075" t="s">
        <v>15</v>
      </c>
      <c r="C1075" s="2">
        <v>44853.770254629628</v>
      </c>
      <c r="D1075">
        <v>0</v>
      </c>
      <c r="E1075">
        <v>8</v>
      </c>
      <c r="F1075" t="s">
        <v>35</v>
      </c>
      <c r="G1075" t="s">
        <v>1145</v>
      </c>
      <c r="H1075" t="str">
        <f>HYPERLINK("http://pbs.twimg.com/media/Ffcx3PZWYAEJTix.jpg", "http://pbs.twimg.com/media/Ffcx3PZWYAEJTix.jpg")</f>
        <v>http://pbs.twimg.com/media/Ffcx3PZWYAEJTix.jpg</v>
      </c>
      <c r="I1075" t="str">
        <f>HYPERLINK("http://pbs.twimg.com/media/Ffcx3PVXwAYTiGP.jpg", "http://pbs.twimg.com/media/Ffcx3PVXwAYTiGP.jpg")</f>
        <v>http://pbs.twimg.com/media/Ffcx3PVXwAYTiGP.jpg</v>
      </c>
      <c r="J1075" t="str">
        <f>HYPERLINK("http://pbs.twimg.com/media/Ffcx3PQWQAAa25P.jpg", "http://pbs.twimg.com/media/Ffcx3PQWQAAa25P.jpg")</f>
        <v>http://pbs.twimg.com/media/Ffcx3PQWQAAa25P.jpg</v>
      </c>
      <c r="L1075">
        <v>0</v>
      </c>
      <c r="M1075">
        <v>0</v>
      </c>
      <c r="N1075">
        <v>1</v>
      </c>
      <c r="O1075">
        <v>0</v>
      </c>
    </row>
    <row r="1076" spans="1:15" x14ac:dyDescent="0.2">
      <c r="A1076" s="1" t="str">
        <f>HYPERLINK("http://www.twitter.com/banuakdenizli/status/1582801032832118786", "1582801032832118786")</f>
        <v>1582801032832118786</v>
      </c>
      <c r="B1076" t="s">
        <v>15</v>
      </c>
      <c r="C1076" s="2">
        <v>44853.770219907397</v>
      </c>
      <c r="D1076">
        <v>0</v>
      </c>
      <c r="E1076">
        <v>15</v>
      </c>
      <c r="F1076" t="s">
        <v>35</v>
      </c>
      <c r="G1076" t="s">
        <v>1146</v>
      </c>
      <c r="H1076" t="str">
        <f>HYPERLINK("http://pbs.twimg.com/media/Ffcx2z1WAAA0n9H.jpg", "http://pbs.twimg.com/media/Ffcx2z1WAAA0n9H.jpg")</f>
        <v>http://pbs.twimg.com/media/Ffcx2z1WAAA0n9H.jpg</v>
      </c>
      <c r="I1076" t="str">
        <f>HYPERLINK("http://pbs.twimg.com/media/Ffcx2z2XwAArJ7G.jpg", "http://pbs.twimg.com/media/Ffcx2z2XwAArJ7G.jpg")</f>
        <v>http://pbs.twimg.com/media/Ffcx2z2XwAArJ7G.jpg</v>
      </c>
      <c r="J1076" t="str">
        <f>HYPERLINK("http://pbs.twimg.com/media/Ffcx2z7WYAAyQH0.jpg", "http://pbs.twimg.com/media/Ffcx2z7WYAAyQH0.jpg")</f>
        <v>http://pbs.twimg.com/media/Ffcx2z7WYAAyQH0.jpg</v>
      </c>
      <c r="L1076">
        <v>0.78400000000000003</v>
      </c>
      <c r="M1076">
        <v>0</v>
      </c>
      <c r="N1076">
        <v>0.76100000000000001</v>
      </c>
      <c r="O1076">
        <v>0.23899999999999999</v>
      </c>
    </row>
    <row r="1077" spans="1:15" x14ac:dyDescent="0.2">
      <c r="A1077" s="1" t="str">
        <f>HYPERLINK("http://www.twitter.com/banuakdenizli/status/1582798901286871042", "1582798901286871042")</f>
        <v>1582798901286871042</v>
      </c>
      <c r="B1077" t="s">
        <v>15</v>
      </c>
      <c r="C1077" s="2">
        <v>44853.764340277783</v>
      </c>
      <c r="D1077">
        <v>0</v>
      </c>
      <c r="E1077">
        <v>4</v>
      </c>
      <c r="F1077" t="s">
        <v>16</v>
      </c>
      <c r="G1077" t="s">
        <v>1147</v>
      </c>
      <c r="H1077" t="str">
        <f>HYPERLINK("http://pbs.twimg.com/media/Ffc1IAcXwAUcx6Z.jpg", "http://pbs.twimg.com/media/Ffc1IAcXwAUcx6Z.jpg")</f>
        <v>http://pbs.twimg.com/media/Ffc1IAcXwAUcx6Z.jpg</v>
      </c>
      <c r="L1077">
        <v>0</v>
      </c>
      <c r="M1077">
        <v>0</v>
      </c>
      <c r="N1077">
        <v>1</v>
      </c>
      <c r="O1077">
        <v>0</v>
      </c>
    </row>
    <row r="1078" spans="1:15" x14ac:dyDescent="0.2">
      <c r="A1078" s="1" t="str">
        <f>HYPERLINK("http://www.twitter.com/banuakdenizli/status/1582782303918764033", "1582782303918764033")</f>
        <v>1582782303918764033</v>
      </c>
      <c r="B1078" t="s">
        <v>15</v>
      </c>
      <c r="C1078" s="2">
        <v>44853.718541666669</v>
      </c>
      <c r="D1078">
        <v>0</v>
      </c>
      <c r="E1078">
        <v>2</v>
      </c>
      <c r="F1078" t="s">
        <v>29</v>
      </c>
      <c r="G1078" t="s">
        <v>1148</v>
      </c>
      <c r="H1078" t="str">
        <f>HYPERLINK("http://pbs.twimg.com/media/FfcpA_TWAAYwlr1.jpg", "http://pbs.twimg.com/media/FfcpA_TWAAYwlr1.jpg")</f>
        <v>http://pbs.twimg.com/media/FfcpA_TWAAYwlr1.jpg</v>
      </c>
      <c r="L1078">
        <v>0.68079999999999996</v>
      </c>
      <c r="M1078">
        <v>0</v>
      </c>
      <c r="N1078">
        <v>0.872</v>
      </c>
      <c r="O1078">
        <v>0.128</v>
      </c>
    </row>
    <row r="1079" spans="1:15" x14ac:dyDescent="0.2">
      <c r="A1079" s="1" t="str">
        <f>HYPERLINK("http://www.twitter.com/banuakdenizli/status/1582771930955776016", "1582771930955776016")</f>
        <v>1582771930955776016</v>
      </c>
      <c r="B1079" t="s">
        <v>15</v>
      </c>
      <c r="C1079" s="2">
        <v>44853.689918981479</v>
      </c>
      <c r="D1079">
        <v>0</v>
      </c>
      <c r="E1079">
        <v>31</v>
      </c>
      <c r="F1079" t="s">
        <v>28</v>
      </c>
      <c r="G1079" t="s">
        <v>1149</v>
      </c>
      <c r="L1079">
        <v>0</v>
      </c>
      <c r="M1079">
        <v>0</v>
      </c>
      <c r="N1079">
        <v>1</v>
      </c>
      <c r="O1079">
        <v>0</v>
      </c>
    </row>
    <row r="1080" spans="1:15" x14ac:dyDescent="0.2">
      <c r="A1080" s="1" t="str">
        <f>HYPERLINK("http://www.twitter.com/banuakdenizli/status/1582763877263376384", "1582763877263376384")</f>
        <v>1582763877263376384</v>
      </c>
      <c r="B1080" t="s">
        <v>15</v>
      </c>
      <c r="C1080" s="2">
        <v>44853.667696759258</v>
      </c>
      <c r="D1080">
        <v>0</v>
      </c>
      <c r="E1080">
        <v>6</v>
      </c>
      <c r="F1080" t="s">
        <v>40</v>
      </c>
      <c r="G1080" t="s">
        <v>1150</v>
      </c>
      <c r="H1080" t="str">
        <f>HYPERLINK("http://pbs.twimg.com/media/FfV7AlbXwAAjRo3.jpg", "http://pbs.twimg.com/media/FfV7AlbXwAAjRo3.jpg")</f>
        <v>http://pbs.twimg.com/media/FfV7AlbXwAAjRo3.jpg</v>
      </c>
      <c r="L1080">
        <v>0</v>
      </c>
      <c r="M1080">
        <v>0</v>
      </c>
      <c r="N1080">
        <v>1</v>
      </c>
      <c r="O1080">
        <v>0</v>
      </c>
    </row>
    <row r="1081" spans="1:15" x14ac:dyDescent="0.2">
      <c r="A1081" s="1" t="str">
        <f>HYPERLINK("http://www.twitter.com/banuakdenizli/status/1582763813501227010", "1582763813501227010")</f>
        <v>1582763813501227010</v>
      </c>
      <c r="B1081" t="s">
        <v>15</v>
      </c>
      <c r="C1081" s="2">
        <v>44853.667523148149</v>
      </c>
      <c r="D1081">
        <v>0</v>
      </c>
      <c r="E1081">
        <v>3</v>
      </c>
      <c r="F1081" t="s">
        <v>17</v>
      </c>
      <c r="G1081" t="s">
        <v>1151</v>
      </c>
      <c r="H1081" t="str">
        <f>HYPERLINK("http://pbs.twimg.com/media/FfcMHHeXoAUwOiG.jpg", "http://pbs.twimg.com/media/FfcMHHeXoAUwOiG.jpg")</f>
        <v>http://pbs.twimg.com/media/FfcMHHeXoAUwOiG.jpg</v>
      </c>
      <c r="L1081">
        <v>0</v>
      </c>
      <c r="M1081">
        <v>0</v>
      </c>
      <c r="N1081">
        <v>1</v>
      </c>
      <c r="O1081">
        <v>0</v>
      </c>
    </row>
    <row r="1082" spans="1:15" x14ac:dyDescent="0.2">
      <c r="A1082" s="1" t="str">
        <f>HYPERLINK("http://www.twitter.com/banuakdenizli/status/1582763766621491205", "1582763766621491205")</f>
        <v>1582763766621491205</v>
      </c>
      <c r="B1082" t="s">
        <v>15</v>
      </c>
      <c r="C1082" s="2">
        <v>44853.667384259257</v>
      </c>
      <c r="D1082">
        <v>0</v>
      </c>
      <c r="E1082">
        <v>4</v>
      </c>
      <c r="F1082" t="s">
        <v>17</v>
      </c>
      <c r="G1082" t="s">
        <v>1152</v>
      </c>
      <c r="H1082" t="str">
        <f>HYPERLINK("http://pbs.twimg.com/media/FfcNJLFXkAARMVa.jpg", "http://pbs.twimg.com/media/FfcNJLFXkAARMVa.jpg")</f>
        <v>http://pbs.twimg.com/media/FfcNJLFXkAARMVa.jpg</v>
      </c>
      <c r="L1082">
        <v>0</v>
      </c>
      <c r="M1082">
        <v>0</v>
      </c>
      <c r="N1082">
        <v>1</v>
      </c>
      <c r="O1082">
        <v>0</v>
      </c>
    </row>
    <row r="1083" spans="1:15" x14ac:dyDescent="0.2">
      <c r="A1083" s="1" t="str">
        <f>HYPERLINK("http://www.twitter.com/banuakdenizli/status/1582743829631078402", "1582743829631078402")</f>
        <v>1582743829631078402</v>
      </c>
      <c r="B1083" t="s">
        <v>15</v>
      </c>
      <c r="C1083" s="2">
        <v>44853.612372685187</v>
      </c>
      <c r="D1083">
        <v>0</v>
      </c>
      <c r="E1083">
        <v>2</v>
      </c>
      <c r="F1083" t="s">
        <v>1153</v>
      </c>
      <c r="G1083" t="s">
        <v>1154</v>
      </c>
      <c r="L1083">
        <v>0.80200000000000005</v>
      </c>
      <c r="M1083">
        <v>0</v>
      </c>
      <c r="N1083">
        <v>0.63100000000000001</v>
      </c>
      <c r="O1083">
        <v>0.36899999999999999</v>
      </c>
    </row>
    <row r="1084" spans="1:15" x14ac:dyDescent="0.2">
      <c r="A1084" s="1" t="str">
        <f>HYPERLINK("http://www.twitter.com/banuakdenizli/status/1582738276070625282", "1582738276070625282")</f>
        <v>1582738276070625282</v>
      </c>
      <c r="B1084" t="s">
        <v>15</v>
      </c>
      <c r="C1084" s="2">
        <v>44853.597048611111</v>
      </c>
      <c r="D1084">
        <v>0</v>
      </c>
      <c r="E1084">
        <v>17</v>
      </c>
      <c r="F1084" t="s">
        <v>38</v>
      </c>
      <c r="G1084" t="s">
        <v>1155</v>
      </c>
      <c r="H1084" t="str">
        <f>HYPERLINK("http://pbs.twimg.com/media/FfcD7k5XEAAdLf-.jpg", "http://pbs.twimg.com/media/FfcD7k5XEAAdLf-.jpg")</f>
        <v>http://pbs.twimg.com/media/FfcD7k5XEAAdLf-.jpg</v>
      </c>
      <c r="I1084" t="str">
        <f>HYPERLINK("http://pbs.twimg.com/media/FfcD7krXEAAJZE2.jpg", "http://pbs.twimg.com/media/FfcD7krXEAAJZE2.jpg")</f>
        <v>http://pbs.twimg.com/media/FfcD7krXEAAJZE2.jpg</v>
      </c>
      <c r="J1084" t="str">
        <f>HYPERLINK("http://pbs.twimg.com/media/FfcD7kyXkAImdAi.jpg", "http://pbs.twimg.com/media/FfcD7kyXkAImdAi.jpg")</f>
        <v>http://pbs.twimg.com/media/FfcD7kyXkAImdAi.jpg</v>
      </c>
      <c r="K1084" t="str">
        <f>HYPERLINK("http://pbs.twimg.com/media/FfcD7k_WIAAx5H1.jpg", "http://pbs.twimg.com/media/FfcD7k_WIAAx5H1.jpg")</f>
        <v>http://pbs.twimg.com/media/FfcD7k_WIAAx5H1.jpg</v>
      </c>
      <c r="L1084">
        <v>0</v>
      </c>
      <c r="M1084">
        <v>0</v>
      </c>
      <c r="N1084">
        <v>1</v>
      </c>
      <c r="O1084">
        <v>0</v>
      </c>
    </row>
    <row r="1085" spans="1:15" x14ac:dyDescent="0.2">
      <c r="A1085" s="1" t="str">
        <f>HYPERLINK("http://www.twitter.com/banuakdenizli/status/1582737909840457729", "1582737909840457729")</f>
        <v>1582737909840457729</v>
      </c>
      <c r="B1085" t="s">
        <v>15</v>
      </c>
      <c r="C1085" s="2">
        <v>44853.596041666657</v>
      </c>
      <c r="D1085">
        <v>0</v>
      </c>
      <c r="E1085">
        <v>2</v>
      </c>
      <c r="F1085" t="s">
        <v>21</v>
      </c>
      <c r="G1085" t="s">
        <v>1156</v>
      </c>
      <c r="L1085">
        <v>0.62490000000000001</v>
      </c>
      <c r="M1085">
        <v>0</v>
      </c>
      <c r="N1085">
        <v>0.876</v>
      </c>
      <c r="O1085">
        <v>0.124</v>
      </c>
    </row>
    <row r="1086" spans="1:15" x14ac:dyDescent="0.2">
      <c r="A1086" s="1" t="str">
        <f>HYPERLINK("http://www.twitter.com/banuakdenizli/status/1582737882019528709", "1582737882019528709")</f>
        <v>1582737882019528709</v>
      </c>
      <c r="B1086" t="s">
        <v>15</v>
      </c>
      <c r="C1086" s="2">
        <v>44853.595960648148</v>
      </c>
      <c r="D1086">
        <v>0</v>
      </c>
      <c r="E1086">
        <v>3</v>
      </c>
      <c r="F1086" t="s">
        <v>1157</v>
      </c>
      <c r="G1086" t="s">
        <v>1158</v>
      </c>
      <c r="L1086">
        <v>0</v>
      </c>
      <c r="M1086">
        <v>0</v>
      </c>
      <c r="N1086">
        <v>1</v>
      </c>
      <c r="O1086">
        <v>0</v>
      </c>
    </row>
    <row r="1087" spans="1:15" x14ac:dyDescent="0.2">
      <c r="A1087" s="1" t="str">
        <f>HYPERLINK("http://www.twitter.com/banuakdenizli/status/1582737860356022272", "1582737860356022272")</f>
        <v>1582737860356022272</v>
      </c>
      <c r="B1087" t="s">
        <v>15</v>
      </c>
      <c r="C1087" s="2">
        <v>44853.595902777779</v>
      </c>
      <c r="D1087">
        <v>0</v>
      </c>
      <c r="E1087">
        <v>36</v>
      </c>
      <c r="F1087" t="s">
        <v>28</v>
      </c>
      <c r="G1087" t="s">
        <v>1159</v>
      </c>
      <c r="L1087">
        <v>0</v>
      </c>
      <c r="M1087">
        <v>0</v>
      </c>
      <c r="N1087">
        <v>1</v>
      </c>
      <c r="O1087">
        <v>0</v>
      </c>
    </row>
    <row r="1088" spans="1:15" x14ac:dyDescent="0.2">
      <c r="A1088" s="1" t="str">
        <f>HYPERLINK("http://www.twitter.com/banuakdenizli/status/1582737746241937408", "1582737746241937408")</f>
        <v>1582737746241937408</v>
      </c>
      <c r="B1088" t="s">
        <v>15</v>
      </c>
      <c r="C1088" s="2">
        <v>44853.595590277779</v>
      </c>
      <c r="D1088">
        <v>0</v>
      </c>
      <c r="E1088">
        <v>1</v>
      </c>
      <c r="F1088" t="s">
        <v>29</v>
      </c>
      <c r="G1088" t="s">
        <v>1160</v>
      </c>
      <c r="H1088" t="str">
        <f>HYPERLINK("http://pbs.twimg.com/media/Ffbg9QOWQAA-Jgg.jpg", "http://pbs.twimg.com/media/Ffbg9QOWQAA-Jgg.jpg")</f>
        <v>http://pbs.twimg.com/media/Ffbg9QOWQAA-Jgg.jpg</v>
      </c>
      <c r="L1088">
        <v>0</v>
      </c>
      <c r="M1088">
        <v>0</v>
      </c>
      <c r="N1088">
        <v>1</v>
      </c>
      <c r="O1088">
        <v>0</v>
      </c>
    </row>
    <row r="1089" spans="1:15" x14ac:dyDescent="0.2">
      <c r="A1089" s="1" t="str">
        <f>HYPERLINK("http://www.twitter.com/banuakdenizli/status/1582737643694981120", "1582737643694981120")</f>
        <v>1582737643694981120</v>
      </c>
      <c r="B1089" t="s">
        <v>15</v>
      </c>
      <c r="C1089" s="2">
        <v>44853.595300925917</v>
      </c>
      <c r="D1089">
        <v>0</v>
      </c>
      <c r="E1089">
        <v>1</v>
      </c>
      <c r="F1089" t="s">
        <v>29</v>
      </c>
      <c r="G1089" t="s">
        <v>1161</v>
      </c>
      <c r="H1089" t="str">
        <f>HYPERLINK("http://pbs.twimg.com/media/FfbjOW7WIAESa7w.jpg", "http://pbs.twimg.com/media/FfbjOW7WIAESa7w.jpg")</f>
        <v>http://pbs.twimg.com/media/FfbjOW7WIAESa7w.jpg</v>
      </c>
      <c r="L1089">
        <v>-0.29599999999999999</v>
      </c>
      <c r="M1089">
        <v>6.4000000000000001E-2</v>
      </c>
      <c r="N1089">
        <v>0.93600000000000005</v>
      </c>
      <c r="O1089">
        <v>0</v>
      </c>
    </row>
    <row r="1090" spans="1:15" x14ac:dyDescent="0.2">
      <c r="A1090" s="1" t="str">
        <f>HYPERLINK("http://www.twitter.com/banuakdenizli/status/1582737338563641346", "1582737338563641346")</f>
        <v>1582737338563641346</v>
      </c>
      <c r="B1090" t="s">
        <v>15</v>
      </c>
      <c r="C1090" s="2">
        <v>44853.594467592593</v>
      </c>
      <c r="D1090">
        <v>0</v>
      </c>
      <c r="E1090">
        <v>2</v>
      </c>
      <c r="F1090" t="s">
        <v>29</v>
      </c>
      <c r="G1090" t="s">
        <v>1162</v>
      </c>
      <c r="H1090" t="str">
        <f>HYPERLINK("http://pbs.twimg.com/media/FfbSH2IWAAEPWRG.jpg", "http://pbs.twimg.com/media/FfbSH2IWAAEPWRG.jpg")</f>
        <v>http://pbs.twimg.com/media/FfbSH2IWAAEPWRG.jpg</v>
      </c>
      <c r="L1090">
        <v>0</v>
      </c>
      <c r="M1090">
        <v>0</v>
      </c>
      <c r="N1090">
        <v>1</v>
      </c>
      <c r="O1090">
        <v>0</v>
      </c>
    </row>
    <row r="1091" spans="1:15" x14ac:dyDescent="0.2">
      <c r="A1091" s="1" t="str">
        <f>HYPERLINK("http://www.twitter.com/banuakdenizli/status/1582737281890549761", "1582737281890549761")</f>
        <v>1582737281890549761</v>
      </c>
      <c r="B1091" t="s">
        <v>15</v>
      </c>
      <c r="C1091" s="2">
        <v>44853.594305555547</v>
      </c>
      <c r="D1091">
        <v>0</v>
      </c>
      <c r="E1091">
        <v>1</v>
      </c>
      <c r="F1091" t="s">
        <v>29</v>
      </c>
      <c r="G1091" t="s">
        <v>1163</v>
      </c>
      <c r="H1091" t="str">
        <f>HYPERLINK("http://pbs.twimg.com/media/Ffba0hhX0AEP4Mp.jpg", "http://pbs.twimg.com/media/Ffba0hhX0AEP4Mp.jpg")</f>
        <v>http://pbs.twimg.com/media/Ffba0hhX0AEP4Mp.jpg</v>
      </c>
      <c r="I1091" t="str">
        <f>HYPERLINK("http://pbs.twimg.com/media/Ffba0h5XgAEC8K_.jpg", "http://pbs.twimg.com/media/Ffba0h5XgAEC8K_.jpg")</f>
        <v>http://pbs.twimg.com/media/Ffba0h5XgAEC8K_.jpg</v>
      </c>
      <c r="L1091">
        <v>0</v>
      </c>
      <c r="M1091">
        <v>0</v>
      </c>
      <c r="N1091">
        <v>1</v>
      </c>
      <c r="O1091">
        <v>0</v>
      </c>
    </row>
    <row r="1092" spans="1:15" x14ac:dyDescent="0.2">
      <c r="A1092" s="1" t="str">
        <f>HYPERLINK("http://www.twitter.com/banuakdenizli/status/1582737188986703872", "1582737188986703872")</f>
        <v>1582737188986703872</v>
      </c>
      <c r="B1092" t="s">
        <v>15</v>
      </c>
      <c r="C1092" s="2">
        <v>44853.594050925924</v>
      </c>
      <c r="D1092">
        <v>0</v>
      </c>
      <c r="E1092">
        <v>1</v>
      </c>
      <c r="F1092" t="s">
        <v>29</v>
      </c>
      <c r="G1092" t="s">
        <v>1164</v>
      </c>
      <c r="H1092" t="str">
        <f>HYPERLINK("http://pbs.twimg.com/media/FfYXZWPWYCYxelJ.jpg", "http://pbs.twimg.com/media/FfYXZWPWYCYxelJ.jpg")</f>
        <v>http://pbs.twimg.com/media/FfYXZWPWYCYxelJ.jpg</v>
      </c>
      <c r="L1092">
        <v>0</v>
      </c>
      <c r="M1092">
        <v>0</v>
      </c>
      <c r="N1092">
        <v>1</v>
      </c>
      <c r="O1092">
        <v>0</v>
      </c>
    </row>
    <row r="1093" spans="1:15" x14ac:dyDescent="0.2">
      <c r="A1093" s="1" t="str">
        <f>HYPERLINK("http://www.twitter.com/banuakdenizli/status/1582737116181671937", "1582737116181671937")</f>
        <v>1582737116181671937</v>
      </c>
      <c r="B1093" t="s">
        <v>15</v>
      </c>
      <c r="C1093" s="2">
        <v>44853.593842592592</v>
      </c>
      <c r="D1093">
        <v>0</v>
      </c>
      <c r="E1093">
        <v>7</v>
      </c>
      <c r="F1093" t="s">
        <v>17</v>
      </c>
      <c r="G1093" t="s">
        <v>1165</v>
      </c>
      <c r="H1093" t="str">
        <f>HYPERLINK("http://pbs.twimg.com/media/FfbDfU0WYAAyDad.jpg", "http://pbs.twimg.com/media/FfbDfU0WYAAyDad.jpg")</f>
        <v>http://pbs.twimg.com/media/FfbDfU0WYAAyDad.jpg</v>
      </c>
      <c r="L1093">
        <v>0.58589999999999998</v>
      </c>
      <c r="M1093">
        <v>0.108</v>
      </c>
      <c r="N1093">
        <v>0.61199999999999999</v>
      </c>
      <c r="O1093">
        <v>0.28100000000000003</v>
      </c>
    </row>
    <row r="1094" spans="1:15" x14ac:dyDescent="0.2">
      <c r="A1094" s="1" t="str">
        <f>HYPERLINK("http://www.twitter.com/banuakdenizli/status/1582737103871709184", "1582737103871709184")</f>
        <v>1582737103871709184</v>
      </c>
      <c r="B1094" t="s">
        <v>15</v>
      </c>
      <c r="C1094" s="2">
        <v>44853.593819444453</v>
      </c>
      <c r="D1094">
        <v>0</v>
      </c>
      <c r="E1094">
        <v>6</v>
      </c>
      <c r="F1094" t="s">
        <v>16</v>
      </c>
      <c r="G1094" t="s">
        <v>1166</v>
      </c>
      <c r="H1094" t="str">
        <f>HYPERLINK("http://pbs.twimg.com/media/Ffbba0EXkAAp_Yg.jpg", "http://pbs.twimg.com/media/Ffbba0EXkAAp_Yg.jpg")</f>
        <v>http://pbs.twimg.com/media/Ffbba0EXkAAp_Yg.jpg</v>
      </c>
      <c r="I1094" t="str">
        <f>HYPERLINK("http://pbs.twimg.com/media/Ffbba0GXgAELpC2.jpg", "http://pbs.twimg.com/media/Ffbba0GXgAELpC2.jpg")</f>
        <v>http://pbs.twimg.com/media/Ffbba0GXgAELpC2.jpg</v>
      </c>
      <c r="L1094">
        <v>0</v>
      </c>
      <c r="M1094">
        <v>0</v>
      </c>
      <c r="N1094">
        <v>1</v>
      </c>
      <c r="O1094">
        <v>0</v>
      </c>
    </row>
    <row r="1095" spans="1:15" x14ac:dyDescent="0.2">
      <c r="A1095" s="1" t="str">
        <f>HYPERLINK("http://www.twitter.com/banuakdenizli/status/1582737077593964546", "1582737077593964546")</f>
        <v>1582737077593964546</v>
      </c>
      <c r="B1095" t="s">
        <v>15</v>
      </c>
      <c r="C1095" s="2">
        <v>44853.593738425923</v>
      </c>
      <c r="D1095">
        <v>0</v>
      </c>
      <c r="E1095">
        <v>6</v>
      </c>
      <c r="F1095" t="s">
        <v>16</v>
      </c>
      <c r="G1095" t="s">
        <v>1167</v>
      </c>
      <c r="H1095" t="str">
        <f>HYPERLINK("http://pbs.twimg.com/media/FfbsCZyXoAAbpP6.jpg", "http://pbs.twimg.com/media/FfbsCZyXoAAbpP6.jpg")</f>
        <v>http://pbs.twimg.com/media/FfbsCZyXoAAbpP6.jpg</v>
      </c>
      <c r="I1095" t="str">
        <f>HYPERLINK("http://pbs.twimg.com/media/FfbsCYiXgAAhAai.jpg", "http://pbs.twimg.com/media/FfbsCYiXgAAhAai.jpg")</f>
        <v>http://pbs.twimg.com/media/FfbsCYiXgAAhAai.jpg</v>
      </c>
      <c r="L1095">
        <v>0</v>
      </c>
      <c r="M1095">
        <v>0</v>
      </c>
      <c r="N1095">
        <v>1</v>
      </c>
      <c r="O1095">
        <v>0</v>
      </c>
    </row>
    <row r="1096" spans="1:15" x14ac:dyDescent="0.2">
      <c r="A1096" s="1" t="str">
        <f>HYPERLINK("http://www.twitter.com/banuakdenizli/status/1582737061290704897", "1582737061290704897")</f>
        <v>1582737061290704897</v>
      </c>
      <c r="B1096" t="s">
        <v>15</v>
      </c>
      <c r="C1096" s="2">
        <v>44853.593692129631</v>
      </c>
      <c r="D1096">
        <v>0</v>
      </c>
      <c r="E1096">
        <v>2</v>
      </c>
      <c r="F1096" t="s">
        <v>35</v>
      </c>
      <c r="G1096" t="s">
        <v>1168</v>
      </c>
      <c r="L1096">
        <v>0.5927</v>
      </c>
      <c r="M1096">
        <v>0</v>
      </c>
      <c r="N1096">
        <v>0.89800000000000002</v>
      </c>
      <c r="O1096">
        <v>0.10199999999999999</v>
      </c>
    </row>
    <row r="1097" spans="1:15" x14ac:dyDescent="0.2">
      <c r="A1097" s="1" t="str">
        <f>HYPERLINK("http://www.twitter.com/banuakdenizli/status/1582737041124909056", "1582737041124909056")</f>
        <v>1582737041124909056</v>
      </c>
      <c r="B1097" t="s">
        <v>15</v>
      </c>
      <c r="C1097" s="2">
        <v>44853.593645833331</v>
      </c>
      <c r="D1097">
        <v>0</v>
      </c>
      <c r="E1097">
        <v>5</v>
      </c>
      <c r="F1097" t="s">
        <v>17</v>
      </c>
      <c r="G1097" t="s">
        <v>1169</v>
      </c>
      <c r="H1097" t="str">
        <f>HYPERLINK("http://pbs.twimg.com/media/FfbgsbiX0AAhj7r.jpg", "http://pbs.twimg.com/media/FfbgsbiX0AAhj7r.jpg")</f>
        <v>http://pbs.twimg.com/media/FfbgsbiX0AAhj7r.jpg</v>
      </c>
      <c r="I1097" t="str">
        <f>HYPERLINK("http://pbs.twimg.com/media/FfbgsZ9XoAI4tob.jpg", "http://pbs.twimg.com/media/FfbgsZ9XoAI4tob.jpg")</f>
        <v>http://pbs.twimg.com/media/FfbgsZ9XoAI4tob.jpg</v>
      </c>
      <c r="L1097">
        <v>0</v>
      </c>
      <c r="M1097">
        <v>0</v>
      </c>
      <c r="N1097">
        <v>1</v>
      </c>
      <c r="O1097">
        <v>0</v>
      </c>
    </row>
    <row r="1098" spans="1:15" x14ac:dyDescent="0.2">
      <c r="A1098" s="1" t="str">
        <f>HYPERLINK("http://www.twitter.com/banuakdenizli/status/1582737014704975874", "1582737014704975874")</f>
        <v>1582737014704975874</v>
      </c>
      <c r="B1098" t="s">
        <v>15</v>
      </c>
      <c r="C1098" s="2">
        <v>44853.593564814822</v>
      </c>
      <c r="D1098">
        <v>0</v>
      </c>
      <c r="E1098">
        <v>7</v>
      </c>
      <c r="F1098" t="s">
        <v>16</v>
      </c>
      <c r="G1098" t="s">
        <v>1170</v>
      </c>
      <c r="H1098" t="str">
        <f>HYPERLINK("http://pbs.twimg.com/media/Ffb0QoFXEAEwC-y.jpg", "http://pbs.twimg.com/media/Ffb0QoFXEAEwC-y.jpg")</f>
        <v>http://pbs.twimg.com/media/Ffb0QoFXEAEwC-y.jpg</v>
      </c>
      <c r="L1098">
        <v>0</v>
      </c>
      <c r="M1098">
        <v>0</v>
      </c>
      <c r="N1098">
        <v>1</v>
      </c>
      <c r="O1098">
        <v>0</v>
      </c>
    </row>
    <row r="1099" spans="1:15" x14ac:dyDescent="0.2">
      <c r="A1099" s="1" t="str">
        <f>HYPERLINK("http://www.twitter.com/banuakdenizli/status/1582736988389904389", "1582736988389904389")</f>
        <v>1582736988389904389</v>
      </c>
      <c r="B1099" t="s">
        <v>15</v>
      </c>
      <c r="C1099" s="2">
        <v>44853.593495370369</v>
      </c>
      <c r="D1099">
        <v>0</v>
      </c>
      <c r="E1099">
        <v>5</v>
      </c>
      <c r="F1099" t="s">
        <v>21</v>
      </c>
      <c r="G1099" t="s">
        <v>1171</v>
      </c>
      <c r="H1099" t="str">
        <f>HYPERLINK("http://pbs.twimg.com/media/FfblHgNXEAIWBIg.jpg", "http://pbs.twimg.com/media/FfblHgNXEAIWBIg.jpg")</f>
        <v>http://pbs.twimg.com/media/FfblHgNXEAIWBIg.jpg</v>
      </c>
      <c r="I1099" t="str">
        <f>HYPERLINK("http://pbs.twimg.com/media/FfblH5JXEAU0U_x.jpg", "http://pbs.twimg.com/media/FfblH5JXEAU0U_x.jpg")</f>
        <v>http://pbs.twimg.com/media/FfblH5JXEAU0U_x.jpg</v>
      </c>
      <c r="L1099">
        <v>0</v>
      </c>
      <c r="M1099">
        <v>0</v>
      </c>
      <c r="N1099">
        <v>1</v>
      </c>
      <c r="O1099">
        <v>0</v>
      </c>
    </row>
    <row r="1100" spans="1:15" x14ac:dyDescent="0.2">
      <c r="A1100" s="1" t="str">
        <f>HYPERLINK("http://www.twitter.com/banuakdenizli/status/1582736964864061442", "1582736964864061442")</f>
        <v>1582736964864061442</v>
      </c>
      <c r="B1100" t="s">
        <v>15</v>
      </c>
      <c r="C1100" s="2">
        <v>44853.593425925923</v>
      </c>
      <c r="D1100">
        <v>0</v>
      </c>
      <c r="E1100">
        <v>3</v>
      </c>
      <c r="F1100" t="s">
        <v>17</v>
      </c>
      <c r="G1100" t="s">
        <v>1172</v>
      </c>
      <c r="H1100" t="str">
        <f>HYPERLINK("http://pbs.twimg.com/media/Ffb-PbDWYAEQRxv.jpg", "http://pbs.twimg.com/media/Ffb-PbDWYAEQRxv.jpg")</f>
        <v>http://pbs.twimg.com/media/Ffb-PbDWYAEQRxv.jpg</v>
      </c>
      <c r="I1100" t="str">
        <f>HYPERLINK("http://pbs.twimg.com/media/Ffb-RqyWAAMhnJj.jpg", "http://pbs.twimg.com/media/Ffb-RqyWAAMhnJj.jpg")</f>
        <v>http://pbs.twimg.com/media/Ffb-RqyWAAMhnJj.jpg</v>
      </c>
      <c r="L1100">
        <v>-0.62490000000000001</v>
      </c>
      <c r="M1100">
        <v>0.33900000000000002</v>
      </c>
      <c r="N1100">
        <v>0.66100000000000003</v>
      </c>
      <c r="O1100">
        <v>0</v>
      </c>
    </row>
    <row r="1101" spans="1:15" x14ac:dyDescent="0.2">
      <c r="A1101" s="1" t="str">
        <f>HYPERLINK("http://www.twitter.com/banuakdenizli/status/1582736947365093377", "1582736947365093377")</f>
        <v>1582736947365093377</v>
      </c>
      <c r="B1101" t="s">
        <v>15</v>
      </c>
      <c r="C1101" s="2">
        <v>44853.59337962963</v>
      </c>
      <c r="D1101">
        <v>0</v>
      </c>
      <c r="E1101">
        <v>6</v>
      </c>
      <c r="F1101" t="s">
        <v>16</v>
      </c>
      <c r="G1101" t="s">
        <v>1173</v>
      </c>
      <c r="H1101" t="str">
        <f>HYPERLINK("http://pbs.twimg.com/media/Ffbz8IqX0AEs-jy.jpg", "http://pbs.twimg.com/media/Ffbz8IqX0AEs-jy.jpg")</f>
        <v>http://pbs.twimg.com/media/Ffbz8IqX0AEs-jy.jpg</v>
      </c>
      <c r="L1101">
        <v>0</v>
      </c>
      <c r="M1101">
        <v>0</v>
      </c>
      <c r="N1101">
        <v>1</v>
      </c>
      <c r="O1101">
        <v>0</v>
      </c>
    </row>
    <row r="1102" spans="1:15" x14ac:dyDescent="0.2">
      <c r="A1102" s="1" t="str">
        <f>HYPERLINK("http://www.twitter.com/banuakdenizli/status/1582562725934157824", "1582562725934157824")</f>
        <v>1582562725934157824</v>
      </c>
      <c r="B1102" t="s">
        <v>15</v>
      </c>
      <c r="C1102" s="2">
        <v>44853.112627314818</v>
      </c>
      <c r="D1102">
        <v>0</v>
      </c>
      <c r="E1102">
        <v>6</v>
      </c>
      <c r="F1102" t="s">
        <v>17</v>
      </c>
      <c r="G1102" t="s">
        <v>1174</v>
      </c>
      <c r="H1102" t="str">
        <f>HYPERLINK("http://pbs.twimg.com/media/FfX7q0UXEBgNayk.jpg", "http://pbs.twimg.com/media/FfX7q0UXEBgNayk.jpg")</f>
        <v>http://pbs.twimg.com/media/FfX7q0UXEBgNayk.jpg</v>
      </c>
      <c r="I1102" t="str">
        <f>HYPERLINK("http://pbs.twimg.com/media/FfX7q0YXEBgNgSM.jpg", "http://pbs.twimg.com/media/FfX7q0YXEBgNgSM.jpg")</f>
        <v>http://pbs.twimg.com/media/FfX7q0YXEBgNgSM.jpg</v>
      </c>
      <c r="J1102" t="str">
        <f>HYPERLINK("http://pbs.twimg.com/media/FfX7q0ZXEA0lEKA.jpg", "http://pbs.twimg.com/media/FfX7q0ZXEA0lEKA.jpg")</f>
        <v>http://pbs.twimg.com/media/FfX7q0ZXEA0lEKA.jpg</v>
      </c>
      <c r="L1102">
        <v>0.40189999999999998</v>
      </c>
      <c r="M1102">
        <v>0</v>
      </c>
      <c r="N1102">
        <v>0.748</v>
      </c>
      <c r="O1102">
        <v>0.252</v>
      </c>
    </row>
    <row r="1103" spans="1:15" x14ac:dyDescent="0.2">
      <c r="A1103" s="1" t="str">
        <f>HYPERLINK("http://www.twitter.com/banuakdenizli/status/1582562678899298304", "1582562678899298304")</f>
        <v>1582562678899298304</v>
      </c>
      <c r="B1103" t="s">
        <v>15</v>
      </c>
      <c r="C1103" s="2">
        <v>44853.112488425933</v>
      </c>
      <c r="D1103">
        <v>0</v>
      </c>
      <c r="E1103">
        <v>11</v>
      </c>
      <c r="F1103" t="s">
        <v>16</v>
      </c>
      <c r="G1103" t="s">
        <v>1175</v>
      </c>
      <c r="H1103" t="str">
        <f>HYPERLINK("http://pbs.twimg.com/media/FfYIoUYWYAkgYGa.jpg", "http://pbs.twimg.com/media/FfYIoUYWYAkgYGa.jpg")</f>
        <v>http://pbs.twimg.com/media/FfYIoUYWYAkgYGa.jpg</v>
      </c>
      <c r="L1103">
        <v>0</v>
      </c>
      <c r="M1103">
        <v>0</v>
      </c>
      <c r="N1103">
        <v>1</v>
      </c>
      <c r="O1103">
        <v>0</v>
      </c>
    </row>
    <row r="1104" spans="1:15" x14ac:dyDescent="0.2">
      <c r="A1104" s="1" t="str">
        <f>HYPERLINK("http://www.twitter.com/banuakdenizli/status/1582562644262690816", "1582562644262690816")</f>
        <v>1582562644262690816</v>
      </c>
      <c r="B1104" t="s">
        <v>15</v>
      </c>
      <c r="C1104" s="2">
        <v>44853.112395833326</v>
      </c>
      <c r="D1104">
        <v>0</v>
      </c>
      <c r="E1104">
        <v>19</v>
      </c>
      <c r="F1104" t="s">
        <v>17</v>
      </c>
      <c r="G1104" t="s">
        <v>1176</v>
      </c>
      <c r="H1104" t="str">
        <f>HYPERLINK("http://pbs.twimg.com/media/FfYOgpoXkAAHrx0.jpg", "http://pbs.twimg.com/media/FfYOgpoXkAAHrx0.jpg")</f>
        <v>http://pbs.twimg.com/media/FfYOgpoXkAAHrx0.jpg</v>
      </c>
      <c r="L1104">
        <v>0.40189999999999998</v>
      </c>
      <c r="M1104">
        <v>0</v>
      </c>
      <c r="N1104">
        <v>0.83799999999999997</v>
      </c>
      <c r="O1104">
        <v>0.16200000000000001</v>
      </c>
    </row>
    <row r="1105" spans="1:15" x14ac:dyDescent="0.2">
      <c r="A1105" s="1" t="str">
        <f>HYPERLINK("http://www.twitter.com/banuakdenizli/status/1582436493028573184", "1582436493028573184")</f>
        <v>1582436493028573184</v>
      </c>
      <c r="B1105" t="s">
        <v>15</v>
      </c>
      <c r="C1105" s="2">
        <v>44852.764282407406</v>
      </c>
      <c r="D1105">
        <v>0</v>
      </c>
      <c r="E1105">
        <v>64</v>
      </c>
      <c r="F1105" t="s">
        <v>16</v>
      </c>
      <c r="G1105" t="s">
        <v>1177</v>
      </c>
      <c r="H1105" t="str">
        <f>HYPERLINK("http://pbs.twimg.com/media/FfXxZbRWIAIw5c6.jpg", "http://pbs.twimg.com/media/FfXxZbRWIAIw5c6.jpg")</f>
        <v>http://pbs.twimg.com/media/FfXxZbRWIAIw5c6.jpg</v>
      </c>
      <c r="L1105">
        <v>0</v>
      </c>
      <c r="M1105">
        <v>0</v>
      </c>
      <c r="N1105">
        <v>1</v>
      </c>
      <c r="O1105">
        <v>0</v>
      </c>
    </row>
    <row r="1106" spans="1:15" x14ac:dyDescent="0.2">
      <c r="A1106" s="1" t="str">
        <f>HYPERLINK("http://www.twitter.com/banuakdenizli/status/1582436052425641984", "1582436052425641984")</f>
        <v>1582436052425641984</v>
      </c>
      <c r="B1106" t="s">
        <v>15</v>
      </c>
      <c r="C1106" s="2">
        <v>44852.763067129628</v>
      </c>
      <c r="D1106">
        <v>0</v>
      </c>
      <c r="E1106">
        <v>2</v>
      </c>
      <c r="F1106" t="s">
        <v>29</v>
      </c>
      <c r="G1106" t="s">
        <v>1178</v>
      </c>
      <c r="H1106" t="str">
        <f>HYPERLINK("http://pbs.twimg.com/media/FfXrWB9XoAAvvnv.jpg", "http://pbs.twimg.com/media/FfXrWB9XoAAvvnv.jpg")</f>
        <v>http://pbs.twimg.com/media/FfXrWB9XoAAvvnv.jpg</v>
      </c>
      <c r="L1106">
        <v>0</v>
      </c>
      <c r="M1106">
        <v>0</v>
      </c>
      <c r="N1106">
        <v>1</v>
      </c>
      <c r="O1106">
        <v>0</v>
      </c>
    </row>
    <row r="1107" spans="1:15" x14ac:dyDescent="0.2">
      <c r="A1107" s="1" t="str">
        <f>HYPERLINK("http://www.twitter.com/banuakdenizli/status/1582435650669666304", "1582435650669666304")</f>
        <v>1582435650669666304</v>
      </c>
      <c r="B1107" t="s">
        <v>15</v>
      </c>
      <c r="C1107" s="2">
        <v>44852.761967592603</v>
      </c>
      <c r="D1107">
        <v>0</v>
      </c>
      <c r="E1107">
        <v>1</v>
      </c>
      <c r="F1107" t="s">
        <v>29</v>
      </c>
      <c r="G1107" t="s">
        <v>1179</v>
      </c>
      <c r="H1107" t="str">
        <f>HYPERLINK("http://pbs.twimg.com/media/FfXwIyeX0AAkYUy.jpg", "http://pbs.twimg.com/media/FfXwIyeX0AAkYUy.jpg")</f>
        <v>http://pbs.twimg.com/media/FfXwIyeX0AAkYUy.jpg</v>
      </c>
      <c r="I1107" t="str">
        <f>HYPERLINK("http://pbs.twimg.com/media/FfXwIzeXkAEFnnQ.jpg", "http://pbs.twimg.com/media/FfXwIzeXkAEFnnQ.jpg")</f>
        <v>http://pbs.twimg.com/media/FfXwIzeXkAEFnnQ.jpg</v>
      </c>
      <c r="J1107" t="str">
        <f>HYPERLINK("http://pbs.twimg.com/media/FfXwI2YVIAAXVhE.jpg", "http://pbs.twimg.com/media/FfXwI2YVIAAXVhE.jpg")</f>
        <v>http://pbs.twimg.com/media/FfXwI2YVIAAXVhE.jpg</v>
      </c>
      <c r="K1107" t="str">
        <f>HYPERLINK("http://pbs.twimg.com/media/FfXwIyEXEAcTLqR.jpg", "http://pbs.twimg.com/media/FfXwIyEXEAcTLqR.jpg")</f>
        <v>http://pbs.twimg.com/media/FfXwIyEXEAcTLqR.jpg</v>
      </c>
      <c r="L1107">
        <v>0.44040000000000001</v>
      </c>
      <c r="M1107">
        <v>0</v>
      </c>
      <c r="N1107">
        <v>0.81799999999999995</v>
      </c>
      <c r="O1107">
        <v>0.182</v>
      </c>
    </row>
    <row r="1108" spans="1:15" x14ac:dyDescent="0.2">
      <c r="A1108" s="1" t="str">
        <f>HYPERLINK("http://www.twitter.com/banuakdenizli/status/1582424584132755456", "1582424584132755456")</f>
        <v>1582424584132755456</v>
      </c>
      <c r="B1108" t="s">
        <v>15</v>
      </c>
      <c r="C1108" s="2">
        <v>44852.731423611112</v>
      </c>
      <c r="D1108">
        <v>0</v>
      </c>
      <c r="E1108">
        <v>6</v>
      </c>
      <c r="F1108" t="s">
        <v>38</v>
      </c>
      <c r="G1108" t="s">
        <v>1180</v>
      </c>
      <c r="H1108" t="str">
        <f>HYPERLINK("http://pbs.twimg.com/media/FfXA7LiXEAUu25F.jpg", "http://pbs.twimg.com/media/FfXA7LiXEAUu25F.jpg")</f>
        <v>http://pbs.twimg.com/media/FfXA7LiXEAUu25F.jpg</v>
      </c>
      <c r="L1108">
        <v>0</v>
      </c>
      <c r="M1108">
        <v>0</v>
      </c>
      <c r="N1108">
        <v>1</v>
      </c>
      <c r="O1108">
        <v>0</v>
      </c>
    </row>
    <row r="1109" spans="1:15" x14ac:dyDescent="0.2">
      <c r="A1109" s="1" t="str">
        <f>HYPERLINK("http://www.twitter.com/banuakdenizli/status/1582424244755271680", "1582424244755271680")</f>
        <v>1582424244755271680</v>
      </c>
      <c r="B1109" t="s">
        <v>15</v>
      </c>
      <c r="C1109" s="2">
        <v>44852.730486111112</v>
      </c>
      <c r="D1109">
        <v>0</v>
      </c>
      <c r="E1109">
        <v>1</v>
      </c>
      <c r="F1109" t="s">
        <v>29</v>
      </c>
      <c r="G1109" t="s">
        <v>1181</v>
      </c>
      <c r="H1109" t="str">
        <f>HYPERLINK("http://pbs.twimg.com/media/FfTRYM4WQAA3Q9y.jpg", "http://pbs.twimg.com/media/FfTRYM4WQAA3Q9y.jpg")</f>
        <v>http://pbs.twimg.com/media/FfTRYM4WQAA3Q9y.jpg</v>
      </c>
      <c r="L1109">
        <v>0.38179999999999997</v>
      </c>
      <c r="M1109">
        <v>0</v>
      </c>
      <c r="N1109">
        <v>0.88500000000000001</v>
      </c>
      <c r="O1109">
        <v>0.115</v>
      </c>
    </row>
    <row r="1110" spans="1:15" x14ac:dyDescent="0.2">
      <c r="A1110" s="1" t="str">
        <f>HYPERLINK("http://www.twitter.com/banuakdenizli/status/1582424171233292288", "1582424171233292288")</f>
        <v>1582424171233292288</v>
      </c>
      <c r="B1110" t="s">
        <v>15</v>
      </c>
      <c r="C1110" s="2">
        <v>44852.73028935185</v>
      </c>
      <c r="D1110">
        <v>0</v>
      </c>
      <c r="E1110">
        <v>1</v>
      </c>
      <c r="F1110" t="s">
        <v>29</v>
      </c>
      <c r="G1110" t="s">
        <v>1182</v>
      </c>
      <c r="H1110" t="str">
        <f>HYPERLINK("http://pbs.twimg.com/media/FfTbecYXoAAQ8n_.jpg", "http://pbs.twimg.com/media/FfTbecYXoAAQ8n_.jpg")</f>
        <v>http://pbs.twimg.com/media/FfTbecYXoAAQ8n_.jpg</v>
      </c>
      <c r="I1110" t="str">
        <f>HYPERLINK("http://pbs.twimg.com/media/FfTbecCWYAIVjQJ.jpg", "http://pbs.twimg.com/media/FfTbecCWYAIVjQJ.jpg")</f>
        <v>http://pbs.twimg.com/media/FfTbecCWYAIVjQJ.jpg</v>
      </c>
      <c r="J1110" t="str">
        <f>HYPERLINK("http://pbs.twimg.com/media/FfTbecvWQB0XzT-.jpg", "http://pbs.twimg.com/media/FfTbecvWQB0XzT-.jpg")</f>
        <v>http://pbs.twimg.com/media/FfTbecvWQB0XzT-.jpg</v>
      </c>
      <c r="K1110" t="str">
        <f>HYPERLINK("http://pbs.twimg.com/media/FfTbecHWQBYKLqR.jpg", "http://pbs.twimg.com/media/FfTbecHWQBYKLqR.jpg")</f>
        <v>http://pbs.twimg.com/media/FfTbecHWQBYKLqR.jpg</v>
      </c>
      <c r="L1110">
        <v>0.81259999999999999</v>
      </c>
      <c r="M1110">
        <v>0</v>
      </c>
      <c r="N1110">
        <v>0.64400000000000002</v>
      </c>
      <c r="O1110">
        <v>0.35599999999999998</v>
      </c>
    </row>
    <row r="1111" spans="1:15" x14ac:dyDescent="0.2">
      <c r="A1111" s="1" t="str">
        <f>HYPERLINK("http://www.twitter.com/banuakdenizli/status/1582423984301559814", "1582423984301559814")</f>
        <v>1582423984301559814</v>
      </c>
      <c r="B1111" t="s">
        <v>15</v>
      </c>
      <c r="C1111" s="2">
        <v>44852.729768518519</v>
      </c>
      <c r="D1111">
        <v>0</v>
      </c>
      <c r="E1111">
        <v>2</v>
      </c>
      <c r="F1111" t="s">
        <v>29</v>
      </c>
      <c r="G1111" t="s">
        <v>1183</v>
      </c>
      <c r="H1111" t="str">
        <f>HYPERLINK("http://pbs.twimg.com/media/FfWekECX0AIcjbj.jpg", "http://pbs.twimg.com/media/FfWekECX0AIcjbj.jpg")</f>
        <v>http://pbs.twimg.com/media/FfWekECX0AIcjbj.jpg</v>
      </c>
      <c r="L1111">
        <v>0.63690000000000002</v>
      </c>
      <c r="M1111">
        <v>0</v>
      </c>
      <c r="N1111">
        <v>0.85599999999999998</v>
      </c>
      <c r="O1111">
        <v>0.14399999999999999</v>
      </c>
    </row>
    <row r="1112" spans="1:15" x14ac:dyDescent="0.2">
      <c r="A1112" s="1" t="str">
        <f>HYPERLINK("http://www.twitter.com/banuakdenizli/status/1582423846828711936", "1582423846828711936")</f>
        <v>1582423846828711936</v>
      </c>
      <c r="B1112" t="s">
        <v>15</v>
      </c>
      <c r="C1112" s="2">
        <v>44852.729386574072</v>
      </c>
      <c r="D1112">
        <v>0</v>
      </c>
      <c r="E1112">
        <v>3</v>
      </c>
      <c r="F1112" t="s">
        <v>29</v>
      </c>
      <c r="G1112" t="s">
        <v>1184</v>
      </c>
      <c r="H1112" t="str">
        <f>HYPERLINK("http://pbs.twimg.com/media/FfXg1YPWYAA-fw9.jpg", "http://pbs.twimg.com/media/FfXg1YPWYAA-fw9.jpg")</f>
        <v>http://pbs.twimg.com/media/FfXg1YPWYAA-fw9.jpg</v>
      </c>
      <c r="L1112">
        <v>0</v>
      </c>
      <c r="M1112">
        <v>0</v>
      </c>
      <c r="N1112">
        <v>1</v>
      </c>
      <c r="O1112">
        <v>0</v>
      </c>
    </row>
    <row r="1113" spans="1:15" x14ac:dyDescent="0.2">
      <c r="A1113" s="1" t="str">
        <f>HYPERLINK("http://www.twitter.com/banuakdenizli/status/1582423633485406208", "1582423633485406208")</f>
        <v>1582423633485406208</v>
      </c>
      <c r="B1113" t="s">
        <v>15</v>
      </c>
      <c r="C1113" s="2">
        <v>44852.728796296287</v>
      </c>
      <c r="D1113">
        <v>0</v>
      </c>
      <c r="E1113">
        <v>3</v>
      </c>
      <c r="F1113" t="s">
        <v>38</v>
      </c>
      <c r="G1113" t="s">
        <v>1185</v>
      </c>
      <c r="H1113" t="str">
        <f>HYPERLINK("http://pbs.twimg.com/media/FfXFHU0X0AEzd1k.jpg", "http://pbs.twimg.com/media/FfXFHU0X0AEzd1k.jpg")</f>
        <v>http://pbs.twimg.com/media/FfXFHU0X0AEzd1k.jpg</v>
      </c>
      <c r="L1113">
        <v>0</v>
      </c>
      <c r="M1113">
        <v>0</v>
      </c>
      <c r="N1113">
        <v>1</v>
      </c>
      <c r="O1113">
        <v>0</v>
      </c>
    </row>
    <row r="1114" spans="1:15" x14ac:dyDescent="0.2">
      <c r="A1114" s="1" t="str">
        <f>HYPERLINK("http://www.twitter.com/banuakdenizli/status/1582423601747087360", "1582423601747087360")</f>
        <v>1582423601747087360</v>
      </c>
      <c r="B1114" t="s">
        <v>15</v>
      </c>
      <c r="C1114" s="2">
        <v>44852.728715277779</v>
      </c>
      <c r="D1114">
        <v>0</v>
      </c>
      <c r="E1114">
        <v>3</v>
      </c>
      <c r="F1114" t="s">
        <v>38</v>
      </c>
      <c r="G1114" t="s">
        <v>1186</v>
      </c>
      <c r="H1114" t="str">
        <f>HYPERLINK("http://pbs.twimg.com/media/FfXfaI2WAAIEKk8.jpg", "http://pbs.twimg.com/media/FfXfaI2WAAIEKk8.jpg")</f>
        <v>http://pbs.twimg.com/media/FfXfaI2WAAIEKk8.jpg</v>
      </c>
      <c r="L1114">
        <v>0</v>
      </c>
      <c r="M1114">
        <v>0</v>
      </c>
      <c r="N1114">
        <v>1</v>
      </c>
      <c r="O1114">
        <v>0</v>
      </c>
    </row>
    <row r="1115" spans="1:15" x14ac:dyDescent="0.2">
      <c r="A1115" s="1" t="str">
        <f>HYPERLINK("http://www.twitter.com/banuakdenizli/status/1582423528216797184", "1582423528216797184")</f>
        <v>1582423528216797184</v>
      </c>
      <c r="B1115" t="s">
        <v>15</v>
      </c>
      <c r="C1115" s="2">
        <v>44852.728506944448</v>
      </c>
      <c r="D1115">
        <v>0</v>
      </c>
      <c r="E1115">
        <v>2</v>
      </c>
      <c r="F1115" t="s">
        <v>37</v>
      </c>
      <c r="G1115" t="s">
        <v>1187</v>
      </c>
      <c r="H1115" t="str">
        <f>HYPERLINK("http://pbs.twimg.com/media/FfXV1i0WIAEhWx5.jpg", "http://pbs.twimg.com/media/FfXV1i0WIAEhWx5.jpg")</f>
        <v>http://pbs.twimg.com/media/FfXV1i0WIAEhWx5.jpg</v>
      </c>
      <c r="I1115" t="str">
        <f>HYPERLINK("http://pbs.twimg.com/media/FfXV28TXkAASwRD.jpg", "http://pbs.twimg.com/media/FfXV28TXkAASwRD.jpg")</f>
        <v>http://pbs.twimg.com/media/FfXV28TXkAASwRD.jpg</v>
      </c>
      <c r="L1115">
        <v>0.78449999999999998</v>
      </c>
      <c r="M1115">
        <v>0</v>
      </c>
      <c r="N1115">
        <v>0.82399999999999995</v>
      </c>
      <c r="O1115">
        <v>0.17599999999999999</v>
      </c>
    </row>
    <row r="1116" spans="1:15" x14ac:dyDescent="0.2">
      <c r="A1116" s="1" t="str">
        <f>HYPERLINK("http://www.twitter.com/banuakdenizli/status/1582423385652355072", "1582423385652355072")</f>
        <v>1582423385652355072</v>
      </c>
      <c r="B1116" t="s">
        <v>15</v>
      </c>
      <c r="C1116" s="2">
        <v>44852.728113425917</v>
      </c>
      <c r="D1116">
        <v>0</v>
      </c>
      <c r="E1116">
        <v>2</v>
      </c>
      <c r="F1116" t="s">
        <v>37</v>
      </c>
      <c r="G1116" t="s">
        <v>1188</v>
      </c>
      <c r="H1116" t="str">
        <f>HYPERLINK("http://pbs.twimg.com/media/FfW1Eq8XEAATFYY.jpg", "http://pbs.twimg.com/media/FfW1Eq8XEAATFYY.jpg")</f>
        <v>http://pbs.twimg.com/media/FfW1Eq8XEAATFYY.jpg</v>
      </c>
      <c r="I1116" t="str">
        <f>HYPERLINK("http://pbs.twimg.com/media/FfW1IxsWQAIHhfr.jpg", "http://pbs.twimg.com/media/FfW1IxsWQAIHhfr.jpg")</f>
        <v>http://pbs.twimg.com/media/FfW1IxsWQAIHhfr.jpg</v>
      </c>
      <c r="L1116">
        <v>0</v>
      </c>
      <c r="M1116">
        <v>0</v>
      </c>
      <c r="N1116">
        <v>1</v>
      </c>
      <c r="O1116">
        <v>0</v>
      </c>
    </row>
    <row r="1117" spans="1:15" x14ac:dyDescent="0.2">
      <c r="A1117" s="1" t="str">
        <f>HYPERLINK("http://www.twitter.com/banuakdenizli/status/1582423371018403840", "1582423371018403840")</f>
        <v>1582423371018403840</v>
      </c>
      <c r="B1117" t="s">
        <v>15</v>
      </c>
      <c r="C1117" s="2">
        <v>44852.728078703702</v>
      </c>
      <c r="D1117">
        <v>0</v>
      </c>
      <c r="E1117">
        <v>3</v>
      </c>
      <c r="F1117" t="s">
        <v>37</v>
      </c>
      <c r="G1117" t="s">
        <v>1189</v>
      </c>
      <c r="H1117" t="str">
        <f>HYPERLINK("http://pbs.twimg.com/media/FfWzgotWAAEaxfw.jpg", "http://pbs.twimg.com/media/FfWzgotWAAEaxfw.jpg")</f>
        <v>http://pbs.twimg.com/media/FfWzgotWAAEaxfw.jpg</v>
      </c>
      <c r="I1117" t="str">
        <f>HYPERLINK("http://pbs.twimg.com/media/FfWzjmNWYAATooj.jpg", "http://pbs.twimg.com/media/FfWzjmNWYAATooj.jpg")</f>
        <v>http://pbs.twimg.com/media/FfWzjmNWYAATooj.jpg</v>
      </c>
      <c r="J1117" t="str">
        <f>HYPERLINK("http://pbs.twimg.com/media/FfWzlZ_XoAAmub9.jpg", "http://pbs.twimg.com/media/FfWzlZ_XoAAmub9.jpg")</f>
        <v>http://pbs.twimg.com/media/FfWzlZ_XoAAmub9.jpg</v>
      </c>
      <c r="L1117">
        <v>0</v>
      </c>
      <c r="M1117">
        <v>0</v>
      </c>
      <c r="N1117">
        <v>1</v>
      </c>
      <c r="O1117">
        <v>0</v>
      </c>
    </row>
    <row r="1118" spans="1:15" x14ac:dyDescent="0.2">
      <c r="A1118" s="1" t="str">
        <f>HYPERLINK("http://www.twitter.com/banuakdenizli/status/1582423269344366592", "1582423269344366592")</f>
        <v>1582423269344366592</v>
      </c>
      <c r="B1118" t="s">
        <v>15</v>
      </c>
      <c r="C1118" s="2">
        <v>44852.727800925917</v>
      </c>
      <c r="D1118">
        <v>0</v>
      </c>
      <c r="E1118">
        <v>3</v>
      </c>
      <c r="F1118" t="s">
        <v>37</v>
      </c>
      <c r="G1118" t="s">
        <v>1190</v>
      </c>
      <c r="H1118" t="str">
        <f>HYPERLINK("http://pbs.twimg.com/media/FfXXnPJXEAMmhqn.jpg", "http://pbs.twimg.com/media/FfXXnPJXEAMmhqn.jpg")</f>
        <v>http://pbs.twimg.com/media/FfXXnPJXEAMmhqn.jpg</v>
      </c>
      <c r="I1118" t="str">
        <f>HYPERLINK("http://pbs.twimg.com/media/FfXXoYzXEAAPkJk.jpg", "http://pbs.twimg.com/media/FfXXoYzXEAAPkJk.jpg")</f>
        <v>http://pbs.twimg.com/media/FfXXoYzXEAAPkJk.jpg</v>
      </c>
      <c r="J1118" t="str">
        <f>HYPERLINK("http://pbs.twimg.com/media/FfXXphbX0AA8MmM.jpg", "http://pbs.twimg.com/media/FfXXphbX0AA8MmM.jpg")</f>
        <v>http://pbs.twimg.com/media/FfXXphbX0AA8MmM.jpg</v>
      </c>
      <c r="L1118">
        <v>0.62490000000000001</v>
      </c>
      <c r="M1118">
        <v>2.4E-2</v>
      </c>
      <c r="N1118">
        <v>0.84799999999999998</v>
      </c>
      <c r="O1118">
        <v>0.127</v>
      </c>
    </row>
    <row r="1119" spans="1:15" x14ac:dyDescent="0.2">
      <c r="A1119" s="1" t="str">
        <f>HYPERLINK("http://www.twitter.com/banuakdenizli/status/1582423247773405184", "1582423247773405184")</f>
        <v>1582423247773405184</v>
      </c>
      <c r="B1119" t="s">
        <v>15</v>
      </c>
      <c r="C1119" s="2">
        <v>44852.727731481478</v>
      </c>
      <c r="D1119">
        <v>0</v>
      </c>
      <c r="E1119">
        <v>2</v>
      </c>
      <c r="F1119" t="s">
        <v>37</v>
      </c>
      <c r="G1119" t="s">
        <v>1191</v>
      </c>
      <c r="H1119" t="str">
        <f>HYPERLINK("http://pbs.twimg.com/media/FfXR2hfXoAIdtnD.jpg", "http://pbs.twimg.com/media/FfXR2hfXoAIdtnD.jpg")</f>
        <v>http://pbs.twimg.com/media/FfXR2hfXoAIdtnD.jpg</v>
      </c>
      <c r="I1119" t="str">
        <f>HYPERLINK("http://pbs.twimg.com/media/FfXR5MAXwAEszW7.jpg", "http://pbs.twimg.com/media/FfXR5MAXwAEszW7.jpg")</f>
        <v>http://pbs.twimg.com/media/FfXR5MAXwAEszW7.jpg</v>
      </c>
      <c r="J1119" t="str">
        <f>HYPERLINK("http://pbs.twimg.com/media/FfXR6XBWYAAIPNY.jpg", "http://pbs.twimg.com/media/FfXR6XBWYAAIPNY.jpg")</f>
        <v>http://pbs.twimg.com/media/FfXR6XBWYAAIPNY.jpg</v>
      </c>
      <c r="L1119">
        <v>0.77829999999999999</v>
      </c>
      <c r="M1119">
        <v>0</v>
      </c>
      <c r="N1119">
        <v>0.81599999999999995</v>
      </c>
      <c r="O1119">
        <v>0.184</v>
      </c>
    </row>
    <row r="1120" spans="1:15" x14ac:dyDescent="0.2">
      <c r="A1120" s="1" t="str">
        <f>HYPERLINK("http://www.twitter.com/banuakdenizli/status/1582423227858419712", "1582423227858419712")</f>
        <v>1582423227858419712</v>
      </c>
      <c r="B1120" t="s">
        <v>15</v>
      </c>
      <c r="C1120" s="2">
        <v>44852.727685185193</v>
      </c>
      <c r="D1120">
        <v>0</v>
      </c>
      <c r="E1120">
        <v>6</v>
      </c>
      <c r="F1120" t="s">
        <v>37</v>
      </c>
      <c r="G1120" t="s">
        <v>1192</v>
      </c>
      <c r="H1120" t="str">
        <f>HYPERLINK("http://pbs.twimg.com/media/FfXMMq-XkAAQQBq.jpg", "http://pbs.twimg.com/media/FfXMMq-XkAAQQBq.jpg")</f>
        <v>http://pbs.twimg.com/media/FfXMMq-XkAAQQBq.jpg</v>
      </c>
      <c r="I1120" t="str">
        <f>HYPERLINK("http://pbs.twimg.com/media/FfXMOqPXoAAZGwx.jpg", "http://pbs.twimg.com/media/FfXMOqPXoAAZGwx.jpg")</f>
        <v>http://pbs.twimg.com/media/FfXMOqPXoAAZGwx.jpg</v>
      </c>
      <c r="J1120" t="str">
        <f>HYPERLINK("http://pbs.twimg.com/media/FfXMQYPXEAAcRSf.jpg", "http://pbs.twimg.com/media/FfXMQYPXEAAcRSf.jpg")</f>
        <v>http://pbs.twimg.com/media/FfXMQYPXEAAcRSf.jpg</v>
      </c>
      <c r="K1120" t="str">
        <f>HYPERLINK("http://pbs.twimg.com/media/FfXMSicWAAILiup.jpg", "http://pbs.twimg.com/media/FfXMSicWAAILiup.jpg")</f>
        <v>http://pbs.twimg.com/media/FfXMSicWAAILiup.jpg</v>
      </c>
      <c r="L1120">
        <v>0</v>
      </c>
      <c r="M1120">
        <v>0</v>
      </c>
      <c r="N1120">
        <v>1</v>
      </c>
      <c r="O1120">
        <v>0</v>
      </c>
    </row>
    <row r="1121" spans="1:15" x14ac:dyDescent="0.2">
      <c r="A1121" s="1" t="str">
        <f>HYPERLINK("http://www.twitter.com/banuakdenizli/status/1582420983394103300", "1582420983394103300")</f>
        <v>1582420983394103300</v>
      </c>
      <c r="B1121" t="s">
        <v>15</v>
      </c>
      <c r="C1121" s="2">
        <v>44852.721493055556</v>
      </c>
      <c r="D1121">
        <v>0</v>
      </c>
      <c r="E1121">
        <v>2</v>
      </c>
      <c r="F1121" t="s">
        <v>38</v>
      </c>
      <c r="G1121" t="s">
        <v>1193</v>
      </c>
      <c r="H1121" t="str">
        <f>HYPERLINK("http://pbs.twimg.com/media/FfXjPaTXEAAd5Tj.jpg", "http://pbs.twimg.com/media/FfXjPaTXEAAd5Tj.jpg")</f>
        <v>http://pbs.twimg.com/media/FfXjPaTXEAAd5Tj.jpg</v>
      </c>
      <c r="L1121">
        <v>0</v>
      </c>
      <c r="M1121">
        <v>0</v>
      </c>
      <c r="N1121">
        <v>1</v>
      </c>
      <c r="O1121">
        <v>0</v>
      </c>
    </row>
    <row r="1122" spans="1:15" x14ac:dyDescent="0.2">
      <c r="A1122" s="1" t="str">
        <f>HYPERLINK("http://www.twitter.com/banuakdenizli/status/1582420939320721410", "1582420939320721410")</f>
        <v>1582420939320721410</v>
      </c>
      <c r="B1122" t="s">
        <v>15</v>
      </c>
      <c r="C1122" s="2">
        <v>44852.721365740741</v>
      </c>
      <c r="D1122">
        <v>0</v>
      </c>
      <c r="E1122">
        <v>1</v>
      </c>
      <c r="F1122" t="s">
        <v>29</v>
      </c>
      <c r="G1122" t="s">
        <v>1194</v>
      </c>
      <c r="H1122" t="str">
        <f>HYPERLINK("http://pbs.twimg.com/media/FfXjYs0XgAEgUFy.jpg", "http://pbs.twimg.com/media/FfXjYs0XgAEgUFy.jpg")</f>
        <v>http://pbs.twimg.com/media/FfXjYs0XgAEgUFy.jpg</v>
      </c>
      <c r="L1122">
        <v>-0.47670000000000001</v>
      </c>
      <c r="M1122">
        <v>0.16400000000000001</v>
      </c>
      <c r="N1122">
        <v>0.71199999999999997</v>
      </c>
      <c r="O1122">
        <v>0.125</v>
      </c>
    </row>
    <row r="1123" spans="1:15" x14ac:dyDescent="0.2">
      <c r="A1123" s="1" t="str">
        <f>HYPERLINK("http://www.twitter.com/banuakdenizli/status/1582420742259769345", "1582420742259769345")</f>
        <v>1582420742259769345</v>
      </c>
      <c r="B1123" t="s">
        <v>15</v>
      </c>
      <c r="C1123" s="2">
        <v>44852.720821759263</v>
      </c>
      <c r="D1123">
        <v>0</v>
      </c>
      <c r="E1123">
        <v>1</v>
      </c>
      <c r="F1123" t="s">
        <v>29</v>
      </c>
      <c r="G1123" t="s">
        <v>1195</v>
      </c>
      <c r="H1123" t="str">
        <f>HYPERLINK("http://pbs.twimg.com/media/FfTRLwfWQAguzki.jpg", "http://pbs.twimg.com/media/FfTRLwfWQAguzki.jpg")</f>
        <v>http://pbs.twimg.com/media/FfTRLwfWQAguzki.jpg</v>
      </c>
      <c r="I1123" t="str">
        <f>HYPERLINK("http://pbs.twimg.com/media/FfTRLxAWQA4Fv00.jpg", "http://pbs.twimg.com/media/FfTRLxAWQA4Fv00.jpg")</f>
        <v>http://pbs.twimg.com/media/FfTRLxAWQA4Fv00.jpg</v>
      </c>
      <c r="L1123">
        <v>0.31819999999999998</v>
      </c>
      <c r="M1123">
        <v>0</v>
      </c>
      <c r="N1123">
        <v>0.89200000000000002</v>
      </c>
      <c r="O1123">
        <v>0.108</v>
      </c>
    </row>
    <row r="1124" spans="1:15" x14ac:dyDescent="0.2">
      <c r="A1124" s="1" t="str">
        <f>HYPERLINK("http://www.twitter.com/banuakdenizli/status/1582420296413642753", "1582420296413642753")</f>
        <v>1582420296413642753</v>
      </c>
      <c r="B1124" t="s">
        <v>15</v>
      </c>
      <c r="C1124" s="2">
        <v>44852.719594907408</v>
      </c>
      <c r="D1124">
        <v>0</v>
      </c>
      <c r="E1124">
        <v>16</v>
      </c>
      <c r="F1124" t="s">
        <v>38</v>
      </c>
      <c r="G1124" t="s">
        <v>1196</v>
      </c>
      <c r="H1124" t="str">
        <f>HYPERLINK("http://pbs.twimg.com/media/FfW3O7UXkAA7z1O.jpg", "http://pbs.twimg.com/media/FfW3O7UXkAA7z1O.jpg")</f>
        <v>http://pbs.twimg.com/media/FfW3O7UXkAA7z1O.jpg</v>
      </c>
      <c r="L1124">
        <v>0</v>
      </c>
      <c r="M1124">
        <v>0</v>
      </c>
      <c r="N1124">
        <v>1</v>
      </c>
      <c r="O1124">
        <v>0</v>
      </c>
    </row>
    <row r="1125" spans="1:15" x14ac:dyDescent="0.2">
      <c r="A1125" s="1" t="str">
        <f>HYPERLINK("http://www.twitter.com/banuakdenizli/status/1582420147922698240", "1582420147922698240")</f>
        <v>1582420147922698240</v>
      </c>
      <c r="B1125" t="s">
        <v>15</v>
      </c>
      <c r="C1125" s="2">
        <v>44852.719178240739</v>
      </c>
      <c r="D1125">
        <v>0</v>
      </c>
      <c r="E1125">
        <v>4</v>
      </c>
      <c r="F1125" t="s">
        <v>29</v>
      </c>
      <c r="G1125" t="s">
        <v>1197</v>
      </c>
      <c r="H1125" t="str">
        <f>HYPERLINK("http://pbs.twimg.com/media/FfXfD0_XkAA2G7y.jpg", "http://pbs.twimg.com/media/FfXfD0_XkAA2G7y.jpg")</f>
        <v>http://pbs.twimg.com/media/FfXfD0_XkAA2G7y.jpg</v>
      </c>
      <c r="L1125">
        <v>0.58589999999999998</v>
      </c>
      <c r="M1125">
        <v>0</v>
      </c>
      <c r="N1125">
        <v>0.80800000000000005</v>
      </c>
      <c r="O1125">
        <v>0.192</v>
      </c>
    </row>
    <row r="1126" spans="1:15" x14ac:dyDescent="0.2">
      <c r="A1126" s="1" t="str">
        <f>HYPERLINK("http://www.twitter.com/banuakdenizli/status/1582420092112891905", "1582420092112891905")</f>
        <v>1582420092112891905</v>
      </c>
      <c r="B1126" t="s">
        <v>15</v>
      </c>
      <c r="C1126" s="2">
        <v>44852.719027777777</v>
      </c>
      <c r="D1126">
        <v>0</v>
      </c>
      <c r="E1126">
        <v>4</v>
      </c>
      <c r="F1126" t="s">
        <v>21</v>
      </c>
      <c r="G1126" t="s">
        <v>1198</v>
      </c>
      <c r="H1126" t="str">
        <f>HYPERLINK("http://pbs.twimg.com/media/FfXeMsUXkAAXJwo.jpg", "http://pbs.twimg.com/media/FfXeMsUXkAAXJwo.jpg")</f>
        <v>http://pbs.twimg.com/media/FfXeMsUXkAAXJwo.jpg</v>
      </c>
      <c r="I1126" t="str">
        <f>HYPERLINK("http://pbs.twimg.com/media/FfXeM3YWYAI9D4Q.jpg", "http://pbs.twimg.com/media/FfXeM3YWYAI9D4Q.jpg")</f>
        <v>http://pbs.twimg.com/media/FfXeM3YWYAI9D4Q.jpg</v>
      </c>
      <c r="L1126">
        <v>0</v>
      </c>
      <c r="M1126">
        <v>0</v>
      </c>
      <c r="N1126">
        <v>1</v>
      </c>
      <c r="O1126">
        <v>0</v>
      </c>
    </row>
    <row r="1127" spans="1:15" x14ac:dyDescent="0.2">
      <c r="A1127" s="1" t="str">
        <f>HYPERLINK("http://www.twitter.com/banuakdenizli/status/1582420072446197760", "1582420072446197760")</f>
        <v>1582420072446197760</v>
      </c>
      <c r="B1127" t="s">
        <v>15</v>
      </c>
      <c r="C1127" s="2">
        <v>44852.718969907408</v>
      </c>
      <c r="D1127">
        <v>0</v>
      </c>
      <c r="E1127">
        <v>4</v>
      </c>
      <c r="F1127" t="s">
        <v>1199</v>
      </c>
      <c r="G1127" t="s">
        <v>1200</v>
      </c>
      <c r="H1127" t="str">
        <f>HYPERLINK("http://pbs.twimg.com/media/FfXWhniWIAArXFq.jpg", "http://pbs.twimg.com/media/FfXWhniWIAArXFq.jpg")</f>
        <v>http://pbs.twimg.com/media/FfXWhniWIAArXFq.jpg</v>
      </c>
      <c r="L1127">
        <v>0</v>
      </c>
      <c r="M1127">
        <v>0</v>
      </c>
      <c r="N1127">
        <v>1</v>
      </c>
      <c r="O1127">
        <v>0</v>
      </c>
    </row>
    <row r="1128" spans="1:15" x14ac:dyDescent="0.2">
      <c r="A1128" s="1" t="str">
        <f>HYPERLINK("http://www.twitter.com/banuakdenizli/status/1582414128899305477", "1582414128899305477")</f>
        <v>1582414128899305477</v>
      </c>
      <c r="B1128" t="s">
        <v>15</v>
      </c>
      <c r="C1128" s="2">
        <v>44852.702569444453</v>
      </c>
      <c r="D1128">
        <v>0</v>
      </c>
      <c r="E1128">
        <v>1</v>
      </c>
      <c r="F1128" t="s">
        <v>29</v>
      </c>
      <c r="G1128" t="s">
        <v>1201</v>
      </c>
      <c r="H1128" t="str">
        <f>HYPERLINK("http://pbs.twimg.com/media/FfTMvC5WQBIVp8L.jpg", "http://pbs.twimg.com/media/FfTMvC5WQBIVp8L.jpg")</f>
        <v>http://pbs.twimg.com/media/FfTMvC5WQBIVp8L.jpg</v>
      </c>
      <c r="L1128">
        <v>0.69079999999999997</v>
      </c>
      <c r="M1128">
        <v>0</v>
      </c>
      <c r="N1128">
        <v>0.71099999999999997</v>
      </c>
      <c r="O1128">
        <v>0.28899999999999998</v>
      </c>
    </row>
    <row r="1129" spans="1:15" x14ac:dyDescent="0.2">
      <c r="A1129" s="1" t="str">
        <f>HYPERLINK("http://www.twitter.com/banuakdenizli/status/1582413901903585286", "1582413901903585286")</f>
        <v>1582413901903585286</v>
      </c>
      <c r="B1129" t="s">
        <v>15</v>
      </c>
      <c r="C1129" s="2">
        <v>44852.701944444438</v>
      </c>
      <c r="D1129">
        <v>0</v>
      </c>
      <c r="E1129">
        <v>3</v>
      </c>
      <c r="F1129" t="s">
        <v>29</v>
      </c>
      <c r="G1129" t="s">
        <v>1202</v>
      </c>
      <c r="H1129" t="str">
        <f>HYPERLINK("http://pbs.twimg.com/media/FfWsbN3WYAMTuOm.jpg", "http://pbs.twimg.com/media/FfWsbN3WYAMTuOm.jpg")</f>
        <v>http://pbs.twimg.com/media/FfWsbN3WYAMTuOm.jpg</v>
      </c>
      <c r="L1129">
        <v>0.58589999999999998</v>
      </c>
      <c r="M1129">
        <v>0</v>
      </c>
      <c r="N1129">
        <v>0.79800000000000004</v>
      </c>
      <c r="O1129">
        <v>0.20200000000000001</v>
      </c>
    </row>
    <row r="1130" spans="1:15" x14ac:dyDescent="0.2">
      <c r="A1130" s="1" t="str">
        <f>HYPERLINK("http://www.twitter.com/banuakdenizli/status/1582413864339050507", "1582413864339050507")</f>
        <v>1582413864339050507</v>
      </c>
      <c r="B1130" t="s">
        <v>15</v>
      </c>
      <c r="C1130" s="2">
        <v>44852.701840277783</v>
      </c>
      <c r="D1130">
        <v>0</v>
      </c>
      <c r="E1130">
        <v>116</v>
      </c>
      <c r="F1130" t="s">
        <v>578</v>
      </c>
      <c r="G1130" t="s">
        <v>1203</v>
      </c>
      <c r="H1130" t="str">
        <f>HYPERLINK("http://pbs.twimg.com/media/FfWSCSMWYAEFu3N.jpg", "http://pbs.twimg.com/media/FfWSCSMWYAEFu3N.jpg")</f>
        <v>http://pbs.twimg.com/media/FfWSCSMWYAEFu3N.jpg</v>
      </c>
      <c r="I1130" t="str">
        <f>HYPERLINK("http://pbs.twimg.com/media/FfWSCSPWAAAaQTY.jpg", "http://pbs.twimg.com/media/FfWSCSPWAAAaQTY.jpg")</f>
        <v>http://pbs.twimg.com/media/FfWSCSPWAAAaQTY.jpg</v>
      </c>
      <c r="L1130">
        <v>0</v>
      </c>
      <c r="M1130">
        <v>0</v>
      </c>
      <c r="N1130">
        <v>1</v>
      </c>
      <c r="O1130">
        <v>0</v>
      </c>
    </row>
    <row r="1131" spans="1:15" x14ac:dyDescent="0.2">
      <c r="A1131" s="1" t="str">
        <f>HYPERLINK("http://www.twitter.com/banuakdenizli/status/1582413802733043712", "1582413802733043712")</f>
        <v>1582413802733043712</v>
      </c>
      <c r="B1131" t="s">
        <v>15</v>
      </c>
      <c r="C1131" s="2">
        <v>44852.701678240737</v>
      </c>
      <c r="D1131">
        <v>0</v>
      </c>
      <c r="E1131">
        <v>1</v>
      </c>
      <c r="F1131" t="s">
        <v>29</v>
      </c>
      <c r="G1131" t="s">
        <v>1204</v>
      </c>
      <c r="H1131" t="str">
        <f>HYPERLINK("http://pbs.twimg.com/media/FfTcuTWWQBQbBQz.jpg", "http://pbs.twimg.com/media/FfTcuTWWQBQbBQz.jpg")</f>
        <v>http://pbs.twimg.com/media/FfTcuTWWQBQbBQz.jpg</v>
      </c>
      <c r="I1131" t="str">
        <f>HYPERLINK("http://pbs.twimg.com/media/FfTcuTBWQA4ri5y.jpg", "http://pbs.twimg.com/media/FfTcuTBWQA4ri5y.jpg")</f>
        <v>http://pbs.twimg.com/media/FfTcuTBWQA4ri5y.jpg</v>
      </c>
      <c r="J1131" t="str">
        <f>HYPERLINK("http://pbs.twimg.com/media/FfTcuTJWIAAt5Ct.jpg", "http://pbs.twimg.com/media/FfTcuTJWIAAt5Ct.jpg")</f>
        <v>http://pbs.twimg.com/media/FfTcuTJWIAAt5Ct.jpg</v>
      </c>
      <c r="K1131" t="str">
        <f>HYPERLINK("http://pbs.twimg.com/media/FfTcuTkWQAMTXx8.jpg", "http://pbs.twimg.com/media/FfTcuTkWQAMTXx8.jpg")</f>
        <v>http://pbs.twimg.com/media/FfTcuTkWQAMTXx8.jpg</v>
      </c>
      <c r="L1131">
        <v>0.80159999999999998</v>
      </c>
      <c r="M1131">
        <v>0</v>
      </c>
      <c r="N1131">
        <v>0.68700000000000006</v>
      </c>
      <c r="O1131">
        <v>0.313</v>
      </c>
    </row>
    <row r="1132" spans="1:15" x14ac:dyDescent="0.2">
      <c r="A1132" s="1" t="str">
        <f>HYPERLINK("http://www.twitter.com/banuakdenizli/status/1582413620599607296", "1582413620599607296")</f>
        <v>1582413620599607296</v>
      </c>
      <c r="B1132" t="s">
        <v>15</v>
      </c>
      <c r="C1132" s="2">
        <v>44852.701168981483</v>
      </c>
      <c r="D1132">
        <v>0</v>
      </c>
      <c r="E1132">
        <v>2</v>
      </c>
      <c r="F1132" t="s">
        <v>29</v>
      </c>
      <c r="G1132" t="s">
        <v>1205</v>
      </c>
      <c r="H1132" t="str">
        <f>HYPERLINK("http://pbs.twimg.com/media/FfWsIXhWQAA03Lw.jpg", "http://pbs.twimg.com/media/FfWsIXhWQAA03Lw.jpg")</f>
        <v>http://pbs.twimg.com/media/FfWsIXhWQAA03Lw.jpg</v>
      </c>
      <c r="L1132">
        <v>0</v>
      </c>
      <c r="M1132">
        <v>0</v>
      </c>
      <c r="N1132">
        <v>1</v>
      </c>
      <c r="O1132">
        <v>0</v>
      </c>
    </row>
    <row r="1133" spans="1:15" x14ac:dyDescent="0.2">
      <c r="A1133" s="1" t="str">
        <f>HYPERLINK("http://www.twitter.com/banuakdenizli/status/1582413242122797056", "1582413242122797056")</f>
        <v>1582413242122797056</v>
      </c>
      <c r="B1133" t="s">
        <v>15</v>
      </c>
      <c r="C1133" s="2">
        <v>44852.700127314813</v>
      </c>
      <c r="D1133">
        <v>0</v>
      </c>
      <c r="E1133">
        <v>1</v>
      </c>
      <c r="F1133" t="s">
        <v>29</v>
      </c>
      <c r="G1133" t="s">
        <v>1206</v>
      </c>
      <c r="H1133" t="str">
        <f>HYPERLINK("http://pbs.twimg.com/media/FfXDpAXXoAI2P5J.jpg", "http://pbs.twimg.com/media/FfXDpAXXoAI2P5J.jpg")</f>
        <v>http://pbs.twimg.com/media/FfXDpAXXoAI2P5J.jpg</v>
      </c>
      <c r="I1133" t="str">
        <f>HYPERLINK("http://pbs.twimg.com/media/FfXDpAVXoAAwbT1.jpg", "http://pbs.twimg.com/media/FfXDpAVXoAAwbT1.jpg")</f>
        <v>http://pbs.twimg.com/media/FfXDpAVXoAAwbT1.jpg</v>
      </c>
      <c r="J1133" t="str">
        <f>HYPERLINK("http://pbs.twimg.com/media/FfXDpAbWAAEEMB8.jpg", "http://pbs.twimg.com/media/FfXDpAbWAAEEMB8.jpg")</f>
        <v>http://pbs.twimg.com/media/FfXDpAbWAAEEMB8.jpg</v>
      </c>
      <c r="K1133" t="str">
        <f>HYPERLINK("http://pbs.twimg.com/media/FfXDpANXkAItJ5h.jpg", "http://pbs.twimg.com/media/FfXDpANXkAItJ5h.jpg")</f>
        <v>http://pbs.twimg.com/media/FfXDpANXkAItJ5h.jpg</v>
      </c>
      <c r="L1133">
        <v>0</v>
      </c>
      <c r="M1133">
        <v>0</v>
      </c>
      <c r="N1133">
        <v>1</v>
      </c>
      <c r="O1133">
        <v>0</v>
      </c>
    </row>
    <row r="1134" spans="1:15" x14ac:dyDescent="0.2">
      <c r="A1134" s="1" t="str">
        <f>HYPERLINK("http://www.twitter.com/banuakdenizli/status/1582413218240073735", "1582413218240073735")</f>
        <v>1582413218240073735</v>
      </c>
      <c r="B1134" t="s">
        <v>15</v>
      </c>
      <c r="C1134" s="2">
        <v>44852.700057870366</v>
      </c>
      <c r="D1134">
        <v>0</v>
      </c>
      <c r="E1134">
        <v>1</v>
      </c>
      <c r="F1134" t="s">
        <v>29</v>
      </c>
      <c r="G1134" t="s">
        <v>1207</v>
      </c>
      <c r="H1134" t="str">
        <f>HYPERLINK("http://pbs.twimg.com/media/FfWLErGXEAA73F_.jpg", "http://pbs.twimg.com/media/FfWLErGXEAA73F_.jpg")</f>
        <v>http://pbs.twimg.com/media/FfWLErGXEAA73F_.jpg</v>
      </c>
      <c r="I1134" t="str">
        <f>HYPERLINK("http://pbs.twimg.com/media/FfWLErEWIAASEq3.jpg", "http://pbs.twimg.com/media/FfWLErEWIAASEq3.jpg")</f>
        <v>http://pbs.twimg.com/media/FfWLErEWIAASEq3.jpg</v>
      </c>
      <c r="L1134">
        <v>0</v>
      </c>
      <c r="M1134">
        <v>0</v>
      </c>
      <c r="N1134">
        <v>1</v>
      </c>
      <c r="O1134">
        <v>0</v>
      </c>
    </row>
    <row r="1135" spans="1:15" x14ac:dyDescent="0.2">
      <c r="A1135" s="1" t="str">
        <f>HYPERLINK("http://www.twitter.com/banuakdenizli/status/1582413192810336256", "1582413192810336256")</f>
        <v>1582413192810336256</v>
      </c>
      <c r="B1135" t="s">
        <v>15</v>
      </c>
      <c r="C1135" s="2">
        <v>44852.699988425928</v>
      </c>
      <c r="D1135">
        <v>0</v>
      </c>
      <c r="E1135">
        <v>2</v>
      </c>
      <c r="F1135" t="s">
        <v>29</v>
      </c>
      <c r="G1135" t="s">
        <v>1208</v>
      </c>
      <c r="H1135" t="str">
        <f>HYPERLINK("http://pbs.twimg.com/media/FfV_M4dWYAAIzU8.jpg", "http://pbs.twimg.com/media/FfV_M4dWYAAIzU8.jpg")</f>
        <v>http://pbs.twimg.com/media/FfV_M4dWYAAIzU8.jpg</v>
      </c>
      <c r="L1135">
        <v>0</v>
      </c>
      <c r="M1135">
        <v>0</v>
      </c>
      <c r="N1135">
        <v>1</v>
      </c>
      <c r="O1135">
        <v>0</v>
      </c>
    </row>
    <row r="1136" spans="1:15" x14ac:dyDescent="0.2">
      <c r="A1136" s="1" t="str">
        <f>HYPERLINK("http://www.twitter.com/banuakdenizli/status/1582413170148519936", "1582413170148519936")</f>
        <v>1582413170148519936</v>
      </c>
      <c r="B1136" t="s">
        <v>15</v>
      </c>
      <c r="C1136" s="2">
        <v>44852.699930555558</v>
      </c>
      <c r="D1136">
        <v>0</v>
      </c>
      <c r="E1136">
        <v>9</v>
      </c>
      <c r="F1136" t="s">
        <v>42</v>
      </c>
      <c r="G1136" t="s">
        <v>1209</v>
      </c>
      <c r="H1136" t="str">
        <f>HYPERLINK("http://pbs.twimg.com/media/FfW9fTKXwAAhoTt.jpg", "http://pbs.twimg.com/media/FfW9fTKXwAAhoTt.jpg")</f>
        <v>http://pbs.twimg.com/media/FfW9fTKXwAAhoTt.jpg</v>
      </c>
      <c r="I1136" t="str">
        <f>HYPERLINK("http://pbs.twimg.com/media/FfW9fjwWQAMEULC.jpg", "http://pbs.twimg.com/media/FfW9fjwWQAMEULC.jpg")</f>
        <v>http://pbs.twimg.com/media/FfW9fjwWQAMEULC.jpg</v>
      </c>
      <c r="J1136" t="str">
        <f>HYPERLINK("http://pbs.twimg.com/media/FfW9fyhWYAAeOu6.jpg", "http://pbs.twimg.com/media/FfW9fyhWYAAeOu6.jpg")</f>
        <v>http://pbs.twimg.com/media/FfW9fyhWYAAeOu6.jpg</v>
      </c>
      <c r="L1136">
        <v>0</v>
      </c>
      <c r="M1136">
        <v>0</v>
      </c>
      <c r="N1136">
        <v>1</v>
      </c>
      <c r="O1136">
        <v>0</v>
      </c>
    </row>
    <row r="1137" spans="1:15" x14ac:dyDescent="0.2">
      <c r="A1137" s="1" t="str">
        <f>HYPERLINK("http://www.twitter.com/banuakdenizli/status/1582413144365797390", "1582413144365797390")</f>
        <v>1582413144365797390</v>
      </c>
      <c r="B1137" t="s">
        <v>15</v>
      </c>
      <c r="C1137" s="2">
        <v>44852.699861111112</v>
      </c>
      <c r="D1137">
        <v>0</v>
      </c>
      <c r="E1137">
        <v>69</v>
      </c>
      <c r="F1137" t="s">
        <v>28</v>
      </c>
      <c r="G1137" t="s">
        <v>1210</v>
      </c>
      <c r="H1137" t="str">
        <f>HYPERLINK("http://pbs.twimg.com/media/FfXYIDiWYAA9y9O.jpg", "http://pbs.twimg.com/media/FfXYIDiWYAA9y9O.jpg")</f>
        <v>http://pbs.twimg.com/media/FfXYIDiWYAA9y9O.jpg</v>
      </c>
      <c r="I1137" t="str">
        <f>HYPERLINK("http://pbs.twimg.com/media/FfXYIDfWAAMCsl2.jpg", "http://pbs.twimg.com/media/FfXYIDfWAAMCsl2.jpg")</f>
        <v>http://pbs.twimg.com/media/FfXYIDfWAAMCsl2.jpg</v>
      </c>
      <c r="J1137" t="str">
        <f>HYPERLINK("http://pbs.twimg.com/media/FfXYIDfXEAAWwuE.jpg", "http://pbs.twimg.com/media/FfXYIDfXEAAWwuE.jpg")</f>
        <v>http://pbs.twimg.com/media/FfXYIDfXEAAWwuE.jpg</v>
      </c>
      <c r="L1137">
        <v>0</v>
      </c>
      <c r="M1137">
        <v>0</v>
      </c>
      <c r="N1137">
        <v>1</v>
      </c>
      <c r="O1137">
        <v>0</v>
      </c>
    </row>
    <row r="1138" spans="1:15" x14ac:dyDescent="0.2">
      <c r="A1138" s="1" t="str">
        <f>HYPERLINK("http://www.twitter.com/banuakdenizli/status/1582398620170452992", "1582398620170452992")</f>
        <v>1582398620170452992</v>
      </c>
      <c r="B1138" t="s">
        <v>15</v>
      </c>
      <c r="C1138" s="2">
        <v>44852.659780092603</v>
      </c>
      <c r="D1138">
        <v>0</v>
      </c>
      <c r="E1138">
        <v>10</v>
      </c>
      <c r="F1138" t="s">
        <v>29</v>
      </c>
      <c r="G1138" t="s">
        <v>1211</v>
      </c>
      <c r="H1138" t="str">
        <f>HYPERLINK("http://pbs.twimg.com/media/FfWQ2tcXgAANc0z.jpg", "http://pbs.twimg.com/media/FfWQ2tcXgAANc0z.jpg")</f>
        <v>http://pbs.twimg.com/media/FfWQ2tcXgAANc0z.jpg</v>
      </c>
      <c r="L1138">
        <v>0</v>
      </c>
      <c r="M1138">
        <v>0</v>
      </c>
      <c r="N1138">
        <v>1</v>
      </c>
      <c r="O1138">
        <v>0</v>
      </c>
    </row>
    <row r="1139" spans="1:15" x14ac:dyDescent="0.2">
      <c r="A1139" s="1" t="str">
        <f>HYPERLINK("http://www.twitter.com/banuakdenizli/status/1582398597596819457", "1582398597596819457")</f>
        <v>1582398597596819457</v>
      </c>
      <c r="B1139" t="s">
        <v>15</v>
      </c>
      <c r="C1139" s="2">
        <v>44852.659710648149</v>
      </c>
      <c r="D1139">
        <v>0</v>
      </c>
      <c r="E1139">
        <v>5</v>
      </c>
      <c r="F1139" t="s">
        <v>29</v>
      </c>
      <c r="G1139" t="s">
        <v>1212</v>
      </c>
      <c r="H1139" t="str">
        <f>HYPERLINK("http://pbs.twimg.com/media/FfWR4a5XkAA7tdZ.jpg", "http://pbs.twimg.com/media/FfWR4a5XkAA7tdZ.jpg")</f>
        <v>http://pbs.twimg.com/media/FfWR4a5XkAA7tdZ.jpg</v>
      </c>
      <c r="I1139" t="str">
        <f>HYPERLINK("http://pbs.twimg.com/media/FfWR4bkXoAEdvFX.jpg", "http://pbs.twimg.com/media/FfWR4bkXoAEdvFX.jpg")</f>
        <v>http://pbs.twimg.com/media/FfWR4bkXoAEdvFX.jpg</v>
      </c>
      <c r="L1139">
        <v>0</v>
      </c>
      <c r="M1139">
        <v>0</v>
      </c>
      <c r="N1139">
        <v>1</v>
      </c>
      <c r="O1139">
        <v>0</v>
      </c>
    </row>
    <row r="1140" spans="1:15" x14ac:dyDescent="0.2">
      <c r="A1140" s="1" t="str">
        <f>HYPERLINK("http://www.twitter.com/banuakdenizli/status/1582398563694579714", "1582398563694579714")</f>
        <v>1582398563694579714</v>
      </c>
      <c r="B1140" t="s">
        <v>15</v>
      </c>
      <c r="C1140" s="2">
        <v>44852.659618055557</v>
      </c>
      <c r="D1140">
        <v>0</v>
      </c>
      <c r="E1140">
        <v>9</v>
      </c>
      <c r="F1140" t="s">
        <v>17</v>
      </c>
      <c r="G1140" t="s">
        <v>1213</v>
      </c>
      <c r="H1140" t="str">
        <f>HYPERLINK("http://pbs.twimg.com/media/FfXIQ9ZWQAErn5R.jpg", "http://pbs.twimg.com/media/FfXIQ9ZWQAErn5R.jpg")</f>
        <v>http://pbs.twimg.com/media/FfXIQ9ZWQAErn5R.jpg</v>
      </c>
      <c r="L1140">
        <v>-0.80200000000000005</v>
      </c>
      <c r="M1140">
        <v>0.254</v>
      </c>
      <c r="N1140">
        <v>0.64300000000000002</v>
      </c>
      <c r="O1140">
        <v>0.10199999999999999</v>
      </c>
    </row>
    <row r="1141" spans="1:15" x14ac:dyDescent="0.2">
      <c r="A1141" s="1" t="str">
        <f>HYPERLINK("http://www.twitter.com/banuakdenizli/status/1582398538889109504", "1582398538889109504")</f>
        <v>1582398538889109504</v>
      </c>
      <c r="B1141" t="s">
        <v>15</v>
      </c>
      <c r="C1141" s="2">
        <v>44852.659548611111</v>
      </c>
      <c r="D1141">
        <v>0</v>
      </c>
      <c r="E1141">
        <v>12</v>
      </c>
      <c r="F1141" t="s">
        <v>17</v>
      </c>
      <c r="G1141" t="s">
        <v>1214</v>
      </c>
      <c r="H1141" t="str">
        <f>HYPERLINK("http://pbs.twimg.com/media/FfW5Nl_XkAA4G5i.jpg", "http://pbs.twimg.com/media/FfW5Nl_XkAA4G5i.jpg")</f>
        <v>http://pbs.twimg.com/media/FfW5Nl_XkAA4G5i.jpg</v>
      </c>
      <c r="I1141" t="str">
        <f>HYPERLINK("http://pbs.twimg.com/media/FfW5Nl1XgAIwwRT.jpg", "http://pbs.twimg.com/media/FfW5Nl1XgAIwwRT.jpg")</f>
        <v>http://pbs.twimg.com/media/FfW5Nl1XgAIwwRT.jpg</v>
      </c>
      <c r="J1141" t="str">
        <f>HYPERLINK("http://pbs.twimg.com/media/FfW5QdQWQAAhYL7.jpg", "http://pbs.twimg.com/media/FfW5QdQWQAAhYL7.jpg")</f>
        <v>http://pbs.twimg.com/media/FfW5QdQWQAAhYL7.jpg</v>
      </c>
      <c r="K1141" t="str">
        <f>HYPERLINK("http://pbs.twimg.com/media/FfW5QdXWIAA4VFu.jpg", "http://pbs.twimg.com/media/FfW5QdXWIAA4VFu.jpg")</f>
        <v>http://pbs.twimg.com/media/FfW5QdXWIAA4VFu.jpg</v>
      </c>
      <c r="L1141">
        <v>0</v>
      </c>
      <c r="M1141">
        <v>0</v>
      </c>
      <c r="N1141">
        <v>1</v>
      </c>
      <c r="O1141">
        <v>0</v>
      </c>
    </row>
    <row r="1142" spans="1:15" x14ac:dyDescent="0.2">
      <c r="A1142" s="1" t="str">
        <f>HYPERLINK("http://www.twitter.com/banuakdenizli/status/1582398449328467969", "1582398449328467969")</f>
        <v>1582398449328467969</v>
      </c>
      <c r="B1142" t="s">
        <v>15</v>
      </c>
      <c r="C1142" s="2">
        <v>44852.659305555557</v>
      </c>
      <c r="D1142">
        <v>0</v>
      </c>
      <c r="E1142">
        <v>10</v>
      </c>
      <c r="F1142" t="s">
        <v>17</v>
      </c>
      <c r="G1142" t="s">
        <v>1215</v>
      </c>
      <c r="H1142" t="str">
        <f>HYPERLINK("http://pbs.twimg.com/media/FfXHKW4XoAEPfnV.jpg", "http://pbs.twimg.com/media/FfXHKW4XoAEPfnV.jpg")</f>
        <v>http://pbs.twimg.com/media/FfXHKW4XoAEPfnV.jpg</v>
      </c>
      <c r="L1142">
        <v>0</v>
      </c>
      <c r="M1142">
        <v>0</v>
      </c>
      <c r="N1142">
        <v>1</v>
      </c>
      <c r="O1142">
        <v>0</v>
      </c>
    </row>
    <row r="1143" spans="1:15" x14ac:dyDescent="0.2">
      <c r="A1143" s="1" t="str">
        <f>HYPERLINK("http://www.twitter.com/banuakdenizli/status/1582398435072040961", "1582398435072040961")</f>
        <v>1582398435072040961</v>
      </c>
      <c r="B1143" t="s">
        <v>15</v>
      </c>
      <c r="C1143" s="2">
        <v>44852.659270833326</v>
      </c>
      <c r="D1143">
        <v>0</v>
      </c>
      <c r="E1143">
        <v>8</v>
      </c>
      <c r="F1143" t="s">
        <v>16</v>
      </c>
      <c r="G1143" t="s">
        <v>1216</v>
      </c>
      <c r="H1143" t="str">
        <f>HYPERLINK("http://pbs.twimg.com/media/FfW24hQWQAM4m6K.jpg", "http://pbs.twimg.com/media/FfW24hQWQAM4m6K.jpg")</f>
        <v>http://pbs.twimg.com/media/FfW24hQWQAM4m6K.jpg</v>
      </c>
      <c r="L1143">
        <v>0</v>
      </c>
      <c r="M1143">
        <v>0</v>
      </c>
      <c r="N1143">
        <v>1</v>
      </c>
      <c r="O1143">
        <v>0</v>
      </c>
    </row>
    <row r="1144" spans="1:15" x14ac:dyDescent="0.2">
      <c r="A1144" s="1" t="str">
        <f>HYPERLINK("http://www.twitter.com/banuakdenizli/status/1582398418286448641", "1582398418286448641")</f>
        <v>1582398418286448641</v>
      </c>
      <c r="B1144" t="s">
        <v>15</v>
      </c>
      <c r="C1144" s="2">
        <v>44852.659224537027</v>
      </c>
      <c r="D1144">
        <v>0</v>
      </c>
      <c r="E1144">
        <v>9</v>
      </c>
      <c r="F1144" t="s">
        <v>17</v>
      </c>
      <c r="G1144" t="s">
        <v>1217</v>
      </c>
      <c r="H1144" t="str">
        <f>HYPERLINK("http://pbs.twimg.com/media/FfXFhCbWIAABfzw.jpg", "http://pbs.twimg.com/media/FfXFhCbWIAABfzw.jpg")</f>
        <v>http://pbs.twimg.com/media/FfXFhCbWIAABfzw.jpg</v>
      </c>
      <c r="I1144" t="str">
        <f>HYPERLINK("http://pbs.twimg.com/media/FfXFnqHWAAAKxSz.jpg", "http://pbs.twimg.com/media/FfXFnqHWAAAKxSz.jpg")</f>
        <v>http://pbs.twimg.com/media/FfXFnqHWAAAKxSz.jpg</v>
      </c>
      <c r="J1144" t="str">
        <f>HYPERLINK("http://pbs.twimg.com/media/FfXFnqQXEAU7IWD.jpg", "http://pbs.twimg.com/media/FfXFnqQXEAU7IWD.jpg")</f>
        <v>http://pbs.twimg.com/media/FfXFnqQXEAU7IWD.jpg</v>
      </c>
      <c r="L1144">
        <v>0</v>
      </c>
      <c r="M1144">
        <v>0</v>
      </c>
      <c r="N1144">
        <v>1</v>
      </c>
      <c r="O1144">
        <v>0</v>
      </c>
    </row>
    <row r="1145" spans="1:15" x14ac:dyDescent="0.2">
      <c r="A1145" s="1" t="str">
        <f>HYPERLINK("http://www.twitter.com/banuakdenizli/status/1582398396341460992", "1582398396341460992")</f>
        <v>1582398396341460992</v>
      </c>
      <c r="B1145" t="s">
        <v>15</v>
      </c>
      <c r="C1145" s="2">
        <v>44852.659155092602</v>
      </c>
      <c r="D1145">
        <v>0</v>
      </c>
      <c r="E1145">
        <v>13</v>
      </c>
      <c r="F1145" t="s">
        <v>16</v>
      </c>
      <c r="G1145" t="s">
        <v>1218</v>
      </c>
      <c r="H1145" t="str">
        <f>HYPERLINK("http://pbs.twimg.com/media/FfW2EmDXgAEGQg6.jpg", "http://pbs.twimg.com/media/FfW2EmDXgAEGQg6.jpg")</f>
        <v>http://pbs.twimg.com/media/FfW2EmDXgAEGQg6.jpg</v>
      </c>
      <c r="I1145" t="str">
        <f>HYPERLINK("http://pbs.twimg.com/media/FfW2El6X0AYu_Wc.jpg", "http://pbs.twimg.com/media/FfW2El6X0AYu_Wc.jpg")</f>
        <v>http://pbs.twimg.com/media/FfW2El6X0AYu_Wc.jpg</v>
      </c>
      <c r="J1145" t="str">
        <f>HYPERLINK("http://pbs.twimg.com/media/FfW2EmHXgAM4fxw.jpg", "http://pbs.twimg.com/media/FfW2EmHXgAM4fxw.jpg")</f>
        <v>http://pbs.twimg.com/media/FfW2EmHXgAM4fxw.jpg</v>
      </c>
      <c r="L1145">
        <v>0</v>
      </c>
      <c r="M1145">
        <v>0</v>
      </c>
      <c r="N1145">
        <v>1</v>
      </c>
      <c r="O1145">
        <v>0</v>
      </c>
    </row>
    <row r="1146" spans="1:15" x14ac:dyDescent="0.2">
      <c r="A1146" s="1" t="str">
        <f>HYPERLINK("http://www.twitter.com/banuakdenizli/status/1582398331484925952", "1582398331484925952")</f>
        <v>1582398331484925952</v>
      </c>
      <c r="B1146" t="s">
        <v>15</v>
      </c>
      <c r="C1146" s="2">
        <v>44852.65898148148</v>
      </c>
      <c r="D1146">
        <v>0</v>
      </c>
      <c r="E1146">
        <v>76</v>
      </c>
      <c r="F1146" t="s">
        <v>18</v>
      </c>
      <c r="G1146" t="s">
        <v>1219</v>
      </c>
      <c r="L1146">
        <v>0</v>
      </c>
      <c r="M1146">
        <v>0</v>
      </c>
      <c r="N1146">
        <v>1</v>
      </c>
      <c r="O1146">
        <v>0</v>
      </c>
    </row>
    <row r="1147" spans="1:15" x14ac:dyDescent="0.2">
      <c r="A1147" s="1" t="str">
        <f>HYPERLINK("http://www.twitter.com/banuakdenizli/status/1582370891773550594", "1582370891773550594")</f>
        <v>1582370891773550594</v>
      </c>
      <c r="B1147" t="s">
        <v>15</v>
      </c>
      <c r="C1147" s="2">
        <v>44852.58326388889</v>
      </c>
      <c r="D1147">
        <v>0</v>
      </c>
      <c r="E1147">
        <v>6</v>
      </c>
      <c r="F1147" t="s">
        <v>16</v>
      </c>
      <c r="G1147" t="s">
        <v>1220</v>
      </c>
      <c r="H1147" t="str">
        <f>HYPERLINK("http://pbs.twimg.com/media/FfWlw3gXoAEJifq.jpg", "http://pbs.twimg.com/media/FfWlw3gXoAEJifq.jpg")</f>
        <v>http://pbs.twimg.com/media/FfWlw3gXoAEJifq.jpg</v>
      </c>
      <c r="L1147">
        <v>0</v>
      </c>
      <c r="M1147">
        <v>0</v>
      </c>
      <c r="N1147">
        <v>1</v>
      </c>
      <c r="O1147">
        <v>0</v>
      </c>
    </row>
    <row r="1148" spans="1:15" x14ac:dyDescent="0.2">
      <c r="A1148" s="1" t="str">
        <f>HYPERLINK("http://www.twitter.com/banuakdenizli/status/1582370826296270848", "1582370826296270848")</f>
        <v>1582370826296270848</v>
      </c>
      <c r="B1148" t="s">
        <v>15</v>
      </c>
      <c r="C1148" s="2">
        <v>44852.583078703698</v>
      </c>
      <c r="D1148">
        <v>0</v>
      </c>
      <c r="E1148">
        <v>34</v>
      </c>
      <c r="F1148" t="s">
        <v>28</v>
      </c>
      <c r="G1148" t="s">
        <v>1221</v>
      </c>
      <c r="H1148" t="str">
        <f>HYPERLINK("http://pbs.twimg.com/media/FfWF53PWAAEuIaC.jpg", "http://pbs.twimg.com/media/FfWF53PWAAEuIaC.jpg")</f>
        <v>http://pbs.twimg.com/media/FfWF53PWAAEuIaC.jpg</v>
      </c>
      <c r="L1148">
        <v>0</v>
      </c>
      <c r="M1148">
        <v>0</v>
      </c>
      <c r="N1148">
        <v>1</v>
      </c>
      <c r="O1148">
        <v>0</v>
      </c>
    </row>
    <row r="1149" spans="1:15" x14ac:dyDescent="0.2">
      <c r="A1149" s="1" t="str">
        <f>HYPERLINK("http://www.twitter.com/banuakdenizli/status/1582370533832032257", "1582370533832032257")</f>
        <v>1582370533832032257</v>
      </c>
      <c r="B1149" t="s">
        <v>15</v>
      </c>
      <c r="C1149" s="2">
        <v>44852.582268518519</v>
      </c>
      <c r="D1149">
        <v>0</v>
      </c>
      <c r="E1149">
        <v>16</v>
      </c>
      <c r="F1149" t="s">
        <v>16</v>
      </c>
      <c r="G1149" t="s">
        <v>1222</v>
      </c>
      <c r="H1149" t="str">
        <f>HYPERLINK("http://pbs.twimg.com/media/FfWg-GRWQAIRvln.jpg", "http://pbs.twimg.com/media/FfWg-GRWQAIRvln.jpg")</f>
        <v>http://pbs.twimg.com/media/FfWg-GRWQAIRvln.jpg</v>
      </c>
      <c r="I1149" t="str">
        <f>HYPERLINK("http://pbs.twimg.com/media/FfWhGUVWAAE2Fk7.jpg", "http://pbs.twimg.com/media/FfWhGUVWAAE2Fk7.jpg")</f>
        <v>http://pbs.twimg.com/media/FfWhGUVWAAE2Fk7.jpg</v>
      </c>
      <c r="J1149" t="str">
        <f>HYPERLINK("http://pbs.twimg.com/media/FfWhHqbWYAAjVes.jpg", "http://pbs.twimg.com/media/FfWhHqbWYAAjVes.jpg")</f>
        <v>http://pbs.twimg.com/media/FfWhHqbWYAAjVes.jpg</v>
      </c>
      <c r="K1149" t="str">
        <f>HYPERLINK("http://pbs.twimg.com/media/FfWhHquXEAAVUD4.jpg", "http://pbs.twimg.com/media/FfWhHquXEAAVUD4.jpg")</f>
        <v>http://pbs.twimg.com/media/FfWhHquXEAAVUD4.jpg</v>
      </c>
      <c r="L1149">
        <v>0</v>
      </c>
      <c r="M1149">
        <v>0</v>
      </c>
      <c r="N1149">
        <v>1</v>
      </c>
      <c r="O1149">
        <v>0</v>
      </c>
    </row>
    <row r="1150" spans="1:15" x14ac:dyDescent="0.2">
      <c r="A1150" s="1" t="str">
        <f>HYPERLINK("http://www.twitter.com/banuakdenizli/status/1582370461320896512", "1582370461320896512")</f>
        <v>1582370461320896512</v>
      </c>
      <c r="B1150" t="s">
        <v>15</v>
      </c>
      <c r="C1150" s="2">
        <v>44852.582071759258</v>
      </c>
      <c r="D1150">
        <v>0</v>
      </c>
      <c r="E1150">
        <v>998</v>
      </c>
      <c r="F1150" t="s">
        <v>27</v>
      </c>
      <c r="G1150" t="s">
        <v>1223</v>
      </c>
      <c r="H1150" t="str">
        <f>HYPERLINK("http://pbs.twimg.com/media/FfWL0h-WYAAokZm.jpg", "http://pbs.twimg.com/media/FfWL0h-WYAAokZm.jpg")</f>
        <v>http://pbs.twimg.com/media/FfWL0h-WYAAokZm.jpg</v>
      </c>
      <c r="I1150" t="str">
        <f>HYPERLINK("http://pbs.twimg.com/media/FfWL0iBWIAAVXpy.jpg", "http://pbs.twimg.com/media/FfWL0iBWIAAVXpy.jpg")</f>
        <v>http://pbs.twimg.com/media/FfWL0iBWIAAVXpy.jpg</v>
      </c>
      <c r="J1150" t="str">
        <f>HYPERLINK("http://pbs.twimg.com/media/FfWL0h6XwAEpwbV.jpg", "http://pbs.twimg.com/media/FfWL0h6XwAEpwbV.jpg")</f>
        <v>http://pbs.twimg.com/media/FfWL0h6XwAEpwbV.jpg</v>
      </c>
      <c r="L1150">
        <v>0</v>
      </c>
      <c r="M1150">
        <v>0</v>
      </c>
      <c r="N1150">
        <v>1</v>
      </c>
      <c r="O1150">
        <v>0</v>
      </c>
    </row>
    <row r="1151" spans="1:15" x14ac:dyDescent="0.2">
      <c r="A1151" s="1" t="str">
        <f>HYPERLINK("http://www.twitter.com/banuakdenizli/status/1582370342898921472", "1582370342898921472")</f>
        <v>1582370342898921472</v>
      </c>
      <c r="B1151" t="s">
        <v>15</v>
      </c>
      <c r="C1151" s="2">
        <v>44852.581747685188</v>
      </c>
      <c r="D1151">
        <v>0</v>
      </c>
      <c r="E1151">
        <v>6</v>
      </c>
      <c r="F1151" t="s">
        <v>16</v>
      </c>
      <c r="G1151" t="s">
        <v>1224</v>
      </c>
      <c r="H1151" t="str">
        <f>HYPERLINK("http://pbs.twimg.com/media/FfWT_oMXkAAALC-.jpg", "http://pbs.twimg.com/media/FfWT_oMXkAAALC-.jpg")</f>
        <v>http://pbs.twimg.com/media/FfWT_oMXkAAALC-.jpg</v>
      </c>
      <c r="L1151">
        <v>0</v>
      </c>
      <c r="M1151">
        <v>0</v>
      </c>
      <c r="N1151">
        <v>1</v>
      </c>
      <c r="O1151">
        <v>0</v>
      </c>
    </row>
    <row r="1152" spans="1:15" x14ac:dyDescent="0.2">
      <c r="A1152" s="1" t="str">
        <f>HYPERLINK("http://www.twitter.com/banuakdenizli/status/1582370309323526146", "1582370309323526146")</f>
        <v>1582370309323526146</v>
      </c>
      <c r="B1152" t="s">
        <v>15</v>
      </c>
      <c r="C1152" s="2">
        <v>44852.581655092603</v>
      </c>
      <c r="D1152">
        <v>0</v>
      </c>
      <c r="E1152">
        <v>87</v>
      </c>
      <c r="F1152" t="s">
        <v>28</v>
      </c>
      <c r="G1152" t="s">
        <v>1225</v>
      </c>
      <c r="H1152" t="str">
        <f>HYPERLINK("http://pbs.twimg.com/media/FfV2YgoWQAI-oG6.jpg", "http://pbs.twimg.com/media/FfV2YgoWQAI-oG6.jpg")</f>
        <v>http://pbs.twimg.com/media/FfV2YgoWQAI-oG6.jpg</v>
      </c>
      <c r="I1152" t="str">
        <f>HYPERLINK("http://pbs.twimg.com/media/FfV2YgqWAAAOjCI.jpg", "http://pbs.twimg.com/media/FfV2YgqWAAAOjCI.jpg")</f>
        <v>http://pbs.twimg.com/media/FfV2YgqWAAAOjCI.jpg</v>
      </c>
      <c r="J1152" t="str">
        <f>HYPERLINK("http://pbs.twimg.com/media/FfV2YglXwAI1QZe.jpg", "http://pbs.twimg.com/media/FfV2YglXwAI1QZe.jpg")</f>
        <v>http://pbs.twimg.com/media/FfV2YglXwAI1QZe.jpg</v>
      </c>
      <c r="K1152" t="str">
        <f>HYPERLINK("http://pbs.twimg.com/media/FfV2YgnXgAIKRdS.jpg", "http://pbs.twimg.com/media/FfV2YgnXgAIKRdS.jpg")</f>
        <v>http://pbs.twimg.com/media/FfV2YgnXgAIKRdS.jpg</v>
      </c>
      <c r="L1152">
        <v>0</v>
      </c>
      <c r="M1152">
        <v>0</v>
      </c>
      <c r="N1152">
        <v>1</v>
      </c>
      <c r="O1152">
        <v>0</v>
      </c>
    </row>
    <row r="1153" spans="1:15" x14ac:dyDescent="0.2">
      <c r="A1153" s="1" t="str">
        <f>HYPERLINK("http://www.twitter.com/banuakdenizli/status/1582370063352414208", "1582370063352414208")</f>
        <v>1582370063352414208</v>
      </c>
      <c r="B1153" t="s">
        <v>15</v>
      </c>
      <c r="C1153" s="2">
        <v>44852.580972222233</v>
      </c>
      <c r="D1153">
        <v>0</v>
      </c>
      <c r="E1153">
        <v>10</v>
      </c>
      <c r="F1153" t="s">
        <v>16</v>
      </c>
      <c r="G1153" t="s">
        <v>1226</v>
      </c>
      <c r="H1153" t="str">
        <f>HYPERLINK("http://pbs.twimg.com/media/FfWqwx-WIAMPN6r.jpg", "http://pbs.twimg.com/media/FfWqwx-WIAMPN6r.jpg")</f>
        <v>http://pbs.twimg.com/media/FfWqwx-WIAMPN6r.jpg</v>
      </c>
      <c r="I1153" t="str">
        <f>HYPERLINK("http://pbs.twimg.com/media/FfWqwyAXoAIomnJ.jpg", "http://pbs.twimg.com/media/FfWqwyAXoAIomnJ.jpg")</f>
        <v>http://pbs.twimg.com/media/FfWqwyAXoAIomnJ.jpg</v>
      </c>
      <c r="J1153" t="str">
        <f>HYPERLINK("http://pbs.twimg.com/media/FfWqwx7XwAU4k_E.jpg", "http://pbs.twimg.com/media/FfWqwx7XwAU4k_E.jpg")</f>
        <v>http://pbs.twimg.com/media/FfWqwx7XwAU4k_E.jpg</v>
      </c>
      <c r="L1153">
        <v>0</v>
      </c>
      <c r="M1153">
        <v>0</v>
      </c>
      <c r="N1153">
        <v>1</v>
      </c>
      <c r="O1153">
        <v>0</v>
      </c>
    </row>
    <row r="1154" spans="1:15" x14ac:dyDescent="0.2">
      <c r="A1154" s="1" t="str">
        <f>HYPERLINK("http://www.twitter.com/banuakdenizli/status/1582055707507298307", "1582055707507298307")</f>
        <v>1582055707507298307</v>
      </c>
      <c r="B1154" t="s">
        <v>15</v>
      </c>
      <c r="C1154" s="2">
        <v>44851.713518518518</v>
      </c>
      <c r="D1154">
        <v>0</v>
      </c>
      <c r="E1154">
        <v>5</v>
      </c>
      <c r="F1154" t="s">
        <v>30</v>
      </c>
      <c r="G1154" t="s">
        <v>1227</v>
      </c>
      <c r="H1154" t="str">
        <f>HYPERLINK("http://pbs.twimg.com/media/FfSUmzvXkAIKyJm.jpg", "http://pbs.twimg.com/media/FfSUmzvXkAIKyJm.jpg")</f>
        <v>http://pbs.twimg.com/media/FfSUmzvXkAIKyJm.jpg</v>
      </c>
      <c r="L1154">
        <v>0</v>
      </c>
      <c r="M1154">
        <v>0</v>
      </c>
      <c r="N1154">
        <v>1</v>
      </c>
      <c r="O1154">
        <v>0</v>
      </c>
    </row>
    <row r="1155" spans="1:15" x14ac:dyDescent="0.2">
      <c r="A1155" s="1" t="str">
        <f>HYPERLINK("http://www.twitter.com/banuakdenizli/status/1582055616113041410", "1582055616113041410")</f>
        <v>1582055616113041410</v>
      </c>
      <c r="B1155" t="s">
        <v>15</v>
      </c>
      <c r="C1155" s="2">
        <v>44851.713263888887</v>
      </c>
      <c r="D1155">
        <v>0</v>
      </c>
      <c r="E1155">
        <v>3</v>
      </c>
      <c r="F1155" t="s">
        <v>29</v>
      </c>
      <c r="G1155" t="s">
        <v>1228</v>
      </c>
      <c r="H1155" t="str">
        <f>HYPERLINK("http://pbs.twimg.com/media/FfSWznHWQAAPovY.jpg", "http://pbs.twimg.com/media/FfSWznHWQAAPovY.jpg")</f>
        <v>http://pbs.twimg.com/media/FfSWznHWQAAPovY.jpg</v>
      </c>
      <c r="I1155" t="str">
        <f>HYPERLINK("http://pbs.twimg.com/media/FfSWznHWIAMhM2k.jpg", "http://pbs.twimg.com/media/FfSWznHWIAMhM2k.jpg")</f>
        <v>http://pbs.twimg.com/media/FfSWznHWIAMhM2k.jpg</v>
      </c>
      <c r="L1155">
        <v>0</v>
      </c>
      <c r="M1155">
        <v>0</v>
      </c>
      <c r="N1155">
        <v>1</v>
      </c>
      <c r="O1155">
        <v>0</v>
      </c>
    </row>
    <row r="1156" spans="1:15" x14ac:dyDescent="0.2">
      <c r="A1156" s="1" t="str">
        <f>HYPERLINK("http://www.twitter.com/banuakdenizli/status/1582050522177056779", "1582050522177056779")</f>
        <v>1582050522177056779</v>
      </c>
      <c r="B1156" t="s">
        <v>15</v>
      </c>
      <c r="C1156" s="2">
        <v>44851.699212962973</v>
      </c>
      <c r="D1156">
        <v>0</v>
      </c>
      <c r="E1156">
        <v>8</v>
      </c>
      <c r="F1156" t="s">
        <v>756</v>
      </c>
      <c r="G1156" t="s">
        <v>1229</v>
      </c>
      <c r="H1156" t="str">
        <f>HYPERLINK("http://pbs.twimg.com/media/FfSBnrJXgAAAxkj.jpg", "http://pbs.twimg.com/media/FfSBnrJXgAAAxkj.jpg")</f>
        <v>http://pbs.twimg.com/media/FfSBnrJXgAAAxkj.jpg</v>
      </c>
      <c r="L1156">
        <v>0.52669999999999995</v>
      </c>
      <c r="M1156">
        <v>0</v>
      </c>
      <c r="N1156">
        <v>0.89600000000000002</v>
      </c>
      <c r="O1156">
        <v>0.104</v>
      </c>
    </row>
    <row r="1157" spans="1:15" x14ac:dyDescent="0.2">
      <c r="A1157" s="1" t="str">
        <f>HYPERLINK("http://www.twitter.com/banuakdenizli/status/1582046405215911938", "1582046405215911938")</f>
        <v>1582046405215911938</v>
      </c>
      <c r="B1157" t="s">
        <v>15</v>
      </c>
      <c r="C1157" s="2">
        <v>44851.687847222223</v>
      </c>
      <c r="D1157">
        <v>0</v>
      </c>
      <c r="E1157">
        <v>25</v>
      </c>
      <c r="F1157" t="s">
        <v>28</v>
      </c>
      <c r="G1157" t="s">
        <v>1230</v>
      </c>
      <c r="L1157">
        <v>0</v>
      </c>
      <c r="M1157">
        <v>0</v>
      </c>
      <c r="N1157">
        <v>1</v>
      </c>
      <c r="O1157">
        <v>0</v>
      </c>
    </row>
    <row r="1158" spans="1:15" x14ac:dyDescent="0.2">
      <c r="A1158" s="1" t="str">
        <f>HYPERLINK("http://www.twitter.com/banuakdenizli/status/1582011863948484609", "1582011863948484609")</f>
        <v>1582011863948484609</v>
      </c>
      <c r="B1158" t="s">
        <v>15</v>
      </c>
      <c r="C1158" s="2">
        <v>44851.592534722222</v>
      </c>
      <c r="D1158">
        <v>0</v>
      </c>
      <c r="E1158">
        <v>101</v>
      </c>
      <c r="F1158" t="s">
        <v>503</v>
      </c>
      <c r="G1158" t="s">
        <v>1231</v>
      </c>
      <c r="L1158">
        <v>0.29599999999999999</v>
      </c>
      <c r="M1158">
        <v>0</v>
      </c>
      <c r="N1158">
        <v>0.92500000000000004</v>
      </c>
      <c r="O1158">
        <v>7.4999999999999997E-2</v>
      </c>
    </row>
    <row r="1159" spans="1:15" x14ac:dyDescent="0.2">
      <c r="A1159" s="1" t="str">
        <f>HYPERLINK("http://www.twitter.com/banuakdenizli/status/1582011430714236928", "1582011430714236928")</f>
        <v>1582011430714236928</v>
      </c>
      <c r="B1159" t="s">
        <v>15</v>
      </c>
      <c r="C1159" s="2">
        <v>44851.59134259259</v>
      </c>
      <c r="D1159">
        <v>0</v>
      </c>
      <c r="E1159">
        <v>4</v>
      </c>
      <c r="F1159" t="s">
        <v>726</v>
      </c>
      <c r="G1159" t="s">
        <v>1232</v>
      </c>
      <c r="L1159">
        <v>0.29599999999999999</v>
      </c>
      <c r="M1159">
        <v>0</v>
      </c>
      <c r="N1159">
        <v>0.93400000000000005</v>
      </c>
      <c r="O1159">
        <v>6.6000000000000003E-2</v>
      </c>
    </row>
    <row r="1160" spans="1:15" x14ac:dyDescent="0.2">
      <c r="A1160" s="1" t="str">
        <f>HYPERLINK("http://www.twitter.com/banuakdenizli/status/1582010771646869505", "1582010771646869505")</f>
        <v>1582010771646869505</v>
      </c>
      <c r="B1160" t="s">
        <v>15</v>
      </c>
      <c r="C1160" s="2">
        <v>44851.589513888888</v>
      </c>
      <c r="D1160">
        <v>0</v>
      </c>
      <c r="E1160">
        <v>1</v>
      </c>
      <c r="F1160" t="s">
        <v>21</v>
      </c>
      <c r="G1160" t="s">
        <v>1233</v>
      </c>
      <c r="L1160">
        <v>-0.25</v>
      </c>
      <c r="M1160">
        <v>0.107</v>
      </c>
      <c r="N1160">
        <v>0.82599999999999996</v>
      </c>
      <c r="O1160">
        <v>6.6000000000000003E-2</v>
      </c>
    </row>
    <row r="1161" spans="1:15" x14ac:dyDescent="0.2">
      <c r="A1161" s="1" t="str">
        <f>HYPERLINK("http://www.twitter.com/banuakdenizli/status/1582010765698949120", "1582010765698949120")</f>
        <v>1582010765698949120</v>
      </c>
      <c r="B1161" t="s">
        <v>15</v>
      </c>
      <c r="C1161" s="2">
        <v>44851.589502314811</v>
      </c>
      <c r="D1161">
        <v>0</v>
      </c>
      <c r="E1161">
        <v>2</v>
      </c>
      <c r="F1161" t="s">
        <v>21</v>
      </c>
      <c r="G1161" t="s">
        <v>1234</v>
      </c>
      <c r="H1161" t="str">
        <f>HYPERLINK("http://pbs.twimg.com/media/FfRqnmbWIAAKnby.jpg", "http://pbs.twimg.com/media/FfRqnmbWIAAKnby.jpg")</f>
        <v>http://pbs.twimg.com/media/FfRqnmbWIAAKnby.jpg</v>
      </c>
      <c r="L1161">
        <v>0</v>
      </c>
      <c r="M1161">
        <v>0</v>
      </c>
      <c r="N1161">
        <v>1</v>
      </c>
      <c r="O1161">
        <v>0</v>
      </c>
    </row>
    <row r="1162" spans="1:15" x14ac:dyDescent="0.2">
      <c r="A1162" s="1" t="str">
        <f>HYPERLINK("http://www.twitter.com/banuakdenizli/status/1582001792313085959", "1582001792313085959")</f>
        <v>1582001792313085959</v>
      </c>
      <c r="B1162" t="s">
        <v>15</v>
      </c>
      <c r="C1162" s="2">
        <v>44851.564745370371</v>
      </c>
      <c r="D1162">
        <v>0</v>
      </c>
      <c r="E1162">
        <v>8</v>
      </c>
      <c r="F1162" t="s">
        <v>17</v>
      </c>
      <c r="G1162" t="s">
        <v>1235</v>
      </c>
      <c r="H1162" t="str">
        <f>HYPERLINK("http://pbs.twimg.com/media/FfDSWMNXkAEiJu2.jpg", "http://pbs.twimg.com/media/FfDSWMNXkAEiJu2.jpg")</f>
        <v>http://pbs.twimg.com/media/FfDSWMNXkAEiJu2.jpg</v>
      </c>
      <c r="I1162" t="str">
        <f>HYPERLINK("http://pbs.twimg.com/media/FfDSWMFWIAIn3U7.jpg", "http://pbs.twimg.com/media/FfDSWMFWIAIn3U7.jpg")</f>
        <v>http://pbs.twimg.com/media/FfDSWMFWIAIn3U7.jpg</v>
      </c>
      <c r="J1162" t="str">
        <f>HYPERLINK("http://pbs.twimg.com/media/FfDSWMNXgAIBZ4q.jpg", "http://pbs.twimg.com/media/FfDSWMNXgAIBZ4q.jpg")</f>
        <v>http://pbs.twimg.com/media/FfDSWMNXgAIBZ4q.jpg</v>
      </c>
      <c r="K1162" t="str">
        <f>HYPERLINK("http://pbs.twimg.com/media/FfDSWMKXgAIvpLv.jpg", "http://pbs.twimg.com/media/FfDSWMKXgAIvpLv.jpg")</f>
        <v>http://pbs.twimg.com/media/FfDSWMKXgAIvpLv.jpg</v>
      </c>
      <c r="L1162">
        <v>0.36120000000000002</v>
      </c>
      <c r="M1162">
        <v>0</v>
      </c>
      <c r="N1162">
        <v>0.89800000000000002</v>
      </c>
      <c r="O1162">
        <v>0.10199999999999999</v>
      </c>
    </row>
    <row r="1163" spans="1:15" x14ac:dyDescent="0.2">
      <c r="A1163" s="1" t="str">
        <f>HYPERLINK("http://www.twitter.com/banuakdenizli/status/1582001139633250306", "1582001139633250306")</f>
        <v>1582001139633250306</v>
      </c>
      <c r="B1163" t="s">
        <v>15</v>
      </c>
      <c r="C1163" s="2">
        <v>44851.562939814823</v>
      </c>
      <c r="D1163">
        <v>0</v>
      </c>
      <c r="E1163">
        <v>14</v>
      </c>
      <c r="F1163" t="s">
        <v>24</v>
      </c>
      <c r="G1163" t="s">
        <v>1236</v>
      </c>
      <c r="H1163" t="str">
        <f>HYPERLINK("http://pbs.twimg.com/media/FfRCxq8WAAI45vh.jpg", "http://pbs.twimg.com/media/FfRCxq8WAAI45vh.jpg")</f>
        <v>http://pbs.twimg.com/media/FfRCxq8WAAI45vh.jpg</v>
      </c>
      <c r="L1163">
        <v>0</v>
      </c>
      <c r="M1163">
        <v>0</v>
      </c>
      <c r="N1163">
        <v>1</v>
      </c>
      <c r="O1163">
        <v>0</v>
      </c>
    </row>
    <row r="1164" spans="1:15" x14ac:dyDescent="0.2">
      <c r="A1164" s="1" t="str">
        <f>HYPERLINK("http://www.twitter.com/banuakdenizli/status/1582001010280923136", "1582001010280923136")</f>
        <v>1582001010280923136</v>
      </c>
      <c r="B1164" t="s">
        <v>15</v>
      </c>
      <c r="C1164" s="2">
        <v>44851.562581018523</v>
      </c>
      <c r="D1164">
        <v>0</v>
      </c>
      <c r="E1164">
        <v>65</v>
      </c>
      <c r="F1164" t="s">
        <v>604</v>
      </c>
      <c r="G1164" t="s">
        <v>1237</v>
      </c>
      <c r="H1164" t="str">
        <f>HYPERLINK("http://pbs.twimg.com/media/FfP5Ky_WQAIHdzd.jpg", "http://pbs.twimg.com/media/FfP5Ky_WQAIHdzd.jpg")</f>
        <v>http://pbs.twimg.com/media/FfP5Ky_WQAIHdzd.jpg</v>
      </c>
      <c r="L1164">
        <v>0.50929999999999997</v>
      </c>
      <c r="M1164">
        <v>0</v>
      </c>
      <c r="N1164">
        <v>0.79800000000000004</v>
      </c>
      <c r="O1164">
        <v>0.20200000000000001</v>
      </c>
    </row>
    <row r="1165" spans="1:15" x14ac:dyDescent="0.2">
      <c r="A1165" s="1" t="str">
        <f>HYPERLINK("http://www.twitter.com/banuakdenizli/status/1582000971931996160", "1582000971931996160")</f>
        <v>1582000971931996160</v>
      </c>
      <c r="B1165" t="s">
        <v>15</v>
      </c>
      <c r="C1165" s="2">
        <v>44851.562476851846</v>
      </c>
      <c r="D1165">
        <v>0</v>
      </c>
      <c r="E1165">
        <v>2</v>
      </c>
      <c r="F1165" t="s">
        <v>604</v>
      </c>
      <c r="G1165" t="s">
        <v>1238</v>
      </c>
      <c r="H1165" t="str">
        <f>HYPERLINK("http://pbs.twimg.com/media/FfP-Br0WIAAJCC5.jpg", "http://pbs.twimg.com/media/FfP-Br0WIAAJCC5.jpg")</f>
        <v>http://pbs.twimg.com/media/FfP-Br0WIAAJCC5.jpg</v>
      </c>
      <c r="I1165" t="str">
        <f>HYPERLINK("http://pbs.twimg.com/media/FfP-Br8XEAAcxvb.jpg", "http://pbs.twimg.com/media/FfP-Br8XEAAcxvb.jpg")</f>
        <v>http://pbs.twimg.com/media/FfP-Br8XEAAcxvb.jpg</v>
      </c>
      <c r="J1165" t="str">
        <f>HYPERLINK("http://pbs.twimg.com/media/FfP-Br4XkAA5NG_.jpg", "http://pbs.twimg.com/media/FfP-Br4XkAA5NG_.jpg")</f>
        <v>http://pbs.twimg.com/media/FfP-Br4XkAA5NG_.jpg</v>
      </c>
      <c r="K1165" t="str">
        <f>HYPERLINK("http://pbs.twimg.com/media/FfP-Br2WAAAAP1M.jpg", "http://pbs.twimg.com/media/FfP-Br2WAAAAP1M.jpg")</f>
        <v>http://pbs.twimg.com/media/FfP-Br2WAAAAP1M.jpg</v>
      </c>
      <c r="L1165">
        <v>0.5423</v>
      </c>
      <c r="M1165">
        <v>0</v>
      </c>
      <c r="N1165">
        <v>0.90900000000000003</v>
      </c>
      <c r="O1165">
        <v>9.0999999999999998E-2</v>
      </c>
    </row>
    <row r="1166" spans="1:15" x14ac:dyDescent="0.2">
      <c r="A1166" s="1" t="str">
        <f>HYPERLINK("http://www.twitter.com/banuakdenizli/status/1582000955742031877", "1582000955742031877")</f>
        <v>1582000955742031877</v>
      </c>
      <c r="B1166" t="s">
        <v>15</v>
      </c>
      <c r="C1166" s="2">
        <v>44851.562430555547</v>
      </c>
      <c r="D1166">
        <v>0</v>
      </c>
      <c r="E1166">
        <v>323</v>
      </c>
      <c r="F1166" t="s">
        <v>1239</v>
      </c>
      <c r="G1166" t="s">
        <v>1240</v>
      </c>
      <c r="H1166" t="str">
        <f>HYPERLINK("http://pbs.twimg.com/media/FfP6BFJXgAEL2Xy.jpg", "http://pbs.twimg.com/media/FfP6BFJXgAEL2Xy.jpg")</f>
        <v>http://pbs.twimg.com/media/FfP6BFJXgAEL2Xy.jpg</v>
      </c>
      <c r="L1166">
        <v>0</v>
      </c>
      <c r="M1166">
        <v>0</v>
      </c>
      <c r="N1166">
        <v>1</v>
      </c>
      <c r="O1166">
        <v>0</v>
      </c>
    </row>
    <row r="1167" spans="1:15" x14ac:dyDescent="0.2">
      <c r="A1167" s="1" t="str">
        <f>HYPERLINK("http://www.twitter.com/banuakdenizli/status/1582000939308761090", "1582000939308761090")</f>
        <v>1582000939308761090</v>
      </c>
      <c r="B1167" t="s">
        <v>15</v>
      </c>
      <c r="C1167" s="2">
        <v>44851.562384259261</v>
      </c>
      <c r="D1167">
        <v>0</v>
      </c>
      <c r="E1167">
        <v>470</v>
      </c>
      <c r="F1167" t="s">
        <v>1239</v>
      </c>
      <c r="G1167" t="s">
        <v>1241</v>
      </c>
      <c r="H1167" t="str">
        <f>HYPERLINK("http://pbs.twimg.com/media/FfQFYYCWQAATdql.jpg", "http://pbs.twimg.com/media/FfQFYYCWQAATdql.jpg")</f>
        <v>http://pbs.twimg.com/media/FfQFYYCWQAATdql.jpg</v>
      </c>
      <c r="L1167">
        <v>0.40029999999999999</v>
      </c>
      <c r="M1167">
        <v>0</v>
      </c>
      <c r="N1167">
        <v>0.748</v>
      </c>
      <c r="O1167">
        <v>0.252</v>
      </c>
    </row>
    <row r="1168" spans="1:15" x14ac:dyDescent="0.2">
      <c r="A1168" s="1" t="str">
        <f>HYPERLINK("http://www.twitter.com/banuakdenizli/status/1582000824024059906", "1582000824024059906")</f>
        <v>1582000824024059906</v>
      </c>
      <c r="B1168" t="s">
        <v>15</v>
      </c>
      <c r="C1168" s="2">
        <v>44851.562071759261</v>
      </c>
      <c r="D1168">
        <v>0</v>
      </c>
      <c r="E1168">
        <v>32</v>
      </c>
      <c r="F1168" t="s">
        <v>36</v>
      </c>
      <c r="G1168" t="s">
        <v>1242</v>
      </c>
      <c r="H1168" t="str">
        <f>HYPERLINK("http://pbs.twimg.com/media/FfMnzHRXgAAKApQ.jpg", "http://pbs.twimg.com/media/FfMnzHRXgAAKApQ.jpg")</f>
        <v>http://pbs.twimg.com/media/FfMnzHRXgAAKApQ.jpg</v>
      </c>
      <c r="L1168">
        <v>0.63690000000000002</v>
      </c>
      <c r="M1168">
        <v>0</v>
      </c>
      <c r="N1168">
        <v>0.871</v>
      </c>
      <c r="O1168">
        <v>0.129</v>
      </c>
    </row>
    <row r="1169" spans="1:15" x14ac:dyDescent="0.2">
      <c r="A1169" s="1" t="str">
        <f>HYPERLINK("http://www.twitter.com/banuakdenizli/status/1582000728335618049", "1582000728335618049")</f>
        <v>1582000728335618049</v>
      </c>
      <c r="B1169" t="s">
        <v>15</v>
      </c>
      <c r="C1169" s="2">
        <v>44851.561805555553</v>
      </c>
      <c r="D1169">
        <v>0</v>
      </c>
      <c r="E1169">
        <v>1</v>
      </c>
      <c r="F1169" t="s">
        <v>21</v>
      </c>
      <c r="G1169" t="s">
        <v>1243</v>
      </c>
      <c r="L1169">
        <v>-0.25</v>
      </c>
      <c r="M1169">
        <v>0.107</v>
      </c>
      <c r="N1169">
        <v>0.82599999999999996</v>
      </c>
      <c r="O1169">
        <v>6.6000000000000003E-2</v>
      </c>
    </row>
    <row r="1170" spans="1:15" x14ac:dyDescent="0.2">
      <c r="A1170" s="1" t="str">
        <f>HYPERLINK("http://www.twitter.com/banuakdenizli/status/1582000439733559302", "1582000439733559302")</f>
        <v>1582000439733559302</v>
      </c>
      <c r="B1170" t="s">
        <v>15</v>
      </c>
      <c r="C1170" s="2">
        <v>44851.561006944437</v>
      </c>
      <c r="D1170">
        <v>0</v>
      </c>
      <c r="E1170">
        <v>3</v>
      </c>
      <c r="F1170" t="s">
        <v>29</v>
      </c>
      <c r="G1170" t="s">
        <v>1244</v>
      </c>
      <c r="H1170" t="str">
        <f>HYPERLINK("http://pbs.twimg.com/media/FfRj8JAXEAQZMSy.jpg", "http://pbs.twimg.com/media/FfRj8JAXEAQZMSy.jpg")</f>
        <v>http://pbs.twimg.com/media/FfRj8JAXEAQZMSy.jpg</v>
      </c>
      <c r="L1170">
        <v>0.63690000000000002</v>
      </c>
      <c r="M1170">
        <v>0</v>
      </c>
      <c r="N1170">
        <v>0.82599999999999996</v>
      </c>
      <c r="O1170">
        <v>0.17399999999999999</v>
      </c>
    </row>
    <row r="1171" spans="1:15" x14ac:dyDescent="0.2">
      <c r="A1171" s="1" t="str">
        <f>HYPERLINK("http://www.twitter.com/banuakdenizli/status/1582000369991049217", "1582000369991049217")</f>
        <v>1582000369991049217</v>
      </c>
      <c r="B1171" t="s">
        <v>15</v>
      </c>
      <c r="C1171" s="2">
        <v>44851.56082175926</v>
      </c>
      <c r="D1171">
        <v>0</v>
      </c>
      <c r="E1171">
        <v>21</v>
      </c>
      <c r="F1171" t="s">
        <v>17</v>
      </c>
      <c r="G1171" t="s">
        <v>1245</v>
      </c>
      <c r="L1171">
        <v>0.59940000000000004</v>
      </c>
      <c r="M1171">
        <v>0</v>
      </c>
      <c r="N1171">
        <v>0.86</v>
      </c>
      <c r="O1171">
        <v>0.14000000000000001</v>
      </c>
    </row>
    <row r="1172" spans="1:15" x14ac:dyDescent="0.2">
      <c r="A1172" s="1" t="str">
        <f>HYPERLINK("http://www.twitter.com/banuakdenizli/status/1582000330224861186", "1582000330224861186")</f>
        <v>1582000330224861186</v>
      </c>
      <c r="B1172" t="s">
        <v>15</v>
      </c>
      <c r="C1172" s="2">
        <v>44851.560706018521</v>
      </c>
      <c r="D1172">
        <v>0</v>
      </c>
      <c r="E1172">
        <v>4</v>
      </c>
      <c r="F1172" t="s">
        <v>20</v>
      </c>
      <c r="G1172" t="s">
        <v>1246</v>
      </c>
      <c r="L1172">
        <v>0.29599999999999999</v>
      </c>
      <c r="M1172">
        <v>0</v>
      </c>
      <c r="N1172">
        <v>0.92700000000000005</v>
      </c>
      <c r="O1172">
        <v>7.2999999999999995E-2</v>
      </c>
    </row>
    <row r="1173" spans="1:15" x14ac:dyDescent="0.2">
      <c r="A1173" s="1" t="str">
        <f>HYPERLINK("http://www.twitter.com/banuakdenizli/status/1582000309538197504", "1582000309538197504")</f>
        <v>1582000309538197504</v>
      </c>
      <c r="B1173" t="s">
        <v>15</v>
      </c>
      <c r="C1173" s="2">
        <v>44851.560648148137</v>
      </c>
      <c r="D1173">
        <v>0</v>
      </c>
      <c r="E1173">
        <v>21</v>
      </c>
      <c r="F1173" t="s">
        <v>16</v>
      </c>
      <c r="G1173" t="s">
        <v>1247</v>
      </c>
      <c r="L1173">
        <v>0</v>
      </c>
      <c r="M1173">
        <v>0</v>
      </c>
      <c r="N1173">
        <v>1</v>
      </c>
      <c r="O1173">
        <v>0</v>
      </c>
    </row>
    <row r="1174" spans="1:15" x14ac:dyDescent="0.2">
      <c r="A1174" s="1" t="str">
        <f>HYPERLINK("http://www.twitter.com/banuakdenizli/status/1582000254861574146", "1582000254861574146")</f>
        <v>1582000254861574146</v>
      </c>
      <c r="B1174" t="s">
        <v>15</v>
      </c>
      <c r="C1174" s="2">
        <v>44851.560497685183</v>
      </c>
      <c r="D1174">
        <v>0</v>
      </c>
      <c r="E1174">
        <v>5</v>
      </c>
      <c r="F1174" t="s">
        <v>17</v>
      </c>
      <c r="G1174" t="s">
        <v>1248</v>
      </c>
      <c r="H1174" t="str">
        <f>HYPERLINK("http://pbs.twimg.com/media/FfRhmKfXgAIVqyP.jpg", "http://pbs.twimg.com/media/FfRhmKfXgAIVqyP.jpg")</f>
        <v>http://pbs.twimg.com/media/FfRhmKfXgAIVqyP.jpg</v>
      </c>
      <c r="L1174">
        <v>0</v>
      </c>
      <c r="M1174">
        <v>0</v>
      </c>
      <c r="N1174">
        <v>1</v>
      </c>
      <c r="O1174">
        <v>0</v>
      </c>
    </row>
    <row r="1175" spans="1:15" x14ac:dyDescent="0.2">
      <c r="A1175" s="1" t="str">
        <f>HYPERLINK("http://www.twitter.com/banuakdenizli/status/1582000184003031040", "1582000184003031040")</f>
        <v>1582000184003031040</v>
      </c>
      <c r="B1175" t="s">
        <v>15</v>
      </c>
      <c r="C1175" s="2">
        <v>44851.560300925928</v>
      </c>
      <c r="D1175">
        <v>0</v>
      </c>
      <c r="E1175">
        <v>38</v>
      </c>
      <c r="F1175" t="s">
        <v>28</v>
      </c>
      <c r="G1175" t="s">
        <v>1249</v>
      </c>
      <c r="H1175" t="str">
        <f>HYPERLINK("http://pbs.twimg.com/media/FfRKh5RXoAAC8oo.jpg", "http://pbs.twimg.com/media/FfRKh5RXoAAC8oo.jpg")</f>
        <v>http://pbs.twimg.com/media/FfRKh5RXoAAC8oo.jpg</v>
      </c>
      <c r="L1175">
        <v>0</v>
      </c>
      <c r="M1175">
        <v>0</v>
      </c>
      <c r="N1175">
        <v>1</v>
      </c>
      <c r="O1175">
        <v>0</v>
      </c>
    </row>
    <row r="1176" spans="1:15" x14ac:dyDescent="0.2">
      <c r="A1176" s="1" t="str">
        <f>HYPERLINK("http://www.twitter.com/banuakdenizli/status/1582000153510424576", "1582000153510424576")</f>
        <v>1582000153510424576</v>
      </c>
      <c r="B1176" t="s">
        <v>15</v>
      </c>
      <c r="C1176" s="2">
        <v>44851.560219907413</v>
      </c>
      <c r="D1176">
        <v>0</v>
      </c>
      <c r="E1176">
        <v>7</v>
      </c>
      <c r="F1176" t="s">
        <v>16</v>
      </c>
      <c r="G1176" t="s">
        <v>1250</v>
      </c>
      <c r="H1176" t="str">
        <f>HYPERLINK("http://pbs.twimg.com/media/FfRAttIXEAIWOuH.jpg", "http://pbs.twimg.com/media/FfRAttIXEAIWOuH.jpg")</f>
        <v>http://pbs.twimg.com/media/FfRAttIXEAIWOuH.jpg</v>
      </c>
      <c r="L1176">
        <v>0</v>
      </c>
      <c r="M1176">
        <v>0</v>
      </c>
      <c r="N1176">
        <v>1</v>
      </c>
      <c r="O1176">
        <v>0</v>
      </c>
    </row>
    <row r="1177" spans="1:15" x14ac:dyDescent="0.2">
      <c r="A1177" s="1" t="str">
        <f>HYPERLINK("http://www.twitter.com/banuakdenizli/status/1581813646099091457", "1581813646099091457")</f>
        <v>1581813646099091457</v>
      </c>
      <c r="B1177" t="s">
        <v>15</v>
      </c>
      <c r="C1177" s="2">
        <v>44851.045555555553</v>
      </c>
      <c r="D1177">
        <v>0</v>
      </c>
      <c r="E1177">
        <v>91</v>
      </c>
      <c r="F1177" t="s">
        <v>43</v>
      </c>
      <c r="G1177" t="s">
        <v>1251</v>
      </c>
      <c r="H1177" t="str">
        <f>HYPERLINK("http://pbs.twimg.com/media/FfNnxfyWIAY6mrY.jpg", "http://pbs.twimg.com/media/FfNnxfyWIAY6mrY.jpg")</f>
        <v>http://pbs.twimg.com/media/FfNnxfyWIAY6mrY.jpg</v>
      </c>
      <c r="L1177">
        <v>0</v>
      </c>
      <c r="M1177">
        <v>0</v>
      </c>
      <c r="N1177">
        <v>1</v>
      </c>
      <c r="O1177">
        <v>0</v>
      </c>
    </row>
    <row r="1178" spans="1:15" x14ac:dyDescent="0.2">
      <c r="A1178" s="1" t="str">
        <f>HYPERLINK("http://www.twitter.com/banuakdenizli/status/1581813040668102656", "1581813040668102656")</f>
        <v>1581813040668102656</v>
      </c>
      <c r="B1178" t="s">
        <v>15</v>
      </c>
      <c r="C1178" s="2">
        <v>44851.043888888889</v>
      </c>
      <c r="D1178">
        <v>0</v>
      </c>
      <c r="E1178">
        <v>10</v>
      </c>
      <c r="F1178" t="s">
        <v>19</v>
      </c>
      <c r="G1178" t="s">
        <v>1252</v>
      </c>
      <c r="H1178" t="str">
        <f>HYPERLINK("http://pbs.twimg.com/media/FfOP3WDXoAA_TaH.jpg", "http://pbs.twimg.com/media/FfOP3WDXoAA_TaH.jpg")</f>
        <v>http://pbs.twimg.com/media/FfOP3WDXoAA_TaH.jpg</v>
      </c>
      <c r="I1178" t="str">
        <f>HYPERLINK("http://pbs.twimg.com/media/FfOP3WFWIAAq2VL.jpg", "http://pbs.twimg.com/media/FfOP3WFWIAAq2VL.jpg")</f>
        <v>http://pbs.twimg.com/media/FfOP3WFWIAAq2VL.jpg</v>
      </c>
      <c r="L1178">
        <v>0.55740000000000001</v>
      </c>
      <c r="M1178">
        <v>0.09</v>
      </c>
      <c r="N1178">
        <v>0.72099999999999997</v>
      </c>
      <c r="O1178">
        <v>0.19</v>
      </c>
    </row>
    <row r="1179" spans="1:15" x14ac:dyDescent="0.2">
      <c r="A1179" s="1" t="str">
        <f>HYPERLINK("http://www.twitter.com/banuakdenizli/status/1581813024960442369", "1581813024960442369")</f>
        <v>1581813024960442369</v>
      </c>
      <c r="B1179" t="s">
        <v>15</v>
      </c>
      <c r="C1179" s="2">
        <v>44851.043842592589</v>
      </c>
      <c r="D1179">
        <v>0</v>
      </c>
      <c r="E1179">
        <v>3</v>
      </c>
      <c r="F1179" t="s">
        <v>19</v>
      </c>
      <c r="G1179" t="s">
        <v>1253</v>
      </c>
      <c r="L1179">
        <v>0.95650000000000002</v>
      </c>
      <c r="M1179">
        <v>0</v>
      </c>
      <c r="N1179">
        <v>0.59199999999999997</v>
      </c>
      <c r="O1179">
        <v>0.40799999999999997</v>
      </c>
    </row>
    <row r="1180" spans="1:15" x14ac:dyDescent="0.2">
      <c r="A1180" s="1" t="str">
        <f>HYPERLINK("http://www.twitter.com/banuakdenizli/status/1581813014910496770", "1581813014910496770")</f>
        <v>1581813014910496770</v>
      </c>
      <c r="B1180" t="s">
        <v>15</v>
      </c>
      <c r="C1180" s="2">
        <v>44851.043819444443</v>
      </c>
      <c r="D1180">
        <v>0</v>
      </c>
      <c r="E1180">
        <v>3</v>
      </c>
      <c r="F1180" t="s">
        <v>19</v>
      </c>
      <c r="G1180" t="s">
        <v>1254</v>
      </c>
      <c r="L1180">
        <v>0.45879999999999999</v>
      </c>
      <c r="M1180">
        <v>0</v>
      </c>
      <c r="N1180">
        <v>0.91500000000000004</v>
      </c>
      <c r="O1180">
        <v>8.5000000000000006E-2</v>
      </c>
    </row>
    <row r="1181" spans="1:15" x14ac:dyDescent="0.2">
      <c r="A1181" s="1" t="str">
        <f>HYPERLINK("http://www.twitter.com/banuakdenizli/status/1581812992391643137", "1581812992391643137")</f>
        <v>1581812992391643137</v>
      </c>
      <c r="B1181" t="s">
        <v>15</v>
      </c>
      <c r="C1181" s="2">
        <v>44851.043749999997</v>
      </c>
      <c r="D1181">
        <v>0</v>
      </c>
      <c r="E1181">
        <v>11</v>
      </c>
      <c r="F1181" t="s">
        <v>19</v>
      </c>
      <c r="G1181" t="s">
        <v>1255</v>
      </c>
      <c r="H1181" t="str">
        <f>HYPERLINK("http://pbs.twimg.com/media/FfOPn2sWYAEZRvi.jpg", "http://pbs.twimg.com/media/FfOPn2sWYAEZRvi.jpg")</f>
        <v>http://pbs.twimg.com/media/FfOPn2sWYAEZRvi.jpg</v>
      </c>
      <c r="L1181">
        <v>0.92600000000000005</v>
      </c>
      <c r="M1181">
        <v>0</v>
      </c>
      <c r="N1181">
        <v>0.73</v>
      </c>
      <c r="O1181">
        <v>0.27</v>
      </c>
    </row>
    <row r="1182" spans="1:15" x14ac:dyDescent="0.2">
      <c r="A1182" s="1" t="str">
        <f>HYPERLINK("http://www.twitter.com/banuakdenizli/status/1581812844139405312", "1581812844139405312")</f>
        <v>1581812844139405312</v>
      </c>
      <c r="B1182" t="s">
        <v>15</v>
      </c>
      <c r="C1182" s="2">
        <v>44851.043344907397</v>
      </c>
      <c r="D1182">
        <v>0</v>
      </c>
      <c r="E1182">
        <v>1</v>
      </c>
      <c r="F1182" t="s">
        <v>29</v>
      </c>
      <c r="G1182" t="s">
        <v>1256</v>
      </c>
      <c r="H1182" t="str">
        <f>HYPERLINK("http://pbs.twimg.com/media/FfOABD7XoAERCIF.jpg", "http://pbs.twimg.com/media/FfOABD7XoAERCIF.jpg")</f>
        <v>http://pbs.twimg.com/media/FfOABD7XoAERCIF.jpg</v>
      </c>
      <c r="L1182">
        <v>0.96179999999999999</v>
      </c>
      <c r="M1182">
        <v>0</v>
      </c>
      <c r="N1182">
        <v>0.42899999999999999</v>
      </c>
      <c r="O1182">
        <v>0.57099999999999995</v>
      </c>
    </row>
    <row r="1183" spans="1:15" x14ac:dyDescent="0.2">
      <c r="A1183" s="1" t="str">
        <f>HYPERLINK("http://www.twitter.com/banuakdenizli/status/1581772950487072769", "1581772950487072769")</f>
        <v>1581772950487072769</v>
      </c>
      <c r="B1183" t="s">
        <v>15</v>
      </c>
      <c r="C1183" s="2">
        <v>44850.933252314811</v>
      </c>
      <c r="D1183">
        <v>0</v>
      </c>
      <c r="E1183">
        <v>11</v>
      </c>
      <c r="F1183" t="s">
        <v>17</v>
      </c>
      <c r="G1183" t="s">
        <v>1257</v>
      </c>
      <c r="H1183" t="str">
        <f>HYPERLINK("http://pbs.twimg.com/media/FfNu1CFXwA06zH8.jpg", "http://pbs.twimg.com/media/FfNu1CFXwA06zH8.jpg")</f>
        <v>http://pbs.twimg.com/media/FfNu1CFXwA06zH8.jpg</v>
      </c>
      <c r="L1183">
        <v>0</v>
      </c>
      <c r="M1183">
        <v>0</v>
      </c>
      <c r="N1183">
        <v>1</v>
      </c>
      <c r="O1183">
        <v>0</v>
      </c>
    </row>
    <row r="1184" spans="1:15" x14ac:dyDescent="0.2">
      <c r="A1184" s="1" t="str">
        <f>HYPERLINK("http://www.twitter.com/banuakdenizli/status/1581772913694232576", "1581772913694232576")</f>
        <v>1581772913694232576</v>
      </c>
      <c r="B1184" t="s">
        <v>15</v>
      </c>
      <c r="C1184" s="2">
        <v>44850.933159722219</v>
      </c>
      <c r="D1184">
        <v>0</v>
      </c>
      <c r="E1184">
        <v>15</v>
      </c>
      <c r="F1184" t="s">
        <v>16</v>
      </c>
      <c r="G1184" t="s">
        <v>1258</v>
      </c>
      <c r="H1184" t="str">
        <f>HYPERLINK("http://pbs.twimg.com/media/FfNl35wWYAgiQH4.jpg", "http://pbs.twimg.com/media/FfNl35wWYAgiQH4.jpg")</f>
        <v>http://pbs.twimg.com/media/FfNl35wWYAgiQH4.jpg</v>
      </c>
      <c r="L1184">
        <v>0</v>
      </c>
      <c r="M1184">
        <v>0</v>
      </c>
      <c r="N1184">
        <v>1</v>
      </c>
      <c r="O1184">
        <v>0</v>
      </c>
    </row>
    <row r="1185" spans="1:15" x14ac:dyDescent="0.2">
      <c r="A1185" s="1" t="str">
        <f>HYPERLINK("http://www.twitter.com/banuakdenizli/status/1581718377130622977", "1581718377130622977")</f>
        <v>1581718377130622977</v>
      </c>
      <c r="B1185" t="s">
        <v>15</v>
      </c>
      <c r="C1185" s="2">
        <v>44850.78266203704</v>
      </c>
      <c r="D1185">
        <v>0</v>
      </c>
      <c r="E1185">
        <v>9</v>
      </c>
      <c r="F1185" t="s">
        <v>726</v>
      </c>
      <c r="G1185" t="s">
        <v>1259</v>
      </c>
      <c r="H1185" t="str">
        <f>HYPERLINK("http://pbs.twimg.com/media/FfNSx46WQAA-3qt.jpg", "http://pbs.twimg.com/media/FfNSx46WQAA-3qt.jpg")</f>
        <v>http://pbs.twimg.com/media/FfNSx46WQAA-3qt.jpg</v>
      </c>
      <c r="L1185">
        <v>0</v>
      </c>
      <c r="M1185">
        <v>0</v>
      </c>
      <c r="N1185">
        <v>1</v>
      </c>
      <c r="O1185">
        <v>0</v>
      </c>
    </row>
    <row r="1186" spans="1:15" x14ac:dyDescent="0.2">
      <c r="A1186" s="1" t="str">
        <f>HYPERLINK("http://www.twitter.com/banuakdenizli/status/1581718360588288000", "1581718360588288000")</f>
        <v>1581718360588288000</v>
      </c>
      <c r="B1186" t="s">
        <v>15</v>
      </c>
      <c r="C1186" s="2">
        <v>44850.78261574074</v>
      </c>
      <c r="D1186">
        <v>0</v>
      </c>
      <c r="E1186">
        <v>12</v>
      </c>
      <c r="F1186" t="s">
        <v>16</v>
      </c>
      <c r="G1186" t="s">
        <v>1260</v>
      </c>
      <c r="H1186" t="str">
        <f>HYPERLINK("http://pbs.twimg.com/media/FfM9KL6WIAA2bwf.jpg", "http://pbs.twimg.com/media/FfM9KL6WIAA2bwf.jpg")</f>
        <v>http://pbs.twimg.com/media/FfM9KL6WIAA2bwf.jpg</v>
      </c>
      <c r="L1186">
        <v>0</v>
      </c>
      <c r="M1186">
        <v>0</v>
      </c>
      <c r="N1186">
        <v>1</v>
      </c>
      <c r="O1186">
        <v>0</v>
      </c>
    </row>
    <row r="1187" spans="1:15" x14ac:dyDescent="0.2">
      <c r="A1187" s="1" t="str">
        <f>HYPERLINK("http://www.twitter.com/banuakdenizli/status/1581718350874677248", "1581718350874677248")</f>
        <v>1581718350874677248</v>
      </c>
      <c r="B1187" t="s">
        <v>15</v>
      </c>
      <c r="C1187" s="2">
        <v>44850.782592592594</v>
      </c>
      <c r="D1187">
        <v>0</v>
      </c>
      <c r="E1187">
        <v>47</v>
      </c>
      <c r="F1187" t="s">
        <v>28</v>
      </c>
      <c r="G1187" t="s">
        <v>1261</v>
      </c>
      <c r="L1187">
        <v>0</v>
      </c>
      <c r="M1187">
        <v>0</v>
      </c>
      <c r="N1187">
        <v>1</v>
      </c>
      <c r="O1187">
        <v>0</v>
      </c>
    </row>
    <row r="1188" spans="1:15" x14ac:dyDescent="0.2">
      <c r="A1188" s="1" t="str">
        <f>HYPERLINK("http://www.twitter.com/banuakdenizli/status/1581718329231745024", "1581718329231745024")</f>
        <v>1581718329231745024</v>
      </c>
      <c r="B1188" t="s">
        <v>15</v>
      </c>
      <c r="C1188" s="2">
        <v>44850.782534722217</v>
      </c>
      <c r="D1188">
        <v>0</v>
      </c>
      <c r="E1188">
        <v>5</v>
      </c>
      <c r="F1188" t="s">
        <v>17</v>
      </c>
      <c r="G1188" t="s">
        <v>1262</v>
      </c>
      <c r="H1188" t="str">
        <f>HYPERLINK("http://pbs.twimg.com/media/FfNPn6QX0AA3ZFI.jpg", "http://pbs.twimg.com/media/FfNPn6QX0AA3ZFI.jpg")</f>
        <v>http://pbs.twimg.com/media/FfNPn6QX0AA3ZFI.jpg</v>
      </c>
      <c r="L1188">
        <v>0</v>
      </c>
      <c r="M1188">
        <v>0</v>
      </c>
      <c r="N1188">
        <v>1</v>
      </c>
      <c r="O1188">
        <v>0</v>
      </c>
    </row>
    <row r="1189" spans="1:15" x14ac:dyDescent="0.2">
      <c r="A1189" s="1" t="str">
        <f>HYPERLINK("http://www.twitter.com/banuakdenizli/status/1581718313453125633", "1581718313453125633")</f>
        <v>1581718313453125633</v>
      </c>
      <c r="B1189" t="s">
        <v>15</v>
      </c>
      <c r="C1189" s="2">
        <v>44850.782488425917</v>
      </c>
      <c r="D1189">
        <v>0</v>
      </c>
      <c r="E1189">
        <v>15</v>
      </c>
      <c r="F1189" t="s">
        <v>30</v>
      </c>
      <c r="G1189" t="s">
        <v>1263</v>
      </c>
      <c r="H1189" t="str">
        <f>HYPERLINK("http://pbs.twimg.com/media/FfMI9LEXoAAgX7e.jpg", "http://pbs.twimg.com/media/FfMI9LEXoAAgX7e.jpg")</f>
        <v>http://pbs.twimg.com/media/FfMI9LEXoAAgX7e.jpg</v>
      </c>
      <c r="L1189">
        <v>0</v>
      </c>
      <c r="M1189">
        <v>0</v>
      </c>
      <c r="N1189">
        <v>1</v>
      </c>
      <c r="O1189">
        <v>0</v>
      </c>
    </row>
    <row r="1190" spans="1:15" x14ac:dyDescent="0.2">
      <c r="A1190" s="1" t="str">
        <f>HYPERLINK("http://www.twitter.com/banuakdenizli/status/1581718295073689600", "1581718295073689600")</f>
        <v>1581718295073689600</v>
      </c>
      <c r="B1190" t="s">
        <v>15</v>
      </c>
      <c r="C1190" s="2">
        <v>44850.782442129632</v>
      </c>
      <c r="D1190">
        <v>0</v>
      </c>
      <c r="E1190">
        <v>10</v>
      </c>
      <c r="F1190" t="s">
        <v>16</v>
      </c>
      <c r="G1190" t="s">
        <v>1264</v>
      </c>
      <c r="H1190" t="str">
        <f>HYPERLINK("http://pbs.twimg.com/media/FfLyffqXwAEouhw.jpg", "http://pbs.twimg.com/media/FfLyffqXwAEouhw.jpg")</f>
        <v>http://pbs.twimg.com/media/FfLyffqXwAEouhw.jpg</v>
      </c>
      <c r="I1190" t="str">
        <f>HYPERLINK("http://pbs.twimg.com/media/FfLyffqXwAMIQTS.jpg", "http://pbs.twimg.com/media/FfLyffqXwAMIQTS.jpg")</f>
        <v>http://pbs.twimg.com/media/FfLyffqXwAMIQTS.jpg</v>
      </c>
      <c r="L1190">
        <v>0</v>
      </c>
      <c r="M1190">
        <v>0</v>
      </c>
      <c r="N1190">
        <v>1</v>
      </c>
      <c r="O1190">
        <v>0</v>
      </c>
    </row>
    <row r="1191" spans="1:15" x14ac:dyDescent="0.2">
      <c r="A1191" s="1" t="str">
        <f>HYPERLINK("http://www.twitter.com/banuakdenizli/status/1581718272709644293", "1581718272709644293")</f>
        <v>1581718272709644293</v>
      </c>
      <c r="B1191" t="s">
        <v>15</v>
      </c>
      <c r="C1191" s="2">
        <v>44850.782372685193</v>
      </c>
      <c r="D1191">
        <v>0</v>
      </c>
      <c r="E1191">
        <v>40</v>
      </c>
      <c r="F1191" t="s">
        <v>28</v>
      </c>
      <c r="G1191" t="s">
        <v>1265</v>
      </c>
      <c r="L1191">
        <v>0</v>
      </c>
      <c r="M1191">
        <v>0</v>
      </c>
      <c r="N1191">
        <v>1</v>
      </c>
      <c r="O1191">
        <v>0</v>
      </c>
    </row>
    <row r="1192" spans="1:15" x14ac:dyDescent="0.2">
      <c r="A1192" s="1" t="str">
        <f>HYPERLINK("http://www.twitter.com/banuakdenizli/status/1581717839668355072", "1581717839668355072")</f>
        <v>1581717839668355072</v>
      </c>
      <c r="B1192" t="s">
        <v>15</v>
      </c>
      <c r="C1192" s="2">
        <v>44850.781180555547</v>
      </c>
      <c r="D1192">
        <v>0</v>
      </c>
      <c r="E1192">
        <v>9</v>
      </c>
      <c r="F1192" t="s">
        <v>17</v>
      </c>
      <c r="G1192" t="s">
        <v>1266</v>
      </c>
      <c r="H1192" t="str">
        <f>HYPERLINK("http://pbs.twimg.com/media/FfLwtuwWYAADwlr.jpg", "http://pbs.twimg.com/media/FfLwtuwWYAADwlr.jpg")</f>
        <v>http://pbs.twimg.com/media/FfLwtuwWYAADwlr.jpg</v>
      </c>
      <c r="L1192">
        <v>0</v>
      </c>
      <c r="M1192">
        <v>0</v>
      </c>
      <c r="N1192">
        <v>1</v>
      </c>
      <c r="O1192">
        <v>0</v>
      </c>
    </row>
    <row r="1193" spans="1:15" x14ac:dyDescent="0.2">
      <c r="A1193" s="1" t="str">
        <f>HYPERLINK("http://www.twitter.com/banuakdenizli/status/1581717796588638208", "1581717796588638208")</f>
        <v>1581717796588638208</v>
      </c>
      <c r="B1193" t="s">
        <v>15</v>
      </c>
      <c r="C1193" s="2">
        <v>44850.781064814822</v>
      </c>
      <c r="D1193">
        <v>0</v>
      </c>
      <c r="E1193">
        <v>7</v>
      </c>
      <c r="F1193" t="s">
        <v>16</v>
      </c>
      <c r="G1193" t="s">
        <v>1267</v>
      </c>
      <c r="H1193" t="str">
        <f>HYPERLINK("http://pbs.twimg.com/media/FfLQTouXoAIbohT.jpg", "http://pbs.twimg.com/media/FfLQTouXoAIbohT.jpg")</f>
        <v>http://pbs.twimg.com/media/FfLQTouXoAIbohT.jpg</v>
      </c>
      <c r="I1193" t="str">
        <f>HYPERLINK("http://pbs.twimg.com/media/FfLQTosX0AA6fmd.jpg", "http://pbs.twimg.com/media/FfLQTosX0AA6fmd.jpg")</f>
        <v>http://pbs.twimg.com/media/FfLQTosX0AA6fmd.jpg</v>
      </c>
      <c r="J1193" t="str">
        <f>HYPERLINK("http://pbs.twimg.com/media/FfLQTosXoAAA3VO.jpg", "http://pbs.twimg.com/media/FfLQTosXoAAA3VO.jpg")</f>
        <v>http://pbs.twimg.com/media/FfLQTosXoAAA3VO.jpg</v>
      </c>
      <c r="L1193">
        <v>0</v>
      </c>
      <c r="M1193">
        <v>0</v>
      </c>
      <c r="N1193">
        <v>1</v>
      </c>
      <c r="O1193">
        <v>0</v>
      </c>
    </row>
    <row r="1194" spans="1:15" x14ac:dyDescent="0.2">
      <c r="A1194" s="1" t="str">
        <f>HYPERLINK("http://www.twitter.com/banuakdenizli/status/1581717755920732160", "1581717755920732160")</f>
        <v>1581717755920732160</v>
      </c>
      <c r="B1194" t="s">
        <v>15</v>
      </c>
      <c r="C1194" s="2">
        <v>44850.780949074076</v>
      </c>
      <c r="D1194">
        <v>0</v>
      </c>
      <c r="E1194">
        <v>7</v>
      </c>
      <c r="F1194" t="s">
        <v>17</v>
      </c>
      <c r="G1194" t="s">
        <v>1268</v>
      </c>
      <c r="H1194" t="str">
        <f>HYPERLINK("http://pbs.twimg.com/media/FfLbrxDWYAAk6wy.jpg", "http://pbs.twimg.com/media/FfLbrxDWYAAk6wy.jpg")</f>
        <v>http://pbs.twimg.com/media/FfLbrxDWYAAk6wy.jpg</v>
      </c>
      <c r="I1194" t="str">
        <f>HYPERLINK("http://pbs.twimg.com/media/FfLbrw9WAAEbt1f.jpg", "http://pbs.twimg.com/media/FfLbrw9WAAEbt1f.jpg")</f>
        <v>http://pbs.twimg.com/media/FfLbrw9WAAEbt1f.jpg</v>
      </c>
      <c r="J1194" t="str">
        <f>HYPERLINK("http://pbs.twimg.com/media/FfLbrw7WQAMNehd.jpg", "http://pbs.twimg.com/media/FfLbrw7WQAMNehd.jpg")</f>
        <v>http://pbs.twimg.com/media/FfLbrw7WQAMNehd.jpg</v>
      </c>
      <c r="L1194">
        <v>0</v>
      </c>
      <c r="M1194">
        <v>0</v>
      </c>
      <c r="N1194">
        <v>1</v>
      </c>
      <c r="O1194">
        <v>0</v>
      </c>
    </row>
    <row r="1195" spans="1:15" x14ac:dyDescent="0.2">
      <c r="A1195" s="1" t="str">
        <f>HYPERLINK("http://www.twitter.com/banuakdenizli/status/1581717569400340480", "1581717569400340480")</f>
        <v>1581717569400340480</v>
      </c>
      <c r="B1195" t="s">
        <v>15</v>
      </c>
      <c r="C1195" s="2">
        <v>44850.780439814807</v>
      </c>
      <c r="D1195">
        <v>0</v>
      </c>
      <c r="E1195">
        <v>12</v>
      </c>
      <c r="F1195" t="s">
        <v>16</v>
      </c>
      <c r="G1195" t="s">
        <v>1269</v>
      </c>
      <c r="H1195" t="str">
        <f>HYPERLINK("http://pbs.twimg.com/media/FfLbghPXoAAGlWn.jpg", "http://pbs.twimg.com/media/FfLbghPXoAAGlWn.jpg")</f>
        <v>http://pbs.twimg.com/media/FfLbghPXoAAGlWn.jpg</v>
      </c>
      <c r="L1195">
        <v>0</v>
      </c>
      <c r="M1195">
        <v>0</v>
      </c>
      <c r="N1195">
        <v>1</v>
      </c>
      <c r="O1195">
        <v>0</v>
      </c>
    </row>
    <row r="1196" spans="1:15" x14ac:dyDescent="0.2">
      <c r="A1196" s="1" t="str">
        <f>HYPERLINK("http://www.twitter.com/banuakdenizli/status/1581717508708786178", "1581717508708786178")</f>
        <v>1581717508708786178</v>
      </c>
      <c r="B1196" t="s">
        <v>15</v>
      </c>
      <c r="C1196" s="2">
        <v>44850.780266203707</v>
      </c>
      <c r="D1196">
        <v>0</v>
      </c>
      <c r="E1196">
        <v>6</v>
      </c>
      <c r="F1196" t="s">
        <v>17</v>
      </c>
      <c r="G1196" t="s">
        <v>1270</v>
      </c>
      <c r="H1196" t="str">
        <f>HYPERLINK("http://pbs.twimg.com/media/FfMREnTXkAAoeOm.jpg", "http://pbs.twimg.com/media/FfMREnTXkAAoeOm.jpg")</f>
        <v>http://pbs.twimg.com/media/FfMREnTXkAAoeOm.jpg</v>
      </c>
      <c r="I1196" t="str">
        <f>HYPERLINK("http://pbs.twimg.com/media/FfMREnDXoAIu0oG.jpg", "http://pbs.twimg.com/media/FfMREnDXoAIu0oG.jpg")</f>
        <v>http://pbs.twimg.com/media/FfMREnDXoAIu0oG.jpg</v>
      </c>
      <c r="L1196">
        <v>0</v>
      </c>
      <c r="M1196">
        <v>0</v>
      </c>
      <c r="N1196">
        <v>1</v>
      </c>
      <c r="O1196">
        <v>0</v>
      </c>
    </row>
    <row r="1197" spans="1:15" x14ac:dyDescent="0.2">
      <c r="A1197" s="1" t="str">
        <f>HYPERLINK("http://www.twitter.com/banuakdenizli/status/1581717478161649664", "1581717478161649664")</f>
        <v>1581717478161649664</v>
      </c>
      <c r="B1197" t="s">
        <v>15</v>
      </c>
      <c r="C1197" s="2">
        <v>44850.780185185176</v>
      </c>
      <c r="D1197">
        <v>0</v>
      </c>
      <c r="E1197">
        <v>7</v>
      </c>
      <c r="F1197" t="s">
        <v>16</v>
      </c>
      <c r="G1197" t="s">
        <v>1271</v>
      </c>
      <c r="H1197" t="str">
        <f>HYPERLINK("https://video.twimg.com/ext_tw_video/1581561922255835136/pu/vid/720x720/lqgiq9eKiAXVPz-k.mp4?tag=12", "https://video.twimg.com/ext_tw_video/1581561922255835136/pu/vid/720x720/lqgiq9eKiAXVPz-k.mp4?tag=12")</f>
        <v>https://video.twimg.com/ext_tw_video/1581561922255835136/pu/vid/720x720/lqgiq9eKiAXVPz-k.mp4?tag=12</v>
      </c>
      <c r="L1197">
        <v>0</v>
      </c>
      <c r="M1197">
        <v>0</v>
      </c>
      <c r="N1197">
        <v>1</v>
      </c>
      <c r="O1197">
        <v>0</v>
      </c>
    </row>
    <row r="1198" spans="1:15" x14ac:dyDescent="0.2">
      <c r="A1198" s="1" t="str">
        <f>HYPERLINK("http://www.twitter.com/banuakdenizli/status/1581717420963549185", "1581717420963549185")</f>
        <v>1581717420963549185</v>
      </c>
      <c r="B1198" t="s">
        <v>15</v>
      </c>
      <c r="C1198" s="2">
        <v>44850.780023148152</v>
      </c>
      <c r="D1198">
        <v>0</v>
      </c>
      <c r="E1198">
        <v>1</v>
      </c>
      <c r="F1198" t="s">
        <v>29</v>
      </c>
      <c r="G1198" t="s">
        <v>1272</v>
      </c>
      <c r="H1198" t="str">
        <f>HYPERLINK("http://pbs.twimg.com/media/FfNTKKsWIAE3dy7.jpg", "http://pbs.twimg.com/media/FfNTKKsWIAE3dy7.jpg")</f>
        <v>http://pbs.twimg.com/media/FfNTKKsWIAE3dy7.jpg</v>
      </c>
      <c r="L1198">
        <v>0</v>
      </c>
      <c r="M1198">
        <v>0</v>
      </c>
      <c r="N1198">
        <v>1</v>
      </c>
      <c r="O1198">
        <v>0</v>
      </c>
    </row>
    <row r="1199" spans="1:15" x14ac:dyDescent="0.2">
      <c r="A1199" s="1" t="str">
        <f>HYPERLINK("http://www.twitter.com/banuakdenizli/status/1581466822938791937", "1581466822938791937")</f>
        <v>1581466822938791937</v>
      </c>
      <c r="B1199" t="s">
        <v>15</v>
      </c>
      <c r="C1199" s="2">
        <v>44850.088506944441</v>
      </c>
      <c r="D1199">
        <v>0</v>
      </c>
      <c r="E1199">
        <v>2</v>
      </c>
      <c r="F1199" t="s">
        <v>1273</v>
      </c>
      <c r="G1199" t="s">
        <v>1274</v>
      </c>
      <c r="L1199">
        <v>0.27160000000000001</v>
      </c>
      <c r="M1199">
        <v>0</v>
      </c>
      <c r="N1199">
        <v>0.94899999999999995</v>
      </c>
      <c r="O1199">
        <v>5.0999999999999997E-2</v>
      </c>
    </row>
    <row r="1200" spans="1:15" x14ac:dyDescent="0.2">
      <c r="A1200" s="1" t="str">
        <f>HYPERLINK("http://www.twitter.com/banuakdenizli/status/1581466770132865024", "1581466770132865024")</f>
        <v>1581466770132865024</v>
      </c>
      <c r="B1200" t="s">
        <v>15</v>
      </c>
      <c r="C1200" s="2">
        <v>44850.088356481479</v>
      </c>
      <c r="D1200">
        <v>0</v>
      </c>
      <c r="E1200">
        <v>4</v>
      </c>
      <c r="F1200" t="s">
        <v>1273</v>
      </c>
      <c r="G1200" t="s">
        <v>1275</v>
      </c>
      <c r="H1200" t="str">
        <f>HYPERLINK("http://pbs.twimg.com/media/Fe9usTPWQAQn9_m.jpg", "http://pbs.twimg.com/media/Fe9usTPWQAQn9_m.jpg")</f>
        <v>http://pbs.twimg.com/media/Fe9usTPWQAQn9_m.jpg</v>
      </c>
      <c r="L1200">
        <v>0</v>
      </c>
      <c r="M1200">
        <v>0</v>
      </c>
      <c r="N1200">
        <v>1</v>
      </c>
      <c r="O1200">
        <v>0</v>
      </c>
    </row>
    <row r="1201" spans="1:15" x14ac:dyDescent="0.2">
      <c r="A1201" s="1" t="str">
        <f>HYPERLINK("http://www.twitter.com/banuakdenizli/status/1581466566817828865", "1581466566817828865")</f>
        <v>1581466566817828865</v>
      </c>
      <c r="B1201" t="s">
        <v>15</v>
      </c>
      <c r="C1201" s="2">
        <v>44850.087800925918</v>
      </c>
      <c r="D1201">
        <v>0</v>
      </c>
      <c r="E1201">
        <v>1</v>
      </c>
      <c r="F1201" t="s">
        <v>38</v>
      </c>
      <c r="G1201" t="s">
        <v>1276</v>
      </c>
      <c r="H1201" t="str">
        <f>HYPERLINK("http://pbs.twimg.com/media/FfIlcnlXoAEdXkj.jpg", "http://pbs.twimg.com/media/FfIlcnlXoAEdXkj.jpg")</f>
        <v>http://pbs.twimg.com/media/FfIlcnlXoAEdXkj.jpg</v>
      </c>
      <c r="L1201">
        <v>0</v>
      </c>
      <c r="M1201">
        <v>0</v>
      </c>
      <c r="N1201">
        <v>1</v>
      </c>
      <c r="O1201">
        <v>0</v>
      </c>
    </row>
    <row r="1202" spans="1:15" x14ac:dyDescent="0.2">
      <c r="A1202" s="1" t="str">
        <f>HYPERLINK("http://www.twitter.com/banuakdenizli/status/1581462376389701632", "1581462376389701632")</f>
        <v>1581462376389701632</v>
      </c>
      <c r="B1202" t="s">
        <v>15</v>
      </c>
      <c r="C1202" s="2">
        <v>44850.076238425929</v>
      </c>
      <c r="D1202">
        <v>0</v>
      </c>
      <c r="E1202">
        <v>1</v>
      </c>
      <c r="F1202" t="s">
        <v>38</v>
      </c>
      <c r="G1202" t="s">
        <v>1277</v>
      </c>
      <c r="H1202" t="str">
        <f>HYPERLINK("http://pbs.twimg.com/media/FfIUBH7WIAAIkpN.jpg", "http://pbs.twimg.com/media/FfIUBH7WIAAIkpN.jpg")</f>
        <v>http://pbs.twimg.com/media/FfIUBH7WIAAIkpN.jpg</v>
      </c>
      <c r="I1202" t="str">
        <f>HYPERLINK("http://pbs.twimg.com/media/FfIUBHpWYAA8TJg.jpg", "http://pbs.twimg.com/media/FfIUBHpWYAA8TJg.jpg")</f>
        <v>http://pbs.twimg.com/media/FfIUBHpWYAA8TJg.jpg</v>
      </c>
      <c r="J1202" t="str">
        <f>HYPERLINK("http://pbs.twimg.com/media/FfIUBKCXoAQceUz.jpg", "http://pbs.twimg.com/media/FfIUBKCXoAQceUz.jpg")</f>
        <v>http://pbs.twimg.com/media/FfIUBKCXoAQceUz.jpg</v>
      </c>
      <c r="K1202" t="str">
        <f>HYPERLINK("http://pbs.twimg.com/media/FfIUBJkX0AEm2SA.jpg", "http://pbs.twimg.com/media/FfIUBJkX0AEm2SA.jpg")</f>
        <v>http://pbs.twimg.com/media/FfIUBJkX0AEm2SA.jpg</v>
      </c>
      <c r="L1202">
        <v>0</v>
      </c>
      <c r="M1202">
        <v>0</v>
      </c>
      <c r="N1202">
        <v>1</v>
      </c>
      <c r="O1202">
        <v>0</v>
      </c>
    </row>
    <row r="1203" spans="1:15" x14ac:dyDescent="0.2">
      <c r="A1203" s="1" t="str">
        <f>HYPERLINK("http://www.twitter.com/banuakdenizli/status/1581462343061733376", "1581462343061733376")</f>
        <v>1581462343061733376</v>
      </c>
      <c r="B1203" t="s">
        <v>15</v>
      </c>
      <c r="C1203" s="2">
        <v>44850.076145833344</v>
      </c>
      <c r="D1203">
        <v>0</v>
      </c>
      <c r="E1203">
        <v>1</v>
      </c>
      <c r="F1203" t="s">
        <v>29</v>
      </c>
      <c r="G1203" t="s">
        <v>1278</v>
      </c>
      <c r="H1203" t="str">
        <f>HYPERLINK("http://pbs.twimg.com/media/FfGjLksXwAIIjJ2.jpg", "http://pbs.twimg.com/media/FfGjLksXwAIIjJ2.jpg")</f>
        <v>http://pbs.twimg.com/media/FfGjLksXwAIIjJ2.jpg</v>
      </c>
      <c r="L1203">
        <v>0.59940000000000004</v>
      </c>
      <c r="M1203">
        <v>0</v>
      </c>
      <c r="N1203">
        <v>0.81799999999999995</v>
      </c>
      <c r="O1203">
        <v>0.182</v>
      </c>
    </row>
    <row r="1204" spans="1:15" x14ac:dyDescent="0.2">
      <c r="A1204" s="1" t="str">
        <f>HYPERLINK("http://www.twitter.com/banuakdenizli/status/1581462296706289665", "1581462296706289665")</f>
        <v>1581462296706289665</v>
      </c>
      <c r="B1204" t="s">
        <v>15</v>
      </c>
      <c r="C1204" s="2">
        <v>44850.076018518521</v>
      </c>
      <c r="D1204">
        <v>0</v>
      </c>
      <c r="E1204">
        <v>1</v>
      </c>
      <c r="F1204" t="s">
        <v>29</v>
      </c>
      <c r="G1204" t="s">
        <v>1279</v>
      </c>
      <c r="H1204" t="str">
        <f>HYPERLINK("http://pbs.twimg.com/media/FfHnbQkWAAMfmkN.jpg", "http://pbs.twimg.com/media/FfHnbQkWAAMfmkN.jpg")</f>
        <v>http://pbs.twimg.com/media/FfHnbQkWAAMfmkN.jpg</v>
      </c>
      <c r="I1204" t="str">
        <f>HYPERLINK("http://pbs.twimg.com/media/FfHnbQhX0AEFKZi.jpg", "http://pbs.twimg.com/media/FfHnbQhX0AEFKZi.jpg")</f>
        <v>http://pbs.twimg.com/media/FfHnbQhX0AEFKZi.jpg</v>
      </c>
      <c r="J1204" t="str">
        <f>HYPERLINK("http://pbs.twimg.com/media/FfHnbQuWYAMuV0r.jpg", "http://pbs.twimg.com/media/FfHnbQuWYAMuV0r.jpg")</f>
        <v>http://pbs.twimg.com/media/FfHnbQuWYAMuV0r.jpg</v>
      </c>
      <c r="L1204">
        <v>0</v>
      </c>
      <c r="M1204">
        <v>0</v>
      </c>
      <c r="N1204">
        <v>1</v>
      </c>
      <c r="O1204">
        <v>0</v>
      </c>
    </row>
    <row r="1205" spans="1:15" x14ac:dyDescent="0.2">
      <c r="A1205" s="1" t="str">
        <f>HYPERLINK("http://www.twitter.com/banuakdenizli/status/1581462180662480897", "1581462180662480897")</f>
        <v>1581462180662480897</v>
      </c>
      <c r="B1205" t="s">
        <v>15</v>
      </c>
      <c r="C1205" s="2">
        <v>44850.075694444437</v>
      </c>
      <c r="D1205">
        <v>0</v>
      </c>
      <c r="E1205">
        <v>1</v>
      </c>
      <c r="F1205" t="s">
        <v>29</v>
      </c>
      <c r="G1205" t="s">
        <v>1280</v>
      </c>
      <c r="H1205" t="str">
        <f>HYPERLINK("http://pbs.twimg.com/media/FfGzG7HXgAAXF9X.jpg", "http://pbs.twimg.com/media/FfGzG7HXgAAXF9X.jpg")</f>
        <v>http://pbs.twimg.com/media/FfGzG7HXgAAXF9X.jpg</v>
      </c>
      <c r="L1205">
        <v>0</v>
      </c>
      <c r="M1205">
        <v>0</v>
      </c>
      <c r="N1205">
        <v>1</v>
      </c>
      <c r="O1205">
        <v>0</v>
      </c>
    </row>
    <row r="1206" spans="1:15" x14ac:dyDescent="0.2">
      <c r="A1206" s="1" t="str">
        <f>HYPERLINK("http://www.twitter.com/banuakdenizli/status/1581462137121087489", "1581462137121087489")</f>
        <v>1581462137121087489</v>
      </c>
      <c r="B1206" t="s">
        <v>15</v>
      </c>
      <c r="C1206" s="2">
        <v>44850.075578703712</v>
      </c>
      <c r="D1206">
        <v>0</v>
      </c>
      <c r="E1206">
        <v>1</v>
      </c>
      <c r="F1206" t="s">
        <v>29</v>
      </c>
      <c r="G1206" t="s">
        <v>1281</v>
      </c>
      <c r="H1206" t="str">
        <f>HYPERLINK("http://pbs.twimg.com/media/FfGtxtYWIAIZKv2.jpg", "http://pbs.twimg.com/media/FfGtxtYWIAIZKv2.jpg")</f>
        <v>http://pbs.twimg.com/media/FfGtxtYWIAIZKv2.jpg</v>
      </c>
      <c r="L1206">
        <v>0</v>
      </c>
      <c r="M1206">
        <v>0</v>
      </c>
      <c r="N1206">
        <v>1</v>
      </c>
      <c r="O1206">
        <v>0</v>
      </c>
    </row>
    <row r="1207" spans="1:15" x14ac:dyDescent="0.2">
      <c r="A1207" s="1" t="str">
        <f>HYPERLINK("http://www.twitter.com/banuakdenizli/status/1581462094922145792", "1581462094922145792")</f>
        <v>1581462094922145792</v>
      </c>
      <c r="B1207" t="s">
        <v>15</v>
      </c>
      <c r="C1207" s="2">
        <v>44850.075462962966</v>
      </c>
      <c r="D1207">
        <v>0</v>
      </c>
      <c r="E1207">
        <v>2</v>
      </c>
      <c r="F1207" t="s">
        <v>29</v>
      </c>
      <c r="G1207" t="s">
        <v>1282</v>
      </c>
      <c r="H1207" t="str">
        <f>HYPERLINK("http://pbs.twimg.com/media/FfGkKlPXkAA7K8-.jpg", "http://pbs.twimg.com/media/FfGkKlPXkAA7K8-.jpg")</f>
        <v>http://pbs.twimg.com/media/FfGkKlPXkAA7K8-.jpg</v>
      </c>
      <c r="L1207">
        <v>0</v>
      </c>
      <c r="M1207">
        <v>0</v>
      </c>
      <c r="N1207">
        <v>1</v>
      </c>
      <c r="O1207">
        <v>0</v>
      </c>
    </row>
    <row r="1208" spans="1:15" x14ac:dyDescent="0.2">
      <c r="A1208" s="1" t="str">
        <f>HYPERLINK("http://www.twitter.com/banuakdenizli/status/1581462077046067202", "1581462077046067202")</f>
        <v>1581462077046067202</v>
      </c>
      <c r="B1208" t="s">
        <v>15</v>
      </c>
      <c r="C1208" s="2">
        <v>44850.07540509259</v>
      </c>
      <c r="D1208">
        <v>0</v>
      </c>
      <c r="E1208">
        <v>1</v>
      </c>
      <c r="F1208" t="s">
        <v>29</v>
      </c>
      <c r="G1208" t="s">
        <v>1283</v>
      </c>
      <c r="H1208" t="str">
        <f>HYPERLINK("http://pbs.twimg.com/media/FfGiHCiXoAAZwjv.jpg", "http://pbs.twimg.com/media/FfGiHCiXoAAZwjv.jpg")</f>
        <v>http://pbs.twimg.com/media/FfGiHCiXoAAZwjv.jpg</v>
      </c>
      <c r="L1208">
        <v>0</v>
      </c>
      <c r="M1208">
        <v>0.12</v>
      </c>
      <c r="N1208">
        <v>0.72</v>
      </c>
      <c r="O1208">
        <v>0.16</v>
      </c>
    </row>
    <row r="1209" spans="1:15" x14ac:dyDescent="0.2">
      <c r="A1209" s="1" t="str">
        <f>HYPERLINK("http://www.twitter.com/banuakdenizli/status/1581461947148443649", "1581461947148443649")</f>
        <v>1581461947148443649</v>
      </c>
      <c r="B1209" t="s">
        <v>15</v>
      </c>
      <c r="C1209" s="2">
        <v>44850.075046296297</v>
      </c>
      <c r="D1209">
        <v>0</v>
      </c>
      <c r="E1209">
        <v>2</v>
      </c>
      <c r="F1209" t="s">
        <v>29</v>
      </c>
      <c r="G1209" t="s">
        <v>1284</v>
      </c>
      <c r="H1209" t="str">
        <f>HYPERLINK("http://pbs.twimg.com/media/FfImaMbWAAIEaKp.jpg", "http://pbs.twimg.com/media/FfImaMbWAAIEaKp.jpg")</f>
        <v>http://pbs.twimg.com/media/FfImaMbWAAIEaKp.jpg</v>
      </c>
      <c r="L1209">
        <v>0</v>
      </c>
      <c r="M1209">
        <v>0</v>
      </c>
      <c r="N1209">
        <v>1</v>
      </c>
      <c r="O1209">
        <v>0</v>
      </c>
    </row>
    <row r="1210" spans="1:15" x14ac:dyDescent="0.2">
      <c r="A1210" s="1" t="str">
        <f>HYPERLINK("http://www.twitter.com/banuakdenizli/status/1581461749169270784", "1581461749169270784")</f>
        <v>1581461749169270784</v>
      </c>
      <c r="B1210" t="s">
        <v>15</v>
      </c>
      <c r="C1210" s="2">
        <v>44850.074502314812</v>
      </c>
      <c r="D1210">
        <v>0</v>
      </c>
      <c r="E1210">
        <v>1</v>
      </c>
      <c r="F1210" t="s">
        <v>29</v>
      </c>
      <c r="G1210" t="s">
        <v>1285</v>
      </c>
      <c r="H1210" t="str">
        <f>HYPERLINK("http://pbs.twimg.com/media/FfI496PXkAI5vte.jpg", "http://pbs.twimg.com/media/FfI496PXkAI5vte.jpg")</f>
        <v>http://pbs.twimg.com/media/FfI496PXkAI5vte.jpg</v>
      </c>
      <c r="L1210">
        <v>0</v>
      </c>
      <c r="M1210">
        <v>0</v>
      </c>
      <c r="N1210">
        <v>1</v>
      </c>
      <c r="O1210">
        <v>0</v>
      </c>
    </row>
    <row r="1211" spans="1:15" x14ac:dyDescent="0.2">
      <c r="A1211" s="1" t="str">
        <f>HYPERLINK("http://www.twitter.com/banuakdenizli/status/1581461497179693056", "1581461497179693056")</f>
        <v>1581461497179693056</v>
      </c>
      <c r="B1211" t="s">
        <v>15</v>
      </c>
      <c r="C1211" s="2">
        <v>44850.073807870373</v>
      </c>
      <c r="D1211">
        <v>0</v>
      </c>
      <c r="E1211">
        <v>11</v>
      </c>
      <c r="F1211" t="s">
        <v>16</v>
      </c>
      <c r="G1211" t="s">
        <v>1286</v>
      </c>
      <c r="H1211" t="str">
        <f>HYPERLINK("http://pbs.twimg.com/media/FfGKt8kX0AAwdy9.jpg", "http://pbs.twimg.com/media/FfGKt8kX0AAwdy9.jpg")</f>
        <v>http://pbs.twimg.com/media/FfGKt8kX0AAwdy9.jpg</v>
      </c>
      <c r="L1211">
        <v>0</v>
      </c>
      <c r="M1211">
        <v>0</v>
      </c>
      <c r="N1211">
        <v>1</v>
      </c>
      <c r="O1211">
        <v>0</v>
      </c>
    </row>
    <row r="1212" spans="1:15" x14ac:dyDescent="0.2">
      <c r="A1212" s="1" t="str">
        <f>HYPERLINK("http://www.twitter.com/banuakdenizli/status/1581461446214713344", "1581461446214713344")</f>
        <v>1581461446214713344</v>
      </c>
      <c r="B1212" t="s">
        <v>15</v>
      </c>
      <c r="C1212" s="2">
        <v>44850.07366898148</v>
      </c>
      <c r="D1212">
        <v>0</v>
      </c>
      <c r="E1212">
        <v>16</v>
      </c>
      <c r="F1212" t="s">
        <v>17</v>
      </c>
      <c r="G1212" t="s">
        <v>1287</v>
      </c>
      <c r="H1212" t="str">
        <f>HYPERLINK("http://pbs.twimg.com/media/FfF58NgXoAMi1ZE.jpg", "http://pbs.twimg.com/media/FfF58NgXoAMi1ZE.jpg")</f>
        <v>http://pbs.twimg.com/media/FfF58NgXoAMi1ZE.jpg</v>
      </c>
      <c r="L1212">
        <v>0.61240000000000006</v>
      </c>
      <c r="M1212">
        <v>0.10199999999999999</v>
      </c>
      <c r="N1212">
        <v>0.60599999999999998</v>
      </c>
      <c r="O1212">
        <v>0.29199999999999998</v>
      </c>
    </row>
    <row r="1213" spans="1:15" x14ac:dyDescent="0.2">
      <c r="A1213" s="1" t="str">
        <f>HYPERLINK("http://www.twitter.com/banuakdenizli/status/1581461372562735104", "1581461372562735104")</f>
        <v>1581461372562735104</v>
      </c>
      <c r="B1213" t="s">
        <v>15</v>
      </c>
      <c r="C1213" s="2">
        <v>44850.073472222219</v>
      </c>
      <c r="D1213">
        <v>0</v>
      </c>
      <c r="E1213">
        <v>51</v>
      </c>
      <c r="F1213" t="s">
        <v>28</v>
      </c>
      <c r="G1213" t="s">
        <v>1288</v>
      </c>
      <c r="L1213">
        <v>0</v>
      </c>
      <c r="M1213">
        <v>0</v>
      </c>
      <c r="N1213">
        <v>1</v>
      </c>
      <c r="O1213">
        <v>0</v>
      </c>
    </row>
    <row r="1214" spans="1:15" x14ac:dyDescent="0.2">
      <c r="A1214" s="1" t="str">
        <f>HYPERLINK("http://www.twitter.com/banuakdenizli/status/1581461219722297344", "1581461219722297344")</f>
        <v>1581461219722297344</v>
      </c>
      <c r="B1214" t="s">
        <v>15</v>
      </c>
      <c r="C1214" s="2">
        <v>44850.07304398148</v>
      </c>
      <c r="D1214">
        <v>0</v>
      </c>
      <c r="E1214">
        <v>7</v>
      </c>
      <c r="F1214" t="s">
        <v>17</v>
      </c>
      <c r="G1214" t="s">
        <v>1289</v>
      </c>
      <c r="H1214" t="str">
        <f>HYPERLINK("http://pbs.twimg.com/media/FfH7DlMXwAAUP3e.jpg", "http://pbs.twimg.com/media/FfH7DlMXwAAUP3e.jpg")</f>
        <v>http://pbs.twimg.com/media/FfH7DlMXwAAUP3e.jpg</v>
      </c>
      <c r="L1214">
        <v>0</v>
      </c>
      <c r="M1214">
        <v>0.12</v>
      </c>
      <c r="N1214">
        <v>0.72</v>
      </c>
      <c r="O1214">
        <v>0.16</v>
      </c>
    </row>
    <row r="1215" spans="1:15" x14ac:dyDescent="0.2">
      <c r="A1215" s="1" t="str">
        <f>HYPERLINK("http://www.twitter.com/banuakdenizli/status/1581461183529648129", "1581461183529648129")</f>
        <v>1581461183529648129</v>
      </c>
      <c r="B1215" t="s">
        <v>15</v>
      </c>
      <c r="C1215" s="2">
        <v>44850.072939814818</v>
      </c>
      <c r="D1215">
        <v>0</v>
      </c>
      <c r="E1215">
        <v>2</v>
      </c>
      <c r="F1215" t="s">
        <v>1290</v>
      </c>
      <c r="G1215" t="s">
        <v>1291</v>
      </c>
      <c r="L1215">
        <v>0</v>
      </c>
      <c r="M1215">
        <v>0</v>
      </c>
      <c r="N1215">
        <v>1</v>
      </c>
      <c r="O1215">
        <v>0</v>
      </c>
    </row>
    <row r="1216" spans="1:15" x14ac:dyDescent="0.2">
      <c r="A1216" s="1" t="str">
        <f>HYPERLINK("http://www.twitter.com/banuakdenizli/status/1581461014444314624", "1581461014444314624")</f>
        <v>1581461014444314624</v>
      </c>
      <c r="B1216" t="s">
        <v>15</v>
      </c>
      <c r="C1216" s="2">
        <v>44850.072476851848</v>
      </c>
      <c r="D1216">
        <v>0</v>
      </c>
      <c r="E1216">
        <v>2</v>
      </c>
      <c r="F1216" t="s">
        <v>115</v>
      </c>
      <c r="G1216" t="s">
        <v>1292</v>
      </c>
      <c r="H1216" t="str">
        <f>HYPERLINK("http://pbs.twimg.com/media/FfIDmooWIAEz5ef.jpg", "http://pbs.twimg.com/media/FfIDmooWIAEz5ef.jpg")</f>
        <v>http://pbs.twimg.com/media/FfIDmooWIAEz5ef.jpg</v>
      </c>
      <c r="L1216">
        <v>0</v>
      </c>
      <c r="M1216">
        <v>0</v>
      </c>
      <c r="N1216">
        <v>1</v>
      </c>
      <c r="O1216">
        <v>0</v>
      </c>
    </row>
    <row r="1217" spans="1:15" x14ac:dyDescent="0.2">
      <c r="A1217" s="1" t="str">
        <f>HYPERLINK("http://www.twitter.com/banuakdenizli/status/1581091699295518721", "1581091699295518721")</f>
        <v>1581091699295518721</v>
      </c>
      <c r="B1217" t="s">
        <v>15</v>
      </c>
      <c r="C1217" s="2">
        <v>44849.053368055553</v>
      </c>
      <c r="D1217">
        <v>0</v>
      </c>
      <c r="E1217">
        <v>68</v>
      </c>
      <c r="F1217" t="s">
        <v>28</v>
      </c>
      <c r="G1217" t="s">
        <v>1293</v>
      </c>
      <c r="H1217" t="str">
        <f>HYPERLINK("http://pbs.twimg.com/media/FfDMtThWAAIXQVT.jpg", "http://pbs.twimg.com/media/FfDMtThWAAIXQVT.jpg")</f>
        <v>http://pbs.twimg.com/media/FfDMtThWAAIXQVT.jpg</v>
      </c>
      <c r="I1217" t="str">
        <f>HYPERLINK("http://pbs.twimg.com/media/FfDMtTYWAA8A7Zf.jpg", "http://pbs.twimg.com/media/FfDMtTYWAA8A7Zf.jpg")</f>
        <v>http://pbs.twimg.com/media/FfDMtTYWAA8A7Zf.jpg</v>
      </c>
      <c r="J1217" t="str">
        <f>HYPERLINK("http://pbs.twimg.com/media/FfDMtTaWAAwAAvL.jpg", "http://pbs.twimg.com/media/FfDMtTaWAAwAAvL.jpg")</f>
        <v>http://pbs.twimg.com/media/FfDMtTaWAAwAAvL.jpg</v>
      </c>
      <c r="K1217" t="str">
        <f>HYPERLINK("http://pbs.twimg.com/media/FfDMtTbWAAgScGv.jpg", "http://pbs.twimg.com/media/FfDMtTbWAAgScGv.jpg")</f>
        <v>http://pbs.twimg.com/media/FfDMtTbWAAgScGv.jpg</v>
      </c>
      <c r="L1217">
        <v>0</v>
      </c>
      <c r="M1217">
        <v>0</v>
      </c>
      <c r="N1217">
        <v>1</v>
      </c>
      <c r="O1217">
        <v>0</v>
      </c>
    </row>
    <row r="1218" spans="1:15" x14ac:dyDescent="0.2">
      <c r="A1218" s="1" t="str">
        <f>HYPERLINK("http://www.twitter.com/banuakdenizli/status/1581091675006390273", "1581091675006390273")</f>
        <v>1581091675006390273</v>
      </c>
      <c r="B1218" t="s">
        <v>15</v>
      </c>
      <c r="C1218" s="2">
        <v>44849.053298611107</v>
      </c>
      <c r="D1218">
        <v>0</v>
      </c>
      <c r="E1218">
        <v>1014</v>
      </c>
      <c r="F1218" t="s">
        <v>27</v>
      </c>
      <c r="G1218" t="s">
        <v>1294</v>
      </c>
      <c r="H1218" t="str">
        <f>HYPERLINK("http://pbs.twimg.com/media/FfDSX7fXkAASJue.jpg", "http://pbs.twimg.com/media/FfDSX7fXkAASJue.jpg")</f>
        <v>http://pbs.twimg.com/media/FfDSX7fXkAASJue.jpg</v>
      </c>
      <c r="L1218">
        <v>0</v>
      </c>
      <c r="M1218">
        <v>0</v>
      </c>
      <c r="N1218">
        <v>1</v>
      </c>
      <c r="O1218">
        <v>0</v>
      </c>
    </row>
    <row r="1219" spans="1:15" x14ac:dyDescent="0.2">
      <c r="A1219" s="1" t="str">
        <f>HYPERLINK("http://www.twitter.com/banuakdenizli/status/1581091661286809600", "1581091661286809600")</f>
        <v>1581091661286809600</v>
      </c>
      <c r="B1219" t="s">
        <v>15</v>
      </c>
      <c r="C1219" s="2">
        <v>44849.053252314807</v>
      </c>
      <c r="D1219">
        <v>0</v>
      </c>
      <c r="E1219">
        <v>7</v>
      </c>
      <c r="F1219" t="s">
        <v>20</v>
      </c>
      <c r="G1219" t="s">
        <v>1295</v>
      </c>
      <c r="H1219" t="str">
        <f>HYPERLINK("http://pbs.twimg.com/media/FfDfS2jX0AEuPuK.jpg", "http://pbs.twimg.com/media/FfDfS2jX0AEuPuK.jpg")</f>
        <v>http://pbs.twimg.com/media/FfDfS2jX0AEuPuK.jpg</v>
      </c>
      <c r="L1219">
        <v>0</v>
      </c>
      <c r="M1219">
        <v>0</v>
      </c>
      <c r="N1219">
        <v>1</v>
      </c>
      <c r="O1219">
        <v>0</v>
      </c>
    </row>
    <row r="1220" spans="1:15" x14ac:dyDescent="0.2">
      <c r="A1220" s="1" t="str">
        <f>HYPERLINK("http://www.twitter.com/banuakdenizli/status/1581091643846901762", "1581091643846901762")</f>
        <v>1581091643846901762</v>
      </c>
      <c r="B1220" t="s">
        <v>15</v>
      </c>
      <c r="C1220" s="2">
        <v>44849.053206018521</v>
      </c>
      <c r="D1220">
        <v>0</v>
      </c>
      <c r="E1220">
        <v>3</v>
      </c>
      <c r="F1220" t="s">
        <v>17</v>
      </c>
      <c r="G1220" t="s">
        <v>1296</v>
      </c>
      <c r="H1220" t="str">
        <f>HYPERLINK("http://pbs.twimg.com/media/FfDTMWhWAAA-jRu.jpg", "http://pbs.twimg.com/media/FfDTMWhWAAA-jRu.jpg")</f>
        <v>http://pbs.twimg.com/media/FfDTMWhWAAA-jRu.jpg</v>
      </c>
      <c r="L1220">
        <v>0</v>
      </c>
      <c r="M1220">
        <v>0</v>
      </c>
      <c r="N1220">
        <v>1</v>
      </c>
      <c r="O1220">
        <v>0</v>
      </c>
    </row>
    <row r="1221" spans="1:15" x14ac:dyDescent="0.2">
      <c r="A1221" s="1" t="str">
        <f>HYPERLINK("http://www.twitter.com/banuakdenizli/status/1581091619998437377", "1581091619998437377")</f>
        <v>1581091619998437377</v>
      </c>
      <c r="B1221" t="s">
        <v>15</v>
      </c>
      <c r="C1221" s="2">
        <v>44849.053148148138</v>
      </c>
      <c r="D1221">
        <v>0</v>
      </c>
      <c r="E1221">
        <v>7</v>
      </c>
      <c r="F1221" t="s">
        <v>726</v>
      </c>
      <c r="G1221" t="s">
        <v>1297</v>
      </c>
      <c r="H1221" t="str">
        <f>HYPERLINK("http://pbs.twimg.com/media/FfDceb-WYAEg153.jpg", "http://pbs.twimg.com/media/FfDceb-WYAEg153.jpg")</f>
        <v>http://pbs.twimg.com/media/FfDceb-WYAEg153.jpg</v>
      </c>
      <c r="L1221">
        <v>0</v>
      </c>
      <c r="M1221">
        <v>0</v>
      </c>
      <c r="N1221">
        <v>1</v>
      </c>
      <c r="O1221">
        <v>0</v>
      </c>
    </row>
    <row r="1222" spans="1:15" x14ac:dyDescent="0.2">
      <c r="A1222" s="1" t="str">
        <f>HYPERLINK("http://www.twitter.com/banuakdenizli/status/1581091603640295424", "1581091603640295424")</f>
        <v>1581091603640295424</v>
      </c>
      <c r="B1222" t="s">
        <v>15</v>
      </c>
      <c r="C1222" s="2">
        <v>44849.053101851852</v>
      </c>
      <c r="D1222">
        <v>0</v>
      </c>
      <c r="E1222">
        <v>4</v>
      </c>
      <c r="F1222" t="s">
        <v>1298</v>
      </c>
      <c r="G1222" t="s">
        <v>1299</v>
      </c>
      <c r="L1222">
        <v>0.90610000000000002</v>
      </c>
      <c r="M1222">
        <v>0</v>
      </c>
      <c r="N1222">
        <v>0.59399999999999997</v>
      </c>
      <c r="O1222">
        <v>0.40600000000000003</v>
      </c>
    </row>
    <row r="1223" spans="1:15" x14ac:dyDescent="0.2">
      <c r="A1223" s="1" t="str">
        <f>HYPERLINK("http://www.twitter.com/banuakdenizli/status/1581091286073094144", "1581091286073094144")</f>
        <v>1581091286073094144</v>
      </c>
      <c r="B1223" t="s">
        <v>15</v>
      </c>
      <c r="C1223" s="2">
        <v>44849.052222222221</v>
      </c>
      <c r="D1223">
        <v>0</v>
      </c>
      <c r="E1223">
        <v>16</v>
      </c>
      <c r="F1223" t="s">
        <v>24</v>
      </c>
      <c r="G1223" t="s">
        <v>1300</v>
      </c>
      <c r="H1223" t="str">
        <f>HYPERLINK("http://pbs.twimg.com/media/FfDxa2ZXgAIESo9.jpg", "http://pbs.twimg.com/media/FfDxa2ZXgAIESo9.jpg")</f>
        <v>http://pbs.twimg.com/media/FfDxa2ZXgAIESo9.jpg</v>
      </c>
      <c r="L1223">
        <v>0</v>
      </c>
      <c r="M1223">
        <v>0</v>
      </c>
      <c r="N1223">
        <v>1</v>
      </c>
      <c r="O1223">
        <v>0</v>
      </c>
    </row>
    <row r="1224" spans="1:15" x14ac:dyDescent="0.2">
      <c r="A1224" s="1" t="str">
        <f>HYPERLINK("http://www.twitter.com/banuakdenizli/status/1581091234331865098", "1581091234331865098")</f>
        <v>1581091234331865098</v>
      </c>
      <c r="B1224" t="s">
        <v>15</v>
      </c>
      <c r="C1224" s="2">
        <v>44849.052083333343</v>
      </c>
      <c r="D1224">
        <v>0</v>
      </c>
      <c r="E1224">
        <v>5</v>
      </c>
      <c r="F1224" t="s">
        <v>29</v>
      </c>
      <c r="G1224" t="s">
        <v>1301</v>
      </c>
      <c r="H1224" t="str">
        <f>HYPERLINK("http://pbs.twimg.com/media/FfDXyQ9XwAM90x0.jpg", "http://pbs.twimg.com/media/FfDXyQ9XwAM90x0.jpg")</f>
        <v>http://pbs.twimg.com/media/FfDXyQ9XwAM90x0.jpg</v>
      </c>
      <c r="L1224">
        <v>0.85189999999999999</v>
      </c>
      <c r="M1224">
        <v>5.0999999999999997E-2</v>
      </c>
      <c r="N1224">
        <v>0.71</v>
      </c>
      <c r="O1224">
        <v>0.23899999999999999</v>
      </c>
    </row>
    <row r="1225" spans="1:15" x14ac:dyDescent="0.2">
      <c r="A1225" s="1" t="str">
        <f>HYPERLINK("http://www.twitter.com/banuakdenizli/status/1581091207651786753", "1581091207651786753")</f>
        <v>1581091207651786753</v>
      </c>
      <c r="B1225" t="s">
        <v>15</v>
      </c>
      <c r="C1225" s="2">
        <v>44849.052002314813</v>
      </c>
      <c r="D1225">
        <v>0</v>
      </c>
      <c r="E1225">
        <v>3</v>
      </c>
      <c r="F1225" t="s">
        <v>29</v>
      </c>
      <c r="G1225" t="s">
        <v>1302</v>
      </c>
      <c r="H1225" t="str">
        <f>HYPERLINK("http://pbs.twimg.com/media/FfDmDKJWIAEG6XW.jpg", "http://pbs.twimg.com/media/FfDmDKJWIAEG6XW.jpg")</f>
        <v>http://pbs.twimg.com/media/FfDmDKJWIAEG6XW.jpg</v>
      </c>
      <c r="L1225">
        <v>0.44040000000000001</v>
      </c>
      <c r="M1225">
        <v>0</v>
      </c>
      <c r="N1225">
        <v>0.86799999999999999</v>
      </c>
      <c r="O1225">
        <v>0.13200000000000001</v>
      </c>
    </row>
    <row r="1226" spans="1:15" x14ac:dyDescent="0.2">
      <c r="A1226" s="1" t="str">
        <f>HYPERLINK("http://www.twitter.com/banuakdenizli/status/1580986579061182464", "1580986579061182464")</f>
        <v>1580986579061182464</v>
      </c>
      <c r="B1226" t="s">
        <v>15</v>
      </c>
      <c r="C1226" s="2">
        <v>44848.763287037043</v>
      </c>
      <c r="D1226">
        <v>0</v>
      </c>
      <c r="E1226">
        <v>17</v>
      </c>
      <c r="F1226" t="s">
        <v>17</v>
      </c>
      <c r="G1226" t="s">
        <v>1303</v>
      </c>
      <c r="H1226" t="str">
        <f>HYPERLINK("http://pbs.twimg.com/media/FfDKFbDWAAE7h3I.jpg", "http://pbs.twimg.com/media/FfDKFbDWAAE7h3I.jpg")</f>
        <v>http://pbs.twimg.com/media/FfDKFbDWAAE7h3I.jpg</v>
      </c>
      <c r="L1226">
        <v>0</v>
      </c>
      <c r="M1226">
        <v>0</v>
      </c>
      <c r="N1226">
        <v>1</v>
      </c>
      <c r="O1226">
        <v>0</v>
      </c>
    </row>
    <row r="1227" spans="1:15" x14ac:dyDescent="0.2">
      <c r="A1227" s="1" t="str">
        <f>HYPERLINK("http://www.twitter.com/banuakdenizli/status/1580981246662172672", "1580981246662172672")</f>
        <v>1580981246662172672</v>
      </c>
      <c r="B1227" t="s">
        <v>15</v>
      </c>
      <c r="C1227" s="2">
        <v>44848.748576388891</v>
      </c>
      <c r="D1227">
        <v>0</v>
      </c>
      <c r="E1227">
        <v>64</v>
      </c>
      <c r="F1227" t="s">
        <v>28</v>
      </c>
      <c r="G1227" t="s">
        <v>1304</v>
      </c>
      <c r="H1227" t="str">
        <f>HYPERLINK("http://pbs.twimg.com/media/FfDF70dWAAUVk1g.jpg", "http://pbs.twimg.com/media/FfDF70dWAAUVk1g.jpg")</f>
        <v>http://pbs.twimg.com/media/FfDF70dWAAUVk1g.jpg</v>
      </c>
      <c r="I1227" t="str">
        <f>HYPERLINK("http://pbs.twimg.com/media/FfDF70ZWABI1gwO.jpg", "http://pbs.twimg.com/media/FfDF70ZWABI1gwO.jpg")</f>
        <v>http://pbs.twimg.com/media/FfDF70ZWABI1gwO.jpg</v>
      </c>
      <c r="L1227">
        <v>0</v>
      </c>
      <c r="M1227">
        <v>0</v>
      </c>
      <c r="N1227">
        <v>1</v>
      </c>
      <c r="O1227">
        <v>0</v>
      </c>
    </row>
    <row r="1228" spans="1:15" x14ac:dyDescent="0.2">
      <c r="A1228" s="1" t="str">
        <f>HYPERLINK("http://www.twitter.com/banuakdenizli/status/1580981059784564736", "1580981059784564736")</f>
        <v>1580981059784564736</v>
      </c>
      <c r="B1228" t="s">
        <v>15</v>
      </c>
      <c r="C1228" s="2">
        <v>44848.748055555552</v>
      </c>
      <c r="D1228">
        <v>0</v>
      </c>
      <c r="E1228">
        <v>2</v>
      </c>
      <c r="F1228" t="s">
        <v>29</v>
      </c>
      <c r="G1228" t="s">
        <v>1305</v>
      </c>
      <c r="H1228" t="str">
        <f>HYPERLINK("http://pbs.twimg.com/media/FfDB4h3XoAAmgzw.jpg", "http://pbs.twimg.com/media/FfDB4h3XoAAmgzw.jpg")</f>
        <v>http://pbs.twimg.com/media/FfDB4h3XoAAmgzw.jpg</v>
      </c>
      <c r="I1228" t="str">
        <f>HYPERLINK("http://pbs.twimg.com/media/FfDB4ieWAAA_K1m.jpg", "http://pbs.twimg.com/media/FfDB4ieWAAA_K1m.jpg")</f>
        <v>http://pbs.twimg.com/media/FfDB4ieWAAA_K1m.jpg</v>
      </c>
      <c r="J1228" t="str">
        <f>HYPERLINK("http://pbs.twimg.com/media/FfDB4kbXoAEv51i.jpg", "http://pbs.twimg.com/media/FfDB4kbXoAEv51i.jpg")</f>
        <v>http://pbs.twimg.com/media/FfDB4kbXoAEv51i.jpg</v>
      </c>
      <c r="L1228">
        <v>0.42149999999999999</v>
      </c>
      <c r="M1228">
        <v>0</v>
      </c>
      <c r="N1228">
        <v>0.83299999999999996</v>
      </c>
      <c r="O1228">
        <v>0.16700000000000001</v>
      </c>
    </row>
    <row r="1229" spans="1:15" x14ac:dyDescent="0.2">
      <c r="A1229" s="1" t="str">
        <f>HYPERLINK("http://www.twitter.com/banuakdenizli/status/1580980953060892672", "1580980953060892672")</f>
        <v>1580980953060892672</v>
      </c>
      <c r="B1229" t="s">
        <v>15</v>
      </c>
      <c r="C1229" s="2">
        <v>44848.747766203713</v>
      </c>
      <c r="D1229">
        <v>0</v>
      </c>
      <c r="E1229">
        <v>25</v>
      </c>
      <c r="F1229" t="s">
        <v>16</v>
      </c>
      <c r="G1229" t="s">
        <v>1306</v>
      </c>
      <c r="H1229" t="str">
        <f>HYPERLINK("http://pbs.twimg.com/media/FfDBBcbXwAEuWsH.jpg", "http://pbs.twimg.com/media/FfDBBcbXwAEuWsH.jpg")</f>
        <v>http://pbs.twimg.com/media/FfDBBcbXwAEuWsH.jpg</v>
      </c>
      <c r="L1229">
        <v>0</v>
      </c>
      <c r="M1229">
        <v>0</v>
      </c>
      <c r="N1229">
        <v>1</v>
      </c>
      <c r="O1229">
        <v>0</v>
      </c>
    </row>
    <row r="1230" spans="1:15" x14ac:dyDescent="0.2">
      <c r="A1230" s="1" t="str">
        <f>HYPERLINK("http://www.twitter.com/banuakdenizli/status/1580980927475625985", "1580980927475625985")</f>
        <v>1580980927475625985</v>
      </c>
      <c r="B1230" t="s">
        <v>15</v>
      </c>
      <c r="C1230" s="2">
        <v>44848.747685185182</v>
      </c>
      <c r="D1230">
        <v>0</v>
      </c>
      <c r="E1230">
        <v>12</v>
      </c>
      <c r="F1230" t="s">
        <v>17</v>
      </c>
      <c r="G1230" t="s">
        <v>1307</v>
      </c>
      <c r="H1230" t="str">
        <f>HYPERLINK("https://video.twimg.com/ext_tw_video/1580978364793470981/pu/vid/1280x720/2d4_SUJdAtKAo3GU.mp4?tag=12", "https://video.twimg.com/ext_tw_video/1580978364793470981/pu/vid/1280x720/2d4_SUJdAtKAo3GU.mp4?tag=12")</f>
        <v>https://video.twimg.com/ext_tw_video/1580978364793470981/pu/vid/1280x720/2d4_SUJdAtKAo3GU.mp4?tag=12</v>
      </c>
      <c r="L1230">
        <v>0.55740000000000001</v>
      </c>
      <c r="M1230">
        <v>0</v>
      </c>
      <c r="N1230">
        <v>0.81599999999999995</v>
      </c>
      <c r="O1230">
        <v>0.184</v>
      </c>
    </row>
    <row r="1231" spans="1:15" x14ac:dyDescent="0.2">
      <c r="A1231" s="1" t="str">
        <f>HYPERLINK("http://www.twitter.com/banuakdenizli/status/1580980899830976512", "1580980899830976512")</f>
        <v>1580980899830976512</v>
      </c>
      <c r="B1231" t="s">
        <v>15</v>
      </c>
      <c r="C1231" s="2">
        <v>44848.747615740736</v>
      </c>
      <c r="D1231">
        <v>0</v>
      </c>
      <c r="E1231">
        <v>14</v>
      </c>
      <c r="F1231" t="s">
        <v>17</v>
      </c>
      <c r="G1231" t="s">
        <v>1308</v>
      </c>
      <c r="H1231" t="str">
        <f>HYPERLINK("https://video.twimg.com/ext_tw_video/1580974051723468800/pu/vid/1280x720/fCYStwEhW52fc5tn.mp4?tag=12", "https://video.twimg.com/ext_tw_video/1580974051723468800/pu/vid/1280x720/fCYStwEhW52fc5tn.mp4?tag=12")</f>
        <v>https://video.twimg.com/ext_tw_video/1580974051723468800/pu/vid/1280x720/fCYStwEhW52fc5tn.mp4?tag=12</v>
      </c>
      <c r="L1231">
        <v>7.7200000000000005E-2</v>
      </c>
      <c r="M1231">
        <v>6.5000000000000002E-2</v>
      </c>
      <c r="N1231">
        <v>0.86199999999999999</v>
      </c>
      <c r="O1231">
        <v>7.1999999999999995E-2</v>
      </c>
    </row>
    <row r="1232" spans="1:15" x14ac:dyDescent="0.2">
      <c r="A1232" s="1" t="str">
        <f>HYPERLINK("http://www.twitter.com/banuakdenizli/status/1580973658557718528", "1580973658557718528")</f>
        <v>1580973658557718528</v>
      </c>
      <c r="B1232" t="s">
        <v>15</v>
      </c>
      <c r="C1232" s="2">
        <v>44848.727627314824</v>
      </c>
      <c r="D1232">
        <v>0</v>
      </c>
      <c r="E1232">
        <v>3</v>
      </c>
      <c r="F1232" t="s">
        <v>40</v>
      </c>
      <c r="G1232" t="s">
        <v>1309</v>
      </c>
      <c r="H1232" t="str">
        <f>HYPERLINK("http://pbs.twimg.com/media/Fe-NzlMXgAEPvuU.jpg", "http://pbs.twimg.com/media/Fe-NzlMXgAEPvuU.jpg")</f>
        <v>http://pbs.twimg.com/media/Fe-NzlMXgAEPvuU.jpg</v>
      </c>
      <c r="L1232">
        <v>0</v>
      </c>
      <c r="M1232">
        <v>0</v>
      </c>
      <c r="N1232">
        <v>1</v>
      </c>
      <c r="O1232">
        <v>0</v>
      </c>
    </row>
    <row r="1233" spans="1:15" x14ac:dyDescent="0.2">
      <c r="A1233" s="1" t="str">
        <f>HYPERLINK("http://www.twitter.com/banuakdenizli/status/1580973493163765760", "1580973493163765760")</f>
        <v>1580973493163765760</v>
      </c>
      <c r="B1233" t="s">
        <v>15</v>
      </c>
      <c r="C1233" s="2">
        <v>44848.727175925917</v>
      </c>
      <c r="D1233">
        <v>0</v>
      </c>
      <c r="E1233">
        <v>43</v>
      </c>
      <c r="F1233" t="s">
        <v>16</v>
      </c>
      <c r="G1233" t="s">
        <v>1310</v>
      </c>
      <c r="H1233" t="str">
        <f>HYPERLINK("http://pbs.twimg.com/media/FfC9ANDWYAAUoVa.jpg", "http://pbs.twimg.com/media/FfC9ANDWYAAUoVa.jpg")</f>
        <v>http://pbs.twimg.com/media/FfC9ANDWYAAUoVa.jpg</v>
      </c>
      <c r="L1233">
        <v>0</v>
      </c>
      <c r="M1233">
        <v>0</v>
      </c>
      <c r="N1233">
        <v>1</v>
      </c>
      <c r="O1233">
        <v>0</v>
      </c>
    </row>
    <row r="1234" spans="1:15" x14ac:dyDescent="0.2">
      <c r="A1234" s="1" t="str">
        <f>HYPERLINK("http://www.twitter.com/banuakdenizli/status/1580973461211467776", "1580973461211467776")</f>
        <v>1580973461211467776</v>
      </c>
      <c r="B1234" t="s">
        <v>15</v>
      </c>
      <c r="C1234" s="2">
        <v>44848.727083333331</v>
      </c>
      <c r="D1234">
        <v>0</v>
      </c>
      <c r="E1234">
        <v>5</v>
      </c>
      <c r="F1234" t="s">
        <v>16</v>
      </c>
      <c r="G1234" t="s">
        <v>1311</v>
      </c>
      <c r="H1234" t="str">
        <f>HYPERLINK("http://pbs.twimg.com/media/FfC9I4uWIAMAXhv.jpg", "http://pbs.twimg.com/media/FfC9I4uWIAMAXhv.jpg")</f>
        <v>http://pbs.twimg.com/media/FfC9I4uWIAMAXhv.jpg</v>
      </c>
      <c r="L1234">
        <v>0</v>
      </c>
      <c r="M1234">
        <v>0</v>
      </c>
      <c r="N1234">
        <v>1</v>
      </c>
      <c r="O1234">
        <v>0</v>
      </c>
    </row>
    <row r="1235" spans="1:15" x14ac:dyDescent="0.2">
      <c r="A1235" s="1" t="str">
        <f>HYPERLINK("http://www.twitter.com/banuakdenizli/status/1580961254599819264", "1580961254599819264")</f>
        <v>1580961254599819264</v>
      </c>
      <c r="B1235" t="s">
        <v>15</v>
      </c>
      <c r="C1235" s="2">
        <v>44848.693402777782</v>
      </c>
      <c r="D1235">
        <v>0</v>
      </c>
      <c r="E1235">
        <v>88</v>
      </c>
      <c r="F1235" t="s">
        <v>28</v>
      </c>
      <c r="G1235" t="s">
        <v>1312</v>
      </c>
      <c r="H1235" t="str">
        <f>HYPERLINK("http://pbs.twimg.com/media/FfCyFzJXgAAtU8W.jpg", "http://pbs.twimg.com/media/FfCyFzJXgAAtU8W.jpg")</f>
        <v>http://pbs.twimg.com/media/FfCyFzJXgAAtU8W.jpg</v>
      </c>
      <c r="I1235" t="str">
        <f>HYPERLINK("http://pbs.twimg.com/media/FfCyFzCWQAAG6Ue.jpg", "http://pbs.twimg.com/media/FfCyFzCWQAAG6Ue.jpg")</f>
        <v>http://pbs.twimg.com/media/FfCyFzCWQAAG6Ue.jpg</v>
      </c>
      <c r="J1235" t="str">
        <f>HYPERLINK("http://pbs.twimg.com/media/FfCyFzBWYAMXYVS.jpg", "http://pbs.twimg.com/media/FfCyFzBWYAMXYVS.jpg")</f>
        <v>http://pbs.twimg.com/media/FfCyFzBWYAMXYVS.jpg</v>
      </c>
      <c r="L1235">
        <v>0</v>
      </c>
      <c r="M1235">
        <v>0</v>
      </c>
      <c r="N1235">
        <v>1</v>
      </c>
      <c r="O1235">
        <v>0</v>
      </c>
    </row>
    <row r="1236" spans="1:15" x14ac:dyDescent="0.2">
      <c r="A1236" s="1" t="str">
        <f>HYPERLINK("http://www.twitter.com/banuakdenizli/status/1580961152070057985", "1580961152070057985")</f>
        <v>1580961152070057985</v>
      </c>
      <c r="B1236" t="s">
        <v>15</v>
      </c>
      <c r="C1236" s="2">
        <v>44848.693124999998</v>
      </c>
      <c r="D1236">
        <v>0</v>
      </c>
      <c r="E1236">
        <v>11</v>
      </c>
      <c r="F1236" t="s">
        <v>17</v>
      </c>
      <c r="G1236" t="s">
        <v>1313</v>
      </c>
      <c r="H1236" t="str">
        <f>HYPERLINK("http://pbs.twimg.com/media/FfCy1mjXEAAibn6.jpg", "http://pbs.twimg.com/media/FfCy1mjXEAAibn6.jpg")</f>
        <v>http://pbs.twimg.com/media/FfCy1mjXEAAibn6.jpg</v>
      </c>
      <c r="L1236">
        <v>-0.40189999999999998</v>
      </c>
      <c r="M1236">
        <v>0.10100000000000001</v>
      </c>
      <c r="N1236">
        <v>0.89900000000000002</v>
      </c>
      <c r="O1236">
        <v>0</v>
      </c>
    </row>
    <row r="1237" spans="1:15" x14ac:dyDescent="0.2">
      <c r="A1237" s="1" t="str">
        <f>HYPERLINK("http://www.twitter.com/banuakdenizli/status/1580959375484518410", "1580959375484518410")</f>
        <v>1580959375484518410</v>
      </c>
      <c r="B1237" t="s">
        <v>15</v>
      </c>
      <c r="C1237" s="2">
        <v>44848.688217592593</v>
      </c>
      <c r="D1237">
        <v>0</v>
      </c>
      <c r="E1237">
        <v>11</v>
      </c>
      <c r="F1237" t="s">
        <v>17</v>
      </c>
      <c r="G1237" t="s">
        <v>1314</v>
      </c>
      <c r="H1237" t="str">
        <f>HYPERLINK("https://video.twimg.com/ext_tw_video/1580955534156566528/pu/vid/1280x720/pOL83f42pTmeTNjm.mp4?tag=12", "https://video.twimg.com/ext_tw_video/1580955534156566528/pu/vid/1280x720/pOL83f42pTmeTNjm.mp4?tag=12")</f>
        <v>https://video.twimg.com/ext_tw_video/1580955534156566528/pu/vid/1280x720/pOL83f42pTmeTNjm.mp4?tag=12</v>
      </c>
      <c r="L1237">
        <v>0.82279999999999998</v>
      </c>
      <c r="M1237">
        <v>3.9E-2</v>
      </c>
      <c r="N1237">
        <v>0.76500000000000001</v>
      </c>
      <c r="O1237">
        <v>0.19600000000000001</v>
      </c>
    </row>
    <row r="1238" spans="1:15" x14ac:dyDescent="0.2">
      <c r="A1238" s="1" t="str">
        <f>HYPERLINK("http://www.twitter.com/banuakdenizli/status/1580955325028368389", "1580955325028368389")</f>
        <v>1580955325028368389</v>
      </c>
      <c r="B1238" t="s">
        <v>15</v>
      </c>
      <c r="C1238" s="2">
        <v>44848.677037037043</v>
      </c>
      <c r="D1238">
        <v>0</v>
      </c>
      <c r="E1238">
        <v>1</v>
      </c>
      <c r="F1238" t="s">
        <v>30</v>
      </c>
      <c r="G1238" t="s">
        <v>1315</v>
      </c>
      <c r="H1238" t="str">
        <f>HYPERLINK("http://pbs.twimg.com/media/FfCkKPHXwAAnGu5.jpg", "http://pbs.twimg.com/media/FfCkKPHXwAAnGu5.jpg")</f>
        <v>http://pbs.twimg.com/media/FfCkKPHXwAAnGu5.jpg</v>
      </c>
      <c r="I1238" t="str">
        <f>HYPERLINK("http://pbs.twimg.com/media/FfCkKPHWQAE8XnG.jpg", "http://pbs.twimg.com/media/FfCkKPHWQAE8XnG.jpg")</f>
        <v>http://pbs.twimg.com/media/FfCkKPHWQAE8XnG.jpg</v>
      </c>
      <c r="J1238" t="str">
        <f>HYPERLINK("http://pbs.twimg.com/media/FfCkKPJX0AALhYw.jpg", "http://pbs.twimg.com/media/FfCkKPJX0AALhYw.jpg")</f>
        <v>http://pbs.twimg.com/media/FfCkKPJX0AALhYw.jpg</v>
      </c>
      <c r="L1238">
        <v>0</v>
      </c>
      <c r="M1238">
        <v>0</v>
      </c>
      <c r="N1238">
        <v>1</v>
      </c>
      <c r="O1238">
        <v>0</v>
      </c>
    </row>
    <row r="1239" spans="1:15" x14ac:dyDescent="0.2">
      <c r="A1239" s="1" t="str">
        <f>HYPERLINK("http://www.twitter.com/banuakdenizli/status/1580955090742964225", "1580955090742964225")</f>
        <v>1580955090742964225</v>
      </c>
      <c r="B1239" t="s">
        <v>15</v>
      </c>
      <c r="C1239" s="2">
        <v>44848.676400462973</v>
      </c>
      <c r="D1239">
        <v>0</v>
      </c>
      <c r="E1239">
        <v>1</v>
      </c>
      <c r="F1239" t="s">
        <v>30</v>
      </c>
      <c r="G1239" t="s">
        <v>1316</v>
      </c>
      <c r="H1239" t="str">
        <f>HYPERLINK("http://pbs.twimg.com/media/FfCjUT4XwAEKnN6.jpg", "http://pbs.twimg.com/media/FfCjUT4XwAEKnN6.jpg")</f>
        <v>http://pbs.twimg.com/media/FfCjUT4XwAEKnN6.jpg</v>
      </c>
      <c r="I1239" t="str">
        <f>HYPERLINK("http://pbs.twimg.com/media/FfCjUTzWYAI9bA0.jpg", "http://pbs.twimg.com/media/FfCjUTzWYAI9bA0.jpg")</f>
        <v>http://pbs.twimg.com/media/FfCjUTzWYAI9bA0.jpg</v>
      </c>
      <c r="J1239" t="str">
        <f>HYPERLINK("http://pbs.twimg.com/media/FfCjUTzWYAA-DZ6.jpg", "http://pbs.twimg.com/media/FfCjUTzWYAA-DZ6.jpg")</f>
        <v>http://pbs.twimg.com/media/FfCjUTzWYAA-DZ6.jpg</v>
      </c>
      <c r="L1239">
        <v>0</v>
      </c>
      <c r="M1239">
        <v>0</v>
      </c>
      <c r="N1239">
        <v>1</v>
      </c>
      <c r="O1239">
        <v>0</v>
      </c>
    </row>
    <row r="1240" spans="1:15" x14ac:dyDescent="0.2">
      <c r="A1240" s="1" t="str">
        <f>HYPERLINK("http://www.twitter.com/banuakdenizli/status/1580954986137104385", "1580954986137104385")</f>
        <v>1580954986137104385</v>
      </c>
      <c r="B1240" t="s">
        <v>15</v>
      </c>
      <c r="C1240" s="2">
        <v>44848.676111111112</v>
      </c>
      <c r="D1240">
        <v>0</v>
      </c>
      <c r="E1240">
        <v>3</v>
      </c>
      <c r="F1240" t="s">
        <v>29</v>
      </c>
      <c r="G1240" t="s">
        <v>1317</v>
      </c>
      <c r="H1240" t="str">
        <f>HYPERLINK("http://pbs.twimg.com/media/FfCUKMNXoAEmk2c.jpg", "http://pbs.twimg.com/media/FfCUKMNXoAEmk2c.jpg")</f>
        <v>http://pbs.twimg.com/media/FfCUKMNXoAEmk2c.jpg</v>
      </c>
      <c r="L1240">
        <v>-0.40189999999999998</v>
      </c>
      <c r="M1240">
        <v>0.11899999999999999</v>
      </c>
      <c r="N1240">
        <v>0.88100000000000001</v>
      </c>
      <c r="O1240">
        <v>0</v>
      </c>
    </row>
    <row r="1241" spans="1:15" x14ac:dyDescent="0.2">
      <c r="A1241" s="1" t="str">
        <f>HYPERLINK("http://www.twitter.com/banuakdenizli/status/1580954713281163265", "1580954713281163265")</f>
        <v>1580954713281163265</v>
      </c>
      <c r="B1241" t="s">
        <v>15</v>
      </c>
      <c r="C1241" s="2">
        <v>44848.675358796303</v>
      </c>
      <c r="D1241">
        <v>0</v>
      </c>
      <c r="E1241">
        <v>14</v>
      </c>
      <c r="F1241" t="s">
        <v>17</v>
      </c>
      <c r="G1241" t="s">
        <v>1318</v>
      </c>
      <c r="H1241" t="str">
        <f>HYPERLINK("https://video.twimg.com/ext_tw_video/1580952415121072134/pu/vid/1280x720/s7Z-k02HZVW1245b.mp4?tag=12", "https://video.twimg.com/ext_tw_video/1580952415121072134/pu/vid/1280x720/s7Z-k02HZVW1245b.mp4?tag=12")</f>
        <v>https://video.twimg.com/ext_tw_video/1580952415121072134/pu/vid/1280x720/s7Z-k02HZVW1245b.mp4?tag=12</v>
      </c>
      <c r="L1241">
        <v>-0.91180000000000005</v>
      </c>
      <c r="M1241">
        <v>0.314</v>
      </c>
      <c r="N1241">
        <v>0.55700000000000005</v>
      </c>
      <c r="O1241">
        <v>0.129</v>
      </c>
    </row>
    <row r="1242" spans="1:15" x14ac:dyDescent="0.2">
      <c r="A1242" s="1" t="str">
        <f>HYPERLINK("http://www.twitter.com/banuakdenizli/status/1580954693571706880", "1580954693571706880")</f>
        <v>1580954693571706880</v>
      </c>
      <c r="B1242" t="s">
        <v>15</v>
      </c>
      <c r="C1242" s="2">
        <v>44848.675300925926</v>
      </c>
      <c r="D1242">
        <v>0</v>
      </c>
      <c r="E1242">
        <v>10</v>
      </c>
      <c r="F1242" t="s">
        <v>17</v>
      </c>
      <c r="G1242" t="s">
        <v>1319</v>
      </c>
      <c r="H1242" t="str">
        <f>HYPERLINK("https://video.twimg.com/ext_tw_video/1580953993009823746/pu/vid/1280x720/5aJ2q0_glDPNNeyy.mp4?tag=12", "https://video.twimg.com/ext_tw_video/1580953993009823746/pu/vid/1280x720/5aJ2q0_glDPNNeyy.mp4?tag=12")</f>
        <v>https://video.twimg.com/ext_tw_video/1580953993009823746/pu/vid/1280x720/5aJ2q0_glDPNNeyy.mp4?tag=12</v>
      </c>
      <c r="L1242">
        <v>0.2732</v>
      </c>
      <c r="M1242">
        <v>0</v>
      </c>
      <c r="N1242">
        <v>0.94499999999999995</v>
      </c>
      <c r="O1242">
        <v>5.5E-2</v>
      </c>
    </row>
    <row r="1243" spans="1:15" x14ac:dyDescent="0.2">
      <c r="A1243" s="1" t="str">
        <f>HYPERLINK("http://www.twitter.com/banuakdenizli/status/1580954647304339459", "1580954647304339459")</f>
        <v>1580954647304339459</v>
      </c>
      <c r="B1243" t="s">
        <v>15</v>
      </c>
      <c r="C1243" s="2">
        <v>44848.675173611111</v>
      </c>
      <c r="D1243">
        <v>0</v>
      </c>
      <c r="E1243">
        <v>7</v>
      </c>
      <c r="F1243" t="s">
        <v>16</v>
      </c>
      <c r="G1243" t="s">
        <v>1320</v>
      </c>
      <c r="L1243">
        <v>0</v>
      </c>
      <c r="M1243">
        <v>0</v>
      </c>
      <c r="N1243">
        <v>1</v>
      </c>
      <c r="O1243">
        <v>0</v>
      </c>
    </row>
    <row r="1244" spans="1:15" x14ac:dyDescent="0.2">
      <c r="A1244" s="1" t="str">
        <f>HYPERLINK("http://www.twitter.com/banuakdenizli/status/1580922935857905664", "1580922935857905664")</f>
        <v>1580922935857905664</v>
      </c>
      <c r="B1244" t="s">
        <v>15</v>
      </c>
      <c r="C1244" s="2">
        <v>44848.58766203704</v>
      </c>
      <c r="D1244">
        <v>0</v>
      </c>
      <c r="E1244">
        <v>7</v>
      </c>
      <c r="F1244" t="s">
        <v>16</v>
      </c>
      <c r="G1244" t="s">
        <v>1321</v>
      </c>
      <c r="H1244" t="str">
        <f>HYPERLINK("http://pbs.twimg.com/media/FfCQtR5WAAQADGp.jpg", "http://pbs.twimg.com/media/FfCQtR5WAAQADGp.jpg")</f>
        <v>http://pbs.twimg.com/media/FfCQtR5WAAQADGp.jpg</v>
      </c>
      <c r="L1244">
        <v>0</v>
      </c>
      <c r="M1244">
        <v>0</v>
      </c>
      <c r="N1244">
        <v>1</v>
      </c>
      <c r="O1244">
        <v>0</v>
      </c>
    </row>
    <row r="1245" spans="1:15" x14ac:dyDescent="0.2">
      <c r="A1245" s="1" t="str">
        <f>HYPERLINK("http://www.twitter.com/banuakdenizli/status/1580921702078631936", "1580921702078631936")</f>
        <v>1580921702078631936</v>
      </c>
      <c r="B1245" t="s">
        <v>15</v>
      </c>
      <c r="C1245" s="2">
        <v>44848.58425925926</v>
      </c>
      <c r="D1245">
        <v>0</v>
      </c>
      <c r="E1245">
        <v>2</v>
      </c>
      <c r="F1245" t="s">
        <v>38</v>
      </c>
      <c r="G1245" t="s">
        <v>1322</v>
      </c>
      <c r="H1245" t="str">
        <f>HYPERLINK("http://pbs.twimg.com/media/FfBa-s7WYAIzMcV.jpg", "http://pbs.twimg.com/media/FfBa-s7WYAIzMcV.jpg")</f>
        <v>http://pbs.twimg.com/media/FfBa-s7WYAIzMcV.jpg</v>
      </c>
      <c r="L1245">
        <v>0</v>
      </c>
      <c r="M1245">
        <v>0</v>
      </c>
      <c r="N1245">
        <v>1</v>
      </c>
      <c r="O1245">
        <v>0</v>
      </c>
    </row>
    <row r="1246" spans="1:15" x14ac:dyDescent="0.2">
      <c r="A1246" s="1" t="str">
        <f>HYPERLINK("http://www.twitter.com/banuakdenizli/status/1580921206764883971", "1580921206764883971")</f>
        <v>1580921206764883971</v>
      </c>
      <c r="B1246" t="s">
        <v>15</v>
      </c>
      <c r="C1246" s="2">
        <v>44848.58289351852</v>
      </c>
      <c r="D1246">
        <v>0</v>
      </c>
      <c r="E1246">
        <v>3</v>
      </c>
      <c r="F1246" t="s">
        <v>29</v>
      </c>
      <c r="G1246" t="s">
        <v>1323</v>
      </c>
      <c r="H1246" t="str">
        <f>HYPERLINK("http://pbs.twimg.com/media/Fe-0_RfWIAoswQP.jpg", "http://pbs.twimg.com/media/Fe-0_RfWIAoswQP.jpg")</f>
        <v>http://pbs.twimg.com/media/Fe-0_RfWIAoswQP.jpg</v>
      </c>
      <c r="I1246" t="str">
        <f>HYPERLINK("http://pbs.twimg.com/media/Fe-0_SXWIA4Q1rw.jpg", "http://pbs.twimg.com/media/Fe-0_SXWIA4Q1rw.jpg")</f>
        <v>http://pbs.twimg.com/media/Fe-0_SXWIA4Q1rw.jpg</v>
      </c>
      <c r="L1246">
        <v>0.85909999999999997</v>
      </c>
      <c r="M1246">
        <v>0</v>
      </c>
      <c r="N1246">
        <v>0.80400000000000005</v>
      </c>
      <c r="O1246">
        <v>0.19600000000000001</v>
      </c>
    </row>
    <row r="1247" spans="1:15" x14ac:dyDescent="0.2">
      <c r="A1247" s="1" t="str">
        <f>HYPERLINK("http://www.twitter.com/banuakdenizli/status/1580921101831393285", "1580921101831393285")</f>
        <v>1580921101831393285</v>
      </c>
      <c r="B1247" t="s">
        <v>15</v>
      </c>
      <c r="C1247" s="2">
        <v>44848.582604166673</v>
      </c>
      <c r="D1247">
        <v>0</v>
      </c>
      <c r="E1247">
        <v>3</v>
      </c>
      <c r="F1247" t="s">
        <v>29</v>
      </c>
      <c r="G1247" t="s">
        <v>1324</v>
      </c>
      <c r="H1247" t="str">
        <f>HYPERLINK("http://pbs.twimg.com/media/FfB2EfyWAAAmf_G.jpg", "http://pbs.twimg.com/media/FfB2EfyWAAAmf_G.jpg")</f>
        <v>http://pbs.twimg.com/media/FfB2EfyWAAAmf_G.jpg</v>
      </c>
      <c r="L1247">
        <v>0.2732</v>
      </c>
      <c r="M1247">
        <v>0</v>
      </c>
      <c r="N1247">
        <v>0.89600000000000002</v>
      </c>
      <c r="O1247">
        <v>0.104</v>
      </c>
    </row>
    <row r="1248" spans="1:15" x14ac:dyDescent="0.2">
      <c r="A1248" s="1" t="str">
        <f>HYPERLINK("http://www.twitter.com/banuakdenizli/status/1580920736176226306", "1580920736176226306")</f>
        <v>1580920736176226306</v>
      </c>
      <c r="B1248" t="s">
        <v>15</v>
      </c>
      <c r="C1248" s="2">
        <v>44848.581597222219</v>
      </c>
      <c r="D1248">
        <v>0</v>
      </c>
      <c r="E1248">
        <v>14</v>
      </c>
      <c r="F1248" t="s">
        <v>16</v>
      </c>
      <c r="G1248" t="s">
        <v>1325</v>
      </c>
      <c r="H1248" t="str">
        <f>HYPERLINK("https://video.twimg.com/ext_tw_video/1580877073983459329/pu/vid/1280x720/trdEt0owG0jzbzxN.mp4?tag=12", "https://video.twimg.com/ext_tw_video/1580877073983459329/pu/vid/1280x720/trdEt0owG0jzbzxN.mp4?tag=12")</f>
        <v>https://video.twimg.com/ext_tw_video/1580877073983459329/pu/vid/1280x720/trdEt0owG0jzbzxN.mp4?tag=12</v>
      </c>
      <c r="L1248">
        <v>0</v>
      </c>
      <c r="M1248">
        <v>0</v>
      </c>
      <c r="N1248">
        <v>1</v>
      </c>
      <c r="O1248">
        <v>0</v>
      </c>
    </row>
    <row r="1249" spans="1:15" x14ac:dyDescent="0.2">
      <c r="A1249" s="1" t="str">
        <f>HYPERLINK("http://www.twitter.com/banuakdenizli/status/1580920711061082112", "1580920711061082112")</f>
        <v>1580920711061082112</v>
      </c>
      <c r="B1249" t="s">
        <v>15</v>
      </c>
      <c r="C1249" s="2">
        <v>44848.58152777778</v>
      </c>
      <c r="D1249">
        <v>0</v>
      </c>
      <c r="E1249">
        <v>10</v>
      </c>
      <c r="F1249" t="s">
        <v>16</v>
      </c>
      <c r="G1249" t="s">
        <v>1326</v>
      </c>
      <c r="H1249" t="str">
        <f>HYPERLINK("https://video.twimg.com/ext_tw_video/1580896014684377088/pu/vid/1280x720/I4mfiLxA-1IvmNlr.mp4?tag=12", "https://video.twimg.com/ext_tw_video/1580896014684377088/pu/vid/1280x720/I4mfiLxA-1IvmNlr.mp4?tag=12")</f>
        <v>https://video.twimg.com/ext_tw_video/1580896014684377088/pu/vid/1280x720/I4mfiLxA-1IvmNlr.mp4?tag=12</v>
      </c>
      <c r="L1249">
        <v>0</v>
      </c>
      <c r="M1249">
        <v>0</v>
      </c>
      <c r="N1249">
        <v>1</v>
      </c>
      <c r="O1249">
        <v>0</v>
      </c>
    </row>
    <row r="1250" spans="1:15" x14ac:dyDescent="0.2">
      <c r="A1250" s="1" t="str">
        <f>HYPERLINK("http://www.twitter.com/banuakdenizli/status/1580920697354084353", "1580920697354084353")</f>
        <v>1580920697354084353</v>
      </c>
      <c r="B1250" t="s">
        <v>15</v>
      </c>
      <c r="C1250" s="2">
        <v>44848.58148148148</v>
      </c>
      <c r="D1250">
        <v>0</v>
      </c>
      <c r="E1250">
        <v>27</v>
      </c>
      <c r="F1250" t="s">
        <v>16</v>
      </c>
      <c r="G1250" t="s">
        <v>1327</v>
      </c>
      <c r="H1250" t="str">
        <f>HYPERLINK("https://video.twimg.com/ext_tw_video/1580883814561320963/pu/vid/1280x720/AivQ4vqzoUxuCHAQ.mp4?tag=12", "https://video.twimg.com/ext_tw_video/1580883814561320963/pu/vid/1280x720/AivQ4vqzoUxuCHAQ.mp4?tag=12")</f>
        <v>https://video.twimg.com/ext_tw_video/1580883814561320963/pu/vid/1280x720/AivQ4vqzoUxuCHAQ.mp4?tag=12</v>
      </c>
      <c r="L1250">
        <v>0</v>
      </c>
      <c r="M1250">
        <v>0</v>
      </c>
      <c r="N1250">
        <v>1</v>
      </c>
      <c r="O1250">
        <v>0</v>
      </c>
    </row>
    <row r="1251" spans="1:15" x14ac:dyDescent="0.2">
      <c r="A1251" s="1" t="str">
        <f>HYPERLINK("http://www.twitter.com/banuakdenizli/status/1580920648758489090", "1580920648758489090")</f>
        <v>1580920648758489090</v>
      </c>
      <c r="B1251" t="s">
        <v>15</v>
      </c>
      <c r="C1251" s="2">
        <v>44848.581354166658</v>
      </c>
      <c r="D1251">
        <v>0</v>
      </c>
      <c r="E1251">
        <v>12</v>
      </c>
      <c r="F1251" t="s">
        <v>16</v>
      </c>
      <c r="G1251" t="s">
        <v>1328</v>
      </c>
      <c r="H1251" t="str">
        <f>HYPERLINK("http://pbs.twimg.com/media/Fe-Z5WcWAAINefI.jpg", "http://pbs.twimg.com/media/Fe-Z5WcWAAINefI.jpg")</f>
        <v>http://pbs.twimg.com/media/Fe-Z5WcWAAINefI.jpg</v>
      </c>
      <c r="L1251">
        <v>0</v>
      </c>
      <c r="M1251">
        <v>0</v>
      </c>
      <c r="N1251">
        <v>1</v>
      </c>
      <c r="O1251">
        <v>0</v>
      </c>
    </row>
    <row r="1252" spans="1:15" x14ac:dyDescent="0.2">
      <c r="A1252" s="1" t="str">
        <f>HYPERLINK("http://www.twitter.com/banuakdenizli/status/1580920613140500482", "1580920613140500482")</f>
        <v>1580920613140500482</v>
      </c>
      <c r="B1252" t="s">
        <v>15</v>
      </c>
      <c r="C1252" s="2">
        <v>44848.581250000003</v>
      </c>
      <c r="D1252">
        <v>0</v>
      </c>
      <c r="E1252">
        <v>10</v>
      </c>
      <c r="F1252" t="s">
        <v>17</v>
      </c>
      <c r="G1252" t="s">
        <v>1329</v>
      </c>
      <c r="H1252" t="str">
        <f>HYPERLINK("http://pbs.twimg.com/media/Fe-qT1UX0AAxiD9.jpg", "http://pbs.twimg.com/media/Fe-qT1UX0AAxiD9.jpg")</f>
        <v>http://pbs.twimg.com/media/Fe-qT1UX0AAxiD9.jpg</v>
      </c>
      <c r="L1252">
        <v>0</v>
      </c>
      <c r="M1252">
        <v>0</v>
      </c>
      <c r="N1252">
        <v>1</v>
      </c>
      <c r="O1252">
        <v>0</v>
      </c>
    </row>
    <row r="1253" spans="1:15" x14ac:dyDescent="0.2">
      <c r="A1253" s="1" t="str">
        <f>HYPERLINK("http://www.twitter.com/banuakdenizli/status/1580920574087684096", "1580920574087684096")</f>
        <v>1580920574087684096</v>
      </c>
      <c r="B1253" t="s">
        <v>15</v>
      </c>
      <c r="C1253" s="2">
        <v>44848.581145833326</v>
      </c>
      <c r="D1253">
        <v>0</v>
      </c>
      <c r="E1253">
        <v>17</v>
      </c>
      <c r="F1253" t="s">
        <v>16</v>
      </c>
      <c r="G1253" t="s">
        <v>1330</v>
      </c>
      <c r="H1253" t="str">
        <f>HYPERLINK("https://video.twimg.com/ext_tw_video/1580886040742707200/pu/vid/1280x720/SMnDk_n6J6H1U8F3.mp4?tag=12", "https://video.twimg.com/ext_tw_video/1580886040742707200/pu/vid/1280x720/SMnDk_n6J6H1U8F3.mp4?tag=12")</f>
        <v>https://video.twimg.com/ext_tw_video/1580886040742707200/pu/vid/1280x720/SMnDk_n6J6H1U8F3.mp4?tag=12</v>
      </c>
      <c r="L1253">
        <v>0</v>
      </c>
      <c r="M1253">
        <v>0</v>
      </c>
      <c r="N1253">
        <v>1</v>
      </c>
      <c r="O1253">
        <v>0</v>
      </c>
    </row>
    <row r="1254" spans="1:15" x14ac:dyDescent="0.2">
      <c r="A1254" s="1" t="str">
        <f>HYPERLINK("http://www.twitter.com/banuakdenizli/status/1580920543590875136", "1580920543590875136")</f>
        <v>1580920543590875136</v>
      </c>
      <c r="B1254" t="s">
        <v>15</v>
      </c>
      <c r="C1254" s="2">
        <v>44848.581064814818</v>
      </c>
      <c r="D1254">
        <v>0</v>
      </c>
      <c r="E1254">
        <v>11</v>
      </c>
      <c r="F1254" t="s">
        <v>17</v>
      </c>
      <c r="G1254" t="s">
        <v>1331</v>
      </c>
      <c r="H1254" t="str">
        <f>HYPERLINK("http://pbs.twimg.com/media/FfBMwu4WQAAoSNo.jpg", "http://pbs.twimg.com/media/FfBMwu4WQAAoSNo.jpg")</f>
        <v>http://pbs.twimg.com/media/FfBMwu4WQAAoSNo.jpg</v>
      </c>
      <c r="L1254">
        <v>0.40189999999999998</v>
      </c>
      <c r="M1254">
        <v>0</v>
      </c>
      <c r="N1254">
        <v>0.86299999999999999</v>
      </c>
      <c r="O1254">
        <v>0.13700000000000001</v>
      </c>
    </row>
    <row r="1255" spans="1:15" x14ac:dyDescent="0.2">
      <c r="A1255" s="1" t="str">
        <f>HYPERLINK("http://www.twitter.com/banuakdenizli/status/1580920526809477120", "1580920526809477120")</f>
        <v>1580920526809477120</v>
      </c>
      <c r="B1255" t="s">
        <v>15</v>
      </c>
      <c r="C1255" s="2">
        <v>44848.581018518518</v>
      </c>
      <c r="D1255">
        <v>0</v>
      </c>
      <c r="E1255">
        <v>9</v>
      </c>
      <c r="F1255" t="s">
        <v>16</v>
      </c>
      <c r="G1255" t="s">
        <v>1332</v>
      </c>
      <c r="H1255" t="str">
        <f>HYPERLINK("http://pbs.twimg.com/media/Fe-Mv2SWIAIWSEg.jpg", "http://pbs.twimg.com/media/Fe-Mv2SWIAIWSEg.jpg")</f>
        <v>http://pbs.twimg.com/media/Fe-Mv2SWIAIWSEg.jpg</v>
      </c>
      <c r="L1255">
        <v>0</v>
      </c>
      <c r="M1255">
        <v>0</v>
      </c>
      <c r="N1255">
        <v>1</v>
      </c>
      <c r="O1255">
        <v>0</v>
      </c>
    </row>
    <row r="1256" spans="1:15" x14ac:dyDescent="0.2">
      <c r="A1256" s="1" t="str">
        <f>HYPERLINK("http://www.twitter.com/banuakdenizli/status/1580920495192432640", "1580920495192432640")</f>
        <v>1580920495192432640</v>
      </c>
      <c r="B1256" t="s">
        <v>15</v>
      </c>
      <c r="C1256" s="2">
        <v>44848.580925925933</v>
      </c>
      <c r="D1256">
        <v>0</v>
      </c>
      <c r="E1256">
        <v>20</v>
      </c>
      <c r="F1256" t="s">
        <v>25</v>
      </c>
      <c r="G1256" t="s">
        <v>1333</v>
      </c>
      <c r="L1256">
        <v>0</v>
      </c>
      <c r="M1256">
        <v>0</v>
      </c>
      <c r="N1256">
        <v>1</v>
      </c>
      <c r="O1256">
        <v>0</v>
      </c>
    </row>
    <row r="1257" spans="1:15" x14ac:dyDescent="0.2">
      <c r="A1257" s="1" t="str">
        <f>HYPERLINK("http://www.twitter.com/banuakdenizli/status/1580920452536377344", "1580920452536377344")</f>
        <v>1580920452536377344</v>
      </c>
      <c r="B1257" t="s">
        <v>15</v>
      </c>
      <c r="C1257" s="2">
        <v>44848.580810185187</v>
      </c>
      <c r="D1257">
        <v>0</v>
      </c>
      <c r="E1257">
        <v>4</v>
      </c>
      <c r="F1257" t="s">
        <v>17</v>
      </c>
      <c r="G1257" t="s">
        <v>1334</v>
      </c>
      <c r="H1257" t="str">
        <f>HYPERLINK("http://pbs.twimg.com/media/Fe-rZn3XEAE3w5p.jpg", "http://pbs.twimg.com/media/Fe-rZn3XEAE3w5p.jpg")</f>
        <v>http://pbs.twimg.com/media/Fe-rZn3XEAE3w5p.jpg</v>
      </c>
      <c r="L1257">
        <v>0.67049999999999998</v>
      </c>
      <c r="M1257">
        <v>0</v>
      </c>
      <c r="N1257">
        <v>0.70299999999999996</v>
      </c>
      <c r="O1257">
        <v>0.29699999999999999</v>
      </c>
    </row>
    <row r="1258" spans="1:15" x14ac:dyDescent="0.2">
      <c r="A1258" s="1" t="str">
        <f>HYPERLINK("http://www.twitter.com/banuakdenizli/status/1580920430273363968", "1580920430273363968")</f>
        <v>1580920430273363968</v>
      </c>
      <c r="B1258" t="s">
        <v>15</v>
      </c>
      <c r="C1258" s="2">
        <v>44848.580752314818</v>
      </c>
      <c r="D1258">
        <v>0</v>
      </c>
      <c r="E1258">
        <v>13</v>
      </c>
      <c r="F1258" t="s">
        <v>16</v>
      </c>
      <c r="G1258" t="s">
        <v>1335</v>
      </c>
      <c r="H1258" t="str">
        <f>HYPERLINK("http://pbs.twimg.com/media/FfBquJxWYAIDb70.jpg", "http://pbs.twimg.com/media/FfBquJxWYAIDb70.jpg")</f>
        <v>http://pbs.twimg.com/media/FfBquJxWYAIDb70.jpg</v>
      </c>
      <c r="I1258" t="str">
        <f>HYPERLINK("http://pbs.twimg.com/media/FfBquJ1XkAATa5j.jpg", "http://pbs.twimg.com/media/FfBquJ1XkAATa5j.jpg")</f>
        <v>http://pbs.twimg.com/media/FfBquJ1XkAATa5j.jpg</v>
      </c>
      <c r="J1258" t="str">
        <f>HYPERLINK("http://pbs.twimg.com/media/FfBquJ0XwAE_4xd.jpg", "http://pbs.twimg.com/media/FfBquJ0XwAE_4xd.jpg")</f>
        <v>http://pbs.twimg.com/media/FfBquJ0XwAE_4xd.jpg</v>
      </c>
      <c r="L1258">
        <v>0</v>
      </c>
      <c r="M1258">
        <v>0</v>
      </c>
      <c r="N1258">
        <v>1</v>
      </c>
      <c r="O1258">
        <v>0</v>
      </c>
    </row>
    <row r="1259" spans="1:15" x14ac:dyDescent="0.2">
      <c r="A1259" s="1" t="str">
        <f>HYPERLINK("http://www.twitter.com/banuakdenizli/status/1580920402863591424", "1580920402863591424")</f>
        <v>1580920402863591424</v>
      </c>
      <c r="B1259" t="s">
        <v>15</v>
      </c>
      <c r="C1259" s="2">
        <v>44848.580671296288</v>
      </c>
      <c r="D1259">
        <v>0</v>
      </c>
      <c r="E1259">
        <v>7</v>
      </c>
      <c r="F1259" t="s">
        <v>16</v>
      </c>
      <c r="G1259" t="s">
        <v>1336</v>
      </c>
      <c r="H1259" t="str">
        <f>HYPERLINK("http://pbs.twimg.com/media/Fe-SwllXEA48ZmV.jpg", "http://pbs.twimg.com/media/Fe-SwllXEA48ZmV.jpg")</f>
        <v>http://pbs.twimg.com/media/Fe-SwllXEA48ZmV.jpg</v>
      </c>
      <c r="L1259">
        <v>0</v>
      </c>
      <c r="M1259">
        <v>0</v>
      </c>
      <c r="N1259">
        <v>1</v>
      </c>
      <c r="O1259">
        <v>0</v>
      </c>
    </row>
    <row r="1260" spans="1:15" x14ac:dyDescent="0.2">
      <c r="A1260" s="1" t="str">
        <f>HYPERLINK("http://www.twitter.com/banuakdenizli/status/1580920359049900032", "1580920359049900032")</f>
        <v>1580920359049900032</v>
      </c>
      <c r="B1260" t="s">
        <v>15</v>
      </c>
      <c r="C1260" s="2">
        <v>44848.580555555563</v>
      </c>
      <c r="D1260">
        <v>0</v>
      </c>
      <c r="E1260">
        <v>10</v>
      </c>
      <c r="F1260" t="s">
        <v>17</v>
      </c>
      <c r="G1260" t="s">
        <v>1337</v>
      </c>
      <c r="H1260" t="str">
        <f>HYPERLINK("http://pbs.twimg.com/media/Fe-eS4-XwAEiKOn.jpg", "http://pbs.twimg.com/media/Fe-eS4-XwAEiKOn.jpg")</f>
        <v>http://pbs.twimg.com/media/Fe-eS4-XwAEiKOn.jpg</v>
      </c>
      <c r="L1260">
        <v>0.40189999999999998</v>
      </c>
      <c r="M1260">
        <v>0</v>
      </c>
      <c r="N1260">
        <v>0.80300000000000005</v>
      </c>
      <c r="O1260">
        <v>0.19700000000000001</v>
      </c>
    </row>
    <row r="1261" spans="1:15" x14ac:dyDescent="0.2">
      <c r="A1261" s="1" t="str">
        <f>HYPERLINK("http://www.twitter.com/banuakdenizli/status/1580920341974913024", "1580920341974913024")</f>
        <v>1580920341974913024</v>
      </c>
      <c r="B1261" t="s">
        <v>15</v>
      </c>
      <c r="C1261" s="2">
        <v>44848.580509259264</v>
      </c>
      <c r="D1261">
        <v>0</v>
      </c>
      <c r="E1261">
        <v>5</v>
      </c>
      <c r="F1261" t="s">
        <v>19</v>
      </c>
      <c r="G1261" t="s">
        <v>1338</v>
      </c>
      <c r="H1261" t="str">
        <f>HYPERLINK("http://pbs.twimg.com/media/FfAGDXiWIAAvZND.jpg", "http://pbs.twimg.com/media/FfAGDXiWIAAvZND.jpg")</f>
        <v>http://pbs.twimg.com/media/FfAGDXiWIAAvZND.jpg</v>
      </c>
      <c r="L1261">
        <v>0.57189999999999996</v>
      </c>
      <c r="M1261">
        <v>0</v>
      </c>
      <c r="N1261">
        <v>0.89900000000000002</v>
      </c>
      <c r="O1261">
        <v>0.10100000000000001</v>
      </c>
    </row>
    <row r="1262" spans="1:15" x14ac:dyDescent="0.2">
      <c r="A1262" s="1" t="str">
        <f>HYPERLINK("http://www.twitter.com/banuakdenizli/status/1580920318344171520", "1580920318344171520")</f>
        <v>1580920318344171520</v>
      </c>
      <c r="B1262" t="s">
        <v>15</v>
      </c>
      <c r="C1262" s="2">
        <v>44848.580439814818</v>
      </c>
      <c r="D1262">
        <v>0</v>
      </c>
      <c r="E1262">
        <v>11</v>
      </c>
      <c r="F1262" t="s">
        <v>16</v>
      </c>
      <c r="G1262" t="s">
        <v>1339</v>
      </c>
      <c r="H1262" t="str">
        <f>HYPERLINK("http://pbs.twimg.com/media/Fe-TeLfXoAEN4fL.jpg", "http://pbs.twimg.com/media/Fe-TeLfXoAEN4fL.jpg")</f>
        <v>http://pbs.twimg.com/media/Fe-TeLfXoAEN4fL.jpg</v>
      </c>
      <c r="L1262">
        <v>0</v>
      </c>
      <c r="M1262">
        <v>0</v>
      </c>
      <c r="N1262">
        <v>1</v>
      </c>
      <c r="O1262">
        <v>0</v>
      </c>
    </row>
    <row r="1263" spans="1:15" x14ac:dyDescent="0.2">
      <c r="A1263" s="1" t="str">
        <f>HYPERLINK("http://www.twitter.com/banuakdenizli/status/1580920274585030657", "1580920274585030657")</f>
        <v>1580920274585030657</v>
      </c>
      <c r="B1263" t="s">
        <v>15</v>
      </c>
      <c r="C1263" s="2">
        <v>44848.580324074072</v>
      </c>
      <c r="D1263">
        <v>0</v>
      </c>
      <c r="E1263">
        <v>3</v>
      </c>
      <c r="F1263" t="s">
        <v>35</v>
      </c>
      <c r="G1263" t="s">
        <v>1340</v>
      </c>
      <c r="H1263" t="str">
        <f>HYPERLINK("http://pbs.twimg.com/media/FfBykK6XEAAhodN.jpg", "http://pbs.twimg.com/media/FfBykK6XEAAhodN.jpg")</f>
        <v>http://pbs.twimg.com/media/FfBykK6XEAAhodN.jpg</v>
      </c>
      <c r="L1263">
        <v>0</v>
      </c>
      <c r="M1263">
        <v>0</v>
      </c>
      <c r="N1263">
        <v>1</v>
      </c>
      <c r="O1263">
        <v>0</v>
      </c>
    </row>
    <row r="1264" spans="1:15" x14ac:dyDescent="0.2">
      <c r="A1264" s="1" t="str">
        <f>HYPERLINK("http://www.twitter.com/banuakdenizli/status/1580920176169480193", "1580920176169480193")</f>
        <v>1580920176169480193</v>
      </c>
      <c r="B1264" t="s">
        <v>15</v>
      </c>
      <c r="C1264" s="2">
        <v>44848.580046296287</v>
      </c>
      <c r="D1264">
        <v>0</v>
      </c>
      <c r="E1264">
        <v>7</v>
      </c>
      <c r="F1264" t="s">
        <v>35</v>
      </c>
      <c r="G1264" t="s">
        <v>1341</v>
      </c>
      <c r="H1264" t="str">
        <f>HYPERLINK("http://pbs.twimg.com/media/FfByjuRWYAQSbq9.jpg", "http://pbs.twimg.com/media/FfByjuRWYAQSbq9.jpg")</f>
        <v>http://pbs.twimg.com/media/FfByjuRWYAQSbq9.jpg</v>
      </c>
      <c r="L1264">
        <v>0.45760000000000001</v>
      </c>
      <c r="M1264">
        <v>6.6000000000000003E-2</v>
      </c>
      <c r="N1264">
        <v>0.79</v>
      </c>
      <c r="O1264">
        <v>0.14499999999999999</v>
      </c>
    </row>
    <row r="1265" spans="1:15" x14ac:dyDescent="0.2">
      <c r="A1265" s="1" t="str">
        <f>HYPERLINK("http://www.twitter.com/banuakdenizli/status/1580920152748478464", "1580920152748478464")</f>
        <v>1580920152748478464</v>
      </c>
      <c r="B1265" t="s">
        <v>15</v>
      </c>
      <c r="C1265" s="2">
        <v>44848.579988425918</v>
      </c>
      <c r="D1265">
        <v>0</v>
      </c>
      <c r="E1265">
        <v>7</v>
      </c>
      <c r="F1265" t="s">
        <v>22</v>
      </c>
      <c r="G1265" t="s">
        <v>1342</v>
      </c>
      <c r="H1265" t="str">
        <f>HYPERLINK("http://pbs.twimg.com/media/FfBnoOTWQAMX8W-.jpg", "http://pbs.twimg.com/media/FfBnoOTWQAMX8W-.jpg")</f>
        <v>http://pbs.twimg.com/media/FfBnoOTWQAMX8W-.jpg</v>
      </c>
      <c r="L1265">
        <v>0</v>
      </c>
      <c r="M1265">
        <v>0</v>
      </c>
      <c r="N1265">
        <v>1</v>
      </c>
      <c r="O1265">
        <v>0</v>
      </c>
    </row>
    <row r="1266" spans="1:15" x14ac:dyDescent="0.2">
      <c r="A1266" s="1" t="str">
        <f>HYPERLINK("http://www.twitter.com/banuakdenizli/status/1580919953988866048", "1580919953988866048")</f>
        <v>1580919953988866048</v>
      </c>
      <c r="B1266" t="s">
        <v>15</v>
      </c>
      <c r="C1266" s="2">
        <v>44848.579432870371</v>
      </c>
      <c r="D1266">
        <v>0</v>
      </c>
      <c r="E1266">
        <v>10</v>
      </c>
      <c r="F1266" t="s">
        <v>17</v>
      </c>
      <c r="G1266" t="s">
        <v>1343</v>
      </c>
      <c r="H1266" t="str">
        <f>HYPERLINK("http://pbs.twimg.com/media/Fe-fyHqXoAAz-AU.jpg", "http://pbs.twimg.com/media/Fe-fyHqXoAAz-AU.jpg")</f>
        <v>http://pbs.twimg.com/media/Fe-fyHqXoAAz-AU.jpg</v>
      </c>
      <c r="L1266">
        <v>7.7200000000000005E-2</v>
      </c>
      <c r="M1266">
        <v>0</v>
      </c>
      <c r="N1266">
        <v>0.92900000000000005</v>
      </c>
      <c r="O1266">
        <v>7.0999999999999994E-2</v>
      </c>
    </row>
    <row r="1267" spans="1:15" x14ac:dyDescent="0.2">
      <c r="A1267" s="1" t="str">
        <f>HYPERLINK("http://www.twitter.com/banuakdenizli/status/1580919938457358337", "1580919938457358337")</f>
        <v>1580919938457358337</v>
      </c>
      <c r="B1267" t="s">
        <v>15</v>
      </c>
      <c r="C1267" s="2">
        <v>44848.579398148147</v>
      </c>
      <c r="D1267">
        <v>0</v>
      </c>
      <c r="E1267">
        <v>59</v>
      </c>
      <c r="F1267" t="s">
        <v>18</v>
      </c>
      <c r="G1267" t="s">
        <v>1344</v>
      </c>
      <c r="H1267" t="str">
        <f>HYPERLINK("http://pbs.twimg.com/media/FfBuvj_WAAIp58h.jpg", "http://pbs.twimg.com/media/FfBuvj_WAAIp58h.jpg")</f>
        <v>http://pbs.twimg.com/media/FfBuvj_WAAIp58h.jpg</v>
      </c>
      <c r="L1267">
        <v>0.86580000000000001</v>
      </c>
      <c r="M1267">
        <v>5.6000000000000001E-2</v>
      </c>
      <c r="N1267">
        <v>0.67600000000000005</v>
      </c>
      <c r="O1267">
        <v>0.26800000000000002</v>
      </c>
    </row>
    <row r="1268" spans="1:15" x14ac:dyDescent="0.2">
      <c r="A1268" s="1" t="str">
        <f>HYPERLINK("http://www.twitter.com/banuakdenizli/status/1580919852948017152", "1580919852948017152")</f>
        <v>1580919852948017152</v>
      </c>
      <c r="B1268" t="s">
        <v>15</v>
      </c>
      <c r="C1268" s="2">
        <v>44848.579155092593</v>
      </c>
      <c r="D1268">
        <v>0</v>
      </c>
      <c r="E1268">
        <v>22</v>
      </c>
      <c r="F1268" t="s">
        <v>28</v>
      </c>
      <c r="G1268" t="s">
        <v>1345</v>
      </c>
      <c r="L1268">
        <v>0</v>
      </c>
      <c r="M1268">
        <v>0</v>
      </c>
      <c r="N1268">
        <v>1</v>
      </c>
      <c r="O1268">
        <v>0</v>
      </c>
    </row>
    <row r="1269" spans="1:15" x14ac:dyDescent="0.2">
      <c r="A1269" s="1" t="str">
        <f>HYPERLINK("http://www.twitter.com/banuakdenizli/status/1580919824565182465", "1580919824565182465")</f>
        <v>1580919824565182465</v>
      </c>
      <c r="B1269" t="s">
        <v>15</v>
      </c>
      <c r="C1269" s="2">
        <v>44848.579074074078</v>
      </c>
      <c r="D1269">
        <v>0</v>
      </c>
      <c r="E1269">
        <v>12</v>
      </c>
      <c r="F1269" t="s">
        <v>23</v>
      </c>
      <c r="G1269" t="s">
        <v>1346</v>
      </c>
      <c r="H1269" t="str">
        <f>HYPERLINK("http://pbs.twimg.com/media/Fe_dde-X0AAUJM_.jpg", "http://pbs.twimg.com/media/Fe_dde-X0AAUJM_.jpg")</f>
        <v>http://pbs.twimg.com/media/Fe_dde-X0AAUJM_.jpg</v>
      </c>
      <c r="I1269" t="str">
        <f>HYPERLINK("http://pbs.twimg.com/media/Fe_dde9XkAE_xUZ.jpg", "http://pbs.twimg.com/media/Fe_dde9XkAE_xUZ.jpg")</f>
        <v>http://pbs.twimg.com/media/Fe_dde9XkAE_xUZ.jpg</v>
      </c>
      <c r="J1269" t="str">
        <f>HYPERLINK("http://pbs.twimg.com/media/Fe_dde9XoAAIkbX.jpg", "http://pbs.twimg.com/media/Fe_dde9XoAAIkbX.jpg")</f>
        <v>http://pbs.twimg.com/media/Fe_dde9XoAAIkbX.jpg</v>
      </c>
      <c r="L1269">
        <v>0.85550000000000004</v>
      </c>
      <c r="M1269">
        <v>0</v>
      </c>
      <c r="N1269">
        <v>0.79300000000000004</v>
      </c>
      <c r="O1269">
        <v>0.20699999999999999</v>
      </c>
    </row>
    <row r="1270" spans="1:15" x14ac:dyDescent="0.2">
      <c r="A1270" s="1" t="str">
        <f>HYPERLINK("http://www.twitter.com/banuakdenizli/status/1580919802259918855", "1580919802259918855")</f>
        <v>1580919802259918855</v>
      </c>
      <c r="B1270" t="s">
        <v>15</v>
      </c>
      <c r="C1270" s="2">
        <v>44848.579016203701</v>
      </c>
      <c r="D1270">
        <v>0</v>
      </c>
      <c r="E1270">
        <v>43</v>
      </c>
      <c r="F1270" t="s">
        <v>16</v>
      </c>
      <c r="G1270" t="s">
        <v>1347</v>
      </c>
      <c r="H1270" t="str">
        <f>HYPERLINK("https://video.twimg.com/ext_tw_video/1580908122864029696/pu/vid/1280x720/wbXxxGVGraEuAWDk.mp4?tag=12", "https://video.twimg.com/ext_tw_video/1580908122864029696/pu/vid/1280x720/wbXxxGVGraEuAWDk.mp4?tag=12")</f>
        <v>https://video.twimg.com/ext_tw_video/1580908122864029696/pu/vid/1280x720/wbXxxGVGraEuAWDk.mp4?tag=12</v>
      </c>
      <c r="L1270">
        <v>0</v>
      </c>
      <c r="M1270">
        <v>0</v>
      </c>
      <c r="N1270">
        <v>1</v>
      </c>
      <c r="O1270">
        <v>0</v>
      </c>
    </row>
    <row r="1271" spans="1:15" x14ac:dyDescent="0.2">
      <c r="A1271" s="1" t="str">
        <f>HYPERLINK("http://www.twitter.com/banuakdenizli/status/1580919708101976064", "1580919708101976064")</f>
        <v>1580919708101976064</v>
      </c>
      <c r="B1271" t="s">
        <v>15</v>
      </c>
      <c r="C1271" s="2">
        <v>44848.578761574077</v>
      </c>
      <c r="D1271">
        <v>0</v>
      </c>
      <c r="E1271">
        <v>6</v>
      </c>
      <c r="F1271" t="s">
        <v>19</v>
      </c>
      <c r="G1271" t="s">
        <v>1348</v>
      </c>
      <c r="H1271" t="str">
        <f>HYPERLINK("http://pbs.twimg.com/media/FfAHUaAXoAAUJHT.jpg", "http://pbs.twimg.com/media/FfAHUaAXoAAUJHT.jpg")</f>
        <v>http://pbs.twimg.com/media/FfAHUaAXoAAUJHT.jpg</v>
      </c>
      <c r="L1271">
        <v>0.89339999999999997</v>
      </c>
      <c r="M1271">
        <v>0</v>
      </c>
      <c r="N1271">
        <v>0.73799999999999999</v>
      </c>
      <c r="O1271">
        <v>0.26200000000000001</v>
      </c>
    </row>
    <row r="1272" spans="1:15" x14ac:dyDescent="0.2">
      <c r="A1272" s="1" t="str">
        <f>HYPERLINK("http://www.twitter.com/banuakdenizli/status/1580919679451004929", "1580919679451004929")</f>
        <v>1580919679451004929</v>
      </c>
      <c r="B1272" t="s">
        <v>15</v>
      </c>
      <c r="C1272" s="2">
        <v>44848.578680555547</v>
      </c>
      <c r="D1272">
        <v>0</v>
      </c>
      <c r="E1272">
        <v>13</v>
      </c>
      <c r="F1272" t="s">
        <v>17</v>
      </c>
      <c r="G1272" t="s">
        <v>1349</v>
      </c>
      <c r="H1272" t="str">
        <f>HYPERLINK("http://pbs.twimg.com/media/FfCG3L0X0AApH05.jpg", "http://pbs.twimg.com/media/FfCG3L0X0AApH05.jpg")</f>
        <v>http://pbs.twimg.com/media/FfCG3L0X0AApH05.jpg</v>
      </c>
      <c r="I1272" t="str">
        <f>HYPERLINK("http://pbs.twimg.com/media/FfCG3L6WQAAy_e3.jpg", "http://pbs.twimg.com/media/FfCG3L6WQAAy_e3.jpg")</f>
        <v>http://pbs.twimg.com/media/FfCG3L6WQAAy_e3.jpg</v>
      </c>
      <c r="J1272" t="str">
        <f>HYPERLINK("http://pbs.twimg.com/media/FfCG3L5WAAMlvcr.jpg", "http://pbs.twimg.com/media/FfCG3L5WAAMlvcr.jpg")</f>
        <v>http://pbs.twimg.com/media/FfCG3L5WAAMlvcr.jpg</v>
      </c>
      <c r="L1272">
        <v>0.55740000000000001</v>
      </c>
      <c r="M1272">
        <v>0</v>
      </c>
      <c r="N1272">
        <v>0.78300000000000003</v>
      </c>
      <c r="O1272">
        <v>0.217</v>
      </c>
    </row>
    <row r="1273" spans="1:15" x14ac:dyDescent="0.2">
      <c r="A1273" s="1" t="str">
        <f>HYPERLINK("http://www.twitter.com/banuakdenizli/status/1580919658340790273", "1580919658340790273")</f>
        <v>1580919658340790273</v>
      </c>
      <c r="B1273" t="s">
        <v>15</v>
      </c>
      <c r="C1273" s="2">
        <v>44848.578622685192</v>
      </c>
      <c r="D1273">
        <v>0</v>
      </c>
      <c r="E1273">
        <v>89</v>
      </c>
      <c r="F1273" t="s">
        <v>18</v>
      </c>
      <c r="G1273" t="s">
        <v>1350</v>
      </c>
      <c r="H1273" t="str">
        <f>HYPERLINK("http://pbs.twimg.com/media/FfBpjcVXoAE1C44.jpg", "http://pbs.twimg.com/media/FfBpjcVXoAE1C44.jpg")</f>
        <v>http://pbs.twimg.com/media/FfBpjcVXoAE1C44.jpg</v>
      </c>
      <c r="L1273">
        <v>0</v>
      </c>
      <c r="M1273">
        <v>0</v>
      </c>
      <c r="N1273">
        <v>1</v>
      </c>
      <c r="O1273">
        <v>0</v>
      </c>
    </row>
    <row r="1274" spans="1:15" x14ac:dyDescent="0.2">
      <c r="A1274" s="1" t="str">
        <f>HYPERLINK("http://www.twitter.com/banuakdenizli/status/1580919636974923776", "1580919636974923776")</f>
        <v>1580919636974923776</v>
      </c>
      <c r="B1274" t="s">
        <v>15</v>
      </c>
      <c r="C1274" s="2">
        <v>44848.578564814823</v>
      </c>
      <c r="D1274">
        <v>0</v>
      </c>
      <c r="E1274">
        <v>9</v>
      </c>
      <c r="F1274" t="s">
        <v>16</v>
      </c>
      <c r="G1274" t="s">
        <v>1351</v>
      </c>
      <c r="H1274" t="str">
        <f>HYPERLINK("http://pbs.twimg.com/media/FfCJ-99XkAISqkF.jpg", "http://pbs.twimg.com/media/FfCJ-99XkAISqkF.jpg")</f>
        <v>http://pbs.twimg.com/media/FfCJ-99XkAISqkF.jpg</v>
      </c>
      <c r="I1274" t="str">
        <f>HYPERLINK("http://pbs.twimg.com/media/FfCJ--DXoAISUX-.jpg", "http://pbs.twimg.com/media/FfCJ--DXoAISUX-.jpg")</f>
        <v>http://pbs.twimg.com/media/FfCJ--DXoAISUX-.jpg</v>
      </c>
      <c r="J1274" t="str">
        <f>HYPERLINK("http://pbs.twimg.com/media/FfCJ--IXoAEf8Vi.jpg", "http://pbs.twimg.com/media/FfCJ--IXoAEf8Vi.jpg")</f>
        <v>http://pbs.twimg.com/media/FfCJ--IXoAEf8Vi.jpg</v>
      </c>
      <c r="K1274" t="str">
        <f>HYPERLINK("http://pbs.twimg.com/media/FfCJ--EXoAAAFjZ.jpg", "http://pbs.twimg.com/media/FfCJ--EXoAAAFjZ.jpg")</f>
        <v>http://pbs.twimg.com/media/FfCJ--EXoAAAFjZ.jpg</v>
      </c>
      <c r="L1274">
        <v>0</v>
      </c>
      <c r="M1274">
        <v>0</v>
      </c>
      <c r="N1274">
        <v>1</v>
      </c>
      <c r="O1274">
        <v>0</v>
      </c>
    </row>
    <row r="1275" spans="1:15" x14ac:dyDescent="0.2">
      <c r="A1275" s="1" t="str">
        <f>HYPERLINK("http://www.twitter.com/banuakdenizli/status/1580634192588644352", "1580634192588644352")</f>
        <v>1580634192588644352</v>
      </c>
      <c r="B1275" t="s">
        <v>15</v>
      </c>
      <c r="C1275" s="2">
        <v>44847.790879629632</v>
      </c>
      <c r="D1275">
        <v>0</v>
      </c>
      <c r="E1275">
        <v>8</v>
      </c>
      <c r="F1275" t="s">
        <v>17</v>
      </c>
      <c r="G1275" t="s">
        <v>1352</v>
      </c>
      <c r="H1275" t="str">
        <f>HYPERLINK("http://pbs.twimg.com/media/Fe9-0QQXEBkHMOL.jpg", "http://pbs.twimg.com/media/Fe9-0QQXEBkHMOL.jpg")</f>
        <v>http://pbs.twimg.com/media/Fe9-0QQXEBkHMOL.jpg</v>
      </c>
      <c r="I1275" t="str">
        <f>HYPERLINK("http://pbs.twimg.com/media/Fe9-0QUXEAw7yY8.jpg", "http://pbs.twimg.com/media/Fe9-0QUXEAw7yY8.jpg")</f>
        <v>http://pbs.twimg.com/media/Fe9-0QUXEAw7yY8.jpg</v>
      </c>
      <c r="J1275" t="str">
        <f>HYPERLINK("http://pbs.twimg.com/media/Fe9-0QSXgAAFjR1.jpg", "http://pbs.twimg.com/media/Fe9-0QSXgAAFjR1.jpg")</f>
        <v>http://pbs.twimg.com/media/Fe9-0QSXgAAFjR1.jpg</v>
      </c>
      <c r="L1275">
        <v>0</v>
      </c>
      <c r="M1275">
        <v>0</v>
      </c>
      <c r="N1275">
        <v>1</v>
      </c>
      <c r="O1275">
        <v>0</v>
      </c>
    </row>
    <row r="1276" spans="1:15" x14ac:dyDescent="0.2">
      <c r="A1276" s="1" t="str">
        <f>HYPERLINK("http://www.twitter.com/banuakdenizli/status/1580634172598923264", "1580634172598923264")</f>
        <v>1580634172598923264</v>
      </c>
      <c r="B1276" t="s">
        <v>15</v>
      </c>
      <c r="C1276" s="2">
        <v>44847.790833333333</v>
      </c>
      <c r="D1276">
        <v>0</v>
      </c>
      <c r="E1276">
        <v>68</v>
      </c>
      <c r="F1276" t="s">
        <v>16</v>
      </c>
      <c r="G1276" t="s">
        <v>1353</v>
      </c>
      <c r="H1276" t="str">
        <f>HYPERLINK("http://pbs.twimg.com/media/Fe-BPJTWAAAmU0r.jpg", "http://pbs.twimg.com/media/Fe-BPJTWAAAmU0r.jpg")</f>
        <v>http://pbs.twimg.com/media/Fe-BPJTWAAAmU0r.jpg</v>
      </c>
      <c r="L1276">
        <v>0</v>
      </c>
      <c r="M1276">
        <v>0</v>
      </c>
      <c r="N1276">
        <v>1</v>
      </c>
      <c r="O1276">
        <v>0</v>
      </c>
    </row>
    <row r="1277" spans="1:15" x14ac:dyDescent="0.2">
      <c r="A1277" s="1" t="str">
        <f>HYPERLINK("http://www.twitter.com/banuakdenizli/status/1580634136628580352", "1580634136628580352")</f>
        <v>1580634136628580352</v>
      </c>
      <c r="B1277" t="s">
        <v>15</v>
      </c>
      <c r="C1277" s="2">
        <v>44847.790729166663</v>
      </c>
      <c r="D1277">
        <v>0</v>
      </c>
      <c r="E1277">
        <v>2</v>
      </c>
      <c r="F1277" t="s">
        <v>756</v>
      </c>
      <c r="G1277" t="s">
        <v>1354</v>
      </c>
      <c r="L1277">
        <v>0.70960000000000001</v>
      </c>
      <c r="M1277">
        <v>0</v>
      </c>
      <c r="N1277">
        <v>0.86199999999999999</v>
      </c>
      <c r="O1277">
        <v>0.13800000000000001</v>
      </c>
    </row>
    <row r="1278" spans="1:15" x14ac:dyDescent="0.2">
      <c r="A1278" s="1" t="str">
        <f>HYPERLINK("http://www.twitter.com/banuakdenizli/status/1580634092407689216", "1580634092407689216")</f>
        <v>1580634092407689216</v>
      </c>
      <c r="B1278" t="s">
        <v>15</v>
      </c>
      <c r="C1278" s="2">
        <v>44847.790613425917</v>
      </c>
      <c r="D1278">
        <v>0</v>
      </c>
      <c r="E1278">
        <v>3</v>
      </c>
      <c r="F1278" t="s">
        <v>29</v>
      </c>
      <c r="G1278" t="s">
        <v>1355</v>
      </c>
      <c r="H1278" t="str">
        <f>HYPERLINK("http://pbs.twimg.com/media/Fe9xopQWQAElgQY.jpg", "http://pbs.twimg.com/media/Fe9xopQWQAElgQY.jpg")</f>
        <v>http://pbs.twimg.com/media/Fe9xopQWQAElgQY.jpg</v>
      </c>
      <c r="I1278" t="str">
        <f>HYPERLINK("http://pbs.twimg.com/media/Fe9xopZXwAI1Yrd.jpg", "http://pbs.twimg.com/media/Fe9xopZXwAI1Yrd.jpg")</f>
        <v>http://pbs.twimg.com/media/Fe9xopZXwAI1Yrd.jpg</v>
      </c>
      <c r="L1278">
        <v>0</v>
      </c>
      <c r="M1278">
        <v>0</v>
      </c>
      <c r="N1278">
        <v>1</v>
      </c>
      <c r="O1278">
        <v>0</v>
      </c>
    </row>
    <row r="1279" spans="1:15" x14ac:dyDescent="0.2">
      <c r="A1279" s="1" t="str">
        <f>HYPERLINK("http://www.twitter.com/banuakdenizli/status/1580617554304806912", "1580617554304806912")</f>
        <v>1580617554304806912</v>
      </c>
      <c r="B1279" t="s">
        <v>15</v>
      </c>
      <c r="C1279" s="2">
        <v>44847.744976851849</v>
      </c>
      <c r="D1279">
        <v>0</v>
      </c>
      <c r="E1279">
        <v>2</v>
      </c>
      <c r="F1279" t="s">
        <v>30</v>
      </c>
      <c r="G1279" t="s">
        <v>1356</v>
      </c>
      <c r="H1279" t="str">
        <f>HYPERLINK("http://pbs.twimg.com/media/Fe9gq2HXwAUeuRo.jpg", "http://pbs.twimg.com/media/Fe9gq2HXwAUeuRo.jpg")</f>
        <v>http://pbs.twimg.com/media/Fe9gq2HXwAUeuRo.jpg</v>
      </c>
      <c r="I1279" t="str">
        <f>HYPERLINK("http://pbs.twimg.com/media/Fe9gq1_X0AASVLB.jpg", "http://pbs.twimg.com/media/Fe9gq1_X0AASVLB.jpg")</f>
        <v>http://pbs.twimg.com/media/Fe9gq1_X0AASVLB.jpg</v>
      </c>
      <c r="J1279" t="str">
        <f>HYPERLINK("http://pbs.twimg.com/media/Fe9gq2IXoAEOTy0.jpg", "http://pbs.twimg.com/media/Fe9gq2IXoAEOTy0.jpg")</f>
        <v>http://pbs.twimg.com/media/Fe9gq2IXoAEOTy0.jpg</v>
      </c>
      <c r="L1279">
        <v>0</v>
      </c>
      <c r="M1279">
        <v>0</v>
      </c>
      <c r="N1279">
        <v>1</v>
      </c>
      <c r="O1279">
        <v>0</v>
      </c>
    </row>
    <row r="1280" spans="1:15" x14ac:dyDescent="0.2">
      <c r="A1280" s="1" t="str">
        <f>HYPERLINK("http://www.twitter.com/banuakdenizli/status/1580617540467798016", "1580617540467798016")</f>
        <v>1580617540467798016</v>
      </c>
      <c r="B1280" t="s">
        <v>15</v>
      </c>
      <c r="C1280" s="2">
        <v>44847.744930555556</v>
      </c>
      <c r="D1280">
        <v>0</v>
      </c>
      <c r="E1280">
        <v>2</v>
      </c>
      <c r="F1280" t="s">
        <v>30</v>
      </c>
      <c r="G1280" t="s">
        <v>1357</v>
      </c>
      <c r="H1280" t="str">
        <f>HYPERLINK("http://pbs.twimg.com/media/Fe9jlDKWIAAPc3m.jpg", "http://pbs.twimg.com/media/Fe9jlDKWIAAPc3m.jpg")</f>
        <v>http://pbs.twimg.com/media/Fe9jlDKWIAAPc3m.jpg</v>
      </c>
      <c r="I1280" t="str">
        <f>HYPERLINK("http://pbs.twimg.com/media/Fe9jlDRXoAAdu1w.jpg", "http://pbs.twimg.com/media/Fe9jlDRXoAAdu1w.jpg")</f>
        <v>http://pbs.twimg.com/media/Fe9jlDRXoAAdu1w.jpg</v>
      </c>
      <c r="J1280" t="str">
        <f>HYPERLINK("http://pbs.twimg.com/media/Fe9jlDIX0Aosjc_.jpg", "http://pbs.twimg.com/media/Fe9jlDIX0Aosjc_.jpg")</f>
        <v>http://pbs.twimg.com/media/Fe9jlDIX0Aosjc_.jpg</v>
      </c>
      <c r="L1280">
        <v>0</v>
      </c>
      <c r="M1280">
        <v>0</v>
      </c>
      <c r="N1280">
        <v>1</v>
      </c>
      <c r="O1280">
        <v>0</v>
      </c>
    </row>
    <row r="1281" spans="1:15" x14ac:dyDescent="0.2">
      <c r="A1281" s="1" t="str">
        <f>HYPERLINK("http://www.twitter.com/banuakdenizli/status/1580586432259031041", "1580586432259031041")</f>
        <v>1580586432259031041</v>
      </c>
      <c r="B1281" t="s">
        <v>15</v>
      </c>
      <c r="C1281" s="2">
        <v>44847.659085648149</v>
      </c>
      <c r="D1281">
        <v>0</v>
      </c>
      <c r="E1281">
        <v>3</v>
      </c>
      <c r="F1281" t="s">
        <v>44</v>
      </c>
      <c r="G1281" t="s">
        <v>1358</v>
      </c>
      <c r="H1281" t="str">
        <f>HYPERLINK("http://pbs.twimg.com/media/Fe9csRhX0AYv7ui.jpg", "http://pbs.twimg.com/media/Fe9csRhX0AYv7ui.jpg")</f>
        <v>http://pbs.twimg.com/media/Fe9csRhX0AYv7ui.jpg</v>
      </c>
      <c r="I1281" t="str">
        <f>HYPERLINK("http://pbs.twimg.com/media/Fe9csRjWAAE3cck.jpg", "http://pbs.twimg.com/media/Fe9csRjWAAE3cck.jpg")</f>
        <v>http://pbs.twimg.com/media/Fe9csRjWAAE3cck.jpg</v>
      </c>
      <c r="J1281" t="str">
        <f>HYPERLINK("http://pbs.twimg.com/media/Fe9csRgXoAYSbMC.jpg", "http://pbs.twimg.com/media/Fe9csRgXoAYSbMC.jpg")</f>
        <v>http://pbs.twimg.com/media/Fe9csRgXoAYSbMC.jpg</v>
      </c>
      <c r="K1281" t="str">
        <f>HYPERLINK("http://pbs.twimg.com/media/Fe9csRkXgAAjfDU.jpg", "http://pbs.twimg.com/media/Fe9csRkXgAAjfDU.jpg")</f>
        <v>http://pbs.twimg.com/media/Fe9csRkXgAAjfDU.jpg</v>
      </c>
      <c r="L1281">
        <v>0</v>
      </c>
      <c r="M1281">
        <v>0</v>
      </c>
      <c r="N1281">
        <v>1</v>
      </c>
      <c r="O1281">
        <v>0</v>
      </c>
    </row>
    <row r="1282" spans="1:15" x14ac:dyDescent="0.2">
      <c r="A1282" s="1" t="str">
        <f>HYPERLINK("http://www.twitter.com/banuakdenizli/status/1580586413674070021", "1580586413674070021")</f>
        <v>1580586413674070021</v>
      </c>
      <c r="B1282" t="s">
        <v>15</v>
      </c>
      <c r="C1282" s="2">
        <v>44847.659039351849</v>
      </c>
      <c r="D1282">
        <v>0</v>
      </c>
      <c r="E1282">
        <v>1</v>
      </c>
      <c r="F1282" t="s">
        <v>44</v>
      </c>
      <c r="G1282" t="s">
        <v>1359</v>
      </c>
      <c r="H1282" t="str">
        <f>HYPERLINK("http://pbs.twimg.com/media/Fe9czYrWIAEKSd9.jpg", "http://pbs.twimg.com/media/Fe9czYrWIAEKSd9.jpg")</f>
        <v>http://pbs.twimg.com/media/Fe9czYrWIAEKSd9.jpg</v>
      </c>
      <c r="I1282" t="str">
        <f>HYPERLINK("http://pbs.twimg.com/media/Fe9czYtXoAEMqwT.jpg", "http://pbs.twimg.com/media/Fe9czYtXoAEMqwT.jpg")</f>
        <v>http://pbs.twimg.com/media/Fe9czYtXoAEMqwT.jpg</v>
      </c>
      <c r="J1282" t="str">
        <f>HYPERLINK("http://pbs.twimg.com/media/Fe9czYuXoAI2fzc.jpg", "http://pbs.twimg.com/media/Fe9czYuXoAI2fzc.jpg")</f>
        <v>http://pbs.twimg.com/media/Fe9czYuXoAI2fzc.jpg</v>
      </c>
      <c r="K1282" t="str">
        <f>HYPERLINK("http://pbs.twimg.com/media/Fe9czYrWIAQfOda.jpg", "http://pbs.twimg.com/media/Fe9czYrWIAQfOda.jpg")</f>
        <v>http://pbs.twimg.com/media/Fe9czYrWIAQfOda.jpg</v>
      </c>
      <c r="L1282">
        <v>0.49390000000000001</v>
      </c>
      <c r="M1282">
        <v>0</v>
      </c>
      <c r="N1282">
        <v>0.89700000000000002</v>
      </c>
      <c r="O1282">
        <v>0.10299999999999999</v>
      </c>
    </row>
    <row r="1283" spans="1:15" x14ac:dyDescent="0.2">
      <c r="A1283" s="1" t="str">
        <f>HYPERLINK("http://www.twitter.com/banuakdenizli/status/1580586225794437120", "1580586225794437120")</f>
        <v>1580586225794437120</v>
      </c>
      <c r="B1283" t="s">
        <v>15</v>
      </c>
      <c r="C1283" s="2">
        <v>44847.658518518518</v>
      </c>
      <c r="D1283">
        <v>0</v>
      </c>
      <c r="E1283">
        <v>12</v>
      </c>
      <c r="F1283" t="s">
        <v>25</v>
      </c>
      <c r="G1283" t="s">
        <v>1360</v>
      </c>
      <c r="H1283" t="str">
        <f>HYPERLINK("http://pbs.twimg.com/media/Fe9akYgWIAAE5Vo.jpg", "http://pbs.twimg.com/media/Fe9akYgWIAAE5Vo.jpg")</f>
        <v>http://pbs.twimg.com/media/Fe9akYgWIAAE5Vo.jpg</v>
      </c>
      <c r="I1283" t="str">
        <f>HYPERLINK("http://pbs.twimg.com/media/Fe9akYhXoAECwaN.jpg", "http://pbs.twimg.com/media/Fe9akYhXoAECwaN.jpg")</f>
        <v>http://pbs.twimg.com/media/Fe9akYhXoAECwaN.jpg</v>
      </c>
      <c r="L1283">
        <v>0</v>
      </c>
      <c r="M1283">
        <v>0</v>
      </c>
      <c r="N1283">
        <v>1</v>
      </c>
      <c r="O1283">
        <v>0</v>
      </c>
    </row>
    <row r="1284" spans="1:15" x14ac:dyDescent="0.2">
      <c r="A1284" s="1" t="str">
        <f>HYPERLINK("http://www.twitter.com/banuakdenizli/status/1580580058527584256", "1580580058527584256")</f>
        <v>1580580058527584256</v>
      </c>
      <c r="B1284" t="s">
        <v>15</v>
      </c>
      <c r="C1284" s="2">
        <v>44847.641504629632</v>
      </c>
      <c r="D1284">
        <v>0</v>
      </c>
      <c r="E1284">
        <v>2</v>
      </c>
      <c r="F1284" t="s">
        <v>30</v>
      </c>
      <c r="G1284" t="s">
        <v>1361</v>
      </c>
      <c r="H1284" t="str">
        <f>HYPERLINK("http://pbs.twimg.com/media/Fe4UbtAXoAAbEyJ.jpg", "http://pbs.twimg.com/media/Fe4UbtAXoAAbEyJ.jpg")</f>
        <v>http://pbs.twimg.com/media/Fe4UbtAXoAAbEyJ.jpg</v>
      </c>
      <c r="L1284">
        <v>0</v>
      </c>
      <c r="M1284">
        <v>0</v>
      </c>
      <c r="N1284">
        <v>1</v>
      </c>
      <c r="O1284">
        <v>0</v>
      </c>
    </row>
    <row r="1285" spans="1:15" x14ac:dyDescent="0.2">
      <c r="A1285" s="1" t="str">
        <f>HYPERLINK("http://www.twitter.com/banuakdenizli/status/1580579841807511553", "1580579841807511553")</f>
        <v>1580579841807511553</v>
      </c>
      <c r="B1285" t="s">
        <v>15</v>
      </c>
      <c r="C1285" s="2">
        <v>44847.640902777777</v>
      </c>
      <c r="D1285">
        <v>0</v>
      </c>
      <c r="E1285">
        <v>39</v>
      </c>
      <c r="F1285" t="s">
        <v>28</v>
      </c>
      <c r="G1285" t="s">
        <v>1362</v>
      </c>
      <c r="L1285">
        <v>0</v>
      </c>
      <c r="M1285">
        <v>0</v>
      </c>
      <c r="N1285">
        <v>1</v>
      </c>
      <c r="O1285">
        <v>0</v>
      </c>
    </row>
    <row r="1286" spans="1:15" x14ac:dyDescent="0.2">
      <c r="A1286" s="1" t="str">
        <f>HYPERLINK("http://www.twitter.com/banuakdenizli/status/1580573649311932416", "1580573649311932416")</f>
        <v>1580573649311932416</v>
      </c>
      <c r="B1286" t="s">
        <v>15</v>
      </c>
      <c r="C1286" s="2">
        <v>44847.623819444438</v>
      </c>
      <c r="D1286">
        <v>0</v>
      </c>
      <c r="E1286">
        <v>2</v>
      </c>
      <c r="F1286" t="s">
        <v>29</v>
      </c>
      <c r="G1286" t="s">
        <v>1363</v>
      </c>
      <c r="H1286" t="str">
        <f>HYPERLINK("http://pbs.twimg.com/media/Fe9Sq8SWYAAih0p.jpg", "http://pbs.twimg.com/media/Fe9Sq8SWYAAih0p.jpg")</f>
        <v>http://pbs.twimg.com/media/Fe9Sq8SWYAAih0p.jpg</v>
      </c>
      <c r="L1286">
        <v>0.81259999999999999</v>
      </c>
      <c r="M1286">
        <v>0</v>
      </c>
      <c r="N1286">
        <v>0.74099999999999999</v>
      </c>
      <c r="O1286">
        <v>0.25900000000000001</v>
      </c>
    </row>
    <row r="1287" spans="1:15" x14ac:dyDescent="0.2">
      <c r="A1287" s="1" t="str">
        <f>HYPERLINK("http://www.twitter.com/banuakdenizli/status/1580572878801551360", "1580572878801551360")</f>
        <v>1580572878801551360</v>
      </c>
      <c r="B1287" t="s">
        <v>15</v>
      </c>
      <c r="C1287" s="2">
        <v>44847.621689814812</v>
      </c>
      <c r="D1287">
        <v>0</v>
      </c>
      <c r="E1287">
        <v>6</v>
      </c>
      <c r="F1287" t="s">
        <v>29</v>
      </c>
      <c r="G1287" t="s">
        <v>1364</v>
      </c>
      <c r="H1287" t="str">
        <f>HYPERLINK("http://pbs.twimg.com/media/Fe9RHpyXkAYYztK.jpg", "http://pbs.twimg.com/media/Fe9RHpyXkAYYztK.jpg")</f>
        <v>http://pbs.twimg.com/media/Fe9RHpyXkAYYztK.jpg</v>
      </c>
      <c r="I1287" t="str">
        <f>HYPERLINK("http://pbs.twimg.com/media/Fe9RHqkX0AEUs_o.jpg", "http://pbs.twimg.com/media/Fe9RHqkX0AEUs_o.jpg")</f>
        <v>http://pbs.twimg.com/media/Fe9RHqkX0AEUs_o.jpg</v>
      </c>
      <c r="L1287">
        <v>0.38179999999999997</v>
      </c>
      <c r="M1287">
        <v>0</v>
      </c>
      <c r="N1287">
        <v>0.86699999999999999</v>
      </c>
      <c r="O1287">
        <v>0.13300000000000001</v>
      </c>
    </row>
    <row r="1288" spans="1:15" x14ac:dyDescent="0.2">
      <c r="A1288" s="1" t="str">
        <f>HYPERLINK("http://www.twitter.com/banuakdenizli/status/1580572713675943938", "1580572713675943938")</f>
        <v>1580572713675943938</v>
      </c>
      <c r="B1288" t="s">
        <v>15</v>
      </c>
      <c r="C1288" s="2">
        <v>44847.621238425927</v>
      </c>
      <c r="D1288">
        <v>0</v>
      </c>
      <c r="E1288">
        <v>13</v>
      </c>
      <c r="F1288" t="s">
        <v>16</v>
      </c>
      <c r="G1288" t="s">
        <v>1365</v>
      </c>
      <c r="H1288" t="str">
        <f>HYPERLINK("http://pbs.twimg.com/media/Fe9Pc2yWIAU7Ysd.jpg", "http://pbs.twimg.com/media/Fe9Pc2yWIAU7Ysd.jpg")</f>
        <v>http://pbs.twimg.com/media/Fe9Pc2yWIAU7Ysd.jpg</v>
      </c>
      <c r="I1288" t="str">
        <f>HYPERLINK("http://pbs.twimg.com/media/Fe9Pc2wXkAA6iS3.jpg", "http://pbs.twimg.com/media/Fe9Pc2wXkAA6iS3.jpg")</f>
        <v>http://pbs.twimg.com/media/Fe9Pc2wXkAA6iS3.jpg</v>
      </c>
      <c r="J1288" t="str">
        <f>HYPERLINK("http://pbs.twimg.com/media/Fe9Pc2zX0AAZ2r-.jpg", "http://pbs.twimg.com/media/Fe9Pc2zX0AAZ2r-.jpg")</f>
        <v>http://pbs.twimg.com/media/Fe9Pc2zX0AAZ2r-.jpg</v>
      </c>
      <c r="L1288">
        <v>0</v>
      </c>
      <c r="M1288">
        <v>0</v>
      </c>
      <c r="N1288">
        <v>1</v>
      </c>
      <c r="O1288">
        <v>0</v>
      </c>
    </row>
    <row r="1289" spans="1:15" x14ac:dyDescent="0.2">
      <c r="A1289" s="1" t="str">
        <f>HYPERLINK("http://www.twitter.com/banuakdenizli/status/1580559816585809926", "1580559816585809926")</f>
        <v>1580559816585809926</v>
      </c>
      <c r="B1289" t="s">
        <v>15</v>
      </c>
      <c r="C1289" s="2">
        <v>44847.585648148153</v>
      </c>
      <c r="D1289">
        <v>0</v>
      </c>
      <c r="E1289">
        <v>1</v>
      </c>
      <c r="F1289" t="s">
        <v>42</v>
      </c>
      <c r="G1289" t="s">
        <v>1366</v>
      </c>
      <c r="H1289" t="str">
        <f>HYPERLINK("http://pbs.twimg.com/media/Fe7SVK4WAAEdgxj.jpg", "http://pbs.twimg.com/media/Fe7SVK4WAAEdgxj.jpg")</f>
        <v>http://pbs.twimg.com/media/Fe7SVK4WAAEdgxj.jpg</v>
      </c>
      <c r="L1289">
        <v>0.36120000000000002</v>
      </c>
      <c r="M1289">
        <v>0</v>
      </c>
      <c r="N1289">
        <v>0.82799999999999996</v>
      </c>
      <c r="O1289">
        <v>0.17199999999999999</v>
      </c>
    </row>
    <row r="1290" spans="1:15" x14ac:dyDescent="0.2">
      <c r="A1290" s="1" t="str">
        <f>HYPERLINK("http://www.twitter.com/banuakdenizli/status/1580558503235948545", "1580558503235948545")</f>
        <v>1580558503235948545</v>
      </c>
      <c r="B1290" t="s">
        <v>15</v>
      </c>
      <c r="C1290" s="2">
        <v>44847.582025462973</v>
      </c>
      <c r="D1290">
        <v>0</v>
      </c>
      <c r="E1290">
        <v>1</v>
      </c>
      <c r="F1290" t="s">
        <v>29</v>
      </c>
      <c r="G1290" t="s">
        <v>1367</v>
      </c>
      <c r="H1290" t="str">
        <f>HYPERLINK("http://pbs.twimg.com/media/Fe5LoePXkAcEpGC.jpg", "http://pbs.twimg.com/media/Fe5LoePXkAcEpGC.jpg")</f>
        <v>http://pbs.twimg.com/media/Fe5LoePXkAcEpGC.jpg</v>
      </c>
      <c r="L1290">
        <v>0</v>
      </c>
      <c r="M1290">
        <v>0</v>
      </c>
      <c r="N1290">
        <v>1</v>
      </c>
      <c r="O1290">
        <v>0</v>
      </c>
    </row>
    <row r="1291" spans="1:15" x14ac:dyDescent="0.2">
      <c r="A1291" s="1" t="str">
        <f>HYPERLINK("http://www.twitter.com/banuakdenizli/status/1580558137098002432", "1580558137098002432")</f>
        <v>1580558137098002432</v>
      </c>
      <c r="B1291" t="s">
        <v>15</v>
      </c>
      <c r="C1291" s="2">
        <v>44847.581006944441</v>
      </c>
      <c r="D1291">
        <v>0</v>
      </c>
      <c r="E1291">
        <v>2</v>
      </c>
      <c r="F1291" t="s">
        <v>42</v>
      </c>
      <c r="G1291" t="s">
        <v>1368</v>
      </c>
      <c r="H1291" t="str">
        <f>HYPERLINK("http://pbs.twimg.com/media/Fe7Nb1oXwAASO-u.jpg", "http://pbs.twimg.com/media/Fe7Nb1oXwAASO-u.jpg")</f>
        <v>http://pbs.twimg.com/media/Fe7Nb1oXwAASO-u.jpg</v>
      </c>
      <c r="L1291">
        <v>0</v>
      </c>
      <c r="M1291">
        <v>0</v>
      </c>
      <c r="N1291">
        <v>1</v>
      </c>
      <c r="O1291">
        <v>0</v>
      </c>
    </row>
    <row r="1292" spans="1:15" x14ac:dyDescent="0.2">
      <c r="A1292" s="1" t="str">
        <f>HYPERLINK("http://www.twitter.com/banuakdenizli/status/1580557943095033857", "1580557943095033857")</f>
        <v>1580557943095033857</v>
      </c>
      <c r="B1292" t="s">
        <v>15</v>
      </c>
      <c r="C1292" s="2">
        <v>44847.580474537041</v>
      </c>
      <c r="D1292">
        <v>0</v>
      </c>
      <c r="E1292">
        <v>2</v>
      </c>
      <c r="F1292" t="s">
        <v>29</v>
      </c>
      <c r="G1292" t="s">
        <v>1369</v>
      </c>
      <c r="H1292" t="str">
        <f>HYPERLINK("http://pbs.twimg.com/media/Fe7nd7gXwAEduGh.jpg", "http://pbs.twimg.com/media/Fe7nd7gXwAEduGh.jpg")</f>
        <v>http://pbs.twimg.com/media/Fe7nd7gXwAEduGh.jpg</v>
      </c>
      <c r="L1292">
        <v>-0.72689999999999999</v>
      </c>
      <c r="M1292">
        <v>0.28899999999999998</v>
      </c>
      <c r="N1292">
        <v>0.71099999999999997</v>
      </c>
      <c r="O1292">
        <v>0</v>
      </c>
    </row>
    <row r="1293" spans="1:15" x14ac:dyDescent="0.2">
      <c r="A1293" s="1" t="str">
        <f>HYPERLINK("http://www.twitter.com/banuakdenizli/status/1580557182788988928", "1580557182788988928")</f>
        <v>1580557182788988928</v>
      </c>
      <c r="B1293" t="s">
        <v>15</v>
      </c>
      <c r="C1293" s="2">
        <v>44847.578379629631</v>
      </c>
      <c r="D1293">
        <v>0</v>
      </c>
      <c r="E1293">
        <v>6</v>
      </c>
      <c r="F1293" t="s">
        <v>20</v>
      </c>
      <c r="G1293" t="s">
        <v>1370</v>
      </c>
      <c r="H1293" t="str">
        <f>HYPERLINK("http://pbs.twimg.com/media/Fe5tzPnXEAMKg9b.jpg", "http://pbs.twimg.com/media/Fe5tzPnXEAMKg9b.jpg")</f>
        <v>http://pbs.twimg.com/media/Fe5tzPnXEAMKg9b.jpg</v>
      </c>
      <c r="L1293">
        <v>0</v>
      </c>
      <c r="M1293">
        <v>0</v>
      </c>
      <c r="N1293">
        <v>1</v>
      </c>
      <c r="O1293">
        <v>0</v>
      </c>
    </row>
    <row r="1294" spans="1:15" x14ac:dyDescent="0.2">
      <c r="A1294" s="1" t="str">
        <f>HYPERLINK("http://www.twitter.com/banuakdenizli/status/1580556689035919360", "1580556689035919360")</f>
        <v>1580556689035919360</v>
      </c>
      <c r="B1294" t="s">
        <v>15</v>
      </c>
      <c r="C1294" s="2">
        <v>44847.577013888891</v>
      </c>
      <c r="D1294">
        <v>0</v>
      </c>
      <c r="E1294">
        <v>58</v>
      </c>
      <c r="F1294" t="s">
        <v>28</v>
      </c>
      <c r="G1294" t="s">
        <v>1371</v>
      </c>
      <c r="H1294" t="str">
        <f>HYPERLINK("http://pbs.twimg.com/media/Fe2XR3eWYAARhLk.jpg", "http://pbs.twimg.com/media/Fe2XR3eWYAARhLk.jpg")</f>
        <v>http://pbs.twimg.com/media/Fe2XR3eWYAARhLk.jpg</v>
      </c>
      <c r="I1294" t="str">
        <f>HYPERLINK("http://pbs.twimg.com/media/Fe2XR3iWYAEbRD2.jpg", "http://pbs.twimg.com/media/Fe2XR3iWYAEbRD2.jpg")</f>
        <v>http://pbs.twimg.com/media/Fe2XR3iWYAEbRD2.jpg</v>
      </c>
      <c r="J1294" t="str">
        <f>HYPERLINK("http://pbs.twimg.com/media/Fe2XR3fWAAAVvOS.jpg", "http://pbs.twimg.com/media/Fe2XR3fWAAAVvOS.jpg")</f>
        <v>http://pbs.twimg.com/media/Fe2XR3fWAAAVvOS.jpg</v>
      </c>
      <c r="K1294" t="str">
        <f>HYPERLINK("http://pbs.twimg.com/media/Fe2XR3XXoAENQ5B.jpg", "http://pbs.twimg.com/media/Fe2XR3XXoAENQ5B.jpg")</f>
        <v>http://pbs.twimg.com/media/Fe2XR3XXoAENQ5B.jpg</v>
      </c>
      <c r="L1294">
        <v>0</v>
      </c>
      <c r="M1294">
        <v>0</v>
      </c>
      <c r="N1294">
        <v>1</v>
      </c>
      <c r="O1294">
        <v>0</v>
      </c>
    </row>
    <row r="1295" spans="1:15" x14ac:dyDescent="0.2">
      <c r="A1295" s="1" t="str">
        <f>HYPERLINK("http://www.twitter.com/banuakdenizli/status/1580556672619073537", "1580556672619073537")</f>
        <v>1580556672619073537</v>
      </c>
      <c r="B1295" t="s">
        <v>15</v>
      </c>
      <c r="C1295" s="2">
        <v>44847.576967592591</v>
      </c>
      <c r="D1295">
        <v>0</v>
      </c>
      <c r="E1295">
        <v>48</v>
      </c>
      <c r="F1295" t="s">
        <v>28</v>
      </c>
      <c r="G1295" t="s">
        <v>1372</v>
      </c>
      <c r="H1295" t="str">
        <f>HYPERLINK("http://pbs.twimg.com/media/Fe2iPQdXgAA8rSy.jpg", "http://pbs.twimg.com/media/Fe2iPQdXgAA8rSy.jpg")</f>
        <v>http://pbs.twimg.com/media/Fe2iPQdXgAA8rSy.jpg</v>
      </c>
      <c r="I1295" t="str">
        <f>HYPERLINK("http://pbs.twimg.com/media/Fe2iPQUXoAArKng.jpg", "http://pbs.twimg.com/media/Fe2iPQUXoAArKng.jpg")</f>
        <v>http://pbs.twimg.com/media/Fe2iPQUXoAArKng.jpg</v>
      </c>
      <c r="J1295" t="str">
        <f>HYPERLINK("http://pbs.twimg.com/media/Fe2iPQdXoAEezNU.jpg", "http://pbs.twimg.com/media/Fe2iPQdXoAEezNU.jpg")</f>
        <v>http://pbs.twimg.com/media/Fe2iPQdXoAEezNU.jpg</v>
      </c>
      <c r="K1295" t="str">
        <f>HYPERLINK("http://pbs.twimg.com/media/Fe2iPQsXkAAcZKQ.jpg", "http://pbs.twimg.com/media/Fe2iPQsXkAAcZKQ.jpg")</f>
        <v>http://pbs.twimg.com/media/Fe2iPQsXkAAcZKQ.jpg</v>
      </c>
      <c r="L1295">
        <v>0</v>
      </c>
      <c r="M1295">
        <v>0</v>
      </c>
      <c r="N1295">
        <v>1</v>
      </c>
      <c r="O1295">
        <v>0</v>
      </c>
    </row>
    <row r="1296" spans="1:15" x14ac:dyDescent="0.2">
      <c r="A1296" s="1" t="str">
        <f>HYPERLINK("http://www.twitter.com/banuakdenizli/status/1580556631175098368", "1580556631175098368")</f>
        <v>1580556631175098368</v>
      </c>
      <c r="B1296" t="s">
        <v>15</v>
      </c>
      <c r="C1296" s="2">
        <v>44847.576851851853</v>
      </c>
      <c r="D1296">
        <v>0</v>
      </c>
      <c r="E1296">
        <v>21</v>
      </c>
      <c r="F1296" t="s">
        <v>28</v>
      </c>
      <c r="G1296" t="s">
        <v>1373</v>
      </c>
      <c r="L1296">
        <v>0</v>
      </c>
      <c r="M1296">
        <v>0</v>
      </c>
      <c r="N1296">
        <v>1</v>
      </c>
      <c r="O1296">
        <v>0</v>
      </c>
    </row>
    <row r="1297" spans="1:15" x14ac:dyDescent="0.2">
      <c r="A1297" s="1" t="str">
        <f>HYPERLINK("http://www.twitter.com/banuakdenizli/status/1580556588598689794", "1580556588598689794")</f>
        <v>1580556588598689794</v>
      </c>
      <c r="B1297" t="s">
        <v>15</v>
      </c>
      <c r="C1297" s="2">
        <v>44847.576736111107</v>
      </c>
      <c r="D1297">
        <v>0</v>
      </c>
      <c r="E1297">
        <v>10</v>
      </c>
      <c r="F1297" t="s">
        <v>16</v>
      </c>
      <c r="G1297" t="s">
        <v>1374</v>
      </c>
      <c r="H1297" t="str">
        <f>HYPERLINK("http://pbs.twimg.com/media/Fe4yaa8WQAAfVZ_.jpg", "http://pbs.twimg.com/media/Fe4yaa8WQAAfVZ_.jpg")</f>
        <v>http://pbs.twimg.com/media/Fe4yaa8WQAAfVZ_.jpg</v>
      </c>
      <c r="L1297">
        <v>0</v>
      </c>
      <c r="M1297">
        <v>0</v>
      </c>
      <c r="N1297">
        <v>1</v>
      </c>
      <c r="O1297">
        <v>0</v>
      </c>
    </row>
    <row r="1298" spans="1:15" x14ac:dyDescent="0.2">
      <c r="A1298" s="1" t="str">
        <f>HYPERLINK("http://www.twitter.com/banuakdenizli/status/1580556574971465728", "1580556574971465728")</f>
        <v>1580556574971465728</v>
      </c>
      <c r="B1298" t="s">
        <v>15</v>
      </c>
      <c r="C1298" s="2">
        <v>44847.576701388891</v>
      </c>
      <c r="D1298">
        <v>0</v>
      </c>
      <c r="E1298">
        <v>7</v>
      </c>
      <c r="F1298" t="s">
        <v>16</v>
      </c>
      <c r="G1298" t="s">
        <v>1375</v>
      </c>
      <c r="H1298" t="str">
        <f>HYPERLINK("http://pbs.twimg.com/media/Fe4zMCpWAA4mfrG.jpg", "http://pbs.twimg.com/media/Fe4zMCpWAA4mfrG.jpg")</f>
        <v>http://pbs.twimg.com/media/Fe4zMCpWAA4mfrG.jpg</v>
      </c>
      <c r="L1298">
        <v>0</v>
      </c>
      <c r="M1298">
        <v>0</v>
      </c>
      <c r="N1298">
        <v>1</v>
      </c>
      <c r="O1298">
        <v>0</v>
      </c>
    </row>
    <row r="1299" spans="1:15" x14ac:dyDescent="0.2">
      <c r="A1299" s="1" t="str">
        <f>HYPERLINK("http://www.twitter.com/banuakdenizli/status/1580556562594426880", "1580556562594426880")</f>
        <v>1580556562594426880</v>
      </c>
      <c r="B1299" t="s">
        <v>15</v>
      </c>
      <c r="C1299" s="2">
        <v>44847.576666666668</v>
      </c>
      <c r="D1299">
        <v>0</v>
      </c>
      <c r="E1299">
        <v>8</v>
      </c>
      <c r="F1299" t="s">
        <v>16</v>
      </c>
      <c r="G1299" t="s">
        <v>1376</v>
      </c>
      <c r="H1299" t="str">
        <f>HYPERLINK("http://pbs.twimg.com/media/Fe4z108WAAsr9Br.jpg", "http://pbs.twimg.com/media/Fe4z108WAAsr9Br.jpg")</f>
        <v>http://pbs.twimg.com/media/Fe4z108WAAsr9Br.jpg</v>
      </c>
      <c r="L1299">
        <v>0</v>
      </c>
      <c r="M1299">
        <v>0</v>
      </c>
      <c r="N1299">
        <v>1</v>
      </c>
      <c r="O1299">
        <v>0</v>
      </c>
    </row>
    <row r="1300" spans="1:15" x14ac:dyDescent="0.2">
      <c r="A1300" s="1" t="str">
        <f>HYPERLINK("http://www.twitter.com/banuakdenizli/status/1580556548807720960", "1580556548807720960")</f>
        <v>1580556548807720960</v>
      </c>
      <c r="B1300" t="s">
        <v>15</v>
      </c>
      <c r="C1300" s="2">
        <v>44847.576631944437</v>
      </c>
      <c r="D1300">
        <v>0</v>
      </c>
      <c r="E1300">
        <v>5</v>
      </c>
      <c r="F1300" t="s">
        <v>16</v>
      </c>
      <c r="G1300" t="s">
        <v>1377</v>
      </c>
      <c r="H1300" t="str">
        <f>HYPERLINK("http://pbs.twimg.com/media/Fe409K2WAAIMmIM.jpg", "http://pbs.twimg.com/media/Fe409K2WAAIMmIM.jpg")</f>
        <v>http://pbs.twimg.com/media/Fe409K2WAAIMmIM.jpg</v>
      </c>
      <c r="L1300">
        <v>0</v>
      </c>
      <c r="M1300">
        <v>0</v>
      </c>
      <c r="N1300">
        <v>1</v>
      </c>
      <c r="O1300">
        <v>0</v>
      </c>
    </row>
    <row r="1301" spans="1:15" x14ac:dyDescent="0.2">
      <c r="A1301" s="1" t="str">
        <f>HYPERLINK("http://www.twitter.com/banuakdenizli/status/1580556533259063297", "1580556533259063297")</f>
        <v>1580556533259063297</v>
      </c>
      <c r="B1301" t="s">
        <v>15</v>
      </c>
      <c r="C1301" s="2">
        <v>44847.576585648138</v>
      </c>
      <c r="D1301">
        <v>0</v>
      </c>
      <c r="E1301">
        <v>38</v>
      </c>
      <c r="F1301" t="s">
        <v>16</v>
      </c>
      <c r="G1301" t="s">
        <v>1378</v>
      </c>
      <c r="H1301" t="str">
        <f>HYPERLINK("http://pbs.twimg.com/media/Fe41dQkWABoZ1aM.jpg", "http://pbs.twimg.com/media/Fe41dQkWABoZ1aM.jpg")</f>
        <v>http://pbs.twimg.com/media/Fe41dQkWABoZ1aM.jpg</v>
      </c>
      <c r="L1301">
        <v>0</v>
      </c>
      <c r="M1301">
        <v>0</v>
      </c>
      <c r="N1301">
        <v>1</v>
      </c>
      <c r="O1301">
        <v>0</v>
      </c>
    </row>
    <row r="1302" spans="1:15" x14ac:dyDescent="0.2">
      <c r="A1302" s="1" t="str">
        <f>HYPERLINK("http://www.twitter.com/banuakdenizli/status/1580556510933192704", "1580556510933192704")</f>
        <v>1580556510933192704</v>
      </c>
      <c r="B1302" t="s">
        <v>15</v>
      </c>
      <c r="C1302" s="2">
        <v>44847.576527777783</v>
      </c>
      <c r="D1302">
        <v>0</v>
      </c>
      <c r="E1302">
        <v>4</v>
      </c>
      <c r="F1302" t="s">
        <v>16</v>
      </c>
      <c r="G1302" t="s">
        <v>1379</v>
      </c>
      <c r="H1302" t="str">
        <f>HYPERLINK("http://pbs.twimg.com/media/Fe42MziWAC4QFbv.jpg", "http://pbs.twimg.com/media/Fe42MziWAC4QFbv.jpg")</f>
        <v>http://pbs.twimg.com/media/Fe42MziWAC4QFbv.jpg</v>
      </c>
      <c r="L1302">
        <v>0</v>
      </c>
      <c r="M1302">
        <v>0</v>
      </c>
      <c r="N1302">
        <v>1</v>
      </c>
      <c r="O1302">
        <v>0</v>
      </c>
    </row>
    <row r="1303" spans="1:15" x14ac:dyDescent="0.2">
      <c r="A1303" s="1" t="str">
        <f>HYPERLINK("http://www.twitter.com/banuakdenizli/status/1580556375234850817", "1580556375234850817")</f>
        <v>1580556375234850817</v>
      </c>
      <c r="B1303" t="s">
        <v>15</v>
      </c>
      <c r="C1303" s="2">
        <v>44847.576145833344</v>
      </c>
      <c r="D1303">
        <v>0</v>
      </c>
      <c r="E1303">
        <v>4</v>
      </c>
      <c r="F1303" t="s">
        <v>17</v>
      </c>
      <c r="G1303" t="s">
        <v>1380</v>
      </c>
      <c r="H1303" t="str">
        <f>HYPERLINK("http://pbs.twimg.com/media/Fe5UJnKWYAQ6xNY.jpg", "http://pbs.twimg.com/media/Fe5UJnKWYAQ6xNY.jpg")</f>
        <v>http://pbs.twimg.com/media/Fe5UJnKWYAQ6xNY.jpg</v>
      </c>
      <c r="L1303">
        <v>0</v>
      </c>
      <c r="M1303">
        <v>0</v>
      </c>
      <c r="N1303">
        <v>1</v>
      </c>
      <c r="O1303">
        <v>0</v>
      </c>
    </row>
    <row r="1304" spans="1:15" x14ac:dyDescent="0.2">
      <c r="A1304" s="1" t="str">
        <f>HYPERLINK("http://www.twitter.com/banuakdenizli/status/1580556341814652928", "1580556341814652928")</f>
        <v>1580556341814652928</v>
      </c>
      <c r="B1304" t="s">
        <v>15</v>
      </c>
      <c r="C1304" s="2">
        <v>44847.576053240737</v>
      </c>
      <c r="D1304">
        <v>0</v>
      </c>
      <c r="E1304">
        <v>8</v>
      </c>
      <c r="F1304" t="s">
        <v>17</v>
      </c>
      <c r="G1304" t="s">
        <v>1381</v>
      </c>
      <c r="H1304" t="str">
        <f>HYPERLINK("http://pbs.twimg.com/media/Fe5cuFkWIAAB9CX.jpg", "http://pbs.twimg.com/media/Fe5cuFkWIAAB9CX.jpg")</f>
        <v>http://pbs.twimg.com/media/Fe5cuFkWIAAB9CX.jpg</v>
      </c>
      <c r="L1304">
        <v>-0.45879999999999999</v>
      </c>
      <c r="M1304">
        <v>0.158</v>
      </c>
      <c r="N1304">
        <v>0.84199999999999997</v>
      </c>
      <c r="O1304">
        <v>0</v>
      </c>
    </row>
    <row r="1305" spans="1:15" x14ac:dyDescent="0.2">
      <c r="A1305" s="1" t="str">
        <f>HYPERLINK("http://www.twitter.com/banuakdenizli/status/1580556327595933698", "1580556327595933698")</f>
        <v>1580556327595933698</v>
      </c>
      <c r="B1305" t="s">
        <v>15</v>
      </c>
      <c r="C1305" s="2">
        <v>44847.576018518521</v>
      </c>
      <c r="D1305">
        <v>0</v>
      </c>
      <c r="E1305">
        <v>7</v>
      </c>
      <c r="F1305" t="s">
        <v>17</v>
      </c>
      <c r="G1305" t="s">
        <v>1382</v>
      </c>
      <c r="H1305" t="str">
        <f>HYPERLINK("http://pbs.twimg.com/media/Fe5duwRXEAAtiCk.jpg", "http://pbs.twimg.com/media/Fe5duwRXEAAtiCk.jpg")</f>
        <v>http://pbs.twimg.com/media/Fe5duwRXEAAtiCk.jpg</v>
      </c>
      <c r="L1305">
        <v>0.40189999999999998</v>
      </c>
      <c r="M1305">
        <v>0</v>
      </c>
      <c r="N1305">
        <v>0.84699999999999998</v>
      </c>
      <c r="O1305">
        <v>0.153</v>
      </c>
    </row>
    <row r="1306" spans="1:15" x14ac:dyDescent="0.2">
      <c r="A1306" s="1" t="str">
        <f>HYPERLINK("http://www.twitter.com/banuakdenizli/status/1580556312773275650", "1580556312773275650")</f>
        <v>1580556312773275650</v>
      </c>
      <c r="B1306" t="s">
        <v>15</v>
      </c>
      <c r="C1306" s="2">
        <v>44847.575972222221</v>
      </c>
      <c r="D1306">
        <v>0</v>
      </c>
      <c r="E1306">
        <v>7</v>
      </c>
      <c r="F1306" t="s">
        <v>17</v>
      </c>
      <c r="G1306" t="s">
        <v>1383</v>
      </c>
      <c r="H1306" t="str">
        <f>HYPERLINK("http://pbs.twimg.com/media/Fe5fFR0WAAceYaJ.jpg", "http://pbs.twimg.com/media/Fe5fFR0WAAceYaJ.jpg")</f>
        <v>http://pbs.twimg.com/media/Fe5fFR0WAAceYaJ.jpg</v>
      </c>
      <c r="L1306">
        <v>0.71840000000000004</v>
      </c>
      <c r="M1306">
        <v>0</v>
      </c>
      <c r="N1306">
        <v>0.77800000000000002</v>
      </c>
      <c r="O1306">
        <v>0.222</v>
      </c>
    </row>
    <row r="1307" spans="1:15" x14ac:dyDescent="0.2">
      <c r="A1307" s="1" t="str">
        <f>HYPERLINK("http://www.twitter.com/banuakdenizli/status/1580556295656001537", "1580556295656001537")</f>
        <v>1580556295656001537</v>
      </c>
      <c r="B1307" t="s">
        <v>15</v>
      </c>
      <c r="C1307" s="2">
        <v>44847.575925925928</v>
      </c>
      <c r="D1307">
        <v>0</v>
      </c>
      <c r="E1307">
        <v>6</v>
      </c>
      <c r="F1307" t="s">
        <v>17</v>
      </c>
      <c r="G1307" t="s">
        <v>1384</v>
      </c>
      <c r="H1307" t="str">
        <f>HYPERLINK("http://pbs.twimg.com/media/Fe5iZYnWIAMY89S.jpg", "http://pbs.twimg.com/media/Fe5iZYnWIAMY89S.jpg")</f>
        <v>http://pbs.twimg.com/media/Fe5iZYnWIAMY89S.jpg</v>
      </c>
      <c r="L1307">
        <v>0.2732</v>
      </c>
      <c r="M1307">
        <v>0</v>
      </c>
      <c r="N1307">
        <v>0.85099999999999998</v>
      </c>
      <c r="O1307">
        <v>0.14899999999999999</v>
      </c>
    </row>
    <row r="1308" spans="1:15" x14ac:dyDescent="0.2">
      <c r="A1308" s="1" t="str">
        <f>HYPERLINK("http://www.twitter.com/banuakdenizli/status/1580556275682639872", "1580556275682639872")</f>
        <v>1580556275682639872</v>
      </c>
      <c r="B1308" t="s">
        <v>15</v>
      </c>
      <c r="C1308" s="2">
        <v>44847.575879629629</v>
      </c>
      <c r="D1308">
        <v>0</v>
      </c>
      <c r="E1308">
        <v>15</v>
      </c>
      <c r="F1308" t="s">
        <v>17</v>
      </c>
      <c r="G1308" t="s">
        <v>1385</v>
      </c>
      <c r="H1308" t="str">
        <f>HYPERLINK("http://pbs.twimg.com/media/Fe5qQtgWYAAk6MK.jpg", "http://pbs.twimg.com/media/Fe5qQtgWYAAk6MK.jpg")</f>
        <v>http://pbs.twimg.com/media/Fe5qQtgWYAAk6MK.jpg</v>
      </c>
      <c r="L1308">
        <v>-0.29599999999999999</v>
      </c>
      <c r="M1308">
        <v>0.22900000000000001</v>
      </c>
      <c r="N1308">
        <v>0.625</v>
      </c>
      <c r="O1308">
        <v>0.14599999999999999</v>
      </c>
    </row>
    <row r="1309" spans="1:15" x14ac:dyDescent="0.2">
      <c r="A1309" s="1" t="str">
        <f>HYPERLINK("http://www.twitter.com/banuakdenizli/status/1580555976117088257", "1580555976117088257")</f>
        <v>1580555976117088257</v>
      </c>
      <c r="B1309" t="s">
        <v>15</v>
      </c>
      <c r="C1309" s="2">
        <v>44847.575046296297</v>
      </c>
      <c r="D1309">
        <v>0</v>
      </c>
      <c r="E1309">
        <v>3</v>
      </c>
      <c r="F1309" t="s">
        <v>39</v>
      </c>
      <c r="G1309" t="s">
        <v>1386</v>
      </c>
      <c r="L1309">
        <v>-0.34</v>
      </c>
      <c r="M1309">
        <v>5.8999999999999997E-2</v>
      </c>
      <c r="N1309">
        <v>0.94099999999999995</v>
      </c>
      <c r="O1309">
        <v>0</v>
      </c>
    </row>
    <row r="1310" spans="1:15" x14ac:dyDescent="0.2">
      <c r="A1310" s="1" t="str">
        <f>HYPERLINK("http://www.twitter.com/banuakdenizli/status/1580555970668679169", "1580555970668679169")</f>
        <v>1580555970668679169</v>
      </c>
      <c r="B1310" t="s">
        <v>15</v>
      </c>
      <c r="C1310" s="2">
        <v>44847.57503472222</v>
      </c>
      <c r="D1310">
        <v>0</v>
      </c>
      <c r="E1310">
        <v>4</v>
      </c>
      <c r="F1310" t="s">
        <v>39</v>
      </c>
      <c r="G1310" t="s">
        <v>1387</v>
      </c>
      <c r="H1310" t="str">
        <f>HYPERLINK("http://pbs.twimg.com/media/Fe8ixTbWQAMx1OZ.jpg", "http://pbs.twimg.com/media/Fe8ixTbWQAMx1OZ.jpg")</f>
        <v>http://pbs.twimg.com/media/Fe8ixTbWQAMx1OZ.jpg</v>
      </c>
      <c r="L1310">
        <v>0</v>
      </c>
      <c r="M1310">
        <v>0</v>
      </c>
      <c r="N1310">
        <v>1</v>
      </c>
      <c r="O1310">
        <v>0</v>
      </c>
    </row>
    <row r="1311" spans="1:15" x14ac:dyDescent="0.2">
      <c r="A1311" s="1" t="str">
        <f>HYPERLINK("http://www.twitter.com/banuakdenizli/status/1580552118150176769", "1580552118150176769")</f>
        <v>1580552118150176769</v>
      </c>
      <c r="B1311" t="s">
        <v>15</v>
      </c>
      <c r="C1311" s="2">
        <v>44847.564398148148</v>
      </c>
      <c r="D1311">
        <v>0</v>
      </c>
      <c r="E1311">
        <v>17</v>
      </c>
      <c r="F1311" t="s">
        <v>1388</v>
      </c>
      <c r="G1311" t="s">
        <v>1389</v>
      </c>
      <c r="H1311" t="str">
        <f>HYPERLINK("http://pbs.twimg.com/media/Fe7ROH9XwAAdUgA.jpg", "http://pbs.twimg.com/media/Fe7ROH9XwAAdUgA.jpg")</f>
        <v>http://pbs.twimg.com/media/Fe7ROH9XwAAdUgA.jpg</v>
      </c>
      <c r="L1311">
        <v>0</v>
      </c>
      <c r="M1311">
        <v>0</v>
      </c>
      <c r="N1311">
        <v>1</v>
      </c>
      <c r="O1311">
        <v>0</v>
      </c>
    </row>
    <row r="1312" spans="1:15" x14ac:dyDescent="0.2">
      <c r="A1312" s="1" t="str">
        <f>HYPERLINK("http://www.twitter.com/banuakdenizli/status/1580551966790676485", "1580551966790676485")</f>
        <v>1580551966790676485</v>
      </c>
      <c r="B1312" t="s">
        <v>15</v>
      </c>
      <c r="C1312" s="2">
        <v>44847.563981481479</v>
      </c>
      <c r="D1312">
        <v>0</v>
      </c>
      <c r="E1312">
        <v>3</v>
      </c>
      <c r="F1312" t="s">
        <v>1390</v>
      </c>
      <c r="G1312" t="s">
        <v>1391</v>
      </c>
      <c r="H1312" t="str">
        <f>HYPERLINK("http://pbs.twimg.com/media/Fe8yGNrX0AEMtvw.jpg", "http://pbs.twimg.com/media/Fe8yGNrX0AEMtvw.jpg")</f>
        <v>http://pbs.twimg.com/media/Fe8yGNrX0AEMtvw.jpg</v>
      </c>
      <c r="L1312">
        <v>0.69079999999999997</v>
      </c>
      <c r="M1312">
        <v>3.5000000000000003E-2</v>
      </c>
      <c r="N1312">
        <v>0.79</v>
      </c>
      <c r="O1312">
        <v>0.17499999999999999</v>
      </c>
    </row>
    <row r="1313" spans="1:15" x14ac:dyDescent="0.2">
      <c r="A1313" s="1" t="str">
        <f>HYPERLINK("http://www.twitter.com/banuakdenizli/status/1580551935567880192", "1580551935567880192")</f>
        <v>1580551935567880192</v>
      </c>
      <c r="B1313" t="s">
        <v>15</v>
      </c>
      <c r="C1313" s="2">
        <v>44847.563900462963</v>
      </c>
      <c r="D1313">
        <v>0</v>
      </c>
      <c r="E1313">
        <v>8</v>
      </c>
      <c r="F1313" t="s">
        <v>38</v>
      </c>
      <c r="G1313" t="s">
        <v>1392</v>
      </c>
      <c r="H1313" t="str">
        <f>HYPERLINK("https://video.twimg.com/ext_tw_video/1580538956042670080/pu/vid/1080x1080/_KTnzfPnK-2ebS79.mp4?tag=14", "https://video.twimg.com/ext_tw_video/1580538956042670080/pu/vid/1080x1080/_KTnzfPnK-2ebS79.mp4?tag=14")</f>
        <v>https://video.twimg.com/ext_tw_video/1580538956042670080/pu/vid/1080x1080/_KTnzfPnK-2ebS79.mp4?tag=14</v>
      </c>
      <c r="L1313">
        <v>0</v>
      </c>
      <c r="M1313">
        <v>0</v>
      </c>
      <c r="N1313">
        <v>1</v>
      </c>
      <c r="O1313">
        <v>0</v>
      </c>
    </row>
    <row r="1314" spans="1:15" x14ac:dyDescent="0.2">
      <c r="A1314" s="1" t="str">
        <f>HYPERLINK("http://www.twitter.com/banuakdenizli/status/1580551495312809985", "1580551495312809985")</f>
        <v>1580551495312809985</v>
      </c>
      <c r="B1314" t="s">
        <v>15</v>
      </c>
      <c r="C1314" s="2">
        <v>44847.562685185178</v>
      </c>
      <c r="D1314">
        <v>0</v>
      </c>
      <c r="E1314">
        <v>1</v>
      </c>
      <c r="F1314" t="s">
        <v>21</v>
      </c>
      <c r="G1314" t="s">
        <v>1393</v>
      </c>
      <c r="L1314">
        <v>0.64859999999999995</v>
      </c>
      <c r="M1314">
        <v>0</v>
      </c>
      <c r="N1314">
        <v>0.872</v>
      </c>
      <c r="O1314">
        <v>0.128</v>
      </c>
    </row>
    <row r="1315" spans="1:15" x14ac:dyDescent="0.2">
      <c r="A1315" s="1" t="str">
        <f>HYPERLINK("http://www.twitter.com/banuakdenizli/status/1580551469622665221", "1580551469622665221")</f>
        <v>1580551469622665221</v>
      </c>
      <c r="B1315" t="s">
        <v>15</v>
      </c>
      <c r="C1315" s="2">
        <v>44847.562615740739</v>
      </c>
      <c r="D1315">
        <v>0</v>
      </c>
      <c r="E1315">
        <v>3</v>
      </c>
      <c r="F1315" t="s">
        <v>1390</v>
      </c>
      <c r="G1315" t="s">
        <v>1394</v>
      </c>
      <c r="L1315">
        <v>0</v>
      </c>
      <c r="M1315">
        <v>0</v>
      </c>
      <c r="N1315">
        <v>1</v>
      </c>
      <c r="O1315">
        <v>0</v>
      </c>
    </row>
    <row r="1316" spans="1:15" x14ac:dyDescent="0.2">
      <c r="A1316" s="1" t="str">
        <f>HYPERLINK("http://www.twitter.com/banuakdenizli/status/1580551432398589952", "1580551432398589952")</f>
        <v>1580551432398589952</v>
      </c>
      <c r="B1316" t="s">
        <v>15</v>
      </c>
      <c r="C1316" s="2">
        <v>44847.562511574077</v>
      </c>
      <c r="D1316">
        <v>0</v>
      </c>
      <c r="E1316">
        <v>2</v>
      </c>
      <c r="F1316" t="s">
        <v>1390</v>
      </c>
      <c r="G1316" t="s">
        <v>1395</v>
      </c>
      <c r="L1316">
        <v>0</v>
      </c>
      <c r="M1316">
        <v>0</v>
      </c>
      <c r="N1316">
        <v>1</v>
      </c>
      <c r="O1316">
        <v>0</v>
      </c>
    </row>
    <row r="1317" spans="1:15" x14ac:dyDescent="0.2">
      <c r="A1317" s="1" t="str">
        <f>HYPERLINK("http://www.twitter.com/banuakdenizli/status/1580551420608069635", "1580551420608069635")</f>
        <v>1580551420608069635</v>
      </c>
      <c r="B1317" t="s">
        <v>15</v>
      </c>
      <c r="C1317" s="2">
        <v>44847.562476851846</v>
      </c>
      <c r="D1317">
        <v>0</v>
      </c>
      <c r="E1317">
        <v>2</v>
      </c>
      <c r="F1317" t="s">
        <v>1390</v>
      </c>
      <c r="G1317" t="s">
        <v>1396</v>
      </c>
      <c r="L1317">
        <v>0</v>
      </c>
      <c r="M1317">
        <v>0</v>
      </c>
      <c r="N1317">
        <v>1</v>
      </c>
      <c r="O1317">
        <v>0</v>
      </c>
    </row>
    <row r="1318" spans="1:15" x14ac:dyDescent="0.2">
      <c r="A1318" s="1" t="str">
        <f>HYPERLINK("http://www.twitter.com/banuakdenizli/status/1580551345630609410", "1580551345630609410")</f>
        <v>1580551345630609410</v>
      </c>
      <c r="B1318" t="s">
        <v>15</v>
      </c>
      <c r="C1318" s="2">
        <v>44847.562268518523</v>
      </c>
      <c r="D1318">
        <v>0</v>
      </c>
      <c r="E1318">
        <v>24</v>
      </c>
      <c r="F1318" t="s">
        <v>1058</v>
      </c>
      <c r="G1318" t="s">
        <v>1397</v>
      </c>
      <c r="H1318" t="str">
        <f>HYPERLINK("https://video.twimg.com/ext_tw_video/1580499545695436800/pu/vid/352x640/Ir0ojcg6SAcpiP1L.mp4?tag=12", "https://video.twimg.com/ext_tw_video/1580499545695436800/pu/vid/352x640/Ir0ojcg6SAcpiP1L.mp4?tag=12")</f>
        <v>https://video.twimg.com/ext_tw_video/1580499545695436800/pu/vid/352x640/Ir0ojcg6SAcpiP1L.mp4?tag=12</v>
      </c>
      <c r="L1318">
        <v>0</v>
      </c>
      <c r="M1318">
        <v>0</v>
      </c>
      <c r="N1318">
        <v>1</v>
      </c>
      <c r="O1318">
        <v>0</v>
      </c>
    </row>
    <row r="1319" spans="1:15" x14ac:dyDescent="0.2">
      <c r="A1319" s="1" t="str">
        <f>HYPERLINK("http://www.twitter.com/banuakdenizli/status/1580551246733512705", "1580551246733512705")</f>
        <v>1580551246733512705</v>
      </c>
      <c r="B1319" t="s">
        <v>15</v>
      </c>
      <c r="C1319" s="2">
        <v>44847.562002314808</v>
      </c>
      <c r="D1319">
        <v>0</v>
      </c>
      <c r="E1319">
        <v>1</v>
      </c>
      <c r="F1319" t="s">
        <v>29</v>
      </c>
      <c r="G1319" t="s">
        <v>1398</v>
      </c>
      <c r="H1319" t="str">
        <f>HYPERLINK("http://pbs.twimg.com/media/Fe45K6bXoAAww0R.jpg", "http://pbs.twimg.com/media/Fe45K6bXoAAww0R.jpg")</f>
        <v>http://pbs.twimg.com/media/Fe45K6bXoAAww0R.jpg</v>
      </c>
      <c r="I1319" t="str">
        <f>HYPERLINK("http://pbs.twimg.com/media/Fe45K6LWQA8MsL7.jpg", "http://pbs.twimg.com/media/Fe45K6LWQA8MsL7.jpg")</f>
        <v>http://pbs.twimg.com/media/Fe45K6LWQA8MsL7.jpg</v>
      </c>
      <c r="L1319">
        <v>-0.31819999999999998</v>
      </c>
      <c r="M1319">
        <v>0.126</v>
      </c>
      <c r="N1319">
        <v>0.874</v>
      </c>
      <c r="O1319">
        <v>0</v>
      </c>
    </row>
    <row r="1320" spans="1:15" x14ac:dyDescent="0.2">
      <c r="A1320" s="1" t="str">
        <f>HYPERLINK("http://www.twitter.com/banuakdenizli/status/1580551226399211522", "1580551226399211522")</f>
        <v>1580551226399211522</v>
      </c>
      <c r="B1320" t="s">
        <v>15</v>
      </c>
      <c r="C1320" s="2">
        <v>44847.561944444453</v>
      </c>
      <c r="D1320">
        <v>0</v>
      </c>
      <c r="E1320">
        <v>1</v>
      </c>
      <c r="F1320" t="s">
        <v>29</v>
      </c>
      <c r="G1320" t="s">
        <v>1399</v>
      </c>
      <c r="H1320" t="str">
        <f>HYPERLINK("http://pbs.twimg.com/media/Fe5azFJXoDYpBXn.jpg", "http://pbs.twimg.com/media/Fe5azFJXoDYpBXn.jpg")</f>
        <v>http://pbs.twimg.com/media/Fe5azFJXoDYpBXn.jpg</v>
      </c>
      <c r="L1320">
        <v>0.71840000000000004</v>
      </c>
      <c r="M1320">
        <v>0</v>
      </c>
      <c r="N1320">
        <v>0.75</v>
      </c>
      <c r="O1320">
        <v>0.25</v>
      </c>
    </row>
    <row r="1321" spans="1:15" x14ac:dyDescent="0.2">
      <c r="A1321" s="1" t="str">
        <f>HYPERLINK("http://www.twitter.com/banuakdenizli/status/1580551126591553536", "1580551126591553536")</f>
        <v>1580551126591553536</v>
      </c>
      <c r="B1321" t="s">
        <v>15</v>
      </c>
      <c r="C1321" s="2">
        <v>44847.561666666668</v>
      </c>
      <c r="D1321">
        <v>0</v>
      </c>
      <c r="E1321">
        <v>1</v>
      </c>
      <c r="F1321" t="s">
        <v>29</v>
      </c>
      <c r="G1321" t="s">
        <v>1400</v>
      </c>
      <c r="H1321" t="str">
        <f>HYPERLINK("http://pbs.twimg.com/media/Fe5IrCMXoAEqYGV.jpg", "http://pbs.twimg.com/media/Fe5IrCMXoAEqYGV.jpg")</f>
        <v>http://pbs.twimg.com/media/Fe5IrCMXoAEqYGV.jpg</v>
      </c>
      <c r="L1321">
        <v>0</v>
      </c>
      <c r="M1321">
        <v>0</v>
      </c>
      <c r="N1321">
        <v>1</v>
      </c>
      <c r="O1321">
        <v>0</v>
      </c>
    </row>
    <row r="1322" spans="1:15" x14ac:dyDescent="0.2">
      <c r="A1322" s="1" t="str">
        <f>HYPERLINK("http://www.twitter.com/banuakdenizli/status/1580551101283459072", "1580551101283459072")</f>
        <v>1580551101283459072</v>
      </c>
      <c r="B1322" t="s">
        <v>15</v>
      </c>
      <c r="C1322" s="2">
        <v>44847.561597222222</v>
      </c>
      <c r="D1322">
        <v>0</v>
      </c>
      <c r="E1322">
        <v>1</v>
      </c>
      <c r="F1322" t="s">
        <v>29</v>
      </c>
      <c r="G1322" t="s">
        <v>1401</v>
      </c>
      <c r="H1322" t="str">
        <f>HYPERLINK("http://pbs.twimg.com/media/Fe5bapPXoB49Odj.jpg", "http://pbs.twimg.com/media/Fe5bapPXoB49Odj.jpg")</f>
        <v>http://pbs.twimg.com/media/Fe5bapPXoB49Odj.jpg</v>
      </c>
      <c r="L1322">
        <v>0.2732</v>
      </c>
      <c r="M1322">
        <v>0</v>
      </c>
      <c r="N1322">
        <v>0.79200000000000004</v>
      </c>
      <c r="O1322">
        <v>0.20799999999999999</v>
      </c>
    </row>
    <row r="1323" spans="1:15" x14ac:dyDescent="0.2">
      <c r="A1323" s="1" t="str">
        <f>HYPERLINK("http://www.twitter.com/banuakdenizli/status/1580551047139196928", "1580551047139196928")</f>
        <v>1580551047139196928</v>
      </c>
      <c r="B1323" t="s">
        <v>15</v>
      </c>
      <c r="C1323" s="2">
        <v>44847.56144675926</v>
      </c>
      <c r="D1323">
        <v>0</v>
      </c>
      <c r="E1323">
        <v>4</v>
      </c>
      <c r="F1323" t="s">
        <v>22</v>
      </c>
      <c r="G1323" t="s">
        <v>1402</v>
      </c>
      <c r="L1323">
        <v>0</v>
      </c>
      <c r="M1323">
        <v>0</v>
      </c>
      <c r="N1323">
        <v>1</v>
      </c>
      <c r="O1323">
        <v>0</v>
      </c>
    </row>
    <row r="1324" spans="1:15" x14ac:dyDescent="0.2">
      <c r="A1324" s="1" t="str">
        <f>HYPERLINK("http://www.twitter.com/banuakdenizli/status/1580551038234681345", "1580551038234681345")</f>
        <v>1580551038234681345</v>
      </c>
      <c r="B1324" t="s">
        <v>15</v>
      </c>
      <c r="C1324" s="2">
        <v>44847.561423611107</v>
      </c>
      <c r="D1324">
        <v>0</v>
      </c>
      <c r="E1324">
        <v>9</v>
      </c>
      <c r="F1324" t="s">
        <v>22</v>
      </c>
      <c r="G1324" t="s">
        <v>1403</v>
      </c>
      <c r="H1324" t="str">
        <f>HYPERLINK("https://video.twimg.com/ext_tw_video/1580549982687567875/pu/vid/400x286/YUUkoTfAUvXaM3y2.mp4?tag=12", "https://video.twimg.com/ext_tw_video/1580549982687567875/pu/vid/400x286/YUUkoTfAUvXaM3y2.mp4?tag=12")</f>
        <v>https://video.twimg.com/ext_tw_video/1580549982687567875/pu/vid/400x286/YUUkoTfAUvXaM3y2.mp4?tag=12</v>
      </c>
      <c r="L1324">
        <v>0.45879999999999999</v>
      </c>
      <c r="M1324">
        <v>0</v>
      </c>
      <c r="N1324">
        <v>0.93</v>
      </c>
      <c r="O1324">
        <v>7.0000000000000007E-2</v>
      </c>
    </row>
    <row r="1325" spans="1:15" x14ac:dyDescent="0.2">
      <c r="A1325" s="1" t="str">
        <f>HYPERLINK("http://www.twitter.com/banuakdenizli/status/1580550991099101185", "1580550991099101185")</f>
        <v>1580550991099101185</v>
      </c>
      <c r="B1325" t="s">
        <v>15</v>
      </c>
      <c r="C1325" s="2">
        <v>44847.561296296299</v>
      </c>
      <c r="D1325">
        <v>0</v>
      </c>
      <c r="E1325">
        <v>3</v>
      </c>
      <c r="F1325" t="s">
        <v>29</v>
      </c>
      <c r="G1325" t="s">
        <v>1404</v>
      </c>
      <c r="H1325" t="str">
        <f>HYPERLINK("http://pbs.twimg.com/media/Fe8937sXwAAG3KX.jpg", "http://pbs.twimg.com/media/Fe8937sXwAAG3KX.jpg")</f>
        <v>http://pbs.twimg.com/media/Fe8937sXwAAG3KX.jpg</v>
      </c>
      <c r="L1325">
        <v>0.75060000000000004</v>
      </c>
      <c r="M1325">
        <v>0</v>
      </c>
      <c r="N1325">
        <v>0.81699999999999995</v>
      </c>
      <c r="O1325">
        <v>0.183</v>
      </c>
    </row>
    <row r="1326" spans="1:15" x14ac:dyDescent="0.2">
      <c r="A1326" s="1" t="str">
        <f>HYPERLINK("http://www.twitter.com/banuakdenizli/status/1580550940398321665", "1580550940398321665")</f>
        <v>1580550940398321665</v>
      </c>
      <c r="B1326" t="s">
        <v>15</v>
      </c>
      <c r="C1326" s="2">
        <v>44847.561157407406</v>
      </c>
      <c r="D1326">
        <v>0</v>
      </c>
      <c r="E1326">
        <v>1</v>
      </c>
      <c r="F1326" t="s">
        <v>29</v>
      </c>
      <c r="G1326" t="s">
        <v>1405</v>
      </c>
      <c r="H1326" t="str">
        <f>HYPERLINK("http://pbs.twimg.com/media/Fe4Qc5lWQAAnE6S.jpg", "http://pbs.twimg.com/media/Fe4Qc5lWQAAnE6S.jpg")</f>
        <v>http://pbs.twimg.com/media/Fe4Qc5lWQAAnE6S.jpg</v>
      </c>
      <c r="L1326">
        <v>0.20230000000000001</v>
      </c>
      <c r="M1326">
        <v>0</v>
      </c>
      <c r="N1326">
        <v>0.89900000000000002</v>
      </c>
      <c r="O1326">
        <v>0.10100000000000001</v>
      </c>
    </row>
    <row r="1327" spans="1:15" x14ac:dyDescent="0.2">
      <c r="A1327" s="1" t="str">
        <f>HYPERLINK("http://www.twitter.com/banuakdenizli/status/1580550898731741184", "1580550898731741184")</f>
        <v>1580550898731741184</v>
      </c>
      <c r="B1327" t="s">
        <v>15</v>
      </c>
      <c r="C1327" s="2">
        <v>44847.561041666668</v>
      </c>
      <c r="D1327">
        <v>0</v>
      </c>
      <c r="E1327">
        <v>2</v>
      </c>
      <c r="F1327" t="s">
        <v>29</v>
      </c>
      <c r="G1327" t="s">
        <v>1406</v>
      </c>
      <c r="H1327" t="str">
        <f>HYPERLINK("http://pbs.twimg.com/media/Fe5K4q2X0AI3mP2.jpg", "http://pbs.twimg.com/media/Fe5K4q2X0AI3mP2.jpg")</f>
        <v>http://pbs.twimg.com/media/Fe5K4q2X0AI3mP2.jpg</v>
      </c>
      <c r="I1327" t="str">
        <f>HYPERLINK("http://pbs.twimg.com/media/Fe5K4reXkAEiGMW.jpg", "http://pbs.twimg.com/media/Fe5K4reXkAEiGMW.jpg")</f>
        <v>http://pbs.twimg.com/media/Fe5K4reXkAEiGMW.jpg</v>
      </c>
      <c r="J1327" t="str">
        <f>HYPERLINK("http://pbs.twimg.com/media/Fe5K4sNXgAAZQ8p.jpg", "http://pbs.twimg.com/media/Fe5K4sNXgAAZQ8p.jpg")</f>
        <v>http://pbs.twimg.com/media/Fe5K4sNXgAAZQ8p.jpg</v>
      </c>
      <c r="K1327" t="str">
        <f>HYPERLINK("http://pbs.twimg.com/media/Fe5K4rgWIAAmbel.jpg", "http://pbs.twimg.com/media/Fe5K4rgWIAAmbel.jpg")</f>
        <v>http://pbs.twimg.com/media/Fe5K4rgWIAAmbel.jpg</v>
      </c>
      <c r="L1327">
        <v>0</v>
      </c>
      <c r="M1327">
        <v>0</v>
      </c>
      <c r="N1327">
        <v>1</v>
      </c>
      <c r="O1327">
        <v>0</v>
      </c>
    </row>
    <row r="1328" spans="1:15" x14ac:dyDescent="0.2">
      <c r="A1328" s="1" t="str">
        <f>HYPERLINK("http://www.twitter.com/banuakdenizli/status/1580550860865961984", "1580550860865961984")</f>
        <v>1580550860865961984</v>
      </c>
      <c r="B1328" t="s">
        <v>15</v>
      </c>
      <c r="C1328" s="2">
        <v>44847.560937499999</v>
      </c>
      <c r="D1328">
        <v>0</v>
      </c>
      <c r="E1328">
        <v>6</v>
      </c>
      <c r="F1328" t="s">
        <v>29</v>
      </c>
      <c r="G1328" t="s">
        <v>1407</v>
      </c>
      <c r="H1328" t="str">
        <f>HYPERLINK("http://pbs.twimg.com/media/Fe8CvfmXgAE6jGQ.jpg", "http://pbs.twimg.com/media/Fe8CvfmXgAE6jGQ.jpg")</f>
        <v>http://pbs.twimg.com/media/Fe8CvfmXgAE6jGQ.jpg</v>
      </c>
      <c r="L1328">
        <v>0.51060000000000005</v>
      </c>
      <c r="M1328">
        <v>0</v>
      </c>
      <c r="N1328">
        <v>0.91400000000000003</v>
      </c>
      <c r="O1328">
        <v>8.5999999999999993E-2</v>
      </c>
    </row>
    <row r="1329" spans="1:15" x14ac:dyDescent="0.2">
      <c r="A1329" s="1" t="str">
        <f>HYPERLINK("http://www.twitter.com/banuakdenizli/status/1580550847678754819", "1580550847678754819")</f>
        <v>1580550847678754819</v>
      </c>
      <c r="B1329" t="s">
        <v>15</v>
      </c>
      <c r="C1329" s="2">
        <v>44847.560891203713</v>
      </c>
      <c r="D1329">
        <v>0</v>
      </c>
      <c r="E1329">
        <v>1</v>
      </c>
      <c r="F1329" t="s">
        <v>29</v>
      </c>
      <c r="G1329" t="s">
        <v>1408</v>
      </c>
      <c r="H1329" t="str">
        <f>HYPERLINK("http://pbs.twimg.com/media/Fe7xCpuXoAAqG8q.jpg", "http://pbs.twimg.com/media/Fe7xCpuXoAAqG8q.jpg")</f>
        <v>http://pbs.twimg.com/media/Fe7xCpuXoAAqG8q.jpg</v>
      </c>
      <c r="L1329">
        <v>-0.71840000000000004</v>
      </c>
      <c r="M1329">
        <v>0.32900000000000001</v>
      </c>
      <c r="N1329">
        <v>0.51400000000000001</v>
      </c>
      <c r="O1329">
        <v>0.158</v>
      </c>
    </row>
    <row r="1330" spans="1:15" x14ac:dyDescent="0.2">
      <c r="A1330" s="1" t="str">
        <f>HYPERLINK("http://www.twitter.com/banuakdenizli/status/1580550836010110976", "1580550836010110976")</f>
        <v>1580550836010110976</v>
      </c>
      <c r="B1330" t="s">
        <v>15</v>
      </c>
      <c r="C1330" s="2">
        <v>44847.560868055552</v>
      </c>
      <c r="D1330">
        <v>0</v>
      </c>
      <c r="E1330">
        <v>9</v>
      </c>
      <c r="F1330" t="s">
        <v>29</v>
      </c>
      <c r="G1330" t="s">
        <v>1409</v>
      </c>
      <c r="H1330" t="str">
        <f>HYPERLINK("http://pbs.twimg.com/media/Fe7tnl0WAAQylzV.jpg", "http://pbs.twimg.com/media/Fe7tnl0WAAQylzV.jpg")</f>
        <v>http://pbs.twimg.com/media/Fe7tnl0WAAQylzV.jpg</v>
      </c>
      <c r="I1330" t="str">
        <f>HYPERLINK("http://pbs.twimg.com/media/Fe7tnlzWQAA4sxG.jpg", "http://pbs.twimg.com/media/Fe7tnlzWQAA4sxG.jpg")</f>
        <v>http://pbs.twimg.com/media/Fe7tnlzWQAA4sxG.jpg</v>
      </c>
      <c r="J1330" t="str">
        <f>HYPERLINK("http://pbs.twimg.com/media/Fe7tnl1XgAEcA7A.jpg", "http://pbs.twimg.com/media/Fe7tnl1XgAEcA7A.jpg")</f>
        <v>http://pbs.twimg.com/media/Fe7tnl1XgAEcA7A.jpg</v>
      </c>
      <c r="K1330" t="str">
        <f>HYPERLINK("http://pbs.twimg.com/media/Fe7tnlmXEAIdmHj.jpg", "http://pbs.twimg.com/media/Fe7tnlmXEAIdmHj.jpg")</f>
        <v>http://pbs.twimg.com/media/Fe7tnlmXEAIdmHj.jpg</v>
      </c>
      <c r="L1330">
        <v>0.51060000000000005</v>
      </c>
      <c r="M1330">
        <v>0</v>
      </c>
      <c r="N1330">
        <v>0.91600000000000004</v>
      </c>
      <c r="O1330">
        <v>8.4000000000000005E-2</v>
      </c>
    </row>
    <row r="1331" spans="1:15" x14ac:dyDescent="0.2">
      <c r="A1331" s="1" t="str">
        <f>HYPERLINK("http://www.twitter.com/banuakdenizli/status/1580550803483283467", "1580550803483283467")</f>
        <v>1580550803483283467</v>
      </c>
      <c r="B1331" t="s">
        <v>15</v>
      </c>
      <c r="C1331" s="2">
        <v>44847.56077546296</v>
      </c>
      <c r="D1331">
        <v>0</v>
      </c>
      <c r="E1331">
        <v>3</v>
      </c>
      <c r="F1331" t="s">
        <v>29</v>
      </c>
      <c r="G1331" t="s">
        <v>1410</v>
      </c>
      <c r="H1331" t="str">
        <f>HYPERLINK("http://pbs.twimg.com/media/Fe8na2vWIAEXylu.jpg", "http://pbs.twimg.com/media/Fe8na2vWIAEXylu.jpg")</f>
        <v>http://pbs.twimg.com/media/Fe8na2vWIAEXylu.jpg</v>
      </c>
      <c r="L1331">
        <v>0.51060000000000005</v>
      </c>
      <c r="M1331">
        <v>0</v>
      </c>
      <c r="N1331">
        <v>0.93</v>
      </c>
      <c r="O1331">
        <v>7.0000000000000007E-2</v>
      </c>
    </row>
    <row r="1332" spans="1:15" x14ac:dyDescent="0.2">
      <c r="A1332" s="1" t="str">
        <f>HYPERLINK("http://www.twitter.com/banuakdenizli/status/1580550756524265473", "1580550756524265473")</f>
        <v>1580550756524265473</v>
      </c>
      <c r="B1332" t="s">
        <v>15</v>
      </c>
      <c r="C1332" s="2">
        <v>44847.560648148137</v>
      </c>
      <c r="D1332">
        <v>0</v>
      </c>
      <c r="E1332">
        <v>16</v>
      </c>
      <c r="F1332" t="s">
        <v>29</v>
      </c>
      <c r="G1332" t="s">
        <v>1411</v>
      </c>
      <c r="H1332" t="str">
        <f>HYPERLINK("http://pbs.twimg.com/media/Fe8J3FMXoAE01-K.jpg", "http://pbs.twimg.com/media/Fe8J3FMXoAE01-K.jpg")</f>
        <v>http://pbs.twimg.com/media/Fe8J3FMXoAE01-K.jpg</v>
      </c>
      <c r="L1332">
        <v>0.93820000000000003</v>
      </c>
      <c r="M1332">
        <v>0</v>
      </c>
      <c r="N1332">
        <v>0.70299999999999996</v>
      </c>
      <c r="O1332">
        <v>0.29699999999999999</v>
      </c>
    </row>
    <row r="1333" spans="1:15" x14ac:dyDescent="0.2">
      <c r="A1333" s="1" t="str">
        <f>HYPERLINK("http://www.twitter.com/banuakdenizli/status/1580550739939639296", "1580550739939639296")</f>
        <v>1580550739939639296</v>
      </c>
      <c r="B1333" t="s">
        <v>15</v>
      </c>
      <c r="C1333" s="2">
        <v>44847.560601851852</v>
      </c>
      <c r="D1333">
        <v>0</v>
      </c>
      <c r="E1333">
        <v>80</v>
      </c>
      <c r="F1333" t="s">
        <v>38</v>
      </c>
      <c r="G1333" t="s">
        <v>1412</v>
      </c>
      <c r="H1333" t="str">
        <f>HYPERLINK("http://pbs.twimg.com/media/Fe8EbRlXkAATZiE.jpg", "http://pbs.twimg.com/media/Fe8EbRlXkAATZiE.jpg")</f>
        <v>http://pbs.twimg.com/media/Fe8EbRlXkAATZiE.jpg</v>
      </c>
      <c r="L1333">
        <v>0</v>
      </c>
      <c r="M1333">
        <v>0</v>
      </c>
      <c r="N1333">
        <v>1</v>
      </c>
      <c r="O1333">
        <v>0</v>
      </c>
    </row>
    <row r="1334" spans="1:15" x14ac:dyDescent="0.2">
      <c r="A1334" s="1" t="str">
        <f>HYPERLINK("http://www.twitter.com/banuakdenizli/status/1580550709610975234", "1580550709610975234")</f>
        <v>1580550709610975234</v>
      </c>
      <c r="B1334" t="s">
        <v>15</v>
      </c>
      <c r="C1334" s="2">
        <v>44847.560520833344</v>
      </c>
      <c r="D1334">
        <v>0</v>
      </c>
      <c r="E1334">
        <v>27</v>
      </c>
      <c r="F1334" t="s">
        <v>38</v>
      </c>
      <c r="G1334" t="s">
        <v>1413</v>
      </c>
      <c r="H1334" t="str">
        <f>HYPERLINK("http://pbs.twimg.com/media/Fe8DXAKXoAER5gU.png", "http://pbs.twimg.com/media/Fe8DXAKXoAER5gU.png")</f>
        <v>http://pbs.twimg.com/media/Fe8DXAKXoAER5gU.png</v>
      </c>
      <c r="L1334">
        <v>0</v>
      </c>
      <c r="M1334">
        <v>0</v>
      </c>
      <c r="N1334">
        <v>1</v>
      </c>
      <c r="O1334">
        <v>0</v>
      </c>
    </row>
    <row r="1335" spans="1:15" x14ac:dyDescent="0.2">
      <c r="A1335" s="1" t="str">
        <f>HYPERLINK("http://www.twitter.com/banuakdenizli/status/1580550694171734025", "1580550694171734025")</f>
        <v>1580550694171734025</v>
      </c>
      <c r="B1335" t="s">
        <v>15</v>
      </c>
      <c r="C1335" s="2">
        <v>44847.560474537036</v>
      </c>
      <c r="D1335">
        <v>0</v>
      </c>
      <c r="E1335">
        <v>4</v>
      </c>
      <c r="F1335" t="s">
        <v>29</v>
      </c>
      <c r="G1335" t="s">
        <v>1414</v>
      </c>
      <c r="H1335" t="str">
        <f>HYPERLINK("http://pbs.twimg.com/media/Fe8B8EVWYAAfLjI.jpg", "http://pbs.twimg.com/media/Fe8B8EVWYAAfLjI.jpg")</f>
        <v>http://pbs.twimg.com/media/Fe8B8EVWYAAfLjI.jpg</v>
      </c>
      <c r="L1335">
        <v>0.51060000000000005</v>
      </c>
      <c r="M1335">
        <v>0</v>
      </c>
      <c r="N1335">
        <v>0.91400000000000003</v>
      </c>
      <c r="O1335">
        <v>8.5999999999999993E-2</v>
      </c>
    </row>
    <row r="1336" spans="1:15" x14ac:dyDescent="0.2">
      <c r="A1336" s="1" t="str">
        <f>HYPERLINK("http://www.twitter.com/banuakdenizli/status/1580550651305635840", "1580550651305635840")</f>
        <v>1580550651305635840</v>
      </c>
      <c r="B1336" t="s">
        <v>15</v>
      </c>
      <c r="C1336" s="2">
        <v>44847.560358796298</v>
      </c>
      <c r="D1336">
        <v>0</v>
      </c>
      <c r="E1336">
        <v>1</v>
      </c>
      <c r="F1336" t="s">
        <v>29</v>
      </c>
      <c r="G1336" t="s">
        <v>1415</v>
      </c>
      <c r="H1336" t="str">
        <f>HYPERLINK("http://pbs.twimg.com/media/Fe8gKPPXwAExEk0.jpg", "http://pbs.twimg.com/media/Fe8gKPPXwAExEk0.jpg")</f>
        <v>http://pbs.twimg.com/media/Fe8gKPPXwAExEk0.jpg</v>
      </c>
      <c r="L1336">
        <v>0</v>
      </c>
      <c r="M1336">
        <v>0</v>
      </c>
      <c r="N1336">
        <v>1</v>
      </c>
      <c r="O1336">
        <v>0</v>
      </c>
    </row>
    <row r="1337" spans="1:15" x14ac:dyDescent="0.2">
      <c r="A1337" s="1" t="str">
        <f>HYPERLINK("http://www.twitter.com/banuakdenizli/status/1580550630417973248", "1580550630417973248")</f>
        <v>1580550630417973248</v>
      </c>
      <c r="B1337" t="s">
        <v>15</v>
      </c>
      <c r="C1337" s="2">
        <v>44847.560300925928</v>
      </c>
      <c r="D1337">
        <v>0</v>
      </c>
      <c r="E1337">
        <v>2</v>
      </c>
      <c r="F1337" t="s">
        <v>29</v>
      </c>
      <c r="G1337" t="s">
        <v>1416</v>
      </c>
      <c r="H1337" t="str">
        <f>HYPERLINK("http://pbs.twimg.com/media/Fe8d_W8XoAYnS9p.jpg", "http://pbs.twimg.com/media/Fe8d_W8XoAYnS9p.jpg")</f>
        <v>http://pbs.twimg.com/media/Fe8d_W8XoAYnS9p.jpg</v>
      </c>
      <c r="I1337" t="str">
        <f>HYPERLINK("http://pbs.twimg.com/media/Fe8d_W5X0AEdwpv.jpg", "http://pbs.twimg.com/media/Fe8d_W5X0AEdwpv.jpg")</f>
        <v>http://pbs.twimg.com/media/Fe8d_W5X0AEdwpv.jpg</v>
      </c>
      <c r="L1337">
        <v>0</v>
      </c>
      <c r="M1337">
        <v>0</v>
      </c>
      <c r="N1337">
        <v>1</v>
      </c>
      <c r="O1337">
        <v>0</v>
      </c>
    </row>
    <row r="1338" spans="1:15" x14ac:dyDescent="0.2">
      <c r="A1338" s="1" t="str">
        <f>HYPERLINK("http://www.twitter.com/banuakdenizli/status/1580550609819664386", "1580550609819664386")</f>
        <v>1580550609819664386</v>
      </c>
      <c r="B1338" t="s">
        <v>15</v>
      </c>
      <c r="C1338" s="2">
        <v>44847.560243055559</v>
      </c>
      <c r="D1338">
        <v>0</v>
      </c>
      <c r="E1338">
        <v>4</v>
      </c>
      <c r="F1338" t="s">
        <v>29</v>
      </c>
      <c r="G1338" t="s">
        <v>1417</v>
      </c>
      <c r="H1338" t="str">
        <f>HYPERLINK("http://pbs.twimg.com/media/Fe84nupXgAETJ1K.jpg", "http://pbs.twimg.com/media/Fe84nupXgAETJ1K.jpg")</f>
        <v>http://pbs.twimg.com/media/Fe84nupXgAETJ1K.jpg</v>
      </c>
      <c r="L1338">
        <v>0.76500000000000001</v>
      </c>
      <c r="M1338">
        <v>0</v>
      </c>
      <c r="N1338">
        <v>0.80300000000000005</v>
      </c>
      <c r="O1338">
        <v>0.19700000000000001</v>
      </c>
    </row>
    <row r="1339" spans="1:15" x14ac:dyDescent="0.2">
      <c r="A1339" s="1" t="str">
        <f>HYPERLINK("http://www.twitter.com/banuakdenizli/status/1580550580745142274", "1580550580745142274")</f>
        <v>1580550580745142274</v>
      </c>
      <c r="B1339" t="s">
        <v>15</v>
      </c>
      <c r="C1339" s="2">
        <v>44847.560162037043</v>
      </c>
      <c r="D1339">
        <v>0</v>
      </c>
      <c r="E1339">
        <v>5</v>
      </c>
      <c r="F1339" t="s">
        <v>29</v>
      </c>
      <c r="G1339" t="s">
        <v>1418</v>
      </c>
      <c r="H1339" t="str">
        <f>HYPERLINK("http://pbs.twimg.com/media/Fe8tdvjWYAEi-4C.jpg", "http://pbs.twimg.com/media/Fe8tdvjWYAEi-4C.jpg")</f>
        <v>http://pbs.twimg.com/media/Fe8tdvjWYAEi-4C.jpg</v>
      </c>
      <c r="L1339">
        <v>0.68079999999999996</v>
      </c>
      <c r="M1339">
        <v>0</v>
      </c>
      <c r="N1339">
        <v>0.68200000000000005</v>
      </c>
      <c r="O1339">
        <v>0.318</v>
      </c>
    </row>
    <row r="1340" spans="1:15" x14ac:dyDescent="0.2">
      <c r="A1340" s="1" t="str">
        <f>HYPERLINK("http://www.twitter.com/banuakdenizli/status/1580550510515392513", "1580550510515392513")</f>
        <v>1580550510515392513</v>
      </c>
      <c r="B1340" t="s">
        <v>15</v>
      </c>
      <c r="C1340" s="2">
        <v>44847.559965277767</v>
      </c>
      <c r="D1340">
        <v>0</v>
      </c>
      <c r="E1340">
        <v>2</v>
      </c>
      <c r="F1340" t="s">
        <v>29</v>
      </c>
      <c r="G1340" t="s">
        <v>1419</v>
      </c>
      <c r="H1340" t="str">
        <f>HYPERLINK("http://pbs.twimg.com/media/Fe8yHROX0AMrtuZ.jpg", "http://pbs.twimg.com/media/Fe8yHROX0AMrtuZ.jpg")</f>
        <v>http://pbs.twimg.com/media/Fe8yHROX0AMrtuZ.jpg</v>
      </c>
      <c r="I1340" t="str">
        <f>HYPERLINK("http://pbs.twimg.com/media/Fe8yHRpXoAAokvA.jpg", "http://pbs.twimg.com/media/Fe8yHRpXoAAokvA.jpg")</f>
        <v>http://pbs.twimg.com/media/Fe8yHRpXoAAokvA.jpg</v>
      </c>
      <c r="L1340">
        <v>0.77170000000000005</v>
      </c>
      <c r="M1340">
        <v>0</v>
      </c>
      <c r="N1340">
        <v>0.81499999999999995</v>
      </c>
      <c r="O1340">
        <v>0.185</v>
      </c>
    </row>
    <row r="1341" spans="1:15" x14ac:dyDescent="0.2">
      <c r="A1341" s="1" t="str">
        <f>HYPERLINK("http://www.twitter.com/banuakdenizli/status/1580550388637323266", "1580550388637323266")</f>
        <v>1580550388637323266</v>
      </c>
      <c r="B1341" t="s">
        <v>15</v>
      </c>
      <c r="C1341" s="2">
        <v>44847.559629629628</v>
      </c>
      <c r="D1341">
        <v>0</v>
      </c>
      <c r="E1341">
        <v>404</v>
      </c>
      <c r="F1341" t="s">
        <v>27</v>
      </c>
      <c r="G1341" t="s">
        <v>1420</v>
      </c>
      <c r="H1341" t="str">
        <f>HYPERLINK("http://pbs.twimg.com/media/Fe8e8nFWAAA-K7z.jpg", "http://pbs.twimg.com/media/Fe8e8nFWAAA-K7z.jpg")</f>
        <v>http://pbs.twimg.com/media/Fe8e8nFWAAA-K7z.jpg</v>
      </c>
      <c r="I1341" t="str">
        <f>HYPERLINK("http://pbs.twimg.com/media/Fe8e8nHX0AI3Yom.jpg", "http://pbs.twimg.com/media/Fe8e8nHX0AI3Yom.jpg")</f>
        <v>http://pbs.twimg.com/media/Fe8e8nHX0AI3Yom.jpg</v>
      </c>
      <c r="L1341">
        <v>0</v>
      </c>
      <c r="M1341">
        <v>0</v>
      </c>
      <c r="N1341">
        <v>1</v>
      </c>
      <c r="O1341">
        <v>0</v>
      </c>
    </row>
    <row r="1342" spans="1:15" x14ac:dyDescent="0.2">
      <c r="A1342" s="1" t="str">
        <f>HYPERLINK("http://www.twitter.com/banuakdenizli/status/1580550297935831040", "1580550297935831040")</f>
        <v>1580550297935831040</v>
      </c>
      <c r="B1342" t="s">
        <v>15</v>
      </c>
      <c r="C1342" s="2">
        <v>44847.559374999997</v>
      </c>
      <c r="D1342">
        <v>0</v>
      </c>
      <c r="E1342">
        <v>2</v>
      </c>
      <c r="F1342" t="s">
        <v>726</v>
      </c>
      <c r="G1342" t="s">
        <v>1421</v>
      </c>
      <c r="H1342" t="str">
        <f>HYPERLINK("http://pbs.twimg.com/media/Fe8wSZNXgAEWFTY.jpg", "http://pbs.twimg.com/media/Fe8wSZNXgAEWFTY.jpg")</f>
        <v>http://pbs.twimg.com/media/Fe8wSZNXgAEWFTY.jpg</v>
      </c>
      <c r="I1342" t="str">
        <f>HYPERLINK("http://pbs.twimg.com/media/Fe8wSZDXoAIBEAe.jpg", "http://pbs.twimg.com/media/Fe8wSZDXoAIBEAe.jpg")</f>
        <v>http://pbs.twimg.com/media/Fe8wSZDXoAIBEAe.jpg</v>
      </c>
      <c r="L1342">
        <v>0</v>
      </c>
      <c r="M1342">
        <v>0</v>
      </c>
      <c r="N1342">
        <v>1</v>
      </c>
      <c r="O1342">
        <v>0</v>
      </c>
    </row>
    <row r="1343" spans="1:15" x14ac:dyDescent="0.2">
      <c r="A1343" s="1" t="str">
        <f>HYPERLINK("http://www.twitter.com/banuakdenizli/status/1580550282941202435", "1580550282941202435")</f>
        <v>1580550282941202435</v>
      </c>
      <c r="B1343" t="s">
        <v>15</v>
      </c>
      <c r="C1343" s="2">
        <v>44847.559340277781</v>
      </c>
      <c r="D1343">
        <v>0</v>
      </c>
      <c r="E1343">
        <v>62</v>
      </c>
      <c r="F1343" t="s">
        <v>28</v>
      </c>
      <c r="G1343" t="s">
        <v>1422</v>
      </c>
      <c r="H1343" t="str">
        <f>HYPERLINK("http://pbs.twimg.com/media/Fe8TVX3XEAA9VYR.jpg", "http://pbs.twimg.com/media/Fe8TVX3XEAA9VYR.jpg")</f>
        <v>http://pbs.twimg.com/media/Fe8TVX3XEAA9VYR.jpg</v>
      </c>
      <c r="I1343" t="str">
        <f>HYPERLINK("http://pbs.twimg.com/media/Fe8TVX1WQAcbRt-.jpg", "http://pbs.twimg.com/media/Fe8TVX1WQAcbRt-.jpg")</f>
        <v>http://pbs.twimg.com/media/Fe8TVX1WQAcbRt-.jpg</v>
      </c>
      <c r="L1343">
        <v>0</v>
      </c>
      <c r="M1343">
        <v>0</v>
      </c>
      <c r="N1343">
        <v>1</v>
      </c>
      <c r="O1343">
        <v>0</v>
      </c>
    </row>
    <row r="1344" spans="1:15" x14ac:dyDescent="0.2">
      <c r="A1344" s="1" t="str">
        <f>HYPERLINK("http://www.twitter.com/banuakdenizli/status/1580550254151467008", "1580550254151467008")</f>
        <v>1580550254151467008</v>
      </c>
      <c r="B1344" t="s">
        <v>15</v>
      </c>
      <c r="C1344" s="2">
        <v>44847.559259259258</v>
      </c>
      <c r="D1344">
        <v>0</v>
      </c>
      <c r="E1344">
        <v>3</v>
      </c>
      <c r="F1344" t="s">
        <v>29</v>
      </c>
      <c r="G1344" t="s">
        <v>1423</v>
      </c>
      <c r="H1344" t="str">
        <f>HYPERLINK("http://pbs.twimg.com/media/Fe8mTEdWIAE8bW9.jpg", "http://pbs.twimg.com/media/Fe8mTEdWIAE8bW9.jpg")</f>
        <v>http://pbs.twimg.com/media/Fe8mTEdWIAE8bW9.jpg</v>
      </c>
      <c r="I1344" t="str">
        <f>HYPERLINK("http://pbs.twimg.com/media/Fe8mTE-XoAQ3pTJ.jpg", "http://pbs.twimg.com/media/Fe8mTE-XoAQ3pTJ.jpg")</f>
        <v>http://pbs.twimg.com/media/Fe8mTE-XoAQ3pTJ.jpg</v>
      </c>
      <c r="L1344">
        <v>0.51060000000000005</v>
      </c>
      <c r="M1344">
        <v>0</v>
      </c>
      <c r="N1344">
        <v>0.92200000000000004</v>
      </c>
      <c r="O1344">
        <v>7.8E-2</v>
      </c>
    </row>
    <row r="1345" spans="1:15" x14ac:dyDescent="0.2">
      <c r="A1345" s="1" t="str">
        <f>HYPERLINK("http://www.twitter.com/banuakdenizli/status/1580550239743639553", "1580550239743639553")</f>
        <v>1580550239743639553</v>
      </c>
      <c r="B1345" t="s">
        <v>15</v>
      </c>
      <c r="C1345" s="2">
        <v>44847.559224537043</v>
      </c>
      <c r="D1345">
        <v>0</v>
      </c>
      <c r="E1345">
        <v>11</v>
      </c>
      <c r="F1345" t="s">
        <v>28</v>
      </c>
      <c r="G1345" t="s">
        <v>1424</v>
      </c>
      <c r="L1345">
        <v>0</v>
      </c>
      <c r="M1345">
        <v>0</v>
      </c>
      <c r="N1345">
        <v>1</v>
      </c>
      <c r="O1345">
        <v>0</v>
      </c>
    </row>
    <row r="1346" spans="1:15" x14ac:dyDescent="0.2">
      <c r="A1346" s="1" t="str">
        <f>HYPERLINK("http://www.twitter.com/banuakdenizli/status/1580550194881789952", "1580550194881789952")</f>
        <v>1580550194881789952</v>
      </c>
      <c r="B1346" t="s">
        <v>15</v>
      </c>
      <c r="C1346" s="2">
        <v>44847.55909722222</v>
      </c>
      <c r="D1346">
        <v>0</v>
      </c>
      <c r="E1346">
        <v>38</v>
      </c>
      <c r="F1346" t="s">
        <v>28</v>
      </c>
      <c r="G1346" t="s">
        <v>1425</v>
      </c>
      <c r="H1346" t="str">
        <f>HYPERLINK("http://pbs.twimg.com/media/Fe72GXMXgAACYwV.jpg", "http://pbs.twimg.com/media/Fe72GXMXgAACYwV.jpg")</f>
        <v>http://pbs.twimg.com/media/Fe72GXMXgAACYwV.jpg</v>
      </c>
      <c r="L1346">
        <v>0</v>
      </c>
      <c r="M1346">
        <v>0</v>
      </c>
      <c r="N1346">
        <v>1</v>
      </c>
      <c r="O1346">
        <v>0</v>
      </c>
    </row>
    <row r="1347" spans="1:15" x14ac:dyDescent="0.2">
      <c r="A1347" s="1" t="str">
        <f>HYPERLINK("http://www.twitter.com/banuakdenizli/status/1580550179136057345", "1580550179136057345")</f>
        <v>1580550179136057345</v>
      </c>
      <c r="B1347" t="s">
        <v>15</v>
      </c>
      <c r="C1347" s="2">
        <v>44847.559050925927</v>
      </c>
      <c r="D1347">
        <v>0</v>
      </c>
      <c r="E1347">
        <v>74</v>
      </c>
      <c r="F1347" t="s">
        <v>29</v>
      </c>
      <c r="G1347" t="s">
        <v>1426</v>
      </c>
      <c r="H1347" t="str">
        <f>HYPERLINK("http://pbs.twimg.com/media/Fe8H7eNX0AEPL-k.jpg", "http://pbs.twimg.com/media/Fe8H7eNX0AEPL-k.jpg")</f>
        <v>http://pbs.twimg.com/media/Fe8H7eNX0AEPL-k.jpg</v>
      </c>
      <c r="L1347">
        <v>0.85189999999999999</v>
      </c>
      <c r="M1347">
        <v>0</v>
      </c>
      <c r="N1347">
        <v>0.73699999999999999</v>
      </c>
      <c r="O1347">
        <v>0.26300000000000001</v>
      </c>
    </row>
    <row r="1348" spans="1:15" x14ac:dyDescent="0.2">
      <c r="A1348" s="1" t="str">
        <f>HYPERLINK("http://www.twitter.com/banuakdenizli/status/1580550154314461184", "1580550154314461184")</f>
        <v>1580550154314461184</v>
      </c>
      <c r="B1348" t="s">
        <v>15</v>
      </c>
      <c r="C1348" s="2">
        <v>44847.558981481481</v>
      </c>
      <c r="D1348">
        <v>0</v>
      </c>
      <c r="E1348">
        <v>86</v>
      </c>
      <c r="F1348" t="s">
        <v>28</v>
      </c>
      <c r="G1348" t="s">
        <v>1427</v>
      </c>
      <c r="H1348" t="str">
        <f>HYPERLINK("http://pbs.twimg.com/media/Fe7o3sJXgAAz2k0.jpg", "http://pbs.twimg.com/media/Fe7o3sJXgAAz2k0.jpg")</f>
        <v>http://pbs.twimg.com/media/Fe7o3sJXgAAz2k0.jpg</v>
      </c>
      <c r="I1348" t="str">
        <f>HYPERLINK("http://pbs.twimg.com/media/Fe7o3sAX0AArOmM.jpg", "http://pbs.twimg.com/media/Fe7o3sAX0AArOmM.jpg")</f>
        <v>http://pbs.twimg.com/media/Fe7o3sAX0AArOmM.jpg</v>
      </c>
      <c r="J1348" t="str">
        <f>HYPERLINK("http://pbs.twimg.com/media/Fe7o3sCWIAEXrAw.jpg", "http://pbs.twimg.com/media/Fe7o3sCWIAEXrAw.jpg")</f>
        <v>http://pbs.twimg.com/media/Fe7o3sCWIAEXrAw.jpg</v>
      </c>
      <c r="K1348" t="str">
        <f>HYPERLINK("http://pbs.twimg.com/media/Fe7o3sEWIAEjEbu.jpg", "http://pbs.twimg.com/media/Fe7o3sEWIAEjEbu.jpg")</f>
        <v>http://pbs.twimg.com/media/Fe7o3sEWIAEjEbu.jpg</v>
      </c>
      <c r="L1348">
        <v>0</v>
      </c>
      <c r="M1348">
        <v>0</v>
      </c>
      <c r="N1348">
        <v>1</v>
      </c>
      <c r="O1348">
        <v>0</v>
      </c>
    </row>
    <row r="1349" spans="1:15" x14ac:dyDescent="0.2">
      <c r="A1349" s="1" t="str">
        <f>HYPERLINK("http://www.twitter.com/banuakdenizli/status/1580550111452889088", "1580550111452889088")</f>
        <v>1580550111452889088</v>
      </c>
      <c r="B1349" t="s">
        <v>15</v>
      </c>
      <c r="C1349" s="2">
        <v>44847.558865740742</v>
      </c>
      <c r="D1349">
        <v>0</v>
      </c>
      <c r="E1349">
        <v>9</v>
      </c>
      <c r="F1349" t="s">
        <v>17</v>
      </c>
      <c r="G1349" t="s">
        <v>1428</v>
      </c>
      <c r="H1349" t="str">
        <f>HYPERLINK("http://pbs.twimg.com/media/Fe7t6E4XkAAPTT2.jpg", "http://pbs.twimg.com/media/Fe7t6E4XkAAPTT2.jpg")</f>
        <v>http://pbs.twimg.com/media/Fe7t6E4XkAAPTT2.jpg</v>
      </c>
      <c r="L1349">
        <v>-0.71840000000000004</v>
      </c>
      <c r="M1349">
        <v>0.308</v>
      </c>
      <c r="N1349">
        <v>0.54500000000000004</v>
      </c>
      <c r="O1349">
        <v>0.14699999999999999</v>
      </c>
    </row>
    <row r="1350" spans="1:15" x14ac:dyDescent="0.2">
      <c r="A1350" s="1" t="str">
        <f>HYPERLINK("http://www.twitter.com/banuakdenizli/status/1580550090879807494", "1580550090879807494")</f>
        <v>1580550090879807494</v>
      </c>
      <c r="B1350" t="s">
        <v>15</v>
      </c>
      <c r="C1350" s="2">
        <v>44847.558807870373</v>
      </c>
      <c r="D1350">
        <v>0</v>
      </c>
      <c r="E1350">
        <v>44</v>
      </c>
      <c r="F1350" t="s">
        <v>28</v>
      </c>
      <c r="G1350" t="s">
        <v>1429</v>
      </c>
      <c r="L1350">
        <v>0</v>
      </c>
      <c r="M1350">
        <v>0</v>
      </c>
      <c r="N1350">
        <v>1</v>
      </c>
      <c r="O1350">
        <v>0</v>
      </c>
    </row>
    <row r="1351" spans="1:15" x14ac:dyDescent="0.2">
      <c r="A1351" s="1" t="str">
        <f>HYPERLINK("http://www.twitter.com/banuakdenizli/status/1580550055563788288", "1580550055563788288")</f>
        <v>1580550055563788288</v>
      </c>
      <c r="B1351" t="s">
        <v>15</v>
      </c>
      <c r="C1351" s="2">
        <v>44847.558715277781</v>
      </c>
      <c r="D1351">
        <v>0</v>
      </c>
      <c r="E1351">
        <v>4</v>
      </c>
      <c r="F1351" t="s">
        <v>30</v>
      </c>
      <c r="G1351" t="s">
        <v>1430</v>
      </c>
      <c r="H1351" t="str">
        <f>HYPERLINK("http://pbs.twimg.com/media/Fe8kGSSX0AIDVEL.jpg", "http://pbs.twimg.com/media/Fe8kGSSX0AIDVEL.jpg")</f>
        <v>http://pbs.twimg.com/media/Fe8kGSSX0AIDVEL.jpg</v>
      </c>
      <c r="L1351">
        <v>0</v>
      </c>
      <c r="M1351">
        <v>0</v>
      </c>
      <c r="N1351">
        <v>1</v>
      </c>
      <c r="O1351">
        <v>0</v>
      </c>
    </row>
    <row r="1352" spans="1:15" x14ac:dyDescent="0.2">
      <c r="A1352" s="1" t="str">
        <f>HYPERLINK("http://www.twitter.com/banuakdenizli/status/1580550008163532801", "1580550008163532801")</f>
        <v>1580550008163532801</v>
      </c>
      <c r="B1352" t="s">
        <v>15</v>
      </c>
      <c r="C1352" s="2">
        <v>44847.558576388888</v>
      </c>
      <c r="D1352">
        <v>0</v>
      </c>
      <c r="E1352">
        <v>9</v>
      </c>
      <c r="F1352" t="s">
        <v>16</v>
      </c>
      <c r="G1352" t="s">
        <v>1431</v>
      </c>
      <c r="H1352" t="str">
        <f>HYPERLINK("http://pbs.twimg.com/media/Fe7TfthWAAAnImX.jpg", "http://pbs.twimg.com/media/Fe7TfthWAAAnImX.jpg")</f>
        <v>http://pbs.twimg.com/media/Fe7TfthWAAAnImX.jpg</v>
      </c>
      <c r="L1352">
        <v>0</v>
      </c>
      <c r="M1352">
        <v>0</v>
      </c>
      <c r="N1352">
        <v>1</v>
      </c>
      <c r="O1352">
        <v>0</v>
      </c>
    </row>
    <row r="1353" spans="1:15" x14ac:dyDescent="0.2">
      <c r="A1353" s="1" t="str">
        <f>HYPERLINK("http://www.twitter.com/banuakdenizli/status/1580549959258378240", "1580549959258378240")</f>
        <v>1580549959258378240</v>
      </c>
      <c r="B1353" t="s">
        <v>15</v>
      </c>
      <c r="C1353" s="2">
        <v>44847.558449074073</v>
      </c>
      <c r="D1353">
        <v>0</v>
      </c>
      <c r="E1353">
        <v>6</v>
      </c>
      <c r="F1353" t="s">
        <v>17</v>
      </c>
      <c r="G1353" t="s">
        <v>1432</v>
      </c>
      <c r="H1353" t="str">
        <f>HYPERLINK("http://pbs.twimg.com/media/Fe8X94VWAAEAy7c.jpg", "http://pbs.twimg.com/media/Fe8X94VWAAEAy7c.jpg")</f>
        <v>http://pbs.twimg.com/media/Fe8X94VWAAEAy7c.jpg</v>
      </c>
      <c r="I1353" t="str">
        <f>HYPERLINK("http://pbs.twimg.com/media/Fe8X94aXkAAgQ2o.jpg", "http://pbs.twimg.com/media/Fe8X94aXkAAgQ2o.jpg")</f>
        <v>http://pbs.twimg.com/media/Fe8X94aXkAAgQ2o.jpg</v>
      </c>
      <c r="L1353">
        <v>0</v>
      </c>
      <c r="M1353">
        <v>0</v>
      </c>
      <c r="N1353">
        <v>1</v>
      </c>
      <c r="O1353">
        <v>0</v>
      </c>
    </row>
    <row r="1354" spans="1:15" x14ac:dyDescent="0.2">
      <c r="A1354" s="1" t="str">
        <f>HYPERLINK("http://www.twitter.com/banuakdenizli/status/1580549932226056192", "1580549932226056192")</f>
        <v>1580549932226056192</v>
      </c>
      <c r="B1354" t="s">
        <v>15</v>
      </c>
      <c r="C1354" s="2">
        <v>44847.558368055557</v>
      </c>
      <c r="D1354">
        <v>0</v>
      </c>
      <c r="E1354">
        <v>64</v>
      </c>
      <c r="F1354" t="s">
        <v>28</v>
      </c>
      <c r="G1354" t="s">
        <v>1433</v>
      </c>
      <c r="H1354" t="str">
        <f>HYPERLINK("http://pbs.twimg.com/media/Fe7yYMJWYAAiXN2.jpg", "http://pbs.twimg.com/media/Fe7yYMJWYAAiXN2.jpg")</f>
        <v>http://pbs.twimg.com/media/Fe7yYMJWYAAiXN2.jpg</v>
      </c>
      <c r="L1354">
        <v>0</v>
      </c>
      <c r="M1354">
        <v>0</v>
      </c>
      <c r="N1354">
        <v>1</v>
      </c>
      <c r="O1354">
        <v>0</v>
      </c>
    </row>
    <row r="1355" spans="1:15" x14ac:dyDescent="0.2">
      <c r="A1355" s="1" t="str">
        <f>HYPERLINK("http://www.twitter.com/banuakdenizli/status/1580549911304491009", "1580549911304491009")</f>
        <v>1580549911304491009</v>
      </c>
      <c r="B1355" t="s">
        <v>15</v>
      </c>
      <c r="C1355" s="2">
        <v>44847.558310185188</v>
      </c>
      <c r="D1355">
        <v>0</v>
      </c>
      <c r="E1355">
        <v>9</v>
      </c>
      <c r="F1355" t="s">
        <v>16</v>
      </c>
      <c r="G1355" t="s">
        <v>1434</v>
      </c>
      <c r="H1355" t="str">
        <f>HYPERLINK("http://pbs.twimg.com/media/Fe8H3L7WAAMre07.jpg", "http://pbs.twimg.com/media/Fe8H3L7WAAMre07.jpg")</f>
        <v>http://pbs.twimg.com/media/Fe8H3L7WAAMre07.jpg</v>
      </c>
      <c r="I1355" t="str">
        <f>HYPERLINK("http://pbs.twimg.com/media/Fe8IK9OXEAIZMkv.jpg", "http://pbs.twimg.com/media/Fe8IK9OXEAIZMkv.jpg")</f>
        <v>http://pbs.twimg.com/media/Fe8IK9OXEAIZMkv.jpg</v>
      </c>
      <c r="L1355">
        <v>0</v>
      </c>
      <c r="M1355">
        <v>0</v>
      </c>
      <c r="N1355">
        <v>1</v>
      </c>
      <c r="O1355">
        <v>0</v>
      </c>
    </row>
    <row r="1356" spans="1:15" x14ac:dyDescent="0.2">
      <c r="A1356" s="1" t="str">
        <f>HYPERLINK("http://www.twitter.com/banuakdenizli/status/1580549876521181184", "1580549876521181184")</f>
        <v>1580549876521181184</v>
      </c>
      <c r="B1356" t="s">
        <v>15</v>
      </c>
      <c r="C1356" s="2">
        <v>44847.558217592603</v>
      </c>
      <c r="D1356">
        <v>0</v>
      </c>
      <c r="E1356">
        <v>3</v>
      </c>
      <c r="F1356" t="s">
        <v>21</v>
      </c>
      <c r="G1356" t="s">
        <v>1435</v>
      </c>
      <c r="H1356" t="str">
        <f>HYPERLINK("http://pbs.twimg.com/media/Fe82fonXwAIUCeT.jpg", "http://pbs.twimg.com/media/Fe82fonXwAIUCeT.jpg")</f>
        <v>http://pbs.twimg.com/media/Fe82fonXwAIUCeT.jpg</v>
      </c>
      <c r="L1356">
        <v>0</v>
      </c>
      <c r="M1356">
        <v>0</v>
      </c>
      <c r="N1356">
        <v>1</v>
      </c>
      <c r="O1356">
        <v>0</v>
      </c>
    </row>
    <row r="1357" spans="1:15" x14ac:dyDescent="0.2">
      <c r="A1357" s="1" t="str">
        <f>HYPERLINK("http://www.twitter.com/banuakdenizli/status/1580549848088031232", "1580549848088031232")</f>
        <v>1580549848088031232</v>
      </c>
      <c r="B1357" t="s">
        <v>15</v>
      </c>
      <c r="C1357" s="2">
        <v>44847.558136574073</v>
      </c>
      <c r="D1357">
        <v>0</v>
      </c>
      <c r="E1357">
        <v>8</v>
      </c>
      <c r="F1357" t="s">
        <v>17</v>
      </c>
      <c r="G1357" t="s">
        <v>1436</v>
      </c>
      <c r="H1357" t="str">
        <f>HYPERLINK("http://pbs.twimg.com/media/Fe8wAUuWIAE3Miu.jpg", "http://pbs.twimg.com/media/Fe8wAUuWIAE3Miu.jpg")</f>
        <v>http://pbs.twimg.com/media/Fe8wAUuWIAE3Miu.jpg</v>
      </c>
      <c r="I1357" t="str">
        <f>HYPERLINK("http://pbs.twimg.com/media/Fe8wAUrXkAIAcAq.jpg", "http://pbs.twimg.com/media/Fe8wAUrXkAIAcAq.jpg")</f>
        <v>http://pbs.twimg.com/media/Fe8wAUrXkAIAcAq.jpg</v>
      </c>
      <c r="L1357">
        <v>0</v>
      </c>
      <c r="M1357">
        <v>0</v>
      </c>
      <c r="N1357">
        <v>1</v>
      </c>
      <c r="O1357">
        <v>0</v>
      </c>
    </row>
    <row r="1358" spans="1:15" x14ac:dyDescent="0.2">
      <c r="A1358" s="1" t="str">
        <f>HYPERLINK("http://www.twitter.com/banuakdenizli/status/1580549833932226561", "1580549833932226561")</f>
        <v>1580549833932226561</v>
      </c>
      <c r="B1358" t="s">
        <v>15</v>
      </c>
      <c r="C1358" s="2">
        <v>44847.55810185185</v>
      </c>
      <c r="D1358">
        <v>0</v>
      </c>
      <c r="E1358">
        <v>5</v>
      </c>
      <c r="F1358" t="s">
        <v>16</v>
      </c>
      <c r="G1358" t="s">
        <v>1437</v>
      </c>
      <c r="H1358" t="str">
        <f>HYPERLINK("http://pbs.twimg.com/media/Fe8gKgVXoAIjfHB.jpg", "http://pbs.twimg.com/media/Fe8gKgVXoAIjfHB.jpg")</f>
        <v>http://pbs.twimg.com/media/Fe8gKgVXoAIjfHB.jpg</v>
      </c>
      <c r="I1358" t="str">
        <f>HYPERLINK("http://pbs.twimg.com/media/Fe8gKgVXkAEiBaU.jpg", "http://pbs.twimg.com/media/Fe8gKgVXkAEiBaU.jpg")</f>
        <v>http://pbs.twimg.com/media/Fe8gKgVXkAEiBaU.jpg</v>
      </c>
      <c r="L1358">
        <v>0</v>
      </c>
      <c r="M1358">
        <v>0</v>
      </c>
      <c r="N1358">
        <v>1</v>
      </c>
      <c r="O1358">
        <v>0</v>
      </c>
    </row>
    <row r="1359" spans="1:15" x14ac:dyDescent="0.2">
      <c r="A1359" s="1" t="str">
        <f>HYPERLINK("http://www.twitter.com/banuakdenizli/status/1580549748502671362", "1580549748502671362")</f>
        <v>1580549748502671362</v>
      </c>
      <c r="B1359" t="s">
        <v>15</v>
      </c>
      <c r="C1359" s="2">
        <v>44847.557858796303</v>
      </c>
      <c r="D1359">
        <v>0</v>
      </c>
      <c r="E1359">
        <v>1</v>
      </c>
      <c r="F1359" t="s">
        <v>29</v>
      </c>
      <c r="G1359" t="s">
        <v>1438</v>
      </c>
      <c r="H1359" t="str">
        <f>HYPERLINK("http://pbs.twimg.com/media/Fe4ycJNWABIqlNP.jpg", "http://pbs.twimg.com/media/Fe4ycJNWABIqlNP.jpg")</f>
        <v>http://pbs.twimg.com/media/Fe4ycJNWABIqlNP.jpg</v>
      </c>
      <c r="L1359">
        <v>0</v>
      </c>
      <c r="M1359">
        <v>0</v>
      </c>
      <c r="N1359">
        <v>1</v>
      </c>
      <c r="O1359">
        <v>0</v>
      </c>
    </row>
    <row r="1360" spans="1:15" x14ac:dyDescent="0.2">
      <c r="A1360" s="1" t="str">
        <f>HYPERLINK("http://www.twitter.com/banuakdenizli/status/1580549644056072202", "1580549644056072202")</f>
        <v>1580549644056072202</v>
      </c>
      <c r="B1360" t="s">
        <v>15</v>
      </c>
      <c r="C1360" s="2">
        <v>44847.557569444441</v>
      </c>
      <c r="D1360">
        <v>0</v>
      </c>
      <c r="E1360">
        <v>1</v>
      </c>
      <c r="F1360" t="s">
        <v>29</v>
      </c>
      <c r="G1360" t="s">
        <v>1439</v>
      </c>
      <c r="H1360" t="str">
        <f>HYPERLINK("http://pbs.twimg.com/media/Fe5ks5YX0AU33Gt.jpg", "http://pbs.twimg.com/media/Fe5ks5YX0AU33Gt.jpg")</f>
        <v>http://pbs.twimg.com/media/Fe5ks5YX0AU33Gt.jpg</v>
      </c>
      <c r="I1360" t="str">
        <f>HYPERLINK("http://pbs.twimg.com/media/Fe5ks5wXEAEbjyG.jpg", "http://pbs.twimg.com/media/Fe5ks5wXEAEbjyG.jpg")</f>
        <v>http://pbs.twimg.com/media/Fe5ks5wXEAEbjyG.jpg</v>
      </c>
      <c r="J1360" t="str">
        <f>HYPERLINK("http://pbs.twimg.com/media/Fe5ks80WYAM8y5o.jpg", "http://pbs.twimg.com/media/Fe5ks80WYAM8y5o.jpg")</f>
        <v>http://pbs.twimg.com/media/Fe5ks80WYAM8y5o.jpg</v>
      </c>
      <c r="K1360" t="str">
        <f>HYPERLINK("http://pbs.twimg.com/media/Fe5ks52WYAMpD8S.jpg", "http://pbs.twimg.com/media/Fe5ks52WYAMpD8S.jpg")</f>
        <v>http://pbs.twimg.com/media/Fe5ks52WYAMpD8S.jpg</v>
      </c>
      <c r="L1360">
        <v>0</v>
      </c>
      <c r="M1360">
        <v>0</v>
      </c>
      <c r="N1360">
        <v>1</v>
      </c>
      <c r="O1360">
        <v>0</v>
      </c>
    </row>
    <row r="1361" spans="1:15" x14ac:dyDescent="0.2">
      <c r="A1361" s="1" t="str">
        <f>HYPERLINK("http://www.twitter.com/banuakdenizli/status/1580549353206206464", "1580549353206206464")</f>
        <v>1580549353206206464</v>
      </c>
      <c r="B1361" t="s">
        <v>15</v>
      </c>
      <c r="C1361" s="2">
        <v>44847.556770833333</v>
      </c>
      <c r="D1361">
        <v>0</v>
      </c>
      <c r="E1361">
        <v>1</v>
      </c>
      <c r="F1361" t="s">
        <v>29</v>
      </c>
      <c r="G1361" t="s">
        <v>1440</v>
      </c>
      <c r="H1361" t="str">
        <f>HYPERLINK("http://pbs.twimg.com/media/Fe4LRBvXkAcmDq5.jpg", "http://pbs.twimg.com/media/Fe4LRBvXkAcmDq5.jpg")</f>
        <v>http://pbs.twimg.com/media/Fe4LRBvXkAcmDq5.jpg</v>
      </c>
      <c r="L1361">
        <v>0.51060000000000005</v>
      </c>
      <c r="M1361">
        <v>0</v>
      </c>
      <c r="N1361">
        <v>0.76900000000000002</v>
      </c>
      <c r="O1361">
        <v>0.23100000000000001</v>
      </c>
    </row>
    <row r="1362" spans="1:15" x14ac:dyDescent="0.2">
      <c r="A1362" s="1" t="str">
        <f>HYPERLINK("http://www.twitter.com/banuakdenizli/status/1580549218984374273", "1580549218984374273")</f>
        <v>1580549218984374273</v>
      </c>
      <c r="B1362" t="s">
        <v>15</v>
      </c>
      <c r="C1362" s="2">
        <v>44847.556400462963</v>
      </c>
      <c r="D1362">
        <v>0</v>
      </c>
      <c r="E1362">
        <v>5</v>
      </c>
      <c r="F1362" t="s">
        <v>29</v>
      </c>
      <c r="G1362" t="s">
        <v>1441</v>
      </c>
      <c r="H1362" t="str">
        <f>HYPERLINK("https://video.twimg.com/ext_tw_video/1580548563850993666/pu/vid/320x320/YcXM3QpAi21xjNpv.mp4?tag=12", "https://video.twimg.com/ext_tw_video/1580548563850993666/pu/vid/320x320/YcXM3QpAi21xjNpv.mp4?tag=12")</f>
        <v>https://video.twimg.com/ext_tw_video/1580548563850993666/pu/vid/320x320/YcXM3QpAi21xjNpv.mp4?tag=12</v>
      </c>
      <c r="L1362">
        <v>0.70960000000000001</v>
      </c>
      <c r="M1362">
        <v>0</v>
      </c>
      <c r="N1362">
        <v>0.78400000000000003</v>
      </c>
      <c r="O1362">
        <v>0.216</v>
      </c>
    </row>
    <row r="1363" spans="1:15" x14ac:dyDescent="0.2">
      <c r="A1363" s="1" t="str">
        <f>HYPERLINK("http://www.twitter.com/banuakdenizli/status/1580549189024776192", "1580549189024776192")</f>
        <v>1580549189024776192</v>
      </c>
      <c r="B1363" t="s">
        <v>15</v>
      </c>
      <c r="C1363" s="2">
        <v>44847.556319444448</v>
      </c>
      <c r="D1363">
        <v>0</v>
      </c>
      <c r="E1363">
        <v>577</v>
      </c>
      <c r="F1363" t="s">
        <v>27</v>
      </c>
      <c r="G1363" t="s">
        <v>1442</v>
      </c>
      <c r="H1363" t="str">
        <f>HYPERLINK("http://pbs.twimg.com/media/Fe8e7rtWIAAbA2T.jpg", "http://pbs.twimg.com/media/Fe8e7rtWIAAbA2T.jpg")</f>
        <v>http://pbs.twimg.com/media/Fe8e7rtWIAAbA2T.jpg</v>
      </c>
      <c r="I1363" t="str">
        <f>HYPERLINK("http://pbs.twimg.com/media/Fe8e7rqX0AcmXaN.jpg", "http://pbs.twimg.com/media/Fe8e7rqX0AcmXaN.jpg")</f>
        <v>http://pbs.twimg.com/media/Fe8e7rqX0AcmXaN.jpg</v>
      </c>
      <c r="L1363">
        <v>0</v>
      </c>
      <c r="M1363">
        <v>0</v>
      </c>
      <c r="N1363">
        <v>1</v>
      </c>
      <c r="O1363">
        <v>0</v>
      </c>
    </row>
    <row r="1364" spans="1:15" x14ac:dyDescent="0.2">
      <c r="A1364" s="1" t="str">
        <f>HYPERLINK("http://www.twitter.com/banuakdenizli/status/1580244571120078848", "1580244571120078848")</f>
        <v>1580244571120078848</v>
      </c>
      <c r="B1364" t="s">
        <v>15</v>
      </c>
      <c r="C1364" s="2">
        <v>44846.715729166674</v>
      </c>
      <c r="D1364">
        <v>0</v>
      </c>
      <c r="E1364">
        <v>38</v>
      </c>
      <c r="F1364" t="s">
        <v>18</v>
      </c>
      <c r="G1364" t="s">
        <v>1443</v>
      </c>
      <c r="L1364">
        <v>0</v>
      </c>
      <c r="M1364">
        <v>0</v>
      </c>
      <c r="N1364">
        <v>1</v>
      </c>
      <c r="O1364">
        <v>0</v>
      </c>
    </row>
    <row r="1365" spans="1:15" x14ac:dyDescent="0.2">
      <c r="A1365" s="1" t="str">
        <f>HYPERLINK("http://www.twitter.com/banuakdenizli/status/1580244521103024128", "1580244521103024128")</f>
        <v>1580244521103024128</v>
      </c>
      <c r="B1365" t="s">
        <v>15</v>
      </c>
      <c r="C1365" s="2">
        <v>44846.715601851851</v>
      </c>
      <c r="D1365">
        <v>0</v>
      </c>
      <c r="E1365">
        <v>9</v>
      </c>
      <c r="F1365" t="s">
        <v>16</v>
      </c>
      <c r="G1365" t="s">
        <v>1444</v>
      </c>
      <c r="H1365" t="str">
        <f>HYPERLINK("http://pbs.twimg.com/media/Fe4CpigXoAEh1G2.jpg", "http://pbs.twimg.com/media/Fe4CpigXoAEh1G2.jpg")</f>
        <v>http://pbs.twimg.com/media/Fe4CpigXoAEh1G2.jpg</v>
      </c>
      <c r="L1365">
        <v>0</v>
      </c>
      <c r="M1365">
        <v>0</v>
      </c>
      <c r="N1365">
        <v>1</v>
      </c>
      <c r="O1365">
        <v>0</v>
      </c>
    </row>
    <row r="1366" spans="1:15" x14ac:dyDescent="0.2">
      <c r="A1366" s="1" t="str">
        <f>HYPERLINK("http://www.twitter.com/banuakdenizli/status/1580244491327311872", "1580244491327311872")</f>
        <v>1580244491327311872</v>
      </c>
      <c r="B1366" t="s">
        <v>15</v>
      </c>
      <c r="C1366" s="2">
        <v>44846.715509259258</v>
      </c>
      <c r="D1366">
        <v>0</v>
      </c>
      <c r="E1366">
        <v>22</v>
      </c>
      <c r="F1366" t="s">
        <v>18</v>
      </c>
      <c r="G1366" t="s">
        <v>1445</v>
      </c>
      <c r="L1366">
        <v>0.93600000000000005</v>
      </c>
      <c r="M1366">
        <v>0</v>
      </c>
      <c r="N1366">
        <v>0.64800000000000002</v>
      </c>
      <c r="O1366">
        <v>0.35199999999999998</v>
      </c>
    </row>
    <row r="1367" spans="1:15" x14ac:dyDescent="0.2">
      <c r="A1367" s="1" t="str">
        <f>HYPERLINK("http://www.twitter.com/banuakdenizli/status/1580244406925287424", "1580244406925287424")</f>
        <v>1580244406925287424</v>
      </c>
      <c r="B1367" t="s">
        <v>15</v>
      </c>
      <c r="C1367" s="2">
        <v>44846.715277777781</v>
      </c>
      <c r="D1367">
        <v>0</v>
      </c>
      <c r="E1367">
        <v>2</v>
      </c>
      <c r="F1367" t="s">
        <v>35</v>
      </c>
      <c r="G1367" t="s">
        <v>1446</v>
      </c>
      <c r="H1367" t="str">
        <f>HYPERLINK("http://pbs.twimg.com/media/Fe3mSdLWAAAnYmw.jpg", "http://pbs.twimg.com/media/Fe3mSdLWAAAnYmw.jpg")</f>
        <v>http://pbs.twimg.com/media/Fe3mSdLWAAAnYmw.jpg</v>
      </c>
      <c r="L1367">
        <v>0.81259999999999999</v>
      </c>
      <c r="M1367">
        <v>0</v>
      </c>
      <c r="N1367">
        <v>0.83699999999999997</v>
      </c>
      <c r="O1367">
        <v>0.16300000000000001</v>
      </c>
    </row>
    <row r="1368" spans="1:15" x14ac:dyDescent="0.2">
      <c r="A1368" s="1" t="str">
        <f>HYPERLINK("http://www.twitter.com/banuakdenizli/status/1580244389690888192", "1580244389690888192")</f>
        <v>1580244389690888192</v>
      </c>
      <c r="B1368" t="s">
        <v>15</v>
      </c>
      <c r="C1368" s="2">
        <v>44846.715231481481</v>
      </c>
      <c r="D1368">
        <v>0</v>
      </c>
      <c r="E1368">
        <v>60</v>
      </c>
      <c r="F1368" t="s">
        <v>28</v>
      </c>
      <c r="G1368" t="s">
        <v>1447</v>
      </c>
      <c r="H1368" t="str">
        <f>HYPERLINK("http://pbs.twimg.com/media/Fe2xI7KXEAIi0Vq.jpg", "http://pbs.twimg.com/media/Fe2xI7KXEAIi0Vq.jpg")</f>
        <v>http://pbs.twimg.com/media/Fe2xI7KXEAIi0Vq.jpg</v>
      </c>
      <c r="I1368" t="str">
        <f>HYPERLINK("http://pbs.twimg.com/media/Fe2xI7RX0AIuj7U.jpg", "http://pbs.twimg.com/media/Fe2xI7RX0AIuj7U.jpg")</f>
        <v>http://pbs.twimg.com/media/Fe2xI7RX0AIuj7U.jpg</v>
      </c>
      <c r="J1368" t="str">
        <f>HYPERLINK("http://pbs.twimg.com/media/Fe2xI7KWQAArHbb.jpg", "http://pbs.twimg.com/media/Fe2xI7KWQAArHbb.jpg")</f>
        <v>http://pbs.twimg.com/media/Fe2xI7KWQAArHbb.jpg</v>
      </c>
      <c r="K1368" t="str">
        <f>HYPERLINK("http://pbs.twimg.com/media/Fe2xI7KXEAExKwy.jpg", "http://pbs.twimg.com/media/Fe2xI7KXEAExKwy.jpg")</f>
        <v>http://pbs.twimg.com/media/Fe2xI7KXEAExKwy.jpg</v>
      </c>
      <c r="L1368">
        <v>0</v>
      </c>
      <c r="M1368">
        <v>0</v>
      </c>
      <c r="N1368">
        <v>1</v>
      </c>
      <c r="O1368">
        <v>0</v>
      </c>
    </row>
    <row r="1369" spans="1:15" x14ac:dyDescent="0.2">
      <c r="A1369" s="1" t="str">
        <f>HYPERLINK("http://www.twitter.com/banuakdenizli/status/1580244240436965376", "1580244240436965376")</f>
        <v>1580244240436965376</v>
      </c>
      <c r="B1369" t="s">
        <v>15</v>
      </c>
      <c r="C1369" s="2">
        <v>44846.714826388888</v>
      </c>
      <c r="D1369">
        <v>0</v>
      </c>
      <c r="E1369">
        <v>22</v>
      </c>
      <c r="F1369" t="s">
        <v>18</v>
      </c>
      <c r="G1369" t="s">
        <v>1448</v>
      </c>
      <c r="L1369">
        <v>0</v>
      </c>
      <c r="M1369">
        <v>0</v>
      </c>
      <c r="N1369">
        <v>1</v>
      </c>
      <c r="O1369">
        <v>0</v>
      </c>
    </row>
    <row r="1370" spans="1:15" x14ac:dyDescent="0.2">
      <c r="A1370" s="1" t="str">
        <f>HYPERLINK("http://www.twitter.com/banuakdenizli/status/1580244178033786881", "1580244178033786881")</f>
        <v>1580244178033786881</v>
      </c>
      <c r="B1370" t="s">
        <v>15</v>
      </c>
      <c r="C1370" s="2">
        <v>44846.71465277778</v>
      </c>
      <c r="D1370">
        <v>0</v>
      </c>
      <c r="E1370">
        <v>4</v>
      </c>
      <c r="F1370" t="s">
        <v>17</v>
      </c>
      <c r="G1370" t="s">
        <v>1449</v>
      </c>
      <c r="H1370" t="str">
        <f>HYPERLINK("http://pbs.twimg.com/media/Fe4C5qlXwAABIyx.jpg", "http://pbs.twimg.com/media/Fe4C5qlXwAABIyx.jpg")</f>
        <v>http://pbs.twimg.com/media/Fe4C5qlXwAABIyx.jpg</v>
      </c>
      <c r="L1370">
        <v>0</v>
      </c>
      <c r="M1370">
        <v>0</v>
      </c>
      <c r="N1370">
        <v>1</v>
      </c>
      <c r="O1370">
        <v>0</v>
      </c>
    </row>
    <row r="1371" spans="1:15" x14ac:dyDescent="0.2">
      <c r="A1371" s="1" t="str">
        <f>HYPERLINK("http://www.twitter.com/banuakdenizli/status/1580244146480373760", "1580244146480373760")</f>
        <v>1580244146480373760</v>
      </c>
      <c r="B1371" t="s">
        <v>15</v>
      </c>
      <c r="C1371" s="2">
        <v>44846.714560185188</v>
      </c>
      <c r="D1371">
        <v>0</v>
      </c>
      <c r="E1371">
        <v>6</v>
      </c>
      <c r="F1371" t="s">
        <v>16</v>
      </c>
      <c r="G1371" t="s">
        <v>1450</v>
      </c>
      <c r="H1371" t="str">
        <f>HYPERLINK("http://pbs.twimg.com/media/Fe29_6NWQAErqcZ.jpg", "http://pbs.twimg.com/media/Fe29_6NWQAErqcZ.jpg")</f>
        <v>http://pbs.twimg.com/media/Fe29_6NWQAErqcZ.jpg</v>
      </c>
      <c r="I1371" t="str">
        <f>HYPERLINK("http://pbs.twimg.com/media/Fe2-BSmWIAcFhts.jpg", "http://pbs.twimg.com/media/Fe2-BSmWIAcFhts.jpg")</f>
        <v>http://pbs.twimg.com/media/Fe2-BSmWIAcFhts.jpg</v>
      </c>
      <c r="L1371">
        <v>0</v>
      </c>
      <c r="M1371">
        <v>0</v>
      </c>
      <c r="N1371">
        <v>1</v>
      </c>
      <c r="O1371">
        <v>0</v>
      </c>
    </row>
    <row r="1372" spans="1:15" x14ac:dyDescent="0.2">
      <c r="A1372" s="1" t="str">
        <f>HYPERLINK("http://www.twitter.com/banuakdenizli/status/1580244075663396865", "1580244075663396865")</f>
        <v>1580244075663396865</v>
      </c>
      <c r="B1372" t="s">
        <v>15</v>
      </c>
      <c r="C1372" s="2">
        <v>44846.714363425926</v>
      </c>
      <c r="D1372">
        <v>0</v>
      </c>
      <c r="E1372">
        <v>63</v>
      </c>
      <c r="F1372" t="s">
        <v>28</v>
      </c>
      <c r="G1372" t="s">
        <v>1451</v>
      </c>
      <c r="H1372" t="str">
        <f>HYPERLINK("http://pbs.twimg.com/media/Fe27HFwWIAUTUU4.jpg", "http://pbs.twimg.com/media/Fe27HFwWIAUTUU4.jpg")</f>
        <v>http://pbs.twimg.com/media/Fe27HFwWIAUTUU4.jpg</v>
      </c>
      <c r="L1372">
        <v>0</v>
      </c>
      <c r="M1372">
        <v>0</v>
      </c>
      <c r="N1372">
        <v>1</v>
      </c>
      <c r="O1372">
        <v>0</v>
      </c>
    </row>
    <row r="1373" spans="1:15" x14ac:dyDescent="0.2">
      <c r="A1373" s="1" t="str">
        <f>HYPERLINK("http://www.twitter.com/banuakdenizli/status/1580244048912478211", "1580244048912478211")</f>
        <v>1580244048912478211</v>
      </c>
      <c r="B1373" t="s">
        <v>15</v>
      </c>
      <c r="C1373" s="2">
        <v>44846.71429398148</v>
      </c>
      <c r="D1373">
        <v>0</v>
      </c>
      <c r="E1373">
        <v>8</v>
      </c>
      <c r="F1373" t="s">
        <v>16</v>
      </c>
      <c r="G1373" t="s">
        <v>1452</v>
      </c>
      <c r="H1373" t="str">
        <f>HYPERLINK("http://pbs.twimg.com/media/Fe3UMFyWYAAeJef.jpg", "http://pbs.twimg.com/media/Fe3UMFyWYAAeJef.jpg")</f>
        <v>http://pbs.twimg.com/media/Fe3UMFyWYAAeJef.jpg</v>
      </c>
      <c r="L1373">
        <v>0</v>
      </c>
      <c r="M1373">
        <v>0</v>
      </c>
      <c r="N1373">
        <v>1</v>
      </c>
      <c r="O1373">
        <v>0</v>
      </c>
    </row>
    <row r="1374" spans="1:15" x14ac:dyDescent="0.2">
      <c r="A1374" s="1" t="str">
        <f>HYPERLINK("http://www.twitter.com/banuakdenizli/status/1580244018503757826", "1580244018503757826")</f>
        <v>1580244018503757826</v>
      </c>
      <c r="B1374" t="s">
        <v>15</v>
      </c>
      <c r="C1374" s="2">
        <v>44846.714212962957</v>
      </c>
      <c r="D1374">
        <v>0</v>
      </c>
      <c r="E1374">
        <v>4</v>
      </c>
      <c r="F1374" t="s">
        <v>17</v>
      </c>
      <c r="G1374" t="s">
        <v>1453</v>
      </c>
      <c r="H1374" t="str">
        <f>HYPERLINK("http://pbs.twimg.com/media/Fe35kZNX0AEG8vz.jpg", "http://pbs.twimg.com/media/Fe35kZNX0AEG8vz.jpg")</f>
        <v>http://pbs.twimg.com/media/Fe35kZNX0AEG8vz.jpg</v>
      </c>
      <c r="L1374">
        <v>0</v>
      </c>
      <c r="M1374">
        <v>0</v>
      </c>
      <c r="N1374">
        <v>1</v>
      </c>
      <c r="O1374">
        <v>0</v>
      </c>
    </row>
    <row r="1375" spans="1:15" x14ac:dyDescent="0.2">
      <c r="A1375" s="1" t="str">
        <f>HYPERLINK("http://www.twitter.com/banuakdenizli/status/1580243989923393538", "1580243989923393538")</f>
        <v>1580243989923393538</v>
      </c>
      <c r="B1375" t="s">
        <v>15</v>
      </c>
      <c r="C1375" s="2">
        <v>44846.714131944442</v>
      </c>
      <c r="D1375">
        <v>0</v>
      </c>
      <c r="E1375">
        <v>7</v>
      </c>
      <c r="F1375" t="s">
        <v>16</v>
      </c>
      <c r="G1375" t="s">
        <v>1454</v>
      </c>
      <c r="H1375" t="str">
        <f>HYPERLINK("http://pbs.twimg.com/media/Fe2DDrcXkAAxdXe.jpg", "http://pbs.twimg.com/media/Fe2DDrcXkAAxdXe.jpg")</f>
        <v>http://pbs.twimg.com/media/Fe2DDrcXkAAxdXe.jpg</v>
      </c>
      <c r="L1375">
        <v>0</v>
      </c>
      <c r="M1375">
        <v>0</v>
      </c>
      <c r="N1375">
        <v>1</v>
      </c>
      <c r="O1375">
        <v>0</v>
      </c>
    </row>
    <row r="1376" spans="1:15" x14ac:dyDescent="0.2">
      <c r="A1376" s="1" t="str">
        <f>HYPERLINK("http://www.twitter.com/banuakdenizli/status/1580243975906070528", "1580243975906070528")</f>
        <v>1580243975906070528</v>
      </c>
      <c r="B1376" t="s">
        <v>15</v>
      </c>
      <c r="C1376" s="2">
        <v>44846.714097222219</v>
      </c>
      <c r="D1376">
        <v>0</v>
      </c>
      <c r="E1376">
        <v>52</v>
      </c>
      <c r="F1376" t="s">
        <v>28</v>
      </c>
      <c r="G1376" t="s">
        <v>1455</v>
      </c>
      <c r="H1376" t="str">
        <f>HYPERLINK("http://pbs.twimg.com/media/Fe2mh6cXkAAKtva.jpg", "http://pbs.twimg.com/media/Fe2mh6cXkAAKtva.jpg")</f>
        <v>http://pbs.twimg.com/media/Fe2mh6cXkAAKtva.jpg</v>
      </c>
      <c r="I1376" t="str">
        <f>HYPERLINK("http://pbs.twimg.com/media/Fe2mh6aXwAAzQJJ.jpg", "http://pbs.twimg.com/media/Fe2mh6aXwAAzQJJ.jpg")</f>
        <v>http://pbs.twimg.com/media/Fe2mh6aXwAAzQJJ.jpg</v>
      </c>
      <c r="L1376">
        <v>0</v>
      </c>
      <c r="M1376">
        <v>0</v>
      </c>
      <c r="N1376">
        <v>1</v>
      </c>
      <c r="O1376">
        <v>0</v>
      </c>
    </row>
    <row r="1377" spans="1:15" x14ac:dyDescent="0.2">
      <c r="A1377" s="1" t="str">
        <f>HYPERLINK("http://www.twitter.com/banuakdenizli/status/1580243953315549185", "1580243953315549185")</f>
        <v>1580243953315549185</v>
      </c>
      <c r="B1377" t="s">
        <v>15</v>
      </c>
      <c r="C1377" s="2">
        <v>44846.71402777778</v>
      </c>
      <c r="D1377">
        <v>0</v>
      </c>
      <c r="E1377">
        <v>6</v>
      </c>
      <c r="F1377" t="s">
        <v>17</v>
      </c>
      <c r="G1377" t="s">
        <v>1456</v>
      </c>
      <c r="H1377" t="str">
        <f>HYPERLINK("http://pbs.twimg.com/media/Fe3FBA2WYAM9qF1.jpg", "http://pbs.twimg.com/media/Fe3FBA2WYAM9qF1.jpg")</f>
        <v>http://pbs.twimg.com/media/Fe3FBA2WYAM9qF1.jpg</v>
      </c>
      <c r="I1377" t="str">
        <f>HYPERLINK("http://pbs.twimg.com/media/Fe3FBtqX0AEu3sn.jpg", "http://pbs.twimg.com/media/Fe3FBtqX0AEu3sn.jpg")</f>
        <v>http://pbs.twimg.com/media/Fe3FBtqX0AEu3sn.jpg</v>
      </c>
      <c r="L1377">
        <v>0</v>
      </c>
      <c r="M1377">
        <v>0</v>
      </c>
      <c r="N1377">
        <v>1</v>
      </c>
      <c r="O1377">
        <v>0</v>
      </c>
    </row>
    <row r="1378" spans="1:15" x14ac:dyDescent="0.2">
      <c r="A1378" s="1" t="str">
        <f>HYPERLINK("http://www.twitter.com/banuakdenizli/status/1580243938015064065", "1580243938015064065")</f>
        <v>1580243938015064065</v>
      </c>
      <c r="B1378" t="s">
        <v>15</v>
      </c>
      <c r="C1378" s="2">
        <v>44846.71398148148</v>
      </c>
      <c r="D1378">
        <v>0</v>
      </c>
      <c r="E1378">
        <v>6</v>
      </c>
      <c r="F1378" t="s">
        <v>16</v>
      </c>
      <c r="G1378" t="s">
        <v>1457</v>
      </c>
      <c r="H1378" t="str">
        <f>HYPERLINK("http://pbs.twimg.com/media/Fe2-lydWAAIdzzA.jpg", "http://pbs.twimg.com/media/Fe2-lydWAAIdzzA.jpg")</f>
        <v>http://pbs.twimg.com/media/Fe2-lydWAAIdzzA.jpg</v>
      </c>
      <c r="I1378" t="str">
        <f>HYPERLINK("http://pbs.twimg.com/media/Fe2-muQXkAAhXup.jpg", "http://pbs.twimg.com/media/Fe2-muQXkAAhXup.jpg")</f>
        <v>http://pbs.twimg.com/media/Fe2-muQXkAAhXup.jpg</v>
      </c>
      <c r="L1378">
        <v>0</v>
      </c>
      <c r="M1378">
        <v>0</v>
      </c>
      <c r="N1378">
        <v>1</v>
      </c>
      <c r="O1378">
        <v>0</v>
      </c>
    </row>
    <row r="1379" spans="1:15" x14ac:dyDescent="0.2">
      <c r="A1379" s="1" t="str">
        <f>HYPERLINK("http://www.twitter.com/banuakdenizli/status/1580243909388955649", "1580243909388955649")</f>
        <v>1580243909388955649</v>
      </c>
      <c r="B1379" t="s">
        <v>15</v>
      </c>
      <c r="C1379" s="2">
        <v>44846.713912037027</v>
      </c>
      <c r="D1379">
        <v>0</v>
      </c>
      <c r="E1379">
        <v>9</v>
      </c>
      <c r="F1379" t="s">
        <v>17</v>
      </c>
      <c r="G1379" t="s">
        <v>1458</v>
      </c>
      <c r="H1379" t="str">
        <f>HYPERLINK("http://pbs.twimg.com/media/Fe3H1x6WYAI3n2I.jpg", "http://pbs.twimg.com/media/Fe3H1x6WYAI3n2I.jpg")</f>
        <v>http://pbs.twimg.com/media/Fe3H1x6WYAI3n2I.jpg</v>
      </c>
      <c r="I1379" t="str">
        <f>HYPERLINK("http://pbs.twimg.com/media/Fe3H2dMWAAAkLzB.jpg", "http://pbs.twimg.com/media/Fe3H2dMWAAAkLzB.jpg")</f>
        <v>http://pbs.twimg.com/media/Fe3H2dMWAAAkLzB.jpg</v>
      </c>
      <c r="L1379">
        <v>0</v>
      </c>
      <c r="M1379">
        <v>0</v>
      </c>
      <c r="N1379">
        <v>1</v>
      </c>
      <c r="O1379">
        <v>0</v>
      </c>
    </row>
    <row r="1380" spans="1:15" x14ac:dyDescent="0.2">
      <c r="A1380" s="1" t="str">
        <f>HYPERLINK("http://www.twitter.com/banuakdenizli/status/1580014665048162304", "1580014665048162304")</f>
        <v>1580014665048162304</v>
      </c>
      <c r="B1380" t="s">
        <v>15</v>
      </c>
      <c r="C1380" s="2">
        <v>44846.081319444442</v>
      </c>
      <c r="D1380">
        <v>0</v>
      </c>
      <c r="E1380">
        <v>1</v>
      </c>
      <c r="F1380" t="s">
        <v>29</v>
      </c>
      <c r="G1380" t="s">
        <v>1459</v>
      </c>
      <c r="H1380" t="str">
        <f>HYPERLINK("http://pbs.twimg.com/media/Fe0Nx3BXkAAv7qT.jpg", "http://pbs.twimg.com/media/Fe0Nx3BXkAAv7qT.jpg")</f>
        <v>http://pbs.twimg.com/media/Fe0Nx3BXkAAv7qT.jpg</v>
      </c>
      <c r="L1380">
        <v>0.2732</v>
      </c>
      <c r="M1380">
        <v>0</v>
      </c>
      <c r="N1380">
        <v>0.85099999999999998</v>
      </c>
      <c r="O1380">
        <v>0.14899999999999999</v>
      </c>
    </row>
    <row r="1381" spans="1:15" x14ac:dyDescent="0.2">
      <c r="A1381" s="1" t="str">
        <f>HYPERLINK("http://www.twitter.com/banuakdenizli/status/1579960392453062657", "1579960392453062657")</f>
        <v>1579960392453062657</v>
      </c>
      <c r="B1381" t="s">
        <v>15</v>
      </c>
      <c r="C1381" s="2">
        <v>44845.931550925918</v>
      </c>
      <c r="D1381">
        <v>0</v>
      </c>
      <c r="E1381">
        <v>2</v>
      </c>
      <c r="F1381" t="s">
        <v>29</v>
      </c>
      <c r="G1381" t="s">
        <v>1460</v>
      </c>
      <c r="H1381" t="str">
        <f>HYPERLINK("http://pbs.twimg.com/media/Fe0OpwbWAAAhzXw.jpg", "http://pbs.twimg.com/media/Fe0OpwbWAAAhzXw.jpg")</f>
        <v>http://pbs.twimg.com/media/Fe0OpwbWAAAhzXw.jpg</v>
      </c>
      <c r="L1381">
        <v>0.44040000000000001</v>
      </c>
      <c r="M1381">
        <v>0</v>
      </c>
      <c r="N1381">
        <v>0.91400000000000003</v>
      </c>
      <c r="O1381">
        <v>8.5999999999999993E-2</v>
      </c>
    </row>
    <row r="1382" spans="1:15" x14ac:dyDescent="0.2">
      <c r="A1382" s="1" t="str">
        <f>HYPERLINK("http://www.twitter.com/banuakdenizli/status/1579959506897080321", "1579959506897080321")</f>
        <v>1579959506897080321</v>
      </c>
      <c r="B1382" t="s">
        <v>15</v>
      </c>
      <c r="C1382" s="2">
        <v>44845.929108796299</v>
      </c>
      <c r="D1382">
        <v>0</v>
      </c>
      <c r="E1382">
        <v>1</v>
      </c>
      <c r="F1382" t="s">
        <v>29</v>
      </c>
      <c r="G1382" t="s">
        <v>1461</v>
      </c>
      <c r="H1382" t="str">
        <f>HYPERLINK("http://pbs.twimg.com/media/Fe0akkgWIBQ4w8s.jpg", "http://pbs.twimg.com/media/Fe0akkgWIBQ4w8s.jpg")</f>
        <v>http://pbs.twimg.com/media/Fe0akkgWIBQ4w8s.jpg</v>
      </c>
      <c r="I1382" t="str">
        <f>HYPERLINK("http://pbs.twimg.com/media/Fe0akkEWIAAQzcq.jpg", "http://pbs.twimg.com/media/Fe0akkEWIAAQzcq.jpg")</f>
        <v>http://pbs.twimg.com/media/Fe0akkEWIAAQzcq.jpg</v>
      </c>
      <c r="J1382" t="str">
        <f>HYPERLINK("http://pbs.twimg.com/media/Fe0akldWIBIJ4hN.jpg", "http://pbs.twimg.com/media/Fe0akldWIBIJ4hN.jpg")</f>
        <v>http://pbs.twimg.com/media/Fe0akldWIBIJ4hN.jpg</v>
      </c>
      <c r="K1382" t="str">
        <f>HYPERLINK("http://pbs.twimg.com/media/Fe0akkYWIBcC-bm.jpg", "http://pbs.twimg.com/media/Fe0akkYWIBcC-bm.jpg")</f>
        <v>http://pbs.twimg.com/media/Fe0akkYWIBcC-bm.jpg</v>
      </c>
      <c r="L1382">
        <v>0</v>
      </c>
      <c r="M1382">
        <v>0</v>
      </c>
      <c r="N1382">
        <v>1</v>
      </c>
      <c r="O1382">
        <v>0</v>
      </c>
    </row>
    <row r="1383" spans="1:15" x14ac:dyDescent="0.2">
      <c r="A1383" s="1" t="str">
        <f>HYPERLINK("http://www.twitter.com/banuakdenizli/status/1579959471778205696", "1579959471778205696")</f>
        <v>1579959471778205696</v>
      </c>
      <c r="B1383" t="s">
        <v>15</v>
      </c>
      <c r="C1383" s="2">
        <v>44845.92900462963</v>
      </c>
      <c r="D1383">
        <v>0</v>
      </c>
      <c r="E1383">
        <v>6</v>
      </c>
      <c r="F1383" t="s">
        <v>16</v>
      </c>
      <c r="G1383" t="s">
        <v>1462</v>
      </c>
      <c r="H1383" t="str">
        <f>HYPERLINK("http://pbs.twimg.com/media/Fez9GABXEAEKeAF.jpg", "http://pbs.twimg.com/media/Fez9GABXEAEKeAF.jpg")</f>
        <v>http://pbs.twimg.com/media/Fez9GABXEAEKeAF.jpg</v>
      </c>
      <c r="L1383">
        <v>0</v>
      </c>
      <c r="M1383">
        <v>0</v>
      </c>
      <c r="N1383">
        <v>1</v>
      </c>
      <c r="O1383">
        <v>0</v>
      </c>
    </row>
    <row r="1384" spans="1:15" x14ac:dyDescent="0.2">
      <c r="A1384" s="1" t="str">
        <f>HYPERLINK("http://www.twitter.com/banuakdenizli/status/1579959397710958593", "1579959397710958593")</f>
        <v>1579959397710958593</v>
      </c>
      <c r="B1384" t="s">
        <v>15</v>
      </c>
      <c r="C1384" s="2">
        <v>44845.928807870368</v>
      </c>
      <c r="D1384">
        <v>0</v>
      </c>
      <c r="E1384">
        <v>2</v>
      </c>
      <c r="F1384" t="s">
        <v>21</v>
      </c>
      <c r="G1384" t="s">
        <v>1463</v>
      </c>
      <c r="H1384" t="str">
        <f>HYPERLINK("http://pbs.twimg.com/media/Fe0CmZ3WYBYbgKj.jpg", "http://pbs.twimg.com/media/Fe0CmZ3WYBYbgKj.jpg")</f>
        <v>http://pbs.twimg.com/media/Fe0CmZ3WYBYbgKj.jpg</v>
      </c>
      <c r="L1384">
        <v>0</v>
      </c>
      <c r="M1384">
        <v>0</v>
      </c>
      <c r="N1384">
        <v>1</v>
      </c>
      <c r="O1384">
        <v>0</v>
      </c>
    </row>
    <row r="1385" spans="1:15" x14ac:dyDescent="0.2">
      <c r="A1385" s="1" t="str">
        <f>HYPERLINK("http://www.twitter.com/banuakdenizli/status/1579959353414922241", "1579959353414922241")</f>
        <v>1579959353414922241</v>
      </c>
      <c r="B1385" t="s">
        <v>15</v>
      </c>
      <c r="C1385" s="2">
        <v>44845.928680555553</v>
      </c>
      <c r="D1385">
        <v>0</v>
      </c>
      <c r="E1385">
        <v>7</v>
      </c>
      <c r="F1385" t="s">
        <v>17</v>
      </c>
      <c r="G1385" t="s">
        <v>1464</v>
      </c>
      <c r="H1385" t="str">
        <f>HYPERLINK("http://pbs.twimg.com/media/Fe0iAP8XoA0aqsf.jpg", "http://pbs.twimg.com/media/Fe0iAP8XoA0aqsf.jpg")</f>
        <v>http://pbs.twimg.com/media/Fe0iAP8XoA0aqsf.jpg</v>
      </c>
      <c r="L1385">
        <v>0.64859999999999995</v>
      </c>
      <c r="M1385">
        <v>0</v>
      </c>
      <c r="N1385">
        <v>0.69399999999999995</v>
      </c>
      <c r="O1385">
        <v>0.30599999999999999</v>
      </c>
    </row>
    <row r="1386" spans="1:15" x14ac:dyDescent="0.2">
      <c r="A1386" s="1" t="str">
        <f>HYPERLINK("http://www.twitter.com/banuakdenizli/status/1579959122262622208", "1579959122262622208")</f>
        <v>1579959122262622208</v>
      </c>
      <c r="B1386" t="s">
        <v>15</v>
      </c>
      <c r="C1386" s="2">
        <v>44845.928043981483</v>
      </c>
      <c r="D1386">
        <v>0</v>
      </c>
      <c r="E1386">
        <v>2</v>
      </c>
      <c r="F1386" t="s">
        <v>29</v>
      </c>
      <c r="G1386" t="s">
        <v>1465</v>
      </c>
      <c r="H1386" t="str">
        <f>HYPERLINK("http://pbs.twimg.com/media/FezZ7yoWQAE8mL1.jpg", "http://pbs.twimg.com/media/FezZ7yoWQAE8mL1.jpg")</f>
        <v>http://pbs.twimg.com/media/FezZ7yoWQAE8mL1.jpg</v>
      </c>
      <c r="L1386">
        <v>0.52669999999999995</v>
      </c>
      <c r="M1386">
        <v>0</v>
      </c>
      <c r="N1386">
        <v>0.79300000000000004</v>
      </c>
      <c r="O1386">
        <v>0.20699999999999999</v>
      </c>
    </row>
    <row r="1387" spans="1:15" x14ac:dyDescent="0.2">
      <c r="A1387" s="1" t="str">
        <f>HYPERLINK("http://www.twitter.com/banuakdenizli/status/1579958704157655040", "1579958704157655040")</f>
        <v>1579958704157655040</v>
      </c>
      <c r="B1387" t="s">
        <v>15</v>
      </c>
      <c r="C1387" s="2">
        <v>44845.926886574067</v>
      </c>
      <c r="D1387">
        <v>0</v>
      </c>
      <c r="E1387">
        <v>3</v>
      </c>
      <c r="F1387" t="s">
        <v>17</v>
      </c>
      <c r="G1387" t="s">
        <v>1466</v>
      </c>
      <c r="H1387" t="str">
        <f>HYPERLINK("http://pbs.twimg.com/media/Fe0KF08WYCQSnkz.jpg", "http://pbs.twimg.com/media/Fe0KF08WYCQSnkz.jpg")</f>
        <v>http://pbs.twimg.com/media/Fe0KF08WYCQSnkz.jpg</v>
      </c>
      <c r="L1387">
        <v>0</v>
      </c>
      <c r="M1387">
        <v>0</v>
      </c>
      <c r="N1387">
        <v>1</v>
      </c>
      <c r="O1387">
        <v>0</v>
      </c>
    </row>
    <row r="1388" spans="1:15" x14ac:dyDescent="0.2">
      <c r="A1388" s="1" t="str">
        <f>HYPERLINK("http://www.twitter.com/banuakdenizli/status/1579958681873285120", "1579958681873285120")</f>
        <v>1579958681873285120</v>
      </c>
      <c r="B1388" t="s">
        <v>15</v>
      </c>
      <c r="C1388" s="2">
        <v>44845.926828703698</v>
      </c>
      <c r="D1388">
        <v>0</v>
      </c>
      <c r="E1388">
        <v>7</v>
      </c>
      <c r="F1388" t="s">
        <v>16</v>
      </c>
      <c r="G1388" t="s">
        <v>1467</v>
      </c>
      <c r="H1388" t="str">
        <f>HYPERLINK("http://pbs.twimg.com/media/Fez9v25WYBgm1RT.jpg", "http://pbs.twimg.com/media/Fez9v25WYBgm1RT.jpg")</f>
        <v>http://pbs.twimg.com/media/Fez9v25WYBgm1RT.jpg</v>
      </c>
      <c r="L1388">
        <v>0</v>
      </c>
      <c r="M1388">
        <v>0</v>
      </c>
      <c r="N1388">
        <v>1</v>
      </c>
      <c r="O1388">
        <v>0</v>
      </c>
    </row>
    <row r="1389" spans="1:15" x14ac:dyDescent="0.2">
      <c r="A1389" s="1" t="str">
        <f>HYPERLINK("http://www.twitter.com/banuakdenizli/status/1579874410521321473", "1579874410521321473")</f>
        <v>1579874410521321473</v>
      </c>
      <c r="B1389" t="s">
        <v>15</v>
      </c>
      <c r="C1389" s="2">
        <v>44845.694282407407</v>
      </c>
      <c r="D1389">
        <v>0</v>
      </c>
      <c r="E1389">
        <v>4</v>
      </c>
      <c r="F1389" t="s">
        <v>38</v>
      </c>
      <c r="G1389" t="s">
        <v>1468</v>
      </c>
      <c r="H1389" t="str">
        <f>HYPERLINK("http://pbs.twimg.com/media/Fey26PPXwAA9cST.jpg", "http://pbs.twimg.com/media/Fey26PPXwAA9cST.jpg")</f>
        <v>http://pbs.twimg.com/media/Fey26PPXwAA9cST.jpg</v>
      </c>
      <c r="I1389" t="str">
        <f>HYPERLINK("http://pbs.twimg.com/media/Fey26P7X0AA65ym.jpg", "http://pbs.twimg.com/media/Fey26P7X0AA65ym.jpg")</f>
        <v>http://pbs.twimg.com/media/Fey26P7X0AA65ym.jpg</v>
      </c>
      <c r="L1389">
        <v>0</v>
      </c>
      <c r="M1389">
        <v>0</v>
      </c>
      <c r="N1389">
        <v>1</v>
      </c>
      <c r="O1389">
        <v>0</v>
      </c>
    </row>
    <row r="1390" spans="1:15" x14ac:dyDescent="0.2">
      <c r="A1390" s="1" t="str">
        <f>HYPERLINK("http://www.twitter.com/banuakdenizli/status/1579874370209853441", "1579874370209853441")</f>
        <v>1579874370209853441</v>
      </c>
      <c r="B1390" t="s">
        <v>15</v>
      </c>
      <c r="C1390" s="2">
        <v>44845.694178240738</v>
      </c>
      <c r="D1390">
        <v>0</v>
      </c>
      <c r="E1390">
        <v>1</v>
      </c>
      <c r="F1390" t="s">
        <v>30</v>
      </c>
      <c r="G1390" t="s">
        <v>1469</v>
      </c>
      <c r="H1390" t="str">
        <f>HYPERLINK("http://pbs.twimg.com/media/FezOETjX0AE2Nif.jpg", "http://pbs.twimg.com/media/FezOETjX0AE2Nif.jpg")</f>
        <v>http://pbs.twimg.com/media/FezOETjX0AE2Nif.jpg</v>
      </c>
      <c r="L1390">
        <v>0</v>
      </c>
      <c r="M1390">
        <v>0</v>
      </c>
      <c r="N1390">
        <v>1</v>
      </c>
      <c r="O1390">
        <v>0</v>
      </c>
    </row>
    <row r="1391" spans="1:15" x14ac:dyDescent="0.2">
      <c r="A1391" s="1" t="str">
        <f>HYPERLINK("http://www.twitter.com/banuakdenizli/status/1579874349456424960", "1579874349456424960")</f>
        <v>1579874349456424960</v>
      </c>
      <c r="B1391" t="s">
        <v>15</v>
      </c>
      <c r="C1391" s="2">
        <v>44845.694120370368</v>
      </c>
      <c r="D1391">
        <v>0</v>
      </c>
      <c r="E1391">
        <v>2</v>
      </c>
      <c r="F1391" t="s">
        <v>30</v>
      </c>
      <c r="G1391" t="s">
        <v>1470</v>
      </c>
      <c r="H1391" t="str">
        <f>HYPERLINK("http://pbs.twimg.com/media/FezODyKX0AEk01h.jpg", "http://pbs.twimg.com/media/FezODyKX0AEk01h.jpg")</f>
        <v>http://pbs.twimg.com/media/FezODyKX0AEk01h.jpg</v>
      </c>
      <c r="L1391">
        <v>0</v>
      </c>
      <c r="M1391">
        <v>0</v>
      </c>
      <c r="N1391">
        <v>1</v>
      </c>
      <c r="O1391">
        <v>0</v>
      </c>
    </row>
    <row r="1392" spans="1:15" x14ac:dyDescent="0.2">
      <c r="A1392" s="1" t="str">
        <f>HYPERLINK("http://www.twitter.com/banuakdenizli/status/1579873942168567808", "1579873942168567808")</f>
        <v>1579873942168567808</v>
      </c>
      <c r="B1392" t="s">
        <v>15</v>
      </c>
      <c r="C1392" s="2">
        <v>44845.692997685182</v>
      </c>
      <c r="D1392">
        <v>0</v>
      </c>
      <c r="E1392">
        <v>1</v>
      </c>
      <c r="F1392" t="s">
        <v>29</v>
      </c>
      <c r="G1392" t="s">
        <v>1471</v>
      </c>
      <c r="H1392" t="str">
        <f>HYPERLINK("http://pbs.twimg.com/media/FezAIAXWIAEOvGs.jpg", "http://pbs.twimg.com/media/FezAIAXWIAEOvGs.jpg")</f>
        <v>http://pbs.twimg.com/media/FezAIAXWIAEOvGs.jpg</v>
      </c>
      <c r="L1392">
        <v>0</v>
      </c>
      <c r="M1392">
        <v>0</v>
      </c>
      <c r="N1392">
        <v>1</v>
      </c>
      <c r="O1392">
        <v>0</v>
      </c>
    </row>
    <row r="1393" spans="1:15" x14ac:dyDescent="0.2">
      <c r="A1393" s="1" t="str">
        <f>HYPERLINK("http://www.twitter.com/banuakdenizli/status/1579873901995491330", "1579873901995491330")</f>
        <v>1579873901995491330</v>
      </c>
      <c r="B1393" t="s">
        <v>15</v>
      </c>
      <c r="C1393" s="2">
        <v>44845.692881944437</v>
      </c>
      <c r="D1393">
        <v>0</v>
      </c>
      <c r="E1393">
        <v>3</v>
      </c>
      <c r="F1393" t="s">
        <v>29</v>
      </c>
      <c r="G1393" t="s">
        <v>1472</v>
      </c>
      <c r="H1393" t="str">
        <f>HYPERLINK("http://pbs.twimg.com/media/FezA0akXwAIo2wV.jpg", "http://pbs.twimg.com/media/FezA0akXwAIo2wV.jpg")</f>
        <v>http://pbs.twimg.com/media/FezA0akXwAIo2wV.jpg</v>
      </c>
      <c r="I1393" t="str">
        <f>HYPERLINK("http://pbs.twimg.com/media/FezA0aOWYAQ26Ps.jpg", "http://pbs.twimg.com/media/FezA0aOWYAQ26Ps.jpg")</f>
        <v>http://pbs.twimg.com/media/FezA0aOWYAQ26Ps.jpg</v>
      </c>
      <c r="L1393">
        <v>0</v>
      </c>
      <c r="M1393">
        <v>0</v>
      </c>
      <c r="N1393">
        <v>1</v>
      </c>
      <c r="O1393">
        <v>0</v>
      </c>
    </row>
    <row r="1394" spans="1:15" x14ac:dyDescent="0.2">
      <c r="A1394" s="1" t="str">
        <f>HYPERLINK("http://www.twitter.com/banuakdenizli/status/1579873862103502848", "1579873862103502848")</f>
        <v>1579873862103502848</v>
      </c>
      <c r="B1394" t="s">
        <v>15</v>
      </c>
      <c r="C1394" s="2">
        <v>44845.692777777767</v>
      </c>
      <c r="D1394">
        <v>0</v>
      </c>
      <c r="E1394">
        <v>1</v>
      </c>
      <c r="F1394" t="s">
        <v>35</v>
      </c>
      <c r="G1394" t="s">
        <v>1473</v>
      </c>
      <c r="L1394">
        <v>0.29599999999999999</v>
      </c>
      <c r="M1394">
        <v>5.8999999999999997E-2</v>
      </c>
      <c r="N1394">
        <v>0.82899999999999996</v>
      </c>
      <c r="O1394">
        <v>0.111</v>
      </c>
    </row>
    <row r="1395" spans="1:15" x14ac:dyDescent="0.2">
      <c r="A1395" s="1" t="str">
        <f>HYPERLINK("http://www.twitter.com/banuakdenizli/status/1579873584134381569", "1579873584134381569")</f>
        <v>1579873584134381569</v>
      </c>
      <c r="B1395" t="s">
        <v>15</v>
      </c>
      <c r="C1395" s="2">
        <v>44845.692002314812</v>
      </c>
      <c r="D1395">
        <v>0</v>
      </c>
      <c r="E1395">
        <v>7</v>
      </c>
      <c r="F1395" t="s">
        <v>35</v>
      </c>
      <c r="G1395" t="s">
        <v>1474</v>
      </c>
      <c r="L1395">
        <v>0</v>
      </c>
      <c r="M1395">
        <v>0</v>
      </c>
      <c r="N1395">
        <v>1</v>
      </c>
      <c r="O1395">
        <v>0</v>
      </c>
    </row>
    <row r="1396" spans="1:15" x14ac:dyDescent="0.2">
      <c r="A1396" s="1" t="str">
        <f>HYPERLINK("http://www.twitter.com/banuakdenizli/status/1579873569966030849", "1579873569966030849")</f>
        <v>1579873569966030849</v>
      </c>
      <c r="B1396" t="s">
        <v>15</v>
      </c>
      <c r="C1396" s="2">
        <v>44845.691967592589</v>
      </c>
      <c r="D1396">
        <v>0</v>
      </c>
      <c r="E1396">
        <v>9</v>
      </c>
      <c r="F1396" t="s">
        <v>35</v>
      </c>
      <c r="G1396" t="s">
        <v>1475</v>
      </c>
      <c r="L1396">
        <v>0.76500000000000001</v>
      </c>
      <c r="M1396">
        <v>0</v>
      </c>
      <c r="N1396">
        <v>0.82</v>
      </c>
      <c r="O1396">
        <v>0.18</v>
      </c>
    </row>
    <row r="1397" spans="1:15" x14ac:dyDescent="0.2">
      <c r="A1397" s="1" t="str">
        <f>HYPERLINK("http://www.twitter.com/banuakdenizli/status/1579873054960013312", "1579873054960013312")</f>
        <v>1579873054960013312</v>
      </c>
      <c r="B1397" t="s">
        <v>15</v>
      </c>
      <c r="C1397" s="2">
        <v>44845.69054398148</v>
      </c>
      <c r="D1397">
        <v>0</v>
      </c>
      <c r="E1397">
        <v>1</v>
      </c>
      <c r="F1397" t="s">
        <v>21</v>
      </c>
      <c r="G1397" t="s">
        <v>1476</v>
      </c>
      <c r="L1397">
        <v>0.57189999999999996</v>
      </c>
      <c r="M1397">
        <v>6.4000000000000001E-2</v>
      </c>
      <c r="N1397">
        <v>0.77100000000000002</v>
      </c>
      <c r="O1397">
        <v>0.16500000000000001</v>
      </c>
    </row>
    <row r="1398" spans="1:15" x14ac:dyDescent="0.2">
      <c r="A1398" s="1" t="str">
        <f>HYPERLINK("http://www.twitter.com/banuakdenizli/status/1579845795968606210", "1579845795968606210")</f>
        <v>1579845795968606210</v>
      </c>
      <c r="B1398" t="s">
        <v>15</v>
      </c>
      <c r="C1398" s="2">
        <v>44845.615324074082</v>
      </c>
      <c r="D1398">
        <v>0</v>
      </c>
      <c r="E1398">
        <v>1</v>
      </c>
      <c r="F1398" t="s">
        <v>29</v>
      </c>
      <c r="G1398" t="s">
        <v>1477</v>
      </c>
      <c r="H1398" t="str">
        <f>HYPERLINK("http://pbs.twimg.com/media/FexYUFQWYAANhm8.jpg", "http://pbs.twimg.com/media/FexYUFQWYAANhm8.jpg")</f>
        <v>http://pbs.twimg.com/media/FexYUFQWYAANhm8.jpg</v>
      </c>
      <c r="L1398">
        <v>0.65969999999999995</v>
      </c>
      <c r="M1398">
        <v>0</v>
      </c>
      <c r="N1398">
        <v>0.63200000000000001</v>
      </c>
      <c r="O1398">
        <v>0.36799999999999999</v>
      </c>
    </row>
    <row r="1399" spans="1:15" x14ac:dyDescent="0.2">
      <c r="A1399" s="1" t="str">
        <f>HYPERLINK("http://www.twitter.com/banuakdenizli/status/1579845751173443586", "1579845751173443586")</f>
        <v>1579845751173443586</v>
      </c>
      <c r="B1399" t="s">
        <v>15</v>
      </c>
      <c r="C1399" s="2">
        <v>44845.61519675926</v>
      </c>
      <c r="D1399">
        <v>0</v>
      </c>
      <c r="E1399">
        <v>2</v>
      </c>
      <c r="F1399" t="s">
        <v>29</v>
      </c>
      <c r="G1399" t="s">
        <v>1478</v>
      </c>
      <c r="H1399" t="str">
        <f>HYPERLINK("http://pbs.twimg.com/media/Fey9D-OWIAM4k3R.jpg", "http://pbs.twimg.com/media/Fey9D-OWIAM4k3R.jpg")</f>
        <v>http://pbs.twimg.com/media/Fey9D-OWIAM4k3R.jpg</v>
      </c>
      <c r="I1399" t="str">
        <f>HYPERLINK("http://pbs.twimg.com/media/Fey9D-pWQAAOE0x.jpg", "http://pbs.twimg.com/media/Fey9D-pWQAAOE0x.jpg")</f>
        <v>http://pbs.twimg.com/media/Fey9D-pWQAAOE0x.jpg</v>
      </c>
      <c r="L1399">
        <v>0</v>
      </c>
      <c r="M1399">
        <v>0</v>
      </c>
      <c r="N1399">
        <v>1</v>
      </c>
      <c r="O1399">
        <v>0</v>
      </c>
    </row>
    <row r="1400" spans="1:15" x14ac:dyDescent="0.2">
      <c r="A1400" s="1" t="str">
        <f>HYPERLINK("http://www.twitter.com/banuakdenizli/status/1579844539904589825", "1579844539904589825")</f>
        <v>1579844539904589825</v>
      </c>
      <c r="B1400" t="s">
        <v>15</v>
      </c>
      <c r="C1400" s="2">
        <v>44845.611863425933</v>
      </c>
      <c r="D1400">
        <v>0</v>
      </c>
      <c r="E1400">
        <v>1</v>
      </c>
      <c r="F1400" t="s">
        <v>29</v>
      </c>
      <c r="G1400" t="s">
        <v>1479</v>
      </c>
      <c r="H1400" t="str">
        <f>HYPERLINK("http://pbs.twimg.com/media/Fey7eHjXkAc2sNp.jpg", "http://pbs.twimg.com/media/Fey7eHjXkAc2sNp.jpg")</f>
        <v>http://pbs.twimg.com/media/Fey7eHjXkAc2sNp.jpg</v>
      </c>
      <c r="L1400">
        <v>0</v>
      </c>
      <c r="M1400">
        <v>0</v>
      </c>
      <c r="N1400">
        <v>1</v>
      </c>
      <c r="O1400">
        <v>0</v>
      </c>
    </row>
    <row r="1401" spans="1:15" x14ac:dyDescent="0.2">
      <c r="A1401" s="1" t="str">
        <f>HYPERLINK("http://www.twitter.com/banuakdenizli/status/1579839854350721024", "1579839854350721024")</f>
        <v>1579839854350721024</v>
      </c>
      <c r="B1401" t="s">
        <v>15</v>
      </c>
      <c r="C1401" s="2">
        <v>44845.598923611113</v>
      </c>
      <c r="D1401">
        <v>0</v>
      </c>
      <c r="E1401">
        <v>85</v>
      </c>
      <c r="F1401" t="s">
        <v>28</v>
      </c>
      <c r="G1401" t="s">
        <v>1480</v>
      </c>
      <c r="H1401" t="str">
        <f>HYPERLINK("http://pbs.twimg.com/media/FeywLcHXkAUCps_.jpg", "http://pbs.twimg.com/media/FeywLcHXkAUCps_.jpg")</f>
        <v>http://pbs.twimg.com/media/FeywLcHXkAUCps_.jpg</v>
      </c>
      <c r="I1401" t="str">
        <f>HYPERLINK("http://pbs.twimg.com/media/FeywLcQXgAA1kkT.jpg", "http://pbs.twimg.com/media/FeywLcQXgAA1kkT.jpg")</f>
        <v>http://pbs.twimg.com/media/FeywLcQXgAA1kkT.jpg</v>
      </c>
      <c r="L1401">
        <v>0</v>
      </c>
      <c r="M1401">
        <v>0</v>
      </c>
      <c r="N1401">
        <v>1</v>
      </c>
      <c r="O1401">
        <v>0</v>
      </c>
    </row>
    <row r="1402" spans="1:15" x14ac:dyDescent="0.2">
      <c r="A1402" s="1" t="str">
        <f>HYPERLINK("http://www.twitter.com/banuakdenizli/status/1579827449667661826", "1579827449667661826")</f>
        <v>1579827449667661826</v>
      </c>
      <c r="B1402" t="s">
        <v>15</v>
      </c>
      <c r="C1402" s="2">
        <v>44845.564699074072</v>
      </c>
      <c r="D1402">
        <v>0</v>
      </c>
      <c r="E1402">
        <v>1</v>
      </c>
      <c r="F1402" t="s">
        <v>29</v>
      </c>
      <c r="G1402" t="s">
        <v>1481</v>
      </c>
      <c r="H1402" t="str">
        <f>HYPERLINK("http://pbs.twimg.com/media/FeyQA3qXEAAKiFw.jpg", "http://pbs.twimg.com/media/FeyQA3qXEAAKiFw.jpg")</f>
        <v>http://pbs.twimg.com/media/FeyQA3qXEAAKiFw.jpg</v>
      </c>
      <c r="L1402">
        <v>0</v>
      </c>
      <c r="M1402">
        <v>0</v>
      </c>
      <c r="N1402">
        <v>1</v>
      </c>
      <c r="O1402">
        <v>0</v>
      </c>
    </row>
    <row r="1403" spans="1:15" x14ac:dyDescent="0.2">
      <c r="A1403" s="1" t="str">
        <f>HYPERLINK("http://www.twitter.com/banuakdenizli/status/1579827404503404544", "1579827404503404544")</f>
        <v>1579827404503404544</v>
      </c>
      <c r="B1403" t="s">
        <v>15</v>
      </c>
      <c r="C1403" s="2">
        <v>44845.564571759263</v>
      </c>
      <c r="D1403">
        <v>0</v>
      </c>
      <c r="E1403">
        <v>4</v>
      </c>
      <c r="F1403" t="s">
        <v>38</v>
      </c>
      <c r="G1403" t="s">
        <v>1482</v>
      </c>
      <c r="H1403" t="str">
        <f>HYPERLINK("http://pbs.twimg.com/media/Feymi_RXEAM6WQ5.jpg", "http://pbs.twimg.com/media/Feymi_RXEAM6WQ5.jpg")</f>
        <v>http://pbs.twimg.com/media/Feymi_RXEAM6WQ5.jpg</v>
      </c>
      <c r="L1403">
        <v>0</v>
      </c>
      <c r="M1403">
        <v>0</v>
      </c>
      <c r="N1403">
        <v>1</v>
      </c>
      <c r="O1403">
        <v>0</v>
      </c>
    </row>
    <row r="1404" spans="1:15" x14ac:dyDescent="0.2">
      <c r="A1404" s="1" t="str">
        <f>HYPERLINK("http://www.twitter.com/banuakdenizli/status/1579827382999224320", "1579827382999224320")</f>
        <v>1579827382999224320</v>
      </c>
      <c r="B1404" t="s">
        <v>15</v>
      </c>
      <c r="C1404" s="2">
        <v>44845.564513888887</v>
      </c>
      <c r="D1404">
        <v>0</v>
      </c>
      <c r="E1404">
        <v>3</v>
      </c>
      <c r="F1404" t="s">
        <v>29</v>
      </c>
      <c r="G1404" t="s">
        <v>1483</v>
      </c>
      <c r="H1404" t="str">
        <f>HYPERLINK("http://pbs.twimg.com/media/Fexv6x1XgAAyGlf.jpg", "http://pbs.twimg.com/media/Fexv6x1XgAAyGlf.jpg")</f>
        <v>http://pbs.twimg.com/media/Fexv6x1XgAAyGlf.jpg</v>
      </c>
      <c r="L1404">
        <v>0</v>
      </c>
      <c r="M1404">
        <v>0</v>
      </c>
      <c r="N1404">
        <v>1</v>
      </c>
      <c r="O1404">
        <v>0</v>
      </c>
    </row>
    <row r="1405" spans="1:15" x14ac:dyDescent="0.2">
      <c r="A1405" s="1" t="str">
        <f>HYPERLINK("http://www.twitter.com/banuakdenizli/status/1579827229764505600", "1579827229764505600")</f>
        <v>1579827229764505600</v>
      </c>
      <c r="B1405" t="s">
        <v>15</v>
      </c>
      <c r="C1405" s="2">
        <v>44845.564097222217</v>
      </c>
      <c r="D1405">
        <v>0</v>
      </c>
      <c r="E1405">
        <v>5</v>
      </c>
      <c r="F1405" t="s">
        <v>17</v>
      </c>
      <c r="G1405" t="s">
        <v>1484</v>
      </c>
      <c r="H1405" t="str">
        <f>HYPERLINK("http://pbs.twimg.com/media/FeysYKAXkAAx86g.jpg", "http://pbs.twimg.com/media/FeysYKAXkAAx86g.jpg")</f>
        <v>http://pbs.twimg.com/media/FeysYKAXkAAx86g.jpg</v>
      </c>
      <c r="L1405">
        <v>0.40189999999999998</v>
      </c>
      <c r="M1405">
        <v>0</v>
      </c>
      <c r="N1405">
        <v>0.90900000000000003</v>
      </c>
      <c r="O1405">
        <v>9.0999999999999998E-2</v>
      </c>
    </row>
    <row r="1406" spans="1:15" x14ac:dyDescent="0.2">
      <c r="A1406" s="1" t="str">
        <f>HYPERLINK("http://www.twitter.com/banuakdenizli/status/1579824991872638977", "1579824991872638977")</f>
        <v>1579824991872638977</v>
      </c>
      <c r="B1406" t="s">
        <v>15</v>
      </c>
      <c r="C1406" s="2">
        <v>44845.557916666658</v>
      </c>
      <c r="D1406">
        <v>0</v>
      </c>
      <c r="E1406">
        <v>3</v>
      </c>
      <c r="F1406" t="s">
        <v>20</v>
      </c>
      <c r="G1406" t="s">
        <v>1485</v>
      </c>
      <c r="H1406" t="str">
        <f>HYPERLINK("http://pbs.twimg.com/media/FeyFrl1XgAAvIVb.jpg", "http://pbs.twimg.com/media/FeyFrl1XgAAvIVb.jpg")</f>
        <v>http://pbs.twimg.com/media/FeyFrl1XgAAvIVb.jpg</v>
      </c>
      <c r="L1406">
        <v>0</v>
      </c>
      <c r="M1406">
        <v>0</v>
      </c>
      <c r="N1406">
        <v>1</v>
      </c>
      <c r="O1406">
        <v>0</v>
      </c>
    </row>
    <row r="1407" spans="1:15" x14ac:dyDescent="0.2">
      <c r="A1407" s="1" t="str">
        <f>HYPERLINK("http://www.twitter.com/banuakdenizli/status/1579824852344901634", "1579824852344901634")</f>
        <v>1579824852344901634</v>
      </c>
      <c r="B1407" t="s">
        <v>15</v>
      </c>
      <c r="C1407" s="2">
        <v>44845.557534722233</v>
      </c>
      <c r="D1407">
        <v>0</v>
      </c>
      <c r="E1407">
        <v>4</v>
      </c>
      <c r="F1407" t="s">
        <v>20</v>
      </c>
      <c r="G1407" t="s">
        <v>1486</v>
      </c>
      <c r="H1407" t="str">
        <f>HYPERLINK("http://pbs.twimg.com/media/Feyhr2gXEAIC162.jpg", "http://pbs.twimg.com/media/Feyhr2gXEAIC162.jpg")</f>
        <v>http://pbs.twimg.com/media/Feyhr2gXEAIC162.jpg</v>
      </c>
      <c r="I1407" t="str">
        <f>HYPERLINK("http://pbs.twimg.com/media/Feyhr2nWQAErcUt.jpg", "http://pbs.twimg.com/media/Feyhr2nWQAErcUt.jpg")</f>
        <v>http://pbs.twimg.com/media/Feyhr2nWQAErcUt.jpg</v>
      </c>
      <c r="L1407">
        <v>0</v>
      </c>
      <c r="M1407">
        <v>0</v>
      </c>
      <c r="N1407">
        <v>1</v>
      </c>
      <c r="O1407">
        <v>0</v>
      </c>
    </row>
    <row r="1408" spans="1:15" x14ac:dyDescent="0.2">
      <c r="A1408" s="1" t="str">
        <f>HYPERLINK("http://www.twitter.com/banuakdenizli/status/1579824627748311040", "1579824627748311040")</f>
        <v>1579824627748311040</v>
      </c>
      <c r="B1408" t="s">
        <v>15</v>
      </c>
      <c r="C1408" s="2">
        <v>44845.556909722232</v>
      </c>
      <c r="D1408">
        <v>0</v>
      </c>
      <c r="E1408">
        <v>3</v>
      </c>
      <c r="F1408" t="s">
        <v>17</v>
      </c>
      <c r="G1408" t="s">
        <v>1487</v>
      </c>
      <c r="H1408" t="str">
        <f>HYPERLINK("http://pbs.twimg.com/media/FeyoVqsWIAMQQJx.jpg", "http://pbs.twimg.com/media/FeyoVqsWIAMQQJx.jpg")</f>
        <v>http://pbs.twimg.com/media/FeyoVqsWIAMQQJx.jpg</v>
      </c>
      <c r="L1408">
        <v>0</v>
      </c>
      <c r="M1408">
        <v>0</v>
      </c>
      <c r="N1408">
        <v>1</v>
      </c>
      <c r="O1408">
        <v>0</v>
      </c>
    </row>
    <row r="1409" spans="1:15" x14ac:dyDescent="0.2">
      <c r="A1409" s="1" t="str">
        <f>HYPERLINK("http://www.twitter.com/banuakdenizli/status/1579823470258827264", "1579823470258827264")</f>
        <v>1579823470258827264</v>
      </c>
      <c r="B1409" t="s">
        <v>15</v>
      </c>
      <c r="C1409" s="2">
        <v>44845.553715277783</v>
      </c>
      <c r="D1409">
        <v>0</v>
      </c>
      <c r="E1409">
        <v>5</v>
      </c>
      <c r="F1409" t="s">
        <v>17</v>
      </c>
      <c r="G1409" t="s">
        <v>1488</v>
      </c>
      <c r="H1409" t="str">
        <f>HYPERLINK("http://pbs.twimg.com/media/FeyogY4WAAE84al.jpg", "http://pbs.twimg.com/media/FeyogY4WAAE84al.jpg")</f>
        <v>http://pbs.twimg.com/media/FeyogY4WAAE84al.jpg</v>
      </c>
      <c r="I1409" t="str">
        <f>HYPERLINK("http://pbs.twimg.com/media/FeyogY2XwAE7o4u.jpg", "http://pbs.twimg.com/media/FeyogY2XwAE7o4u.jpg")</f>
        <v>http://pbs.twimg.com/media/FeyogY2XwAE7o4u.jpg</v>
      </c>
      <c r="L1409">
        <v>0</v>
      </c>
      <c r="M1409">
        <v>0</v>
      </c>
      <c r="N1409">
        <v>1</v>
      </c>
      <c r="O1409">
        <v>0</v>
      </c>
    </row>
    <row r="1410" spans="1:15" x14ac:dyDescent="0.2">
      <c r="A1410" s="1" t="str">
        <f>HYPERLINK("http://www.twitter.com/banuakdenizli/status/1579804276901416960", "1579804276901416960")</f>
        <v>1579804276901416960</v>
      </c>
      <c r="B1410" t="s">
        <v>15</v>
      </c>
      <c r="C1410" s="2">
        <v>44845.500752314823</v>
      </c>
      <c r="D1410">
        <v>0</v>
      </c>
      <c r="E1410">
        <v>10</v>
      </c>
      <c r="F1410" t="s">
        <v>16</v>
      </c>
      <c r="G1410" t="s">
        <v>1489</v>
      </c>
      <c r="H1410" t="str">
        <f>HYPERLINK("http://pbs.twimg.com/media/FeyGVHYXgAAJp3u.jpg", "http://pbs.twimg.com/media/FeyGVHYXgAAJp3u.jpg")</f>
        <v>http://pbs.twimg.com/media/FeyGVHYXgAAJp3u.jpg</v>
      </c>
      <c r="I1410" t="str">
        <f>HYPERLINK("http://pbs.twimg.com/media/FeyGV2KXkAEqhOK.jpg", "http://pbs.twimg.com/media/FeyGV2KXkAEqhOK.jpg")</f>
        <v>http://pbs.twimg.com/media/FeyGV2KXkAEqhOK.jpg</v>
      </c>
      <c r="L1410">
        <v>0</v>
      </c>
      <c r="M1410">
        <v>0</v>
      </c>
      <c r="N1410">
        <v>1</v>
      </c>
      <c r="O1410">
        <v>0</v>
      </c>
    </row>
    <row r="1411" spans="1:15" x14ac:dyDescent="0.2">
      <c r="A1411" s="1" t="str">
        <f>HYPERLINK("http://www.twitter.com/banuakdenizli/status/1579804241556017153", "1579804241556017153")</f>
        <v>1579804241556017153</v>
      </c>
      <c r="B1411" t="s">
        <v>15</v>
      </c>
      <c r="C1411" s="2">
        <v>44845.500659722216</v>
      </c>
      <c r="D1411">
        <v>0</v>
      </c>
      <c r="E1411">
        <v>8</v>
      </c>
      <c r="F1411" t="s">
        <v>16</v>
      </c>
      <c r="G1411" t="s">
        <v>1490</v>
      </c>
      <c r="H1411" t="str">
        <f>HYPERLINK("http://pbs.twimg.com/media/FeyBLd3WYAAIIFP.jpg", "http://pbs.twimg.com/media/FeyBLd3WYAAIIFP.jpg")</f>
        <v>http://pbs.twimg.com/media/FeyBLd3WYAAIIFP.jpg</v>
      </c>
      <c r="L1411">
        <v>0</v>
      </c>
      <c r="M1411">
        <v>0</v>
      </c>
      <c r="N1411">
        <v>1</v>
      </c>
      <c r="O1411">
        <v>0</v>
      </c>
    </row>
    <row r="1412" spans="1:15" x14ac:dyDescent="0.2">
      <c r="A1412" s="1" t="str">
        <f>HYPERLINK("http://www.twitter.com/banuakdenizli/status/1579804207749947393", "1579804207749947393")</f>
        <v>1579804207749947393</v>
      </c>
      <c r="B1412" t="s">
        <v>15</v>
      </c>
      <c r="C1412" s="2">
        <v>44845.500567129631</v>
      </c>
      <c r="D1412">
        <v>0</v>
      </c>
      <c r="E1412">
        <v>13</v>
      </c>
      <c r="F1412" t="s">
        <v>16</v>
      </c>
      <c r="G1412" t="s">
        <v>1491</v>
      </c>
      <c r="H1412" t="str">
        <f>HYPERLINK("http://pbs.twimg.com/media/Few94UEWAAA2xOr.jpg", "http://pbs.twimg.com/media/Few94UEWAAA2xOr.jpg")</f>
        <v>http://pbs.twimg.com/media/Few94UEWAAA2xOr.jpg</v>
      </c>
      <c r="L1412">
        <v>0</v>
      </c>
      <c r="M1412">
        <v>0</v>
      </c>
      <c r="N1412">
        <v>1</v>
      </c>
      <c r="O1412">
        <v>0</v>
      </c>
    </row>
    <row r="1413" spans="1:15" x14ac:dyDescent="0.2">
      <c r="A1413" s="1" t="str">
        <f>HYPERLINK("http://www.twitter.com/banuakdenizli/status/1579804193120219138", "1579804193120219138")</f>
        <v>1579804193120219138</v>
      </c>
      <c r="B1413" t="s">
        <v>15</v>
      </c>
      <c r="C1413" s="2">
        <v>44845.500520833331</v>
      </c>
      <c r="D1413">
        <v>0</v>
      </c>
      <c r="E1413">
        <v>9</v>
      </c>
      <c r="F1413" t="s">
        <v>16</v>
      </c>
      <c r="G1413" t="s">
        <v>1492</v>
      </c>
      <c r="H1413" t="str">
        <f>HYPERLINK("http://pbs.twimg.com/media/Fexl6K2XoAEe9Sl.jpg", "http://pbs.twimg.com/media/Fexl6K2XoAEe9Sl.jpg")</f>
        <v>http://pbs.twimg.com/media/Fexl6K2XoAEe9Sl.jpg</v>
      </c>
      <c r="I1413" t="str">
        <f>HYPERLINK("http://pbs.twimg.com/media/Fexl62ZWYAM6aak.jpg", "http://pbs.twimg.com/media/Fexl62ZWYAM6aak.jpg")</f>
        <v>http://pbs.twimg.com/media/Fexl62ZWYAM6aak.jpg</v>
      </c>
      <c r="L1413">
        <v>0</v>
      </c>
      <c r="M1413">
        <v>0</v>
      </c>
      <c r="N1413">
        <v>1</v>
      </c>
      <c r="O1413">
        <v>0</v>
      </c>
    </row>
    <row r="1414" spans="1:15" x14ac:dyDescent="0.2">
      <c r="A1414" s="1" t="str">
        <f>HYPERLINK("http://www.twitter.com/banuakdenizli/status/1579804174673653761", "1579804174673653761")</f>
        <v>1579804174673653761</v>
      </c>
      <c r="B1414" t="s">
        <v>15</v>
      </c>
      <c r="C1414" s="2">
        <v>44845.500474537039</v>
      </c>
      <c r="D1414">
        <v>0</v>
      </c>
      <c r="E1414">
        <v>37</v>
      </c>
      <c r="F1414" t="s">
        <v>28</v>
      </c>
      <c r="G1414" t="s">
        <v>1493</v>
      </c>
      <c r="L1414">
        <v>0</v>
      </c>
      <c r="M1414">
        <v>0</v>
      </c>
      <c r="N1414">
        <v>1</v>
      </c>
      <c r="O1414">
        <v>0</v>
      </c>
    </row>
    <row r="1415" spans="1:15" x14ac:dyDescent="0.2">
      <c r="A1415" s="1" t="str">
        <f>HYPERLINK("http://www.twitter.com/banuakdenizli/status/1579804149348458497", "1579804149348458497")</f>
        <v>1579804149348458497</v>
      </c>
      <c r="B1415" t="s">
        <v>15</v>
      </c>
      <c r="C1415" s="2">
        <v>44845.500405092593</v>
      </c>
      <c r="D1415">
        <v>0</v>
      </c>
      <c r="E1415">
        <v>6</v>
      </c>
      <c r="F1415" t="s">
        <v>16</v>
      </c>
      <c r="G1415" t="s">
        <v>1494</v>
      </c>
      <c r="H1415" t="str">
        <f>HYPERLINK("http://pbs.twimg.com/media/FexzYZIWIAAPgdm.jpg", "http://pbs.twimg.com/media/FexzYZIWIAAPgdm.jpg")</f>
        <v>http://pbs.twimg.com/media/FexzYZIWIAAPgdm.jpg</v>
      </c>
      <c r="L1415">
        <v>0</v>
      </c>
      <c r="M1415">
        <v>0</v>
      </c>
      <c r="N1415">
        <v>1</v>
      </c>
      <c r="O1415">
        <v>0</v>
      </c>
    </row>
    <row r="1416" spans="1:15" x14ac:dyDescent="0.2">
      <c r="A1416" s="1" t="str">
        <f>HYPERLINK("http://www.twitter.com/banuakdenizli/status/1579804017903144961", "1579804017903144961")</f>
        <v>1579804017903144961</v>
      </c>
      <c r="B1416" t="s">
        <v>15</v>
      </c>
      <c r="C1416" s="2">
        <v>44845.500034722223</v>
      </c>
      <c r="D1416">
        <v>0</v>
      </c>
      <c r="E1416">
        <v>7</v>
      </c>
      <c r="F1416" t="s">
        <v>16</v>
      </c>
      <c r="G1416" t="s">
        <v>1495</v>
      </c>
      <c r="H1416" t="str">
        <f>HYPERLINK("http://pbs.twimg.com/media/FeyVFRbXEAArDB8.jpg", "http://pbs.twimg.com/media/FeyVFRbXEAArDB8.jpg")</f>
        <v>http://pbs.twimg.com/media/FeyVFRbXEAArDB8.jpg</v>
      </c>
      <c r="L1416">
        <v>0</v>
      </c>
      <c r="M1416">
        <v>0</v>
      </c>
      <c r="N1416">
        <v>1</v>
      </c>
      <c r="O1416">
        <v>0</v>
      </c>
    </row>
    <row r="1417" spans="1:15" x14ac:dyDescent="0.2">
      <c r="A1417" s="1" t="str">
        <f>HYPERLINK("http://www.twitter.com/banuakdenizli/status/1579803956032966656", "1579803956032966656")</f>
        <v>1579803956032966656</v>
      </c>
      <c r="B1417" t="s">
        <v>15</v>
      </c>
      <c r="C1417" s="2">
        <v>44845.499872685177</v>
      </c>
      <c r="D1417">
        <v>0</v>
      </c>
      <c r="E1417">
        <v>5</v>
      </c>
      <c r="F1417" t="s">
        <v>17</v>
      </c>
      <c r="G1417" t="s">
        <v>1496</v>
      </c>
      <c r="H1417" t="str">
        <f>HYPERLINK("http://pbs.twimg.com/media/Fex1rihWQAEaFzZ.jpg", "http://pbs.twimg.com/media/Fex1rihWQAEaFzZ.jpg")</f>
        <v>http://pbs.twimg.com/media/Fex1rihWQAEaFzZ.jpg</v>
      </c>
      <c r="I1417" t="str">
        <f>HYPERLINK("http://pbs.twimg.com/media/Fex1uqHXkAMM9xR.jpg", "http://pbs.twimg.com/media/Fex1uqHXkAMM9xR.jpg")</f>
        <v>http://pbs.twimg.com/media/Fex1uqHXkAMM9xR.jpg</v>
      </c>
      <c r="L1417">
        <v>0</v>
      </c>
      <c r="M1417">
        <v>0</v>
      </c>
      <c r="N1417">
        <v>1</v>
      </c>
      <c r="O1417">
        <v>0</v>
      </c>
    </row>
    <row r="1418" spans="1:15" x14ac:dyDescent="0.2">
      <c r="A1418" s="1" t="str">
        <f>HYPERLINK("http://www.twitter.com/banuakdenizli/status/1579803929847926784", "1579803929847926784")</f>
        <v>1579803929847926784</v>
      </c>
      <c r="B1418" t="s">
        <v>15</v>
      </c>
      <c r="C1418" s="2">
        <v>44845.499791666669</v>
      </c>
      <c r="D1418">
        <v>0</v>
      </c>
      <c r="E1418">
        <v>9</v>
      </c>
      <c r="F1418" t="s">
        <v>17</v>
      </c>
      <c r="G1418" t="s">
        <v>1497</v>
      </c>
      <c r="H1418" t="str">
        <f>HYPERLINK("http://pbs.twimg.com/media/FexWMv8WIAEDIMY.jpg", "http://pbs.twimg.com/media/FexWMv8WIAEDIMY.jpg")</f>
        <v>http://pbs.twimg.com/media/FexWMv8WIAEDIMY.jpg</v>
      </c>
      <c r="L1418">
        <v>0.65969999999999995</v>
      </c>
      <c r="M1418">
        <v>0</v>
      </c>
      <c r="N1418">
        <v>0.67</v>
      </c>
      <c r="O1418">
        <v>0.33</v>
      </c>
    </row>
    <row r="1419" spans="1:15" x14ac:dyDescent="0.2">
      <c r="A1419" s="1" t="str">
        <f>HYPERLINK("http://www.twitter.com/banuakdenizli/status/1579803884322971648", "1579803884322971648")</f>
        <v>1579803884322971648</v>
      </c>
      <c r="B1419" t="s">
        <v>15</v>
      </c>
      <c r="C1419" s="2">
        <v>44845.499675925923</v>
      </c>
      <c r="D1419">
        <v>0</v>
      </c>
      <c r="E1419">
        <v>3</v>
      </c>
      <c r="F1419" t="s">
        <v>17</v>
      </c>
      <c r="G1419" t="s">
        <v>1498</v>
      </c>
      <c r="H1419" t="str">
        <f>HYPERLINK("http://pbs.twimg.com/media/FeyBc6WXkAAyUZ_.jpg", "http://pbs.twimg.com/media/FeyBc6WXkAAyUZ_.jpg")</f>
        <v>http://pbs.twimg.com/media/FeyBc6WXkAAyUZ_.jpg</v>
      </c>
      <c r="L1419">
        <v>0</v>
      </c>
      <c r="M1419">
        <v>0</v>
      </c>
      <c r="N1419">
        <v>1</v>
      </c>
      <c r="O1419">
        <v>0</v>
      </c>
    </row>
    <row r="1420" spans="1:15" x14ac:dyDescent="0.2">
      <c r="A1420" s="1" t="str">
        <f>HYPERLINK("http://www.twitter.com/banuakdenizli/status/1579634994733277184", "1579634994733277184")</f>
        <v>1579634994733277184</v>
      </c>
      <c r="B1420" t="s">
        <v>15</v>
      </c>
      <c r="C1420" s="2">
        <v>44845.033622685187</v>
      </c>
      <c r="D1420">
        <v>0</v>
      </c>
      <c r="E1420">
        <v>2</v>
      </c>
      <c r="F1420" t="s">
        <v>29</v>
      </c>
      <c r="G1420" t="s">
        <v>1499</v>
      </c>
      <c r="H1420" t="str">
        <f>HYPERLINK("http://pbs.twimg.com/media/FevMiI8WYAY67G9.jpg", "http://pbs.twimg.com/media/FevMiI8WYAY67G9.jpg")</f>
        <v>http://pbs.twimg.com/media/FevMiI8WYAY67G9.jpg</v>
      </c>
      <c r="L1420">
        <v>0</v>
      </c>
      <c r="M1420">
        <v>0</v>
      </c>
      <c r="N1420">
        <v>1</v>
      </c>
      <c r="O1420">
        <v>0</v>
      </c>
    </row>
    <row r="1421" spans="1:15" x14ac:dyDescent="0.2">
      <c r="A1421" s="1" t="str">
        <f>HYPERLINK("http://www.twitter.com/banuakdenizli/status/1579634975187828736", "1579634975187828736")</f>
        <v>1579634975187828736</v>
      </c>
      <c r="B1421" t="s">
        <v>15</v>
      </c>
      <c r="C1421" s="2">
        <v>44845.033564814818</v>
      </c>
      <c r="D1421">
        <v>0</v>
      </c>
      <c r="E1421">
        <v>1</v>
      </c>
      <c r="F1421" t="s">
        <v>29</v>
      </c>
      <c r="G1421" t="s">
        <v>1500</v>
      </c>
      <c r="H1421" t="str">
        <f>HYPERLINK("http://pbs.twimg.com/media/FevM4_tWYA4V4JF.jpg", "http://pbs.twimg.com/media/FevM4_tWYA4V4JF.jpg")</f>
        <v>http://pbs.twimg.com/media/FevM4_tWYA4V4JF.jpg</v>
      </c>
      <c r="L1421">
        <v>0</v>
      </c>
      <c r="M1421">
        <v>0</v>
      </c>
      <c r="N1421">
        <v>1</v>
      </c>
      <c r="O1421">
        <v>0</v>
      </c>
    </row>
    <row r="1422" spans="1:15" x14ac:dyDescent="0.2">
      <c r="A1422" s="1" t="str">
        <f>HYPERLINK("http://www.twitter.com/banuakdenizli/status/1579634922448334849", "1579634922448334849")</f>
        <v>1579634922448334849</v>
      </c>
      <c r="B1422" t="s">
        <v>15</v>
      </c>
      <c r="C1422" s="2">
        <v>44845.033425925933</v>
      </c>
      <c r="D1422">
        <v>0</v>
      </c>
      <c r="E1422">
        <v>1</v>
      </c>
      <c r="F1422" t="s">
        <v>29</v>
      </c>
      <c r="G1422" t="s">
        <v>1501</v>
      </c>
      <c r="H1422" t="str">
        <f>HYPERLINK("http://pbs.twimg.com/media/FevPnOyXwAAz7uq.jpg", "http://pbs.twimg.com/media/FevPnOyXwAAz7uq.jpg")</f>
        <v>http://pbs.twimg.com/media/FevPnOyXwAAz7uq.jpg</v>
      </c>
      <c r="I1422" t="str">
        <f>HYPERLINK("http://pbs.twimg.com/media/FevPnOrWQAAabzS.jpg", "http://pbs.twimg.com/media/FevPnOrWQAAabzS.jpg")</f>
        <v>http://pbs.twimg.com/media/FevPnOrWQAAabzS.jpg</v>
      </c>
      <c r="L1422">
        <v>0</v>
      </c>
      <c r="M1422">
        <v>0</v>
      </c>
      <c r="N1422">
        <v>1</v>
      </c>
      <c r="O1422">
        <v>0</v>
      </c>
    </row>
    <row r="1423" spans="1:15" x14ac:dyDescent="0.2">
      <c r="A1423" s="1" t="str">
        <f>HYPERLINK("http://www.twitter.com/banuakdenizli/status/1579634850281455616", "1579634850281455616")</f>
        <v>1579634850281455616</v>
      </c>
      <c r="B1423" t="s">
        <v>15</v>
      </c>
      <c r="C1423" s="2">
        <v>44845.033229166656</v>
      </c>
      <c r="D1423">
        <v>0</v>
      </c>
      <c r="E1423">
        <v>1</v>
      </c>
      <c r="F1423" t="s">
        <v>29</v>
      </c>
      <c r="G1423" t="s">
        <v>1502</v>
      </c>
      <c r="H1423" t="str">
        <f>HYPERLINK("http://pbs.twimg.com/media/FevY33pX0AMD5oC.jpg", "http://pbs.twimg.com/media/FevY33pX0AMD5oC.jpg")</f>
        <v>http://pbs.twimg.com/media/FevY33pX0AMD5oC.jpg</v>
      </c>
      <c r="L1423">
        <v>0.67049999999999998</v>
      </c>
      <c r="M1423">
        <v>0</v>
      </c>
      <c r="N1423">
        <v>0.75600000000000001</v>
      </c>
      <c r="O1423">
        <v>0.24399999999999999</v>
      </c>
    </row>
    <row r="1424" spans="1:15" x14ac:dyDescent="0.2">
      <c r="A1424" s="1" t="str">
        <f>HYPERLINK("http://www.twitter.com/banuakdenizli/status/1579634638842363904", "1579634638842363904")</f>
        <v>1579634638842363904</v>
      </c>
      <c r="B1424" t="s">
        <v>15</v>
      </c>
      <c r="C1424" s="2">
        <v>44845.032638888893</v>
      </c>
      <c r="D1424">
        <v>0</v>
      </c>
      <c r="E1424">
        <v>2</v>
      </c>
      <c r="F1424" t="s">
        <v>38</v>
      </c>
      <c r="G1424" t="s">
        <v>1503</v>
      </c>
      <c r="H1424" t="str">
        <f>HYPERLINK("http://pbs.twimg.com/media/FevKF9wWYAEPrPf.jpg", "http://pbs.twimg.com/media/FevKF9wWYAEPrPf.jpg")</f>
        <v>http://pbs.twimg.com/media/FevKF9wWYAEPrPf.jpg</v>
      </c>
      <c r="I1424" t="str">
        <f>HYPERLINK("http://pbs.twimg.com/media/FevKF9dWAAUtoqr.jpg", "http://pbs.twimg.com/media/FevKF9dWAAUtoqr.jpg")</f>
        <v>http://pbs.twimg.com/media/FevKF9dWAAUtoqr.jpg</v>
      </c>
      <c r="J1424" t="str">
        <f>HYPERLINK("http://pbs.twimg.com/media/FevKF-EWQAMntjI.jpg", "http://pbs.twimg.com/media/FevKF-EWQAMntjI.jpg")</f>
        <v>http://pbs.twimg.com/media/FevKF-EWQAMntjI.jpg</v>
      </c>
      <c r="L1424">
        <v>0</v>
      </c>
      <c r="M1424">
        <v>0</v>
      </c>
      <c r="N1424">
        <v>1</v>
      </c>
      <c r="O1424">
        <v>0</v>
      </c>
    </row>
    <row r="1425" spans="1:15" x14ac:dyDescent="0.2">
      <c r="A1425" s="1" t="str">
        <f>HYPERLINK("http://www.twitter.com/banuakdenizli/status/1579634630340530178", "1579634630340530178")</f>
        <v>1579634630340530178</v>
      </c>
      <c r="B1425" t="s">
        <v>15</v>
      </c>
      <c r="C1425" s="2">
        <v>44845.03261574074</v>
      </c>
      <c r="D1425">
        <v>0</v>
      </c>
      <c r="E1425">
        <v>2</v>
      </c>
      <c r="F1425" t="s">
        <v>38</v>
      </c>
      <c r="G1425" t="s">
        <v>1504</v>
      </c>
      <c r="H1425" t="str">
        <f>HYPERLINK("http://pbs.twimg.com/media/FevI-D-XEAAi0dw.jpg", "http://pbs.twimg.com/media/FevI-D-XEAAi0dw.jpg")</f>
        <v>http://pbs.twimg.com/media/FevI-D-XEAAi0dw.jpg</v>
      </c>
      <c r="I1425" t="str">
        <f>HYPERLINK("http://pbs.twimg.com/media/FevI-EaXkAEqVdW.jpg", "http://pbs.twimg.com/media/FevI-EaXkAEqVdW.jpg")</f>
        <v>http://pbs.twimg.com/media/FevI-EaXkAEqVdW.jpg</v>
      </c>
      <c r="L1425">
        <v>0</v>
      </c>
      <c r="M1425">
        <v>0</v>
      </c>
      <c r="N1425">
        <v>1</v>
      </c>
      <c r="O1425">
        <v>0</v>
      </c>
    </row>
    <row r="1426" spans="1:15" x14ac:dyDescent="0.2">
      <c r="A1426" s="1" t="str">
        <f>HYPERLINK("http://www.twitter.com/banuakdenizli/status/1579626211634184192", "1579626211634184192")</f>
        <v>1579626211634184192</v>
      </c>
      <c r="B1426" t="s">
        <v>15</v>
      </c>
      <c r="C1426" s="2">
        <v>44845.009386574071</v>
      </c>
      <c r="D1426">
        <v>0</v>
      </c>
      <c r="E1426">
        <v>1</v>
      </c>
      <c r="F1426" t="s">
        <v>29</v>
      </c>
      <c r="G1426" t="s">
        <v>1505</v>
      </c>
      <c r="H1426" t="str">
        <f>HYPERLINK("http://pbs.twimg.com/media/FevMSVkWYAI1XAz.jpg", "http://pbs.twimg.com/media/FevMSVkWYAI1XAz.jpg")</f>
        <v>http://pbs.twimg.com/media/FevMSVkWYAI1XAz.jpg</v>
      </c>
      <c r="I1426" t="str">
        <f>HYPERLINK("http://pbs.twimg.com/media/FevMSVWWYAAlUOR.jpg", "http://pbs.twimg.com/media/FevMSVWWYAAlUOR.jpg")</f>
        <v>http://pbs.twimg.com/media/FevMSVWWYAAlUOR.jpg</v>
      </c>
      <c r="J1426" t="str">
        <f>HYPERLINK("http://pbs.twimg.com/media/FevMSVdXwAUzmpW.jpg", "http://pbs.twimg.com/media/FevMSVdXwAUzmpW.jpg")</f>
        <v>http://pbs.twimg.com/media/FevMSVdXwAUzmpW.jpg</v>
      </c>
      <c r="L1426">
        <v>0</v>
      </c>
      <c r="M1426">
        <v>0</v>
      </c>
      <c r="N1426">
        <v>1</v>
      </c>
      <c r="O1426">
        <v>0</v>
      </c>
    </row>
    <row r="1427" spans="1:15" x14ac:dyDescent="0.2">
      <c r="A1427" s="1" t="str">
        <f>HYPERLINK("http://www.twitter.com/banuakdenizli/status/1579569384435376128", "1579569384435376128")</f>
        <v>1579569384435376128</v>
      </c>
      <c r="B1427" t="s">
        <v>15</v>
      </c>
      <c r="C1427" s="2">
        <v>44844.852569444447</v>
      </c>
      <c r="D1427">
        <v>0</v>
      </c>
      <c r="E1427">
        <v>9</v>
      </c>
      <c r="F1427" t="s">
        <v>17</v>
      </c>
      <c r="G1427" t="s">
        <v>1506</v>
      </c>
      <c r="H1427" t="str">
        <f>HYPERLINK("http://pbs.twimg.com/media/Feu_6ivXEB03DNu.jpg", "http://pbs.twimg.com/media/Feu_6ivXEB03DNu.jpg")</f>
        <v>http://pbs.twimg.com/media/Feu_6ivXEB03DNu.jpg</v>
      </c>
      <c r="I1427" t="str">
        <f>HYPERLINK("http://pbs.twimg.com/media/Feu_6gqXEAsnSkL.jpg", "http://pbs.twimg.com/media/Feu_6gqXEAsnSkL.jpg")</f>
        <v>http://pbs.twimg.com/media/Feu_6gqXEAsnSkL.jpg</v>
      </c>
      <c r="L1427">
        <v>0</v>
      </c>
      <c r="M1427">
        <v>0</v>
      </c>
      <c r="N1427">
        <v>1</v>
      </c>
      <c r="O1427">
        <v>0</v>
      </c>
    </row>
    <row r="1428" spans="1:15" x14ac:dyDescent="0.2">
      <c r="A1428" s="1" t="str">
        <f>HYPERLINK("http://www.twitter.com/banuakdenizli/status/1579547518396174337", "1579547518396174337")</f>
        <v>1579547518396174337</v>
      </c>
      <c r="B1428" t="s">
        <v>15</v>
      </c>
      <c r="C1428" s="2">
        <v>44844.792233796303</v>
      </c>
      <c r="D1428">
        <v>0</v>
      </c>
      <c r="E1428">
        <v>14</v>
      </c>
      <c r="F1428" t="s">
        <v>16</v>
      </c>
      <c r="G1428" t="s">
        <v>1507</v>
      </c>
      <c r="H1428" t="str">
        <f>HYPERLINK("http://pbs.twimg.com/media/FeulloNWAAEgv3m.jpg", "http://pbs.twimg.com/media/FeulloNWAAEgv3m.jpg")</f>
        <v>http://pbs.twimg.com/media/FeulloNWAAEgv3m.jpg</v>
      </c>
      <c r="I1428" t="str">
        <f>HYPERLINK("http://pbs.twimg.com/media/FeulloUWAAw725w.jpg", "http://pbs.twimg.com/media/FeulloUWAAw725w.jpg")</f>
        <v>http://pbs.twimg.com/media/FeulloUWAAw725w.jpg</v>
      </c>
      <c r="L1428">
        <v>0</v>
      </c>
      <c r="M1428">
        <v>0</v>
      </c>
      <c r="N1428">
        <v>1</v>
      </c>
      <c r="O1428">
        <v>0</v>
      </c>
    </row>
    <row r="1429" spans="1:15" x14ac:dyDescent="0.2">
      <c r="A1429" s="1" t="str">
        <f>HYPERLINK("http://www.twitter.com/banuakdenizli/status/1579526346203877376", "1579526346203877376")</f>
        <v>1579526346203877376</v>
      </c>
      <c r="B1429" t="s">
        <v>15</v>
      </c>
      <c r="C1429" s="2">
        <v>44844.733807870369</v>
      </c>
      <c r="D1429">
        <v>0</v>
      </c>
      <c r="E1429">
        <v>1</v>
      </c>
      <c r="F1429" t="s">
        <v>37</v>
      </c>
      <c r="G1429" t="s">
        <v>1508</v>
      </c>
      <c r="H1429" t="str">
        <f>HYPERLINK("http://pbs.twimg.com/media/FeuX3GCWAAUnXcq.jpg", "http://pbs.twimg.com/media/FeuX3GCWAAUnXcq.jpg")</f>
        <v>http://pbs.twimg.com/media/FeuX3GCWAAUnXcq.jpg</v>
      </c>
      <c r="I1429" t="str">
        <f>HYPERLINK("http://pbs.twimg.com/media/FeuX4M-WYAAprVd.jpg", "http://pbs.twimg.com/media/FeuX4M-WYAAprVd.jpg")</f>
        <v>http://pbs.twimg.com/media/FeuX4M-WYAAprVd.jpg</v>
      </c>
      <c r="L1429">
        <v>0</v>
      </c>
      <c r="M1429">
        <v>0</v>
      </c>
      <c r="N1429">
        <v>1</v>
      </c>
      <c r="O1429">
        <v>0</v>
      </c>
    </row>
    <row r="1430" spans="1:15" x14ac:dyDescent="0.2">
      <c r="A1430" s="1" t="str">
        <f>HYPERLINK("http://www.twitter.com/banuakdenizli/status/1579526332756955139", "1579526332756955139")</f>
        <v>1579526332756955139</v>
      </c>
      <c r="B1430" t="s">
        <v>15</v>
      </c>
      <c r="C1430" s="2">
        <v>44844.733773148153</v>
      </c>
      <c r="D1430">
        <v>0</v>
      </c>
      <c r="E1430">
        <v>1</v>
      </c>
      <c r="F1430" t="s">
        <v>37</v>
      </c>
      <c r="G1430" t="s">
        <v>1509</v>
      </c>
      <c r="H1430" t="str">
        <f>HYPERLINK("http://pbs.twimg.com/media/FeuYWf8WAAEKlUS.jpg", "http://pbs.twimg.com/media/FeuYWf8WAAEKlUS.jpg")</f>
        <v>http://pbs.twimg.com/media/FeuYWf8WAAEKlUS.jpg</v>
      </c>
      <c r="I1430" t="str">
        <f>HYPERLINK("http://pbs.twimg.com/media/FeuY5uNWIAMYuRl.jpg", "http://pbs.twimg.com/media/FeuY5uNWIAMYuRl.jpg")</f>
        <v>http://pbs.twimg.com/media/FeuY5uNWIAMYuRl.jpg</v>
      </c>
      <c r="L1430">
        <v>0.77170000000000005</v>
      </c>
      <c r="M1430">
        <v>0</v>
      </c>
      <c r="N1430">
        <v>0.51100000000000001</v>
      </c>
      <c r="O1430">
        <v>0.48899999999999999</v>
      </c>
    </row>
    <row r="1431" spans="1:15" x14ac:dyDescent="0.2">
      <c r="A1431" s="1" t="str">
        <f>HYPERLINK("http://www.twitter.com/banuakdenizli/status/1579508452292194306", "1579508452292194306")</f>
        <v>1579508452292194306</v>
      </c>
      <c r="B1431" t="s">
        <v>15</v>
      </c>
      <c r="C1431" s="2">
        <v>44844.684432870366</v>
      </c>
      <c r="D1431">
        <v>0</v>
      </c>
      <c r="E1431">
        <v>7</v>
      </c>
      <c r="F1431" t="s">
        <v>1510</v>
      </c>
      <c r="G1431" t="s">
        <v>1511</v>
      </c>
      <c r="H1431" t="str">
        <f>HYPERLINK("http://pbs.twimg.com/media/Feta_w2XEAAgwTS.jpg", "http://pbs.twimg.com/media/Feta_w2XEAAgwTS.jpg")</f>
        <v>http://pbs.twimg.com/media/Feta_w2XEAAgwTS.jpg</v>
      </c>
      <c r="L1431">
        <v>0</v>
      </c>
      <c r="M1431">
        <v>0</v>
      </c>
      <c r="N1431">
        <v>1</v>
      </c>
      <c r="O1431">
        <v>0</v>
      </c>
    </row>
    <row r="1432" spans="1:15" x14ac:dyDescent="0.2">
      <c r="A1432" s="1" t="str">
        <f>HYPERLINK("http://www.twitter.com/banuakdenizli/status/1579508440728506369", "1579508440728506369")</f>
        <v>1579508440728506369</v>
      </c>
      <c r="B1432" t="s">
        <v>15</v>
      </c>
      <c r="C1432" s="2">
        <v>44844.684398148151</v>
      </c>
      <c r="D1432">
        <v>0</v>
      </c>
      <c r="E1432">
        <v>8</v>
      </c>
      <c r="F1432" t="s">
        <v>1510</v>
      </c>
      <c r="G1432" t="s">
        <v>1512</v>
      </c>
      <c r="H1432" t="str">
        <f>HYPERLINK("http://pbs.twimg.com/media/Fetb6b7X0AU_jEg.jpg", "http://pbs.twimg.com/media/Fetb6b7X0AU_jEg.jpg")</f>
        <v>http://pbs.twimg.com/media/Fetb6b7X0AU_jEg.jpg</v>
      </c>
      <c r="L1432">
        <v>-0.42149999999999999</v>
      </c>
      <c r="M1432">
        <v>6.4000000000000001E-2</v>
      </c>
      <c r="N1432">
        <v>0.93600000000000005</v>
      </c>
      <c r="O1432">
        <v>0</v>
      </c>
    </row>
    <row r="1433" spans="1:15" x14ac:dyDescent="0.2">
      <c r="A1433" s="1" t="str">
        <f>HYPERLINK("http://www.twitter.com/banuakdenizli/status/1579507703717957632", "1579507703717957632")</f>
        <v>1579507703717957632</v>
      </c>
      <c r="B1433" t="s">
        <v>15</v>
      </c>
      <c r="C1433" s="2">
        <v>44844.682372685187</v>
      </c>
      <c r="D1433">
        <v>0</v>
      </c>
      <c r="E1433">
        <v>9</v>
      </c>
      <c r="F1433" t="s">
        <v>19</v>
      </c>
      <c r="G1433" t="s">
        <v>1513</v>
      </c>
      <c r="H1433" t="str">
        <f>HYPERLINK("https://video.twimg.com/ext_tw_video/1579501835404066818/pu/vid/960x540/UmADBYMGfe_fPFmb.mp4?tag=12", "https://video.twimg.com/ext_tw_video/1579501835404066818/pu/vid/960x540/UmADBYMGfe_fPFmb.mp4?tag=12")</f>
        <v>https://video.twimg.com/ext_tw_video/1579501835404066818/pu/vid/960x540/UmADBYMGfe_fPFmb.mp4?tag=12</v>
      </c>
      <c r="L1433">
        <v>0.47670000000000001</v>
      </c>
      <c r="M1433">
        <v>0</v>
      </c>
      <c r="N1433">
        <v>0.90500000000000003</v>
      </c>
      <c r="O1433">
        <v>9.5000000000000001E-2</v>
      </c>
    </row>
    <row r="1434" spans="1:15" x14ac:dyDescent="0.2">
      <c r="A1434" s="1" t="str">
        <f>HYPERLINK("http://www.twitter.com/banuakdenizli/status/1579507625997504513", "1579507625997504513")</f>
        <v>1579507625997504513</v>
      </c>
      <c r="B1434" t="s">
        <v>15</v>
      </c>
      <c r="C1434" s="2">
        <v>44844.682152777779</v>
      </c>
      <c r="D1434">
        <v>0</v>
      </c>
      <c r="E1434">
        <v>13</v>
      </c>
      <c r="F1434" t="s">
        <v>19</v>
      </c>
      <c r="G1434" t="s">
        <v>1514</v>
      </c>
      <c r="H1434" t="str">
        <f>HYPERLINK("https://video.twimg.com/ext_tw_video/1579506344339685382/pu/vid/960x540/ZQrix7lnZl6o0NMJ.mp4?tag=12", "https://video.twimg.com/ext_tw_video/1579506344339685382/pu/vid/960x540/ZQrix7lnZl6o0NMJ.mp4?tag=12")</f>
        <v>https://video.twimg.com/ext_tw_video/1579506344339685382/pu/vid/960x540/ZQrix7lnZl6o0NMJ.mp4?tag=12</v>
      </c>
      <c r="L1434">
        <v>0</v>
      </c>
      <c r="M1434">
        <v>0</v>
      </c>
      <c r="N1434">
        <v>1</v>
      </c>
      <c r="O1434">
        <v>0</v>
      </c>
    </row>
    <row r="1435" spans="1:15" x14ac:dyDescent="0.2">
      <c r="A1435" s="1" t="str">
        <f>HYPERLINK("http://www.twitter.com/banuakdenizli/status/1579507286501793794", "1579507286501793794")</f>
        <v>1579507286501793794</v>
      </c>
      <c r="B1435" t="s">
        <v>15</v>
      </c>
      <c r="C1435" s="2">
        <v>44844.681215277778</v>
      </c>
      <c r="D1435">
        <v>0</v>
      </c>
      <c r="E1435">
        <v>7</v>
      </c>
      <c r="F1435" t="s">
        <v>17</v>
      </c>
      <c r="G1435" t="s">
        <v>1515</v>
      </c>
      <c r="H1435" t="str">
        <f>HYPERLINK("http://pbs.twimg.com/media/FeuCggnX0AAEvWA.jpg", "http://pbs.twimg.com/media/FeuCggnX0AAEvWA.jpg")</f>
        <v>http://pbs.twimg.com/media/FeuCggnX0AAEvWA.jpg</v>
      </c>
      <c r="L1435">
        <v>0.38179999999999997</v>
      </c>
      <c r="M1435">
        <v>0</v>
      </c>
      <c r="N1435">
        <v>0.874</v>
      </c>
      <c r="O1435">
        <v>0.126</v>
      </c>
    </row>
    <row r="1436" spans="1:15" x14ac:dyDescent="0.2">
      <c r="A1436" s="1" t="str">
        <f>HYPERLINK("http://www.twitter.com/banuakdenizli/status/1579494782346592257", "1579494782346592257")</f>
        <v>1579494782346592257</v>
      </c>
      <c r="B1436" t="s">
        <v>15</v>
      </c>
      <c r="C1436" s="2">
        <v>44844.64671296296</v>
      </c>
      <c r="D1436">
        <v>0</v>
      </c>
      <c r="E1436">
        <v>1</v>
      </c>
      <c r="F1436" t="s">
        <v>20</v>
      </c>
      <c r="G1436" t="s">
        <v>1516</v>
      </c>
      <c r="H1436" t="str">
        <f>HYPERLINK("http://pbs.twimg.com/media/Fet5eLrXEAIf6oF.jpg", "http://pbs.twimg.com/media/Fet5eLrXEAIf6oF.jpg")</f>
        <v>http://pbs.twimg.com/media/Fet5eLrXEAIf6oF.jpg</v>
      </c>
      <c r="I1436" t="str">
        <f>HYPERLINK("http://pbs.twimg.com/media/Fet5eLmXEAEWwvX.jpg", "http://pbs.twimg.com/media/Fet5eLmXEAEWwvX.jpg")</f>
        <v>http://pbs.twimg.com/media/Fet5eLmXEAEWwvX.jpg</v>
      </c>
      <c r="L1436">
        <v>0</v>
      </c>
      <c r="M1436">
        <v>0</v>
      </c>
      <c r="N1436">
        <v>1</v>
      </c>
      <c r="O1436">
        <v>0</v>
      </c>
    </row>
    <row r="1437" spans="1:15" x14ac:dyDescent="0.2">
      <c r="A1437" s="1" t="str">
        <f>HYPERLINK("http://www.twitter.com/banuakdenizli/status/1579494772859088896", "1579494772859088896")</f>
        <v>1579494772859088896</v>
      </c>
      <c r="B1437" t="s">
        <v>15</v>
      </c>
      <c r="C1437" s="2">
        <v>44844.646689814806</v>
      </c>
      <c r="D1437">
        <v>0</v>
      </c>
      <c r="E1437">
        <v>1</v>
      </c>
      <c r="F1437" t="s">
        <v>20</v>
      </c>
      <c r="G1437" t="s">
        <v>1517</v>
      </c>
      <c r="H1437" t="str">
        <f>HYPERLINK("http://pbs.twimg.com/media/Fet5dd3XwAI__9J.jpg", "http://pbs.twimg.com/media/Fet5dd3XwAI__9J.jpg")</f>
        <v>http://pbs.twimg.com/media/Fet5dd3XwAI__9J.jpg</v>
      </c>
      <c r="I1437" t="str">
        <f>HYPERLINK("http://pbs.twimg.com/media/Fet5dd3XEAMG6uc.jpg", "http://pbs.twimg.com/media/Fet5dd3XEAMG6uc.jpg")</f>
        <v>http://pbs.twimg.com/media/Fet5dd3XEAMG6uc.jpg</v>
      </c>
      <c r="L1437">
        <v>0</v>
      </c>
      <c r="M1437">
        <v>0</v>
      </c>
      <c r="N1437">
        <v>1</v>
      </c>
      <c r="O1437">
        <v>0</v>
      </c>
    </row>
    <row r="1438" spans="1:15" x14ac:dyDescent="0.2">
      <c r="A1438" s="1" t="str">
        <f>HYPERLINK("http://www.twitter.com/banuakdenizli/status/1579494753476878337", "1579494753476878337")</f>
        <v>1579494753476878337</v>
      </c>
      <c r="B1438" t="s">
        <v>15</v>
      </c>
      <c r="C1438" s="2">
        <v>44844.646631944437</v>
      </c>
      <c r="D1438">
        <v>0</v>
      </c>
      <c r="E1438">
        <v>3</v>
      </c>
      <c r="F1438" t="s">
        <v>20</v>
      </c>
      <c r="G1438" t="s">
        <v>1518</v>
      </c>
      <c r="H1438" t="str">
        <f>HYPERLINK("http://pbs.twimg.com/media/Fet5XUOX0AAt60r.jpg", "http://pbs.twimg.com/media/Fet5XUOX0AAt60r.jpg")</f>
        <v>http://pbs.twimg.com/media/Fet5XUOX0AAt60r.jpg</v>
      </c>
      <c r="I1438" t="str">
        <f>HYPERLINK("http://pbs.twimg.com/media/Fet5XUHXkAEQiri.jpg", "http://pbs.twimg.com/media/Fet5XUHXkAEQiri.jpg")</f>
        <v>http://pbs.twimg.com/media/Fet5XUHXkAEQiri.jpg</v>
      </c>
      <c r="L1438">
        <v>0</v>
      </c>
      <c r="M1438">
        <v>0</v>
      </c>
      <c r="N1438">
        <v>1</v>
      </c>
      <c r="O1438">
        <v>0</v>
      </c>
    </row>
    <row r="1439" spans="1:15" x14ac:dyDescent="0.2">
      <c r="A1439" s="1" t="str">
        <f>HYPERLINK("http://www.twitter.com/banuakdenizli/status/1579476636365647872", "1579476636365647872")</f>
        <v>1579476636365647872</v>
      </c>
      <c r="B1439" t="s">
        <v>15</v>
      </c>
      <c r="C1439" s="2">
        <v>44844.596643518518</v>
      </c>
      <c r="D1439">
        <v>0</v>
      </c>
      <c r="E1439">
        <v>3</v>
      </c>
      <c r="F1439" t="s">
        <v>29</v>
      </c>
      <c r="G1439" t="s">
        <v>1519</v>
      </c>
      <c r="H1439" t="str">
        <f>HYPERLINK("http://pbs.twimg.com/media/FettDh3WIAAqbbF.png", "http://pbs.twimg.com/media/FettDh3WIAAqbbF.png")</f>
        <v>http://pbs.twimg.com/media/FettDh3WIAAqbbF.png</v>
      </c>
      <c r="L1439">
        <v>0.55740000000000001</v>
      </c>
      <c r="M1439">
        <v>0</v>
      </c>
      <c r="N1439">
        <v>0.90200000000000002</v>
      </c>
      <c r="O1439">
        <v>9.8000000000000004E-2</v>
      </c>
    </row>
    <row r="1440" spans="1:15" x14ac:dyDescent="0.2">
      <c r="A1440" s="1" t="str">
        <f>HYPERLINK("http://www.twitter.com/banuakdenizli/status/1579469982467248128", "1579469982467248128")</f>
        <v>1579469982467248128</v>
      </c>
      <c r="B1440" t="s">
        <v>15</v>
      </c>
      <c r="C1440" s="2">
        <v>44844.578275462962</v>
      </c>
      <c r="D1440">
        <v>0</v>
      </c>
      <c r="E1440">
        <v>3</v>
      </c>
      <c r="F1440" t="s">
        <v>29</v>
      </c>
      <c r="G1440" t="s">
        <v>1520</v>
      </c>
      <c r="H1440" t="str">
        <f>HYPERLINK("http://pbs.twimg.com/media/Fetd8_TWYAQhfbO.jpg", "http://pbs.twimg.com/media/Fetd8_TWYAQhfbO.jpg")</f>
        <v>http://pbs.twimg.com/media/Fetd8_TWYAQhfbO.jpg</v>
      </c>
      <c r="L1440">
        <v>0.80200000000000005</v>
      </c>
      <c r="M1440">
        <v>0</v>
      </c>
      <c r="N1440">
        <v>0.76700000000000002</v>
      </c>
      <c r="O1440">
        <v>0.23300000000000001</v>
      </c>
    </row>
    <row r="1441" spans="1:15" x14ac:dyDescent="0.2">
      <c r="A1441" s="1" t="str">
        <f>HYPERLINK("http://www.twitter.com/banuakdenizli/status/1579469931397406720", "1579469931397406720")</f>
        <v>1579469931397406720</v>
      </c>
      <c r="B1441" t="s">
        <v>15</v>
      </c>
      <c r="C1441" s="2">
        <v>44844.578136574077</v>
      </c>
      <c r="D1441">
        <v>0</v>
      </c>
      <c r="E1441">
        <v>3</v>
      </c>
      <c r="F1441" t="s">
        <v>29</v>
      </c>
      <c r="G1441" t="s">
        <v>1521</v>
      </c>
      <c r="H1441" t="str">
        <f>HYPERLINK("http://pbs.twimg.com/media/Fetc80kXEAEQvL6.jpg", "http://pbs.twimg.com/media/Fetc80kXEAEQvL6.jpg")</f>
        <v>http://pbs.twimg.com/media/Fetc80kXEAEQvL6.jpg</v>
      </c>
      <c r="L1441">
        <v>0.71840000000000004</v>
      </c>
      <c r="M1441">
        <v>0</v>
      </c>
      <c r="N1441">
        <v>0.68200000000000005</v>
      </c>
      <c r="O1441">
        <v>0.318</v>
      </c>
    </row>
    <row r="1442" spans="1:15" x14ac:dyDescent="0.2">
      <c r="A1442" s="1" t="str">
        <f>HYPERLINK("http://www.twitter.com/banuakdenizli/status/1579469858517188609", "1579469858517188609")</f>
        <v>1579469858517188609</v>
      </c>
      <c r="B1442" t="s">
        <v>15</v>
      </c>
      <c r="C1442" s="2">
        <v>44844.577939814822</v>
      </c>
      <c r="D1442">
        <v>0</v>
      </c>
      <c r="E1442">
        <v>5</v>
      </c>
      <c r="F1442" t="s">
        <v>1522</v>
      </c>
      <c r="G1442" t="s">
        <v>1523</v>
      </c>
      <c r="H1442" t="str">
        <f>HYPERLINK("http://pbs.twimg.com/media/Fetj3p9WYAQWLmU.png", "http://pbs.twimg.com/media/Fetj3p9WYAQWLmU.png")</f>
        <v>http://pbs.twimg.com/media/Fetj3p9WYAQWLmU.png</v>
      </c>
      <c r="L1442">
        <v>0</v>
      </c>
      <c r="M1442">
        <v>0</v>
      </c>
      <c r="N1442">
        <v>1</v>
      </c>
      <c r="O1442">
        <v>0</v>
      </c>
    </row>
    <row r="1443" spans="1:15" x14ac:dyDescent="0.2">
      <c r="A1443" s="1" t="str">
        <f>HYPERLINK("http://www.twitter.com/banuakdenizli/status/1579469708419813379", "1579469708419813379")</f>
        <v>1579469708419813379</v>
      </c>
      <c r="B1443" t="s">
        <v>15</v>
      </c>
      <c r="C1443" s="2">
        <v>44844.577523148153</v>
      </c>
      <c r="D1443">
        <v>0</v>
      </c>
      <c r="E1443">
        <v>3</v>
      </c>
      <c r="F1443" t="s">
        <v>641</v>
      </c>
      <c r="G1443" t="s">
        <v>1524</v>
      </c>
      <c r="H1443" t="str">
        <f>HYPERLINK("http://pbs.twimg.com/media/FeteBZpWAAEg2lg.jpg", "http://pbs.twimg.com/media/FeteBZpWAAEg2lg.jpg")</f>
        <v>http://pbs.twimg.com/media/FeteBZpWAAEg2lg.jpg</v>
      </c>
      <c r="L1443">
        <v>0.77170000000000005</v>
      </c>
      <c r="M1443">
        <v>0</v>
      </c>
      <c r="N1443">
        <v>0.76500000000000001</v>
      </c>
      <c r="O1443">
        <v>0.23499999999999999</v>
      </c>
    </row>
    <row r="1444" spans="1:15" x14ac:dyDescent="0.2">
      <c r="A1444" s="1" t="str">
        <f>HYPERLINK("http://www.twitter.com/banuakdenizli/status/1579466332659388416", "1579466332659388416")</f>
        <v>1579466332659388416</v>
      </c>
      <c r="B1444" t="s">
        <v>15</v>
      </c>
      <c r="C1444" s="2">
        <v>44844.568206018521</v>
      </c>
      <c r="D1444">
        <v>0</v>
      </c>
      <c r="E1444">
        <v>1</v>
      </c>
      <c r="F1444" t="s">
        <v>29</v>
      </c>
      <c r="G1444" t="s">
        <v>1525</v>
      </c>
      <c r="H1444" t="str">
        <f>HYPERLINK("http://pbs.twimg.com/media/FetShaQWQAITSc0.jpg", "http://pbs.twimg.com/media/FetShaQWQAITSc0.jpg")</f>
        <v>http://pbs.twimg.com/media/FetShaQWQAITSc0.jpg</v>
      </c>
      <c r="L1444">
        <v>0</v>
      </c>
      <c r="M1444">
        <v>0</v>
      </c>
      <c r="N1444">
        <v>1</v>
      </c>
      <c r="O1444">
        <v>0</v>
      </c>
    </row>
    <row r="1445" spans="1:15" x14ac:dyDescent="0.2">
      <c r="A1445" s="1" t="str">
        <f>HYPERLINK("http://www.twitter.com/banuakdenizli/status/1579466305757151232", "1579466305757151232")</f>
        <v>1579466305757151232</v>
      </c>
      <c r="B1445" t="s">
        <v>15</v>
      </c>
      <c r="C1445" s="2">
        <v>44844.568136574067</v>
      </c>
      <c r="D1445">
        <v>0</v>
      </c>
      <c r="E1445">
        <v>2</v>
      </c>
      <c r="F1445" t="s">
        <v>29</v>
      </c>
      <c r="G1445" t="s">
        <v>1526</v>
      </c>
      <c r="H1445" t="str">
        <f>HYPERLINK("http://pbs.twimg.com/media/FetT_UmX0AQKUEG.jpg", "http://pbs.twimg.com/media/FetT_UmX0AQKUEG.jpg")</f>
        <v>http://pbs.twimg.com/media/FetT_UmX0AQKUEG.jpg</v>
      </c>
      <c r="L1445">
        <v>0.51060000000000005</v>
      </c>
      <c r="M1445">
        <v>0</v>
      </c>
      <c r="N1445">
        <v>0.92</v>
      </c>
      <c r="O1445">
        <v>0.08</v>
      </c>
    </row>
    <row r="1446" spans="1:15" x14ac:dyDescent="0.2">
      <c r="A1446" s="1" t="str">
        <f>HYPERLINK("http://www.twitter.com/banuakdenizli/status/1579466270822436865", "1579466270822436865")</f>
        <v>1579466270822436865</v>
      </c>
      <c r="B1446" t="s">
        <v>15</v>
      </c>
      <c r="C1446" s="2">
        <v>44844.568032407413</v>
      </c>
      <c r="D1446">
        <v>0</v>
      </c>
      <c r="E1446">
        <v>5</v>
      </c>
      <c r="F1446" t="s">
        <v>1527</v>
      </c>
      <c r="G1446" t="s">
        <v>1528</v>
      </c>
      <c r="L1446">
        <v>0.91190000000000004</v>
      </c>
      <c r="M1446">
        <v>4.5999999999999999E-2</v>
      </c>
      <c r="N1446">
        <v>0.64600000000000002</v>
      </c>
      <c r="O1446">
        <v>0.308</v>
      </c>
    </row>
    <row r="1447" spans="1:15" x14ac:dyDescent="0.2">
      <c r="A1447" s="1" t="str">
        <f>HYPERLINK("http://www.twitter.com/banuakdenizli/status/1579446341172092933", "1579446341172092933")</f>
        <v>1579446341172092933</v>
      </c>
      <c r="B1447" t="s">
        <v>15</v>
      </c>
      <c r="C1447" s="2">
        <v>44844.513043981482</v>
      </c>
      <c r="D1447">
        <v>0</v>
      </c>
      <c r="E1447">
        <v>59</v>
      </c>
      <c r="F1447" t="s">
        <v>28</v>
      </c>
      <c r="G1447" t="s">
        <v>1529</v>
      </c>
      <c r="L1447">
        <v>0</v>
      </c>
      <c r="M1447">
        <v>0</v>
      </c>
      <c r="N1447">
        <v>1</v>
      </c>
      <c r="O1447">
        <v>0</v>
      </c>
    </row>
    <row r="1448" spans="1:15" x14ac:dyDescent="0.2">
      <c r="A1448" s="1" t="str">
        <f>HYPERLINK("http://www.twitter.com/banuakdenizli/status/1579446306199982080", "1579446306199982080")</f>
        <v>1579446306199982080</v>
      </c>
      <c r="B1448" t="s">
        <v>15</v>
      </c>
      <c r="C1448" s="2">
        <v>44844.512939814813</v>
      </c>
      <c r="D1448">
        <v>0</v>
      </c>
      <c r="E1448">
        <v>5</v>
      </c>
      <c r="F1448" t="s">
        <v>19</v>
      </c>
      <c r="G1448" t="s">
        <v>1530</v>
      </c>
      <c r="H1448" t="str">
        <f>HYPERLINK("http://pbs.twimg.com/media/FetQQfQWAAMfK6u.jpg", "http://pbs.twimg.com/media/FetQQfQWAAMfK6u.jpg")</f>
        <v>http://pbs.twimg.com/media/FetQQfQWAAMfK6u.jpg</v>
      </c>
      <c r="L1448">
        <v>0.34</v>
      </c>
      <c r="M1448">
        <v>6.2E-2</v>
      </c>
      <c r="N1448">
        <v>0.83799999999999997</v>
      </c>
      <c r="O1448">
        <v>0.1</v>
      </c>
    </row>
    <row r="1449" spans="1:15" x14ac:dyDescent="0.2">
      <c r="A1449" s="1" t="str">
        <f>HYPERLINK("http://www.twitter.com/banuakdenizli/status/1579446278194597890", "1579446278194597890")</f>
        <v>1579446278194597890</v>
      </c>
      <c r="B1449" t="s">
        <v>15</v>
      </c>
      <c r="C1449" s="2">
        <v>44844.512870370367</v>
      </c>
      <c r="D1449">
        <v>0</v>
      </c>
      <c r="E1449">
        <v>4</v>
      </c>
      <c r="F1449" t="s">
        <v>19</v>
      </c>
      <c r="G1449" t="s">
        <v>1531</v>
      </c>
      <c r="H1449" t="str">
        <f>HYPERLINK("http://pbs.twimg.com/media/FetPfhuX0AAyqqJ.jpg", "http://pbs.twimg.com/media/FetPfhuX0AAyqqJ.jpg")</f>
        <v>http://pbs.twimg.com/media/FetPfhuX0AAyqqJ.jpg</v>
      </c>
      <c r="L1449">
        <v>0.64480000000000004</v>
      </c>
      <c r="M1449">
        <v>8.2000000000000003E-2</v>
      </c>
      <c r="N1449">
        <v>0.71799999999999997</v>
      </c>
      <c r="O1449">
        <v>0.2</v>
      </c>
    </row>
    <row r="1450" spans="1:15" x14ac:dyDescent="0.2">
      <c r="A1450" s="1" t="str">
        <f>HYPERLINK("http://www.twitter.com/banuakdenizli/status/1579446215443611649", "1579446215443611649")</f>
        <v>1579446215443611649</v>
      </c>
      <c r="B1450" t="s">
        <v>15</v>
      </c>
      <c r="C1450" s="2">
        <v>44844.512696759259</v>
      </c>
      <c r="D1450">
        <v>0</v>
      </c>
      <c r="E1450">
        <v>10</v>
      </c>
      <c r="F1450" t="s">
        <v>19</v>
      </c>
      <c r="G1450" t="s">
        <v>1532</v>
      </c>
      <c r="H1450" t="str">
        <f>HYPERLINK("http://pbs.twimg.com/media/FetP3mQX0AIfhCM.jpg", "http://pbs.twimg.com/media/FetP3mQX0AIfhCM.jpg")</f>
        <v>http://pbs.twimg.com/media/FetP3mQX0AIfhCM.jpg</v>
      </c>
      <c r="L1450">
        <v>0.44040000000000001</v>
      </c>
      <c r="M1450">
        <v>0</v>
      </c>
      <c r="N1450">
        <v>0.873</v>
      </c>
      <c r="O1450">
        <v>0.127</v>
      </c>
    </row>
    <row r="1451" spans="1:15" x14ac:dyDescent="0.2">
      <c r="A1451" s="1" t="str">
        <f>HYPERLINK("http://www.twitter.com/banuakdenizli/status/1579437238093766656", "1579437238093766656")</f>
        <v>1579437238093766656</v>
      </c>
      <c r="B1451" t="s">
        <v>15</v>
      </c>
      <c r="C1451" s="2">
        <v>44844.487916666672</v>
      </c>
      <c r="D1451">
        <v>0</v>
      </c>
      <c r="E1451">
        <v>1</v>
      </c>
      <c r="F1451" t="s">
        <v>29</v>
      </c>
      <c r="G1451" t="s">
        <v>1533</v>
      </c>
      <c r="H1451" t="str">
        <f>HYPERLINK("http://pbs.twimg.com/media/Fes6bCnXwAUiL8O.jpg", "http://pbs.twimg.com/media/Fes6bCnXwAUiL8O.jpg")</f>
        <v>http://pbs.twimg.com/media/Fes6bCnXwAUiL8O.jpg</v>
      </c>
      <c r="I1451" t="str">
        <f>HYPERLINK("http://pbs.twimg.com/media/Fes6bCbXwAEOLH1.jpg", "http://pbs.twimg.com/media/Fes6bCbXwAEOLH1.jpg")</f>
        <v>http://pbs.twimg.com/media/Fes6bCbXwAEOLH1.jpg</v>
      </c>
      <c r="L1451">
        <v>0</v>
      </c>
      <c r="M1451">
        <v>0</v>
      </c>
      <c r="N1451">
        <v>1</v>
      </c>
      <c r="O1451">
        <v>0</v>
      </c>
    </row>
    <row r="1452" spans="1:15" x14ac:dyDescent="0.2">
      <c r="A1452" s="1" t="str">
        <f>HYPERLINK("http://www.twitter.com/banuakdenizli/status/1579437212240076805", "1579437212240076805")</f>
        <v>1579437212240076805</v>
      </c>
      <c r="B1452" t="s">
        <v>15</v>
      </c>
      <c r="C1452" s="2">
        <v>44844.487847222219</v>
      </c>
      <c r="D1452">
        <v>0</v>
      </c>
      <c r="E1452">
        <v>2</v>
      </c>
      <c r="F1452" t="s">
        <v>38</v>
      </c>
      <c r="G1452" t="s">
        <v>1534</v>
      </c>
      <c r="H1452" t="str">
        <f>HYPERLINK("http://pbs.twimg.com/media/FesuEZOXwAEdMIB.jpg", "http://pbs.twimg.com/media/FesuEZOXwAEdMIB.jpg")</f>
        <v>http://pbs.twimg.com/media/FesuEZOXwAEdMIB.jpg</v>
      </c>
      <c r="I1452" t="str">
        <f>HYPERLINK("http://pbs.twimg.com/media/FesuEaMWIAcABKH.jpg", "http://pbs.twimg.com/media/FesuEaMWIAcABKH.jpg")</f>
        <v>http://pbs.twimg.com/media/FesuEaMWIAcABKH.jpg</v>
      </c>
      <c r="L1452">
        <v>0</v>
      </c>
      <c r="M1452">
        <v>0</v>
      </c>
      <c r="N1452">
        <v>1</v>
      </c>
      <c r="O1452">
        <v>0</v>
      </c>
    </row>
    <row r="1453" spans="1:15" x14ac:dyDescent="0.2">
      <c r="A1453" s="1" t="str">
        <f>HYPERLINK("http://www.twitter.com/banuakdenizli/status/1579336078833909761", "1579336078833909761")</f>
        <v>1579336078833909761</v>
      </c>
      <c r="B1453" t="s">
        <v>15</v>
      </c>
      <c r="C1453" s="2">
        <v>44844.208773148152</v>
      </c>
      <c r="D1453">
        <v>0</v>
      </c>
      <c r="E1453">
        <v>1</v>
      </c>
      <c r="F1453" t="s">
        <v>1535</v>
      </c>
      <c r="G1453" t="s">
        <v>1536</v>
      </c>
      <c r="H1453" t="str">
        <f>HYPERLINK("http://pbs.twimg.com/media/FegTuBjXEAEZ4rd.jpg", "http://pbs.twimg.com/media/FegTuBjXEAEZ4rd.jpg")</f>
        <v>http://pbs.twimg.com/media/FegTuBjXEAEZ4rd.jpg</v>
      </c>
      <c r="L1453">
        <v>0</v>
      </c>
      <c r="M1453">
        <v>0</v>
      </c>
      <c r="N1453">
        <v>1</v>
      </c>
      <c r="O1453">
        <v>0</v>
      </c>
    </row>
    <row r="1454" spans="1:15" x14ac:dyDescent="0.2">
      <c r="A1454" s="1" t="str">
        <f>HYPERLINK("http://www.twitter.com/banuakdenizli/status/1579336039428390913", "1579336039428390913")</f>
        <v>1579336039428390913</v>
      </c>
      <c r="B1454" t="s">
        <v>15</v>
      </c>
      <c r="C1454" s="2">
        <v>44844.208668981482</v>
      </c>
      <c r="D1454">
        <v>0</v>
      </c>
      <c r="E1454">
        <v>1</v>
      </c>
      <c r="F1454" t="s">
        <v>1535</v>
      </c>
      <c r="G1454" t="s">
        <v>1537</v>
      </c>
      <c r="H1454" t="str">
        <f>HYPERLINK("http://pbs.twimg.com/media/FegT8qYWAAMivrO.jpg", "http://pbs.twimg.com/media/FegT8qYWAAMivrO.jpg")</f>
        <v>http://pbs.twimg.com/media/FegT8qYWAAMivrO.jpg</v>
      </c>
      <c r="L1454">
        <v>0</v>
      </c>
      <c r="M1454">
        <v>0</v>
      </c>
      <c r="N1454">
        <v>1</v>
      </c>
      <c r="O1454">
        <v>0</v>
      </c>
    </row>
    <row r="1455" spans="1:15" x14ac:dyDescent="0.2">
      <c r="A1455" s="1" t="str">
        <f>HYPERLINK("http://www.twitter.com/banuakdenizli/status/1579236675586138112", "1579236675586138112")</f>
        <v>1579236675586138112</v>
      </c>
      <c r="B1455" t="s">
        <v>15</v>
      </c>
      <c r="C1455" s="2">
        <v>44843.934467592589</v>
      </c>
      <c r="D1455">
        <v>0</v>
      </c>
      <c r="E1455">
        <v>2</v>
      </c>
      <c r="F1455" t="s">
        <v>29</v>
      </c>
      <c r="G1455" t="s">
        <v>1538</v>
      </c>
      <c r="H1455" t="str">
        <f>HYPERLINK("http://pbs.twimg.com/media/FeqC8TwWQAAkYgL.jpg", "http://pbs.twimg.com/media/FeqC8TwWQAAkYgL.jpg")</f>
        <v>http://pbs.twimg.com/media/FeqC8TwWQAAkYgL.jpg</v>
      </c>
      <c r="I1455" t="str">
        <f>HYPERLINK("http://pbs.twimg.com/media/FeqC8UOXgAEwvse.jpg", "http://pbs.twimg.com/media/FeqC8UOXgAEwvse.jpg")</f>
        <v>http://pbs.twimg.com/media/FeqC8UOXgAEwvse.jpg</v>
      </c>
      <c r="J1455" t="str">
        <f>HYPERLINK("http://pbs.twimg.com/media/FeqC8T6XgAAiwCx.jpg", "http://pbs.twimg.com/media/FeqC8T6XgAAiwCx.jpg")</f>
        <v>http://pbs.twimg.com/media/FeqC8T6XgAAiwCx.jpg</v>
      </c>
      <c r="K1455" t="str">
        <f>HYPERLINK("http://pbs.twimg.com/media/FeqC8T6XoAcZwu-.jpg", "http://pbs.twimg.com/media/FeqC8T6XoAcZwu-.jpg")</f>
        <v>http://pbs.twimg.com/media/FeqC8T6XoAcZwu-.jpg</v>
      </c>
      <c r="L1455">
        <v>0</v>
      </c>
      <c r="M1455">
        <v>0</v>
      </c>
      <c r="N1455">
        <v>1</v>
      </c>
      <c r="O1455">
        <v>0</v>
      </c>
    </row>
    <row r="1456" spans="1:15" x14ac:dyDescent="0.2">
      <c r="A1456" s="1" t="str">
        <f>HYPERLINK("http://www.twitter.com/banuakdenizli/status/1579236572725379072", "1579236572725379072")</f>
        <v>1579236572725379072</v>
      </c>
      <c r="B1456" t="s">
        <v>15</v>
      </c>
      <c r="C1456" s="2">
        <v>44843.934189814812</v>
      </c>
      <c r="D1456">
        <v>0</v>
      </c>
      <c r="E1456">
        <v>1</v>
      </c>
      <c r="F1456" t="s">
        <v>29</v>
      </c>
      <c r="G1456" t="s">
        <v>1539</v>
      </c>
      <c r="H1456" t="str">
        <f>HYPERLINK("http://pbs.twimg.com/media/FeqAkeBXwAUoM8a.jpg", "http://pbs.twimg.com/media/FeqAkeBXwAUoM8a.jpg")</f>
        <v>http://pbs.twimg.com/media/FeqAkeBXwAUoM8a.jpg</v>
      </c>
      <c r="I1456" t="str">
        <f>HYPERLINK("http://pbs.twimg.com/media/FeqAkehXgAADYg_.jpg", "http://pbs.twimg.com/media/FeqAkehXgAADYg_.jpg")</f>
        <v>http://pbs.twimg.com/media/FeqAkehXgAADYg_.jpg</v>
      </c>
      <c r="L1456">
        <v>0.34</v>
      </c>
      <c r="M1456">
        <v>0</v>
      </c>
      <c r="N1456">
        <v>0.91200000000000003</v>
      </c>
      <c r="O1456">
        <v>8.7999999999999995E-2</v>
      </c>
    </row>
    <row r="1457" spans="1:15" x14ac:dyDescent="0.2">
      <c r="A1457" s="1" t="str">
        <f>HYPERLINK("http://www.twitter.com/banuakdenizli/status/1579207201629298690", "1579207201629298690")</f>
        <v>1579207201629298690</v>
      </c>
      <c r="B1457" t="s">
        <v>15</v>
      </c>
      <c r="C1457" s="2">
        <v>44843.853136574071</v>
      </c>
      <c r="D1457">
        <v>0</v>
      </c>
      <c r="E1457">
        <v>2</v>
      </c>
      <c r="F1457" t="s">
        <v>29</v>
      </c>
      <c r="G1457" t="s">
        <v>1540</v>
      </c>
      <c r="H1457" t="str">
        <f>HYPERLINK("http://pbs.twimg.com/media/Fep3bELXkAICSmF.jpg", "http://pbs.twimg.com/media/Fep3bELXkAICSmF.jpg")</f>
        <v>http://pbs.twimg.com/media/Fep3bELXkAICSmF.jpg</v>
      </c>
      <c r="I1457" t="str">
        <f>HYPERLINK("http://pbs.twimg.com/media/Fep3bEvX0AcDqdQ.jpg", "http://pbs.twimg.com/media/Fep3bEvX0AcDqdQ.jpg")</f>
        <v>http://pbs.twimg.com/media/Fep3bEvX0AcDqdQ.jpg</v>
      </c>
      <c r="J1457" t="str">
        <f>HYPERLINK("http://pbs.twimg.com/media/Fep3bEBXwAAIQUc.jpg", "http://pbs.twimg.com/media/Fep3bEBXwAAIQUc.jpg")</f>
        <v>http://pbs.twimg.com/media/Fep3bEBXwAAIQUc.jpg</v>
      </c>
      <c r="K1457" t="str">
        <f>HYPERLINK("http://pbs.twimg.com/media/Fep3bFAX0AE2Pr_.jpg", "http://pbs.twimg.com/media/Fep3bFAX0AE2Pr_.jpg")</f>
        <v>http://pbs.twimg.com/media/Fep3bFAX0AE2Pr_.jpg</v>
      </c>
      <c r="L1457">
        <v>0</v>
      </c>
      <c r="M1457">
        <v>0</v>
      </c>
      <c r="N1457">
        <v>1</v>
      </c>
      <c r="O1457">
        <v>0</v>
      </c>
    </row>
    <row r="1458" spans="1:15" x14ac:dyDescent="0.2">
      <c r="A1458" s="1" t="str">
        <f>HYPERLINK("http://www.twitter.com/banuakdenizli/status/1579203365073920000", "1579203365073920000")</f>
        <v>1579203365073920000</v>
      </c>
      <c r="B1458" t="s">
        <v>15</v>
      </c>
      <c r="C1458" s="2">
        <v>44843.842557870368</v>
      </c>
      <c r="D1458">
        <v>0</v>
      </c>
      <c r="E1458">
        <v>1</v>
      </c>
      <c r="F1458" t="s">
        <v>38</v>
      </c>
      <c r="G1458" t="s">
        <v>1541</v>
      </c>
      <c r="H1458" t="str">
        <f>HYPERLINK("http://pbs.twimg.com/media/FepoSCFWAAAdN6c.jpg", "http://pbs.twimg.com/media/FepoSCFWAAAdN6c.jpg")</f>
        <v>http://pbs.twimg.com/media/FepoSCFWAAAdN6c.jpg</v>
      </c>
      <c r="L1458">
        <v>0</v>
      </c>
      <c r="M1458">
        <v>0</v>
      </c>
      <c r="N1458">
        <v>1</v>
      </c>
      <c r="O1458">
        <v>0</v>
      </c>
    </row>
    <row r="1459" spans="1:15" x14ac:dyDescent="0.2">
      <c r="A1459" s="1" t="str">
        <f>HYPERLINK("http://www.twitter.com/banuakdenizli/status/1579203271415058433", "1579203271415058433")</f>
        <v>1579203271415058433</v>
      </c>
      <c r="B1459" t="s">
        <v>15</v>
      </c>
      <c r="C1459" s="2">
        <v>44843.842291666668</v>
      </c>
      <c r="D1459">
        <v>0</v>
      </c>
      <c r="E1459">
        <v>1</v>
      </c>
      <c r="F1459" t="s">
        <v>29</v>
      </c>
      <c r="G1459" t="s">
        <v>1542</v>
      </c>
      <c r="H1459" t="str">
        <f>HYPERLINK("http://pbs.twimg.com/media/Fep03x4XEAAfMeo.jpg", "http://pbs.twimg.com/media/Fep03x4XEAAfMeo.jpg")</f>
        <v>http://pbs.twimg.com/media/Fep03x4XEAAfMeo.jpg</v>
      </c>
      <c r="L1459">
        <v>0</v>
      </c>
      <c r="M1459">
        <v>0</v>
      </c>
      <c r="N1459">
        <v>1</v>
      </c>
      <c r="O1459">
        <v>0</v>
      </c>
    </row>
    <row r="1460" spans="1:15" x14ac:dyDescent="0.2">
      <c r="A1460" s="1" t="str">
        <f>HYPERLINK("http://www.twitter.com/banuakdenizli/status/1579203084685021185", "1579203084685021185")</f>
        <v>1579203084685021185</v>
      </c>
      <c r="B1460" t="s">
        <v>15</v>
      </c>
      <c r="C1460" s="2">
        <v>44843.841782407413</v>
      </c>
      <c r="D1460">
        <v>0</v>
      </c>
      <c r="E1460">
        <v>1232</v>
      </c>
      <c r="F1460" t="s">
        <v>1543</v>
      </c>
      <c r="G1460" t="s">
        <v>1544</v>
      </c>
      <c r="H1460" t="str">
        <f>HYPERLINK("https://video.twimg.com/amplify_video/1578199667342708736/vid/1280x720/_umBPksU4zoLImSo.mp4?tag=14", "https://video.twimg.com/amplify_video/1578199667342708736/vid/1280x720/_umBPksU4zoLImSo.mp4?tag=14")</f>
        <v>https://video.twimg.com/amplify_video/1578199667342708736/vid/1280x720/_umBPksU4zoLImSo.mp4?tag=14</v>
      </c>
      <c r="L1460">
        <v>0.77129999999999999</v>
      </c>
      <c r="M1460">
        <v>0</v>
      </c>
      <c r="N1460">
        <v>0.67700000000000005</v>
      </c>
      <c r="O1460">
        <v>0.32300000000000001</v>
      </c>
    </row>
    <row r="1461" spans="1:15" x14ac:dyDescent="0.2">
      <c r="A1461" s="1" t="str">
        <f>HYPERLINK("http://www.twitter.com/banuakdenizli/status/1579202377327947778", "1579202377327947778")</f>
        <v>1579202377327947778</v>
      </c>
      <c r="B1461" t="s">
        <v>15</v>
      </c>
      <c r="C1461" s="2">
        <v>44843.839826388888</v>
      </c>
      <c r="D1461">
        <v>0</v>
      </c>
      <c r="E1461">
        <v>2</v>
      </c>
      <c r="F1461" t="s">
        <v>30</v>
      </c>
      <c r="G1461" t="s">
        <v>1545</v>
      </c>
      <c r="L1461">
        <v>0</v>
      </c>
      <c r="M1461">
        <v>0</v>
      </c>
      <c r="N1461">
        <v>1</v>
      </c>
      <c r="O1461">
        <v>0</v>
      </c>
    </row>
    <row r="1462" spans="1:15" x14ac:dyDescent="0.2">
      <c r="A1462" s="1" t="str">
        <f>HYPERLINK("http://www.twitter.com/banuakdenizli/status/1579195960382525440", "1579195960382525440")</f>
        <v>1579195960382525440</v>
      </c>
      <c r="B1462" t="s">
        <v>15</v>
      </c>
      <c r="C1462" s="2">
        <v>44843.822118055563</v>
      </c>
      <c r="D1462">
        <v>0</v>
      </c>
      <c r="E1462">
        <v>5</v>
      </c>
      <c r="F1462" t="s">
        <v>20</v>
      </c>
      <c r="G1462" t="s">
        <v>1546</v>
      </c>
      <c r="H1462" t="str">
        <f>HYPERLINK("http://pbs.twimg.com/media/FeFxh-aXgAEEEVJ.jpg", "http://pbs.twimg.com/media/FeFxh-aXgAEEEVJ.jpg")</f>
        <v>http://pbs.twimg.com/media/FeFxh-aXgAEEEVJ.jpg</v>
      </c>
      <c r="L1462">
        <v>0</v>
      </c>
      <c r="M1462">
        <v>0</v>
      </c>
      <c r="N1462">
        <v>1</v>
      </c>
      <c r="O1462">
        <v>0</v>
      </c>
    </row>
    <row r="1463" spans="1:15" x14ac:dyDescent="0.2">
      <c r="A1463" s="1" t="str">
        <f>HYPERLINK("http://www.twitter.com/banuakdenizli/status/1579195919270301696", "1579195919270301696")</f>
        <v>1579195919270301696</v>
      </c>
      <c r="B1463" t="s">
        <v>15</v>
      </c>
      <c r="C1463" s="2">
        <v>44843.822002314817</v>
      </c>
      <c r="D1463">
        <v>0</v>
      </c>
      <c r="E1463">
        <v>15</v>
      </c>
      <c r="F1463" t="s">
        <v>911</v>
      </c>
      <c r="G1463" t="s">
        <v>1547</v>
      </c>
      <c r="H1463" t="str">
        <f>HYPERLINK("https://video.twimg.com/amplify_video/1575977747175903240/vid/720x1280/sTwjUtdcY4kw-pY-.mp4?tag=14", "https://video.twimg.com/amplify_video/1575977747175903240/vid/720x1280/sTwjUtdcY4kw-pY-.mp4?tag=14")</f>
        <v>https://video.twimg.com/amplify_video/1575977747175903240/vid/720x1280/sTwjUtdcY4kw-pY-.mp4?tag=14</v>
      </c>
      <c r="L1463">
        <v>0</v>
      </c>
      <c r="M1463">
        <v>0</v>
      </c>
      <c r="N1463">
        <v>1</v>
      </c>
      <c r="O1463">
        <v>0</v>
      </c>
    </row>
    <row r="1464" spans="1:15" x14ac:dyDescent="0.2">
      <c r="A1464" s="1" t="str">
        <f>HYPERLINK("http://www.twitter.com/banuakdenizli/status/1579195894930739200", "1579195894930739200")</f>
        <v>1579195894930739200</v>
      </c>
      <c r="B1464" t="s">
        <v>15</v>
      </c>
      <c r="C1464" s="2">
        <v>44843.821944444448</v>
      </c>
      <c r="D1464">
        <v>0</v>
      </c>
      <c r="E1464">
        <v>15</v>
      </c>
      <c r="F1464" t="s">
        <v>911</v>
      </c>
      <c r="G1464" t="s">
        <v>1548</v>
      </c>
      <c r="H1464" t="str">
        <f>HYPERLINK("http://pbs.twimg.com/media/FeF9ShZXkAIle6m.jpg", "http://pbs.twimg.com/media/FeF9ShZXkAIle6m.jpg")</f>
        <v>http://pbs.twimg.com/media/FeF9ShZXkAIle6m.jpg</v>
      </c>
      <c r="L1464">
        <v>0</v>
      </c>
      <c r="M1464">
        <v>0</v>
      </c>
      <c r="N1464">
        <v>1</v>
      </c>
      <c r="O1464">
        <v>0</v>
      </c>
    </row>
    <row r="1465" spans="1:15" x14ac:dyDescent="0.2">
      <c r="A1465" s="1" t="str">
        <f>HYPERLINK("http://www.twitter.com/banuakdenizli/status/1579195876115099649", "1579195876115099649")</f>
        <v>1579195876115099649</v>
      </c>
      <c r="B1465" t="s">
        <v>15</v>
      </c>
      <c r="C1465" s="2">
        <v>44843.821886574071</v>
      </c>
      <c r="D1465">
        <v>0</v>
      </c>
      <c r="E1465">
        <v>7</v>
      </c>
      <c r="F1465" t="s">
        <v>20</v>
      </c>
      <c r="G1465" t="s">
        <v>1549</v>
      </c>
      <c r="H1465" t="str">
        <f>HYPERLINK("https://video.twimg.com/ext_tw_video/1576813620507328513/pu/vid/1280x720/TpgGXLn8Bz8F6a7m.mp4?tag=12", "https://video.twimg.com/ext_tw_video/1576813620507328513/pu/vid/1280x720/TpgGXLn8Bz8F6a7m.mp4?tag=12")</f>
        <v>https://video.twimg.com/ext_tw_video/1576813620507328513/pu/vid/1280x720/TpgGXLn8Bz8F6a7m.mp4?tag=12</v>
      </c>
      <c r="L1465">
        <v>0</v>
      </c>
      <c r="M1465">
        <v>0</v>
      </c>
      <c r="N1465">
        <v>1</v>
      </c>
      <c r="O1465">
        <v>0</v>
      </c>
    </row>
    <row r="1466" spans="1:15" x14ac:dyDescent="0.2">
      <c r="A1466" s="1" t="str">
        <f>HYPERLINK("http://www.twitter.com/banuakdenizli/status/1579195692861751296", "1579195692861751296")</f>
        <v>1579195692861751296</v>
      </c>
      <c r="B1466" t="s">
        <v>15</v>
      </c>
      <c r="C1466" s="2">
        <v>44843.821377314824</v>
      </c>
      <c r="D1466">
        <v>0</v>
      </c>
      <c r="E1466">
        <v>2</v>
      </c>
      <c r="F1466" t="s">
        <v>20</v>
      </c>
      <c r="G1466" t="s">
        <v>1550</v>
      </c>
      <c r="H1466" t="str">
        <f>HYPERLINK("http://pbs.twimg.com/media/FeSgaunXwAIvANQ.jpg", "http://pbs.twimg.com/media/FeSgaunXwAIvANQ.jpg")</f>
        <v>http://pbs.twimg.com/media/FeSgaunXwAIvANQ.jpg</v>
      </c>
      <c r="I1466" t="str">
        <f>HYPERLINK("http://pbs.twimg.com/media/FeSgauvWQAEG7KJ.jpg", "http://pbs.twimg.com/media/FeSgauvWQAEG7KJ.jpg")</f>
        <v>http://pbs.twimg.com/media/FeSgauvWQAEG7KJ.jpg</v>
      </c>
      <c r="L1466">
        <v>0</v>
      </c>
      <c r="M1466">
        <v>0</v>
      </c>
      <c r="N1466">
        <v>1</v>
      </c>
      <c r="O1466">
        <v>0</v>
      </c>
    </row>
    <row r="1467" spans="1:15" x14ac:dyDescent="0.2">
      <c r="A1467" s="1" t="str">
        <f>HYPERLINK("http://www.twitter.com/banuakdenizli/status/1579195412799721473", "1579195412799721473")</f>
        <v>1579195412799721473</v>
      </c>
      <c r="B1467" t="s">
        <v>15</v>
      </c>
      <c r="C1467" s="2">
        <v>44843.820613425924</v>
      </c>
      <c r="D1467">
        <v>0</v>
      </c>
      <c r="E1467">
        <v>7</v>
      </c>
      <c r="F1467" t="s">
        <v>38</v>
      </c>
      <c r="G1467" t="s">
        <v>1551</v>
      </c>
      <c r="H1467" t="str">
        <f>HYPERLINK("http://pbs.twimg.com/media/FepnBiLWAAE9tdE.jpg", "http://pbs.twimg.com/media/FepnBiLWAAE9tdE.jpg")</f>
        <v>http://pbs.twimg.com/media/FepnBiLWAAE9tdE.jpg</v>
      </c>
      <c r="I1467" t="str">
        <f>HYPERLINK("http://pbs.twimg.com/media/FepnBhgWQAI-wer.jpg", "http://pbs.twimg.com/media/FepnBhgWQAI-wer.jpg")</f>
        <v>http://pbs.twimg.com/media/FepnBhgWQAI-wer.jpg</v>
      </c>
      <c r="J1467" t="str">
        <f>HYPERLINK("http://pbs.twimg.com/media/FepnBhsWAAACv6X.jpg", "http://pbs.twimg.com/media/FepnBhsWAAACv6X.jpg")</f>
        <v>http://pbs.twimg.com/media/FepnBhsWAAACv6X.jpg</v>
      </c>
      <c r="K1467" t="str">
        <f>HYPERLINK("http://pbs.twimg.com/media/FepnBi9XkAUrf_d.jpg", "http://pbs.twimg.com/media/FepnBi9XkAUrf_d.jpg")</f>
        <v>http://pbs.twimg.com/media/FepnBi9XkAUrf_d.jpg</v>
      </c>
      <c r="L1467">
        <v>0</v>
      </c>
      <c r="M1467">
        <v>0</v>
      </c>
      <c r="N1467">
        <v>1</v>
      </c>
      <c r="O1467">
        <v>0</v>
      </c>
    </row>
    <row r="1468" spans="1:15" x14ac:dyDescent="0.2">
      <c r="A1468" s="1" t="str">
        <f>HYPERLINK("http://www.twitter.com/banuakdenizli/status/1579195229151719424", "1579195229151719424")</f>
        <v>1579195229151719424</v>
      </c>
      <c r="B1468" t="s">
        <v>15</v>
      </c>
      <c r="C1468" s="2">
        <v>44843.820104166669</v>
      </c>
      <c r="D1468">
        <v>0</v>
      </c>
      <c r="E1468">
        <v>1</v>
      </c>
      <c r="F1468" t="s">
        <v>29</v>
      </c>
      <c r="G1468" t="s">
        <v>1552</v>
      </c>
      <c r="H1468" t="str">
        <f>HYPERLINK("http://pbs.twimg.com/media/FeptHKwX0AE7pQk.jpg", "http://pbs.twimg.com/media/FeptHKwX0AE7pQk.jpg")</f>
        <v>http://pbs.twimg.com/media/FeptHKwX0AE7pQk.jpg</v>
      </c>
      <c r="I1468" t="str">
        <f>HYPERLINK("http://pbs.twimg.com/media/FeptHMCWIAgy5mO.jpg", "http://pbs.twimg.com/media/FeptHMCWIAgy5mO.jpg")</f>
        <v>http://pbs.twimg.com/media/FeptHMCWIAgy5mO.jpg</v>
      </c>
      <c r="J1468" t="str">
        <f>HYPERLINK("http://pbs.twimg.com/media/FeptHMCWAAEa4nd.jpg", "http://pbs.twimg.com/media/FeptHMCWAAEa4nd.jpg")</f>
        <v>http://pbs.twimg.com/media/FeptHMCWAAEa4nd.jpg</v>
      </c>
      <c r="K1468" t="str">
        <f>HYPERLINK("http://pbs.twimg.com/media/FeptHMEWQAkkzgK.jpg", "http://pbs.twimg.com/media/FeptHMEWQAkkzgK.jpg")</f>
        <v>http://pbs.twimg.com/media/FeptHMEWQAkkzgK.jpg</v>
      </c>
      <c r="L1468">
        <v>0</v>
      </c>
      <c r="M1468">
        <v>0</v>
      </c>
      <c r="N1468">
        <v>1</v>
      </c>
      <c r="O1468">
        <v>0</v>
      </c>
    </row>
    <row r="1469" spans="1:15" x14ac:dyDescent="0.2">
      <c r="A1469" s="1" t="str">
        <f>HYPERLINK("http://www.twitter.com/banuakdenizli/status/1579195214262022144", "1579195214262022144")</f>
        <v>1579195214262022144</v>
      </c>
      <c r="B1469" t="s">
        <v>15</v>
      </c>
      <c r="C1469" s="2">
        <v>44843.820057870369</v>
      </c>
      <c r="D1469">
        <v>0</v>
      </c>
      <c r="E1469">
        <v>2</v>
      </c>
      <c r="F1469" t="s">
        <v>29</v>
      </c>
      <c r="G1469" t="s">
        <v>1553</v>
      </c>
      <c r="H1469" t="str">
        <f>HYPERLINK("http://pbs.twimg.com/media/Fepo9zzXwAAvjuN.jpg", "http://pbs.twimg.com/media/Fepo9zzXwAAvjuN.jpg")</f>
        <v>http://pbs.twimg.com/media/Fepo9zzXwAAvjuN.jpg</v>
      </c>
      <c r="L1469">
        <v>0</v>
      </c>
      <c r="M1469">
        <v>0</v>
      </c>
      <c r="N1469">
        <v>1</v>
      </c>
      <c r="O1469">
        <v>0</v>
      </c>
    </row>
    <row r="1470" spans="1:15" x14ac:dyDescent="0.2">
      <c r="A1470" s="1" t="str">
        <f>HYPERLINK("http://www.twitter.com/banuakdenizli/status/1579195076882083841", "1579195076882083841")</f>
        <v>1579195076882083841</v>
      </c>
      <c r="B1470" t="s">
        <v>15</v>
      </c>
      <c r="C1470" s="2">
        <v>44843.819687499999</v>
      </c>
      <c r="D1470">
        <v>0</v>
      </c>
      <c r="E1470">
        <v>2</v>
      </c>
      <c r="F1470" t="s">
        <v>29</v>
      </c>
      <c r="G1470" t="s">
        <v>1554</v>
      </c>
      <c r="H1470" t="str">
        <f>HYPERLINK("http://pbs.twimg.com/media/FepcXSPWAAM-upX.jpg", "http://pbs.twimg.com/media/FepcXSPWAAM-upX.jpg")</f>
        <v>http://pbs.twimg.com/media/FepcXSPWAAM-upX.jpg</v>
      </c>
      <c r="I1470" t="str">
        <f>HYPERLINK("http://pbs.twimg.com/media/FepcXSRXEAIGwjr.jpg", "http://pbs.twimg.com/media/FepcXSRXEAIGwjr.jpg")</f>
        <v>http://pbs.twimg.com/media/FepcXSRXEAIGwjr.jpg</v>
      </c>
      <c r="L1470">
        <v>0.65969999999999995</v>
      </c>
      <c r="M1470">
        <v>0</v>
      </c>
      <c r="N1470">
        <v>0.748</v>
      </c>
      <c r="O1470">
        <v>0.252</v>
      </c>
    </row>
    <row r="1471" spans="1:15" x14ac:dyDescent="0.2">
      <c r="A1471" s="1" t="str">
        <f>HYPERLINK("http://www.twitter.com/banuakdenizli/status/1579173670106574849", "1579173670106574849")</f>
        <v>1579173670106574849</v>
      </c>
      <c r="B1471" t="s">
        <v>15</v>
      </c>
      <c r="C1471" s="2">
        <v>44843.760613425933</v>
      </c>
      <c r="D1471">
        <v>0</v>
      </c>
      <c r="E1471">
        <v>8</v>
      </c>
      <c r="F1471" t="s">
        <v>1555</v>
      </c>
      <c r="G1471" t="s">
        <v>1556</v>
      </c>
      <c r="H1471" t="str">
        <f>HYPERLINK("http://pbs.twimg.com/media/FcKJ2pFXEAI9ePv.jpg", "http://pbs.twimg.com/media/FcKJ2pFXEAI9ePv.jpg")</f>
        <v>http://pbs.twimg.com/media/FcKJ2pFXEAI9ePv.jpg</v>
      </c>
      <c r="L1471">
        <v>0</v>
      </c>
      <c r="M1471">
        <v>0</v>
      </c>
      <c r="N1471">
        <v>1</v>
      </c>
      <c r="O1471">
        <v>0</v>
      </c>
    </row>
    <row r="1472" spans="1:15" x14ac:dyDescent="0.2">
      <c r="A1472" s="1" t="str">
        <f>HYPERLINK("http://www.twitter.com/banuakdenizli/status/1579172922350252032", "1579172922350252032")</f>
        <v>1579172922350252032</v>
      </c>
      <c r="B1472" t="s">
        <v>15</v>
      </c>
      <c r="C1472" s="2">
        <v>44843.75854166667</v>
      </c>
      <c r="D1472">
        <v>0</v>
      </c>
      <c r="E1472">
        <v>13</v>
      </c>
      <c r="F1472" t="s">
        <v>503</v>
      </c>
      <c r="G1472" t="s">
        <v>1557</v>
      </c>
      <c r="H1472" t="str">
        <f>HYPERLINK("https://video.twimg.com/ext_tw_video/1575851892898496513/pu/vid/1280x720/ITWhoaiAlaM-V0Bz.mp4?tag=12", "https://video.twimg.com/ext_tw_video/1575851892898496513/pu/vid/1280x720/ITWhoaiAlaM-V0Bz.mp4?tag=12")</f>
        <v>https://video.twimg.com/ext_tw_video/1575851892898496513/pu/vid/1280x720/ITWhoaiAlaM-V0Bz.mp4?tag=12</v>
      </c>
      <c r="L1472">
        <v>0.37740000000000001</v>
      </c>
      <c r="M1472">
        <v>0</v>
      </c>
      <c r="N1472">
        <v>0.92300000000000004</v>
      </c>
      <c r="O1472">
        <v>7.6999999999999999E-2</v>
      </c>
    </row>
    <row r="1473" spans="1:15" x14ac:dyDescent="0.2">
      <c r="A1473" s="1" t="str">
        <f>HYPERLINK("http://www.twitter.com/banuakdenizli/status/1579172858894618624", "1579172858894618624")</f>
        <v>1579172858894618624</v>
      </c>
      <c r="B1473" t="s">
        <v>15</v>
      </c>
      <c r="C1473" s="2">
        <v>44843.758368055547</v>
      </c>
      <c r="D1473">
        <v>0</v>
      </c>
      <c r="E1473">
        <v>9</v>
      </c>
      <c r="F1473" t="s">
        <v>503</v>
      </c>
      <c r="G1473" t="s">
        <v>1558</v>
      </c>
      <c r="H1473" t="str">
        <f>HYPERLINK("https://video.twimg.com/amplify_video/1576571145297575937/vid/1280x720/kzcF-HxutpXzgH0Z.mp4?tag=14", "https://video.twimg.com/amplify_video/1576571145297575937/vid/1280x720/kzcF-HxutpXzgH0Z.mp4?tag=14")</f>
        <v>https://video.twimg.com/amplify_video/1576571145297575937/vid/1280x720/kzcF-HxutpXzgH0Z.mp4?tag=14</v>
      </c>
      <c r="L1473">
        <v>0</v>
      </c>
      <c r="M1473">
        <v>0</v>
      </c>
      <c r="N1473">
        <v>1</v>
      </c>
      <c r="O1473">
        <v>0</v>
      </c>
    </row>
    <row r="1474" spans="1:15" x14ac:dyDescent="0.2">
      <c r="A1474" s="1" t="str">
        <f>HYPERLINK("http://www.twitter.com/banuakdenizli/status/1579172732239245313", "1579172732239245313")</f>
        <v>1579172732239245313</v>
      </c>
      <c r="B1474" t="s">
        <v>15</v>
      </c>
      <c r="C1474" s="2">
        <v>44843.758020833331</v>
      </c>
      <c r="D1474">
        <v>0</v>
      </c>
      <c r="E1474">
        <v>414</v>
      </c>
      <c r="F1474" t="s">
        <v>503</v>
      </c>
      <c r="G1474" t="s">
        <v>1559</v>
      </c>
      <c r="H1474" t="str">
        <f>HYPERLINK("http://pbs.twimg.com/media/FeZhyUoWQAEZUI-.jpg", "http://pbs.twimg.com/media/FeZhyUoWQAEZUI-.jpg")</f>
        <v>http://pbs.twimg.com/media/FeZhyUoWQAEZUI-.jpg</v>
      </c>
      <c r="L1474">
        <v>0</v>
      </c>
      <c r="M1474">
        <v>0</v>
      </c>
      <c r="N1474">
        <v>1</v>
      </c>
      <c r="O1474">
        <v>0</v>
      </c>
    </row>
    <row r="1475" spans="1:15" x14ac:dyDescent="0.2">
      <c r="A1475" s="1" t="str">
        <f>HYPERLINK("http://www.twitter.com/banuakdenizli/status/1579172585945780224", "1579172585945780224")</f>
        <v>1579172585945780224</v>
      </c>
      <c r="B1475" t="s">
        <v>15</v>
      </c>
      <c r="C1475" s="2">
        <v>44843.757615740738</v>
      </c>
      <c r="D1475">
        <v>0</v>
      </c>
      <c r="E1475">
        <v>106</v>
      </c>
      <c r="F1475" t="s">
        <v>503</v>
      </c>
      <c r="G1475" t="s">
        <v>1560</v>
      </c>
      <c r="H1475" t="str">
        <f>HYPERLINK("http://pbs.twimg.com/media/FdwXZ0gXEAIsNxs.jpg", "http://pbs.twimg.com/media/FdwXZ0gXEAIsNxs.jpg")</f>
        <v>http://pbs.twimg.com/media/FdwXZ0gXEAIsNxs.jpg</v>
      </c>
      <c r="L1475">
        <v>0.51060000000000005</v>
      </c>
      <c r="M1475">
        <v>0</v>
      </c>
      <c r="N1475">
        <v>0.93</v>
      </c>
      <c r="O1475">
        <v>7.0000000000000007E-2</v>
      </c>
    </row>
    <row r="1476" spans="1:15" x14ac:dyDescent="0.2">
      <c r="A1476" s="1" t="str">
        <f>HYPERLINK("http://www.twitter.com/banuakdenizli/status/1579172459898490880", "1579172459898490880")</f>
        <v>1579172459898490880</v>
      </c>
      <c r="B1476" t="s">
        <v>15</v>
      </c>
      <c r="C1476" s="2">
        <v>44843.757268518522</v>
      </c>
      <c r="D1476">
        <v>0</v>
      </c>
      <c r="E1476">
        <v>24</v>
      </c>
      <c r="F1476" t="s">
        <v>503</v>
      </c>
      <c r="G1476" t="s">
        <v>1561</v>
      </c>
      <c r="H1476" t="str">
        <f>HYPERLINK("https://video.twimg.com/ext_tw_video/1579156223907303425/pu/vid/720x720/eH0mF7zKFdqVRk4t.mp4?tag=12", "https://video.twimg.com/ext_tw_video/1579156223907303425/pu/vid/720x720/eH0mF7zKFdqVRk4t.mp4?tag=12")</f>
        <v>https://video.twimg.com/ext_tw_video/1579156223907303425/pu/vid/720x720/eH0mF7zKFdqVRk4t.mp4?tag=12</v>
      </c>
      <c r="L1476">
        <v>0</v>
      </c>
      <c r="M1476">
        <v>0</v>
      </c>
      <c r="N1476">
        <v>1</v>
      </c>
      <c r="O1476">
        <v>0</v>
      </c>
    </row>
    <row r="1477" spans="1:15" x14ac:dyDescent="0.2">
      <c r="A1477" s="1" t="str">
        <f>HYPERLINK("http://www.twitter.com/banuakdenizli/status/1579154659327242243", "1579154659327242243")</f>
        <v>1579154659327242243</v>
      </c>
      <c r="B1477" t="s">
        <v>15</v>
      </c>
      <c r="C1477" s="2">
        <v>44843.708148148151</v>
      </c>
      <c r="D1477">
        <v>0</v>
      </c>
      <c r="E1477">
        <v>18</v>
      </c>
      <c r="F1477" t="s">
        <v>41</v>
      </c>
      <c r="G1477" t="s">
        <v>1562</v>
      </c>
      <c r="H1477" t="str">
        <f>HYPERLINK("http://pbs.twimg.com/media/FeouiCAWIAE66Yd.jpg", "http://pbs.twimg.com/media/FeouiCAWIAE66Yd.jpg")</f>
        <v>http://pbs.twimg.com/media/FeouiCAWIAE66Yd.jpg</v>
      </c>
      <c r="L1477">
        <v>0</v>
      </c>
      <c r="M1477">
        <v>0</v>
      </c>
      <c r="N1477">
        <v>1</v>
      </c>
      <c r="O1477">
        <v>0</v>
      </c>
    </row>
    <row r="1478" spans="1:15" x14ac:dyDescent="0.2">
      <c r="A1478" s="1" t="str">
        <f>HYPERLINK("http://www.twitter.com/banuakdenizli/status/1579154626288398336", "1579154626288398336")</f>
        <v>1579154626288398336</v>
      </c>
      <c r="B1478" t="s">
        <v>15</v>
      </c>
      <c r="C1478" s="2">
        <v>44843.708055555559</v>
      </c>
      <c r="D1478">
        <v>0</v>
      </c>
      <c r="E1478">
        <v>5</v>
      </c>
      <c r="F1478" t="s">
        <v>604</v>
      </c>
      <c r="G1478" t="s">
        <v>1563</v>
      </c>
      <c r="H1478" t="str">
        <f>HYPERLINK("http://pbs.twimg.com/media/Feo0r-3WAAodxTz.jpg", "http://pbs.twimg.com/media/Feo0r-3WAAodxTz.jpg")</f>
        <v>http://pbs.twimg.com/media/Feo0r-3WAAodxTz.jpg</v>
      </c>
      <c r="L1478">
        <v>0.53069999999999995</v>
      </c>
      <c r="M1478">
        <v>0</v>
      </c>
      <c r="N1478">
        <v>0.59299999999999997</v>
      </c>
      <c r="O1478">
        <v>0.40699999999999997</v>
      </c>
    </row>
    <row r="1479" spans="1:15" x14ac:dyDescent="0.2">
      <c r="A1479" s="1" t="str">
        <f>HYPERLINK("http://www.twitter.com/banuakdenizli/status/1579154152273285121", "1579154152273285121")</f>
        <v>1579154152273285121</v>
      </c>
      <c r="B1479" t="s">
        <v>15</v>
      </c>
      <c r="C1479" s="2">
        <v>44843.706747685188</v>
      </c>
      <c r="D1479">
        <v>0</v>
      </c>
      <c r="E1479">
        <v>11</v>
      </c>
      <c r="F1479" t="s">
        <v>29</v>
      </c>
      <c r="G1479" t="s">
        <v>1564</v>
      </c>
      <c r="H1479" t="str">
        <f>HYPERLINK("http://pbs.twimg.com/media/FepCCvNXEAUNO3A.jpg", "http://pbs.twimg.com/media/FepCCvNXEAUNO3A.jpg")</f>
        <v>http://pbs.twimg.com/media/FepCCvNXEAUNO3A.jpg</v>
      </c>
      <c r="L1479">
        <v>0</v>
      </c>
      <c r="M1479">
        <v>0</v>
      </c>
      <c r="N1479">
        <v>1</v>
      </c>
      <c r="O1479">
        <v>0</v>
      </c>
    </row>
    <row r="1480" spans="1:15" x14ac:dyDescent="0.2">
      <c r="A1480" s="1" t="str">
        <f>HYPERLINK("http://www.twitter.com/banuakdenizli/status/1579144072358670337", "1579144072358670337")</f>
        <v>1579144072358670337</v>
      </c>
      <c r="B1480" t="s">
        <v>15</v>
      </c>
      <c r="C1480" s="2">
        <v>44843.678935185177</v>
      </c>
      <c r="D1480">
        <v>0</v>
      </c>
      <c r="E1480">
        <v>1</v>
      </c>
      <c r="F1480" t="s">
        <v>38</v>
      </c>
      <c r="G1480" t="s">
        <v>1565</v>
      </c>
      <c r="H1480" t="str">
        <f>HYPERLINK("http://pbs.twimg.com/media/Feo50grXoAUHIdj.jpg", "http://pbs.twimg.com/media/Feo50grXoAUHIdj.jpg")</f>
        <v>http://pbs.twimg.com/media/Feo50grXoAUHIdj.jpg</v>
      </c>
      <c r="L1480">
        <v>0</v>
      </c>
      <c r="M1480">
        <v>0</v>
      </c>
      <c r="N1480">
        <v>1</v>
      </c>
      <c r="O1480">
        <v>0</v>
      </c>
    </row>
    <row r="1481" spans="1:15" x14ac:dyDescent="0.2">
      <c r="A1481" s="1" t="str">
        <f>HYPERLINK("http://www.twitter.com/banuakdenizli/status/1579143385150955521", "1579143385150955521")</f>
        <v>1579143385150955521</v>
      </c>
      <c r="B1481" t="s">
        <v>15</v>
      </c>
      <c r="C1481" s="2">
        <v>44843.677037037043</v>
      </c>
      <c r="D1481">
        <v>0</v>
      </c>
      <c r="E1481">
        <v>1</v>
      </c>
      <c r="F1481" t="s">
        <v>21</v>
      </c>
      <c r="G1481" t="s">
        <v>1566</v>
      </c>
      <c r="L1481">
        <v>0</v>
      </c>
      <c r="M1481">
        <v>0</v>
      </c>
      <c r="N1481">
        <v>1</v>
      </c>
      <c r="O1481">
        <v>0</v>
      </c>
    </row>
    <row r="1482" spans="1:15" x14ac:dyDescent="0.2">
      <c r="A1482" s="1" t="str">
        <f>HYPERLINK("http://www.twitter.com/banuakdenizli/status/1579143373260488711", "1579143373260488711")</f>
        <v>1579143373260488711</v>
      </c>
      <c r="B1482" t="s">
        <v>15</v>
      </c>
      <c r="C1482" s="2">
        <v>44843.677002314813</v>
      </c>
      <c r="D1482">
        <v>0</v>
      </c>
      <c r="E1482">
        <v>1</v>
      </c>
      <c r="F1482" t="s">
        <v>21</v>
      </c>
      <c r="G1482" t="s">
        <v>1567</v>
      </c>
      <c r="H1482" t="str">
        <f>HYPERLINK("https://video.twimg.com/ext_tw_video/1578794156478107648/pu/vid/1280x596/_944RigsaaZ8i4t7.mp4?tag=12", "https://video.twimg.com/ext_tw_video/1578794156478107648/pu/vid/1280x596/_944RigsaaZ8i4t7.mp4?tag=12")</f>
        <v>https://video.twimg.com/ext_tw_video/1578794156478107648/pu/vid/1280x596/_944RigsaaZ8i4t7.mp4?tag=12</v>
      </c>
      <c r="L1482">
        <v>0</v>
      </c>
      <c r="M1482">
        <v>0</v>
      </c>
      <c r="N1482">
        <v>1</v>
      </c>
      <c r="O1482">
        <v>0</v>
      </c>
    </row>
    <row r="1483" spans="1:15" x14ac:dyDescent="0.2">
      <c r="A1483" s="1" t="str">
        <f>HYPERLINK("http://www.twitter.com/banuakdenizli/status/1579139893892370432", "1579139893892370432")</f>
        <v>1579139893892370432</v>
      </c>
      <c r="B1483" t="s">
        <v>15</v>
      </c>
      <c r="C1483" s="2">
        <v>44843.667407407411</v>
      </c>
      <c r="D1483">
        <v>0</v>
      </c>
      <c r="E1483">
        <v>2</v>
      </c>
      <c r="F1483" t="s">
        <v>39</v>
      </c>
      <c r="G1483" t="s">
        <v>1568</v>
      </c>
      <c r="L1483">
        <v>0</v>
      </c>
      <c r="M1483">
        <v>0</v>
      </c>
      <c r="N1483">
        <v>1</v>
      </c>
      <c r="O1483">
        <v>0</v>
      </c>
    </row>
    <row r="1484" spans="1:15" x14ac:dyDescent="0.2">
      <c r="A1484" s="1" t="str">
        <f>HYPERLINK("http://www.twitter.com/banuakdenizli/status/1579139887332147202", "1579139887332147202")</f>
        <v>1579139887332147202</v>
      </c>
      <c r="B1484" t="s">
        <v>15</v>
      </c>
      <c r="C1484" s="2">
        <v>44843.667384259257</v>
      </c>
      <c r="D1484">
        <v>0</v>
      </c>
      <c r="E1484">
        <v>3</v>
      </c>
      <c r="F1484" t="s">
        <v>39</v>
      </c>
      <c r="G1484" t="s">
        <v>1569</v>
      </c>
      <c r="H1484" t="str">
        <f>HYPERLINK("http://pbs.twimg.com/media/FeZ_yYPWAAArHFf.jpg", "http://pbs.twimg.com/media/FeZ_yYPWAAArHFf.jpg")</f>
        <v>http://pbs.twimg.com/media/FeZ_yYPWAAArHFf.jpg</v>
      </c>
      <c r="L1484">
        <v>0</v>
      </c>
      <c r="M1484">
        <v>0</v>
      </c>
      <c r="N1484">
        <v>1</v>
      </c>
      <c r="O1484">
        <v>0</v>
      </c>
    </row>
    <row r="1485" spans="1:15" x14ac:dyDescent="0.2">
      <c r="A1485" s="1" t="str">
        <f>HYPERLINK("http://www.twitter.com/banuakdenizli/status/1579139810144710658", "1579139810144710658")</f>
        <v>1579139810144710658</v>
      </c>
      <c r="B1485" t="s">
        <v>15</v>
      </c>
      <c r="C1485" s="2">
        <v>44843.667175925933</v>
      </c>
      <c r="D1485">
        <v>0</v>
      </c>
      <c r="E1485">
        <v>2</v>
      </c>
      <c r="F1485" t="s">
        <v>39</v>
      </c>
      <c r="G1485" t="s">
        <v>1570</v>
      </c>
      <c r="L1485">
        <v>0</v>
      </c>
      <c r="M1485">
        <v>0</v>
      </c>
      <c r="N1485">
        <v>1</v>
      </c>
      <c r="O1485">
        <v>0</v>
      </c>
    </row>
    <row r="1486" spans="1:15" x14ac:dyDescent="0.2">
      <c r="A1486" s="1" t="str">
        <f>HYPERLINK("http://www.twitter.com/banuakdenizli/status/1579138256330842114", "1579138256330842114")</f>
        <v>1579138256330842114</v>
      </c>
      <c r="B1486" t="s">
        <v>15</v>
      </c>
      <c r="C1486" s="2">
        <v>44843.662881944438</v>
      </c>
      <c r="D1486">
        <v>0</v>
      </c>
      <c r="E1486">
        <v>2</v>
      </c>
      <c r="F1486" t="s">
        <v>29</v>
      </c>
      <c r="G1486" t="s">
        <v>1571</v>
      </c>
      <c r="H1486" t="str">
        <f>HYPERLINK("http://pbs.twimg.com/media/FeoMZqhXkAI3ILz.jpg", "http://pbs.twimg.com/media/FeoMZqhXkAI3ILz.jpg")</f>
        <v>http://pbs.twimg.com/media/FeoMZqhXkAI3ILz.jpg</v>
      </c>
      <c r="I1486" t="str">
        <f>HYPERLINK("http://pbs.twimg.com/media/FeoMZqgWIAI_u0q.jpg", "http://pbs.twimg.com/media/FeoMZqgWIAI_u0q.jpg")</f>
        <v>http://pbs.twimg.com/media/FeoMZqgWIAI_u0q.jpg</v>
      </c>
      <c r="L1486">
        <v>0.40189999999999998</v>
      </c>
      <c r="M1486">
        <v>0</v>
      </c>
      <c r="N1486">
        <v>0.92600000000000005</v>
      </c>
      <c r="O1486">
        <v>7.3999999999999996E-2</v>
      </c>
    </row>
    <row r="1487" spans="1:15" x14ac:dyDescent="0.2">
      <c r="A1487" s="1" t="str">
        <f>HYPERLINK("http://www.twitter.com/banuakdenizli/status/1579138062957019136", "1579138062957019136")</f>
        <v>1579138062957019136</v>
      </c>
      <c r="B1487" t="s">
        <v>15</v>
      </c>
      <c r="C1487" s="2">
        <v>44843.662349537037</v>
      </c>
      <c r="D1487">
        <v>0</v>
      </c>
      <c r="E1487">
        <v>1</v>
      </c>
      <c r="F1487" t="s">
        <v>37</v>
      </c>
      <c r="G1487" t="s">
        <v>1572</v>
      </c>
      <c r="H1487" t="str">
        <f>HYPERLINK("http://pbs.twimg.com/media/FeoqrdLXoAAZovg.jpg", "http://pbs.twimg.com/media/FeoqrdLXoAAZovg.jpg")</f>
        <v>http://pbs.twimg.com/media/FeoqrdLXoAAZovg.jpg</v>
      </c>
      <c r="I1487" t="str">
        <f>HYPERLINK("http://pbs.twimg.com/media/FeoqsdjWAAAYpWy.jpg", "http://pbs.twimg.com/media/FeoqsdjWAAAYpWy.jpg")</f>
        <v>http://pbs.twimg.com/media/FeoqsdjWAAAYpWy.jpg</v>
      </c>
      <c r="L1487">
        <v>0</v>
      </c>
      <c r="M1487">
        <v>0</v>
      </c>
      <c r="N1487">
        <v>1</v>
      </c>
      <c r="O1487">
        <v>0</v>
      </c>
    </row>
    <row r="1488" spans="1:15" x14ac:dyDescent="0.2">
      <c r="A1488" s="1" t="str">
        <f>HYPERLINK("http://www.twitter.com/banuakdenizli/status/1579138035878625280", "1579138035878625280")</f>
        <v>1579138035878625280</v>
      </c>
      <c r="B1488" t="s">
        <v>15</v>
      </c>
      <c r="C1488" s="2">
        <v>44843.662280092591</v>
      </c>
      <c r="D1488">
        <v>0</v>
      </c>
      <c r="E1488">
        <v>9</v>
      </c>
      <c r="F1488" t="s">
        <v>44</v>
      </c>
      <c r="G1488" t="s">
        <v>1573</v>
      </c>
      <c r="H1488" t="str">
        <f>HYPERLINK("http://pbs.twimg.com/media/Feo3QsdXEAEWfPL.jpg", "http://pbs.twimg.com/media/Feo3QsdXEAEWfPL.jpg")</f>
        <v>http://pbs.twimg.com/media/Feo3QsdXEAEWfPL.jpg</v>
      </c>
      <c r="I1488" t="str">
        <f>HYPERLINK("http://pbs.twimg.com/media/Feo3QsYX0AMrQws.jpg", "http://pbs.twimg.com/media/Feo3QsYX0AMrQws.jpg")</f>
        <v>http://pbs.twimg.com/media/Feo3QsYX0AMrQws.jpg</v>
      </c>
      <c r="J1488" t="str">
        <f>HYPERLINK("http://pbs.twimg.com/media/Feo3QslWIAEXgsP.jpg", "http://pbs.twimg.com/media/Feo3QslWIAEXgsP.jpg")</f>
        <v>http://pbs.twimg.com/media/Feo3QslWIAEXgsP.jpg</v>
      </c>
      <c r="K1488" t="str">
        <f>HYPERLINK("http://pbs.twimg.com/media/Feo3QseWYAYxVKk.jpg", "http://pbs.twimg.com/media/Feo3QseWYAYxVKk.jpg")</f>
        <v>http://pbs.twimg.com/media/Feo3QseWYAYxVKk.jpg</v>
      </c>
      <c r="L1488">
        <v>0</v>
      </c>
      <c r="M1488">
        <v>0</v>
      </c>
      <c r="N1488">
        <v>1</v>
      </c>
      <c r="O1488">
        <v>0</v>
      </c>
    </row>
    <row r="1489" spans="1:15" x14ac:dyDescent="0.2">
      <c r="A1489" s="1" t="str">
        <f>HYPERLINK("http://www.twitter.com/banuakdenizli/status/1579134909377306624", "1579134909377306624")</f>
        <v>1579134909377306624</v>
      </c>
      <c r="B1489" t="s">
        <v>15</v>
      </c>
      <c r="C1489" s="2">
        <v>44843.653645833343</v>
      </c>
      <c r="D1489">
        <v>0</v>
      </c>
      <c r="E1489">
        <v>4</v>
      </c>
      <c r="F1489" t="s">
        <v>39</v>
      </c>
      <c r="G1489" t="s">
        <v>1574</v>
      </c>
      <c r="H1489" t="str">
        <f>HYPERLINK("http://pbs.twimg.com/media/Feoia43XEAENiR3.jpg", "http://pbs.twimg.com/media/Feoia43XEAENiR3.jpg")</f>
        <v>http://pbs.twimg.com/media/Feoia43XEAENiR3.jpg</v>
      </c>
      <c r="L1489">
        <v>0</v>
      </c>
      <c r="M1489">
        <v>0</v>
      </c>
      <c r="N1489">
        <v>1</v>
      </c>
      <c r="O1489">
        <v>0</v>
      </c>
    </row>
    <row r="1490" spans="1:15" x14ac:dyDescent="0.2">
      <c r="A1490" s="1" t="str">
        <f>HYPERLINK("http://www.twitter.com/banuakdenizli/status/1579134667173036032", "1579134667173036032")</f>
        <v>1579134667173036032</v>
      </c>
      <c r="B1490" t="s">
        <v>15</v>
      </c>
      <c r="C1490" s="2">
        <v>44843.652986111112</v>
      </c>
      <c r="D1490">
        <v>0</v>
      </c>
      <c r="E1490">
        <v>7</v>
      </c>
      <c r="F1490" t="s">
        <v>686</v>
      </c>
      <c r="G1490" t="s">
        <v>1575</v>
      </c>
      <c r="H1490" t="str">
        <f>HYPERLINK("http://pbs.twimg.com/media/Feit1pSXEAAOs1F.jpg", "http://pbs.twimg.com/media/Feit1pSXEAAOs1F.jpg")</f>
        <v>http://pbs.twimg.com/media/Feit1pSXEAAOs1F.jpg</v>
      </c>
      <c r="I1490" t="str">
        <f>HYPERLINK("http://pbs.twimg.com/media/Feit1pZWAAAFJIw.jpg", "http://pbs.twimg.com/media/Feit1pZWAAAFJIw.jpg")</f>
        <v>http://pbs.twimg.com/media/Feit1pZWAAAFJIw.jpg</v>
      </c>
      <c r="J1490" t="str">
        <f>HYPERLINK("http://pbs.twimg.com/media/Feit1pVXwAEaSeo.jpg", "http://pbs.twimg.com/media/Feit1pVXwAEaSeo.jpg")</f>
        <v>http://pbs.twimg.com/media/Feit1pVXwAEaSeo.jpg</v>
      </c>
      <c r="L1490">
        <v>0</v>
      </c>
      <c r="M1490">
        <v>0</v>
      </c>
      <c r="N1490">
        <v>1</v>
      </c>
      <c r="O1490">
        <v>0</v>
      </c>
    </row>
    <row r="1491" spans="1:15" x14ac:dyDescent="0.2">
      <c r="A1491" s="1" t="str">
        <f>HYPERLINK("http://www.twitter.com/banuakdenizli/status/1579134624911196161", "1579134624911196161")</f>
        <v>1579134624911196161</v>
      </c>
      <c r="B1491" t="s">
        <v>15</v>
      </c>
      <c r="C1491" s="2">
        <v>44843.652870370373</v>
      </c>
      <c r="D1491">
        <v>0</v>
      </c>
      <c r="E1491">
        <v>8</v>
      </c>
      <c r="F1491" t="s">
        <v>17</v>
      </c>
      <c r="G1491" t="s">
        <v>1576</v>
      </c>
      <c r="H1491" t="str">
        <f>HYPERLINK("http://pbs.twimg.com/media/Felvf66XwAIb1ks.jpg", "http://pbs.twimg.com/media/Felvf66XwAIb1ks.jpg")</f>
        <v>http://pbs.twimg.com/media/Felvf66XwAIb1ks.jpg</v>
      </c>
      <c r="I1491" t="str">
        <f>HYPERLINK("http://pbs.twimg.com/media/Felvf66XoAI5g5t.jpg", "http://pbs.twimg.com/media/Felvf66XoAI5g5t.jpg")</f>
        <v>http://pbs.twimg.com/media/Felvf66XoAI5g5t.jpg</v>
      </c>
      <c r="L1491">
        <v>0</v>
      </c>
      <c r="M1491">
        <v>0</v>
      </c>
      <c r="N1491">
        <v>1</v>
      </c>
      <c r="O1491">
        <v>0</v>
      </c>
    </row>
    <row r="1492" spans="1:15" x14ac:dyDescent="0.2">
      <c r="A1492" s="1" t="str">
        <f>HYPERLINK("http://www.twitter.com/banuakdenizli/status/1579134610172411906", "1579134610172411906")</f>
        <v>1579134610172411906</v>
      </c>
      <c r="B1492" t="s">
        <v>15</v>
      </c>
      <c r="C1492" s="2">
        <v>44843.652824074074</v>
      </c>
      <c r="D1492">
        <v>0</v>
      </c>
      <c r="E1492">
        <v>8</v>
      </c>
      <c r="F1492" t="s">
        <v>16</v>
      </c>
      <c r="G1492" t="s">
        <v>1577</v>
      </c>
      <c r="H1492" t="str">
        <f>HYPERLINK("http://pbs.twimg.com/media/FelvPgrX0AEI41O.jpg", "http://pbs.twimg.com/media/FelvPgrX0AEI41O.jpg")</f>
        <v>http://pbs.twimg.com/media/FelvPgrX0AEI41O.jpg</v>
      </c>
      <c r="I1492" t="str">
        <f>HYPERLINK("http://pbs.twimg.com/media/FelvPguXwAE_F2o.jpg", "http://pbs.twimg.com/media/FelvPguXwAE_F2o.jpg")</f>
        <v>http://pbs.twimg.com/media/FelvPguXwAE_F2o.jpg</v>
      </c>
      <c r="L1492">
        <v>0</v>
      </c>
      <c r="M1492">
        <v>0</v>
      </c>
      <c r="N1492">
        <v>1</v>
      </c>
      <c r="O1492">
        <v>0</v>
      </c>
    </row>
    <row r="1493" spans="1:15" x14ac:dyDescent="0.2">
      <c r="A1493" s="1" t="str">
        <f>HYPERLINK("http://www.twitter.com/banuakdenizli/status/1579134589473275907", "1579134589473275907")</f>
        <v>1579134589473275907</v>
      </c>
      <c r="B1493" t="s">
        <v>15</v>
      </c>
      <c r="C1493" s="2">
        <v>44843.652766203697</v>
      </c>
      <c r="D1493">
        <v>0</v>
      </c>
      <c r="E1493">
        <v>8</v>
      </c>
      <c r="F1493" t="s">
        <v>16</v>
      </c>
      <c r="G1493" t="s">
        <v>1578</v>
      </c>
      <c r="H1493" t="str">
        <f>HYPERLINK("https://video.twimg.com/ext_tw_video/1579092733335052289/pu/vid/1280x720/ja5q0MNh7wQZMX_q.mp4?tag=12", "https://video.twimg.com/ext_tw_video/1579092733335052289/pu/vid/1280x720/ja5q0MNh7wQZMX_q.mp4?tag=12")</f>
        <v>https://video.twimg.com/ext_tw_video/1579092733335052289/pu/vid/1280x720/ja5q0MNh7wQZMX_q.mp4?tag=12</v>
      </c>
      <c r="L1493">
        <v>0</v>
      </c>
      <c r="M1493">
        <v>0</v>
      </c>
      <c r="N1493">
        <v>1</v>
      </c>
      <c r="O1493">
        <v>0</v>
      </c>
    </row>
    <row r="1494" spans="1:15" x14ac:dyDescent="0.2">
      <c r="A1494" s="1" t="str">
        <f>HYPERLINK("http://www.twitter.com/banuakdenizli/status/1579134413014962176", "1579134413014962176")</f>
        <v>1579134413014962176</v>
      </c>
      <c r="B1494" t="s">
        <v>15</v>
      </c>
      <c r="C1494" s="2">
        <v>44843.652280092603</v>
      </c>
      <c r="D1494">
        <v>0</v>
      </c>
      <c r="E1494">
        <v>32</v>
      </c>
      <c r="F1494" t="s">
        <v>18</v>
      </c>
      <c r="G1494" t="s">
        <v>1579</v>
      </c>
      <c r="H1494" t="str">
        <f>HYPERLINK("http://pbs.twimg.com/media/FeoF0eZXkAIiZVZ.jpg", "http://pbs.twimg.com/media/FeoF0eZXkAIiZVZ.jpg")</f>
        <v>http://pbs.twimg.com/media/FeoF0eZXkAIiZVZ.jpg</v>
      </c>
      <c r="L1494">
        <v>0.73509999999999998</v>
      </c>
      <c r="M1494">
        <v>0</v>
      </c>
      <c r="N1494">
        <v>0.83299999999999996</v>
      </c>
      <c r="O1494">
        <v>0.16700000000000001</v>
      </c>
    </row>
    <row r="1495" spans="1:15" x14ac:dyDescent="0.2">
      <c r="A1495" s="1" t="str">
        <f>HYPERLINK("http://www.twitter.com/banuakdenizli/status/1579134377837092866", "1579134377837092866")</f>
        <v>1579134377837092866</v>
      </c>
      <c r="B1495" t="s">
        <v>15</v>
      </c>
      <c r="C1495" s="2">
        <v>44843.652187500003</v>
      </c>
      <c r="D1495">
        <v>0</v>
      </c>
      <c r="E1495">
        <v>36</v>
      </c>
      <c r="F1495" t="s">
        <v>18</v>
      </c>
      <c r="G1495" t="s">
        <v>1580</v>
      </c>
      <c r="H1495" t="str">
        <f>HYPERLINK("http://pbs.twimg.com/media/FeoBzXdXoAIsb0B.jpg", "http://pbs.twimg.com/media/FeoBzXdXoAIsb0B.jpg")</f>
        <v>http://pbs.twimg.com/media/FeoBzXdXoAIsb0B.jpg</v>
      </c>
      <c r="L1495">
        <v>0</v>
      </c>
      <c r="M1495">
        <v>0</v>
      </c>
      <c r="N1495">
        <v>1</v>
      </c>
      <c r="O1495">
        <v>0</v>
      </c>
    </row>
    <row r="1496" spans="1:15" x14ac:dyDescent="0.2">
      <c r="A1496" s="1" t="str">
        <f>HYPERLINK("http://www.twitter.com/banuakdenizli/status/1579134344941244417", "1579134344941244417")</f>
        <v>1579134344941244417</v>
      </c>
      <c r="B1496" t="s">
        <v>15</v>
      </c>
      <c r="C1496" s="2">
        <v>44843.652094907397</v>
      </c>
      <c r="D1496">
        <v>0</v>
      </c>
      <c r="E1496">
        <v>9</v>
      </c>
      <c r="F1496" t="s">
        <v>17</v>
      </c>
      <c r="G1496" t="s">
        <v>1581</v>
      </c>
      <c r="H1496" t="str">
        <f>HYPERLINK("http://pbs.twimg.com/media/Feod9CHXoAAk3UJ.jpg", "http://pbs.twimg.com/media/Feod9CHXoAAk3UJ.jpg")</f>
        <v>http://pbs.twimg.com/media/Feod9CHXoAAk3UJ.jpg</v>
      </c>
      <c r="I1496" t="str">
        <f>HYPERLINK("http://pbs.twimg.com/media/Feod9CAXgAAWqWE.jpg", "http://pbs.twimg.com/media/Feod9CAXgAAWqWE.jpg")</f>
        <v>http://pbs.twimg.com/media/Feod9CAXgAAWqWE.jpg</v>
      </c>
      <c r="J1496" t="str">
        <f>HYPERLINK("http://pbs.twimg.com/media/Feod9CIX0AAEGZD.jpg", "http://pbs.twimg.com/media/Feod9CIX0AAEGZD.jpg")</f>
        <v>http://pbs.twimg.com/media/Feod9CIX0AAEGZD.jpg</v>
      </c>
      <c r="L1496">
        <v>0</v>
      </c>
      <c r="M1496">
        <v>0</v>
      </c>
      <c r="N1496">
        <v>1</v>
      </c>
      <c r="O1496">
        <v>0</v>
      </c>
    </row>
    <row r="1497" spans="1:15" x14ac:dyDescent="0.2">
      <c r="A1497" s="1" t="str">
        <f>HYPERLINK("http://www.twitter.com/banuakdenizli/status/1579134330366210048", "1579134330366210048")</f>
        <v>1579134330366210048</v>
      </c>
      <c r="B1497" t="s">
        <v>15</v>
      </c>
      <c r="C1497" s="2">
        <v>44843.652048611111</v>
      </c>
      <c r="D1497">
        <v>0</v>
      </c>
      <c r="E1497">
        <v>8</v>
      </c>
      <c r="F1497" t="s">
        <v>16</v>
      </c>
      <c r="G1497" t="s">
        <v>1582</v>
      </c>
      <c r="H1497" t="str">
        <f>HYPERLINK("http://pbs.twimg.com/media/FeoFY4mXEAIvt7f.jpg", "http://pbs.twimg.com/media/FeoFY4mXEAIvt7f.jpg")</f>
        <v>http://pbs.twimg.com/media/FeoFY4mXEAIvt7f.jpg</v>
      </c>
      <c r="I1497" t="str">
        <f>HYPERLINK("http://pbs.twimg.com/media/FeoFY4hWAAEo1rk.jpg", "http://pbs.twimg.com/media/FeoFY4hWAAEo1rk.jpg")</f>
        <v>http://pbs.twimg.com/media/FeoFY4hWAAEo1rk.jpg</v>
      </c>
      <c r="J1497" t="str">
        <f>HYPERLINK("http://pbs.twimg.com/media/FeoFY4iWYAELVYs.jpg", "http://pbs.twimg.com/media/FeoFY4iWYAELVYs.jpg")</f>
        <v>http://pbs.twimg.com/media/FeoFY4iWYAELVYs.jpg</v>
      </c>
      <c r="L1497">
        <v>0</v>
      </c>
      <c r="M1497">
        <v>0</v>
      </c>
      <c r="N1497">
        <v>1</v>
      </c>
      <c r="O1497">
        <v>0</v>
      </c>
    </row>
    <row r="1498" spans="1:15" x14ac:dyDescent="0.2">
      <c r="A1498" s="1" t="str">
        <f>HYPERLINK("http://www.twitter.com/banuakdenizli/status/1578747290915065856", "1578747290915065856")</f>
        <v>1578747290915065856</v>
      </c>
      <c r="B1498" t="s">
        <v>15</v>
      </c>
      <c r="C1498" s="2">
        <v>44842.584027777782</v>
      </c>
      <c r="D1498">
        <v>0</v>
      </c>
      <c r="E1498">
        <v>2</v>
      </c>
      <c r="F1498" t="s">
        <v>29</v>
      </c>
      <c r="G1498" t="s">
        <v>1583</v>
      </c>
      <c r="H1498" t="str">
        <f>HYPERLINK("http://pbs.twimg.com/media/Feimh_lXgAEcsb3.jpg", "http://pbs.twimg.com/media/Feimh_lXgAEcsb3.jpg")</f>
        <v>http://pbs.twimg.com/media/Feimh_lXgAEcsb3.jpg</v>
      </c>
      <c r="I1498" t="str">
        <f>HYPERLINK("http://pbs.twimg.com/media/Feimh_cXwAEYHLO.jpg", "http://pbs.twimg.com/media/Feimh_cXwAEYHLO.jpg")</f>
        <v>http://pbs.twimg.com/media/Feimh_cXwAEYHLO.jpg</v>
      </c>
      <c r="L1498">
        <v>0</v>
      </c>
      <c r="M1498">
        <v>0</v>
      </c>
      <c r="N1498">
        <v>1</v>
      </c>
      <c r="O1498">
        <v>0</v>
      </c>
    </row>
    <row r="1499" spans="1:15" x14ac:dyDescent="0.2">
      <c r="A1499" s="1" t="str">
        <f>HYPERLINK("http://www.twitter.com/banuakdenizli/status/1578747221692264448", "1578747221692264448")</f>
        <v>1578747221692264448</v>
      </c>
      <c r="B1499" t="s">
        <v>15</v>
      </c>
      <c r="C1499" s="2">
        <v>44842.58384259259</v>
      </c>
      <c r="D1499">
        <v>0</v>
      </c>
      <c r="E1499">
        <v>9</v>
      </c>
      <c r="F1499" t="s">
        <v>17</v>
      </c>
      <c r="G1499" t="s">
        <v>1584</v>
      </c>
      <c r="H1499" t="str">
        <f>HYPERLINK("http://pbs.twimg.com/media/FeixRWUWYAA-8b1.jpg", "http://pbs.twimg.com/media/FeixRWUWYAA-8b1.jpg")</f>
        <v>http://pbs.twimg.com/media/FeixRWUWYAA-8b1.jpg</v>
      </c>
      <c r="I1499" t="str">
        <f>HYPERLINK("http://pbs.twimg.com/media/FeixR-oXEAIxBmN.jpg", "http://pbs.twimg.com/media/FeixR-oXEAIxBmN.jpg")</f>
        <v>http://pbs.twimg.com/media/FeixR-oXEAIxBmN.jpg</v>
      </c>
      <c r="L1499">
        <v>0</v>
      </c>
      <c r="M1499">
        <v>0</v>
      </c>
      <c r="N1499">
        <v>1</v>
      </c>
      <c r="O1499">
        <v>0</v>
      </c>
    </row>
    <row r="1500" spans="1:15" x14ac:dyDescent="0.2">
      <c r="A1500" s="1" t="str">
        <f>HYPERLINK("http://www.twitter.com/banuakdenizli/status/1578747207351947266", "1578747207351947266")</f>
        <v>1578747207351947266</v>
      </c>
      <c r="B1500" t="s">
        <v>15</v>
      </c>
      <c r="C1500" s="2">
        <v>44842.583796296298</v>
      </c>
      <c r="D1500">
        <v>0</v>
      </c>
      <c r="E1500">
        <v>10</v>
      </c>
      <c r="F1500" t="s">
        <v>16</v>
      </c>
      <c r="G1500" t="s">
        <v>1585</v>
      </c>
      <c r="H1500" t="str">
        <f>HYPERLINK("http://pbs.twimg.com/media/FeiV94DWQAAzQSH.jpg", "http://pbs.twimg.com/media/FeiV94DWQAAzQSH.jpg")</f>
        <v>http://pbs.twimg.com/media/FeiV94DWQAAzQSH.jpg</v>
      </c>
      <c r="I1500" t="str">
        <f>HYPERLINK("http://pbs.twimg.com/media/FeiV9yDXEAEkPky.jpg", "http://pbs.twimg.com/media/FeiV9yDXEAEkPky.jpg")</f>
        <v>http://pbs.twimg.com/media/FeiV9yDXEAEkPky.jpg</v>
      </c>
      <c r="L1500">
        <v>0</v>
      </c>
      <c r="M1500">
        <v>0</v>
      </c>
      <c r="N1500">
        <v>1</v>
      </c>
      <c r="O1500">
        <v>0</v>
      </c>
    </row>
    <row r="1501" spans="1:15" x14ac:dyDescent="0.2">
      <c r="A1501" s="1" t="str">
        <f>HYPERLINK("http://www.twitter.com/banuakdenizli/status/1578511836651016192", "1578511836651016192")</f>
        <v>1578511836651016192</v>
      </c>
      <c r="B1501" t="s">
        <v>15</v>
      </c>
      <c r="C1501" s="2">
        <v>44841.934293981481</v>
      </c>
      <c r="D1501">
        <v>0</v>
      </c>
      <c r="E1501">
        <v>9</v>
      </c>
      <c r="F1501" t="s">
        <v>17</v>
      </c>
      <c r="G1501" t="s">
        <v>1586</v>
      </c>
      <c r="H1501" t="str">
        <f>HYPERLINK("http://pbs.twimg.com/media/Fefd-vTXoAADyhI.jpg", "http://pbs.twimg.com/media/Fefd-vTXoAADyhI.jpg")</f>
        <v>http://pbs.twimg.com/media/Fefd-vTXoAADyhI.jpg</v>
      </c>
      <c r="L1501">
        <v>0.38179999999999997</v>
      </c>
      <c r="M1501">
        <v>0</v>
      </c>
      <c r="N1501">
        <v>0.88500000000000001</v>
      </c>
      <c r="O1501">
        <v>0.115</v>
      </c>
    </row>
    <row r="1502" spans="1:15" x14ac:dyDescent="0.2">
      <c r="A1502" s="1" t="str">
        <f>HYPERLINK("http://www.twitter.com/banuakdenizli/status/1578458094509887489", "1578458094509887489")</f>
        <v>1578458094509887489</v>
      </c>
      <c r="B1502" t="s">
        <v>15</v>
      </c>
      <c r="C1502" s="2">
        <v>44841.785995370366</v>
      </c>
      <c r="D1502">
        <v>0</v>
      </c>
      <c r="E1502">
        <v>15</v>
      </c>
      <c r="F1502" t="s">
        <v>21</v>
      </c>
      <c r="G1502" t="s">
        <v>1587</v>
      </c>
      <c r="H1502" t="str">
        <f>HYPERLINK("http://pbs.twimg.com/media/FefLfhkXgBEF2ND.jpg", "http://pbs.twimg.com/media/FefLfhkXgBEF2ND.jpg")</f>
        <v>http://pbs.twimg.com/media/FefLfhkXgBEF2ND.jpg</v>
      </c>
      <c r="L1502">
        <v>0</v>
      </c>
      <c r="M1502">
        <v>0</v>
      </c>
      <c r="N1502">
        <v>1</v>
      </c>
      <c r="O1502">
        <v>0</v>
      </c>
    </row>
    <row r="1503" spans="1:15" x14ac:dyDescent="0.2">
      <c r="A1503" s="1" t="str">
        <f>HYPERLINK("http://www.twitter.com/banuakdenizli/status/1578446363712704512", "1578446363712704512")</f>
        <v>1578446363712704512</v>
      </c>
      <c r="B1503" t="s">
        <v>15</v>
      </c>
      <c r="C1503" s="2">
        <v>44841.753622685188</v>
      </c>
      <c r="D1503">
        <v>0</v>
      </c>
      <c r="E1503">
        <v>11</v>
      </c>
      <c r="F1503" t="s">
        <v>16</v>
      </c>
      <c r="G1503" t="s">
        <v>1588</v>
      </c>
      <c r="H1503" t="str">
        <f>HYPERLINK("http://pbs.twimg.com/media/FefDu4xXgBInH3Z.jpg", "http://pbs.twimg.com/media/FefDu4xXgBInH3Z.jpg")</f>
        <v>http://pbs.twimg.com/media/FefDu4xXgBInH3Z.jpg</v>
      </c>
      <c r="L1503">
        <v>0</v>
      </c>
      <c r="M1503">
        <v>0</v>
      </c>
      <c r="N1503">
        <v>1</v>
      </c>
      <c r="O1503">
        <v>0</v>
      </c>
    </row>
    <row r="1504" spans="1:15" x14ac:dyDescent="0.2">
      <c r="A1504" s="1" t="str">
        <f>HYPERLINK("http://www.twitter.com/banuakdenizli/status/1578441021582503937", "1578441021582503937")</f>
        <v>1578441021582503937</v>
      </c>
      <c r="B1504" t="s">
        <v>15</v>
      </c>
      <c r="C1504" s="2">
        <v>44841.738888888889</v>
      </c>
      <c r="D1504">
        <v>0</v>
      </c>
      <c r="E1504">
        <v>2</v>
      </c>
      <c r="F1504" t="s">
        <v>21</v>
      </c>
      <c r="G1504" t="s">
        <v>1589</v>
      </c>
      <c r="L1504">
        <v>0.52669999999999995</v>
      </c>
      <c r="M1504">
        <v>0</v>
      </c>
      <c r="N1504">
        <v>0.92</v>
      </c>
      <c r="O1504">
        <v>0.08</v>
      </c>
    </row>
    <row r="1505" spans="1:15" x14ac:dyDescent="0.2">
      <c r="A1505" s="1" t="str">
        <f>HYPERLINK("http://www.twitter.com/banuakdenizli/status/1578439044375412736", "1578439044375412736")</f>
        <v>1578439044375412736</v>
      </c>
      <c r="B1505" t="s">
        <v>15</v>
      </c>
      <c r="C1505" s="2">
        <v>44841.733425925922</v>
      </c>
      <c r="D1505">
        <v>0</v>
      </c>
      <c r="E1505">
        <v>3</v>
      </c>
      <c r="F1505" t="s">
        <v>21</v>
      </c>
      <c r="G1505" t="s">
        <v>1590</v>
      </c>
      <c r="H1505" t="str">
        <f>HYPERLINK("http://pbs.twimg.com/media/Fee90zMXoAQIPz4.jpg", "http://pbs.twimg.com/media/Fee90zMXoAQIPz4.jpg")</f>
        <v>http://pbs.twimg.com/media/Fee90zMXoAQIPz4.jpg</v>
      </c>
      <c r="L1505">
        <v>0</v>
      </c>
      <c r="M1505">
        <v>0</v>
      </c>
      <c r="N1505">
        <v>1</v>
      </c>
      <c r="O1505">
        <v>0</v>
      </c>
    </row>
    <row r="1506" spans="1:15" x14ac:dyDescent="0.2">
      <c r="A1506" s="1" t="str">
        <f>HYPERLINK("http://www.twitter.com/banuakdenizli/status/1578427745889312769", "1578427745889312769")</f>
        <v>1578427745889312769</v>
      </c>
      <c r="B1506" t="s">
        <v>15</v>
      </c>
      <c r="C1506" s="2">
        <v>44841.702256944453</v>
      </c>
      <c r="D1506">
        <v>0</v>
      </c>
      <c r="E1506">
        <v>3</v>
      </c>
      <c r="F1506" t="s">
        <v>29</v>
      </c>
      <c r="G1506" t="s">
        <v>1591</v>
      </c>
      <c r="H1506" t="str">
        <f>HYPERLINK("http://pbs.twimg.com/media/FeevW1KX0AEIZ45.jpg", "http://pbs.twimg.com/media/FeevW1KX0AEIZ45.jpg")</f>
        <v>http://pbs.twimg.com/media/FeevW1KX0AEIZ45.jpg</v>
      </c>
      <c r="I1506" t="str">
        <f>HYPERLINK("http://pbs.twimg.com/media/FeevW1AXgAEr1L0.jpg", "http://pbs.twimg.com/media/FeevW1AXgAEr1L0.jpg")</f>
        <v>http://pbs.twimg.com/media/FeevW1AXgAEr1L0.jpg</v>
      </c>
      <c r="L1506">
        <v>0</v>
      </c>
      <c r="M1506">
        <v>0</v>
      </c>
      <c r="N1506">
        <v>1</v>
      </c>
      <c r="O1506">
        <v>0</v>
      </c>
    </row>
    <row r="1507" spans="1:15" x14ac:dyDescent="0.2">
      <c r="A1507" s="1" t="str">
        <f>HYPERLINK("http://www.twitter.com/banuakdenizli/status/1578427719586807809", "1578427719586807809")</f>
        <v>1578427719586807809</v>
      </c>
      <c r="B1507" t="s">
        <v>15</v>
      </c>
      <c r="C1507" s="2">
        <v>44841.702175925922</v>
      </c>
      <c r="D1507">
        <v>0</v>
      </c>
      <c r="E1507">
        <v>6</v>
      </c>
      <c r="F1507" t="s">
        <v>29</v>
      </c>
      <c r="G1507" t="s">
        <v>1592</v>
      </c>
      <c r="H1507" t="str">
        <f>HYPERLINK("http://pbs.twimg.com/media/FeewdskWQAEJ-9N.jpg", "http://pbs.twimg.com/media/FeewdskWQAEJ-9N.jpg")</f>
        <v>http://pbs.twimg.com/media/FeewdskWQAEJ-9N.jpg</v>
      </c>
      <c r="I1507" t="str">
        <f>HYPERLINK("http://pbs.twimg.com/media/FeewdsZWYAAFoyR.jpg", "http://pbs.twimg.com/media/FeewdsZWYAAFoyR.jpg")</f>
        <v>http://pbs.twimg.com/media/FeewdsZWYAAFoyR.jpg</v>
      </c>
      <c r="L1507">
        <v>0</v>
      </c>
      <c r="M1507">
        <v>0</v>
      </c>
      <c r="N1507">
        <v>1</v>
      </c>
      <c r="O1507">
        <v>0</v>
      </c>
    </row>
    <row r="1508" spans="1:15" x14ac:dyDescent="0.2">
      <c r="A1508" s="1" t="str">
        <f>HYPERLINK("http://www.twitter.com/banuakdenizli/status/1578427271907401728", "1578427271907401728")</f>
        <v>1578427271907401728</v>
      </c>
      <c r="B1508" t="s">
        <v>15</v>
      </c>
      <c r="C1508" s="2">
        <v>44841.700949074067</v>
      </c>
      <c r="D1508">
        <v>0</v>
      </c>
      <c r="E1508">
        <v>4</v>
      </c>
      <c r="F1508" t="s">
        <v>38</v>
      </c>
      <c r="G1508" t="s">
        <v>1593</v>
      </c>
      <c r="H1508" t="str">
        <f>HYPERLINK("http://pbs.twimg.com/media/FecxJJTXEAEVQyt.jpg", "http://pbs.twimg.com/media/FecxJJTXEAEVQyt.jpg")</f>
        <v>http://pbs.twimg.com/media/FecxJJTXEAEVQyt.jpg</v>
      </c>
      <c r="L1508">
        <v>0</v>
      </c>
      <c r="M1508">
        <v>0</v>
      </c>
      <c r="N1508">
        <v>1</v>
      </c>
      <c r="O1508">
        <v>0</v>
      </c>
    </row>
    <row r="1509" spans="1:15" x14ac:dyDescent="0.2">
      <c r="A1509" s="1" t="str">
        <f>HYPERLINK("http://www.twitter.com/banuakdenizli/status/1578427133839302660", "1578427133839302660")</f>
        <v>1578427133839302660</v>
      </c>
      <c r="B1509" t="s">
        <v>15</v>
      </c>
      <c r="C1509" s="2">
        <v>44841.700567129628</v>
      </c>
      <c r="D1509">
        <v>0</v>
      </c>
      <c r="E1509">
        <v>1</v>
      </c>
      <c r="F1509" t="s">
        <v>29</v>
      </c>
      <c r="G1509" t="s">
        <v>1594</v>
      </c>
      <c r="H1509" t="str">
        <f>HYPERLINK("http://pbs.twimg.com/media/FeetvgZXEAA1XRc.jpg", "http://pbs.twimg.com/media/FeetvgZXEAA1XRc.jpg")</f>
        <v>http://pbs.twimg.com/media/FeetvgZXEAA1XRc.jpg</v>
      </c>
      <c r="L1509">
        <v>0</v>
      </c>
      <c r="M1509">
        <v>0</v>
      </c>
      <c r="N1509">
        <v>1</v>
      </c>
      <c r="O1509">
        <v>0</v>
      </c>
    </row>
    <row r="1510" spans="1:15" x14ac:dyDescent="0.2">
      <c r="A1510" s="1" t="str">
        <f>HYPERLINK("http://www.twitter.com/banuakdenizli/status/1578425814202580997", "1578425814202580997")</f>
        <v>1578425814202580997</v>
      </c>
      <c r="B1510" t="s">
        <v>15</v>
      </c>
      <c r="C1510" s="2">
        <v>44841.696921296287</v>
      </c>
      <c r="D1510">
        <v>0</v>
      </c>
      <c r="E1510">
        <v>4</v>
      </c>
      <c r="F1510" t="s">
        <v>17</v>
      </c>
      <c r="G1510" t="s">
        <v>1595</v>
      </c>
      <c r="H1510" t="str">
        <f>HYPERLINK("http://pbs.twimg.com/media/FeewkZqWQAAIHEd.jpg", "http://pbs.twimg.com/media/FeewkZqWQAAIHEd.jpg")</f>
        <v>http://pbs.twimg.com/media/FeewkZqWQAAIHEd.jpg</v>
      </c>
      <c r="I1510" t="str">
        <f>HYPERLINK("http://pbs.twimg.com/media/FeewkZsXoAUvVCj.jpg", "http://pbs.twimg.com/media/FeewkZsXoAUvVCj.jpg")</f>
        <v>http://pbs.twimg.com/media/FeewkZsXoAUvVCj.jpg</v>
      </c>
      <c r="L1510">
        <v>0</v>
      </c>
      <c r="M1510">
        <v>0</v>
      </c>
      <c r="N1510">
        <v>1</v>
      </c>
      <c r="O1510">
        <v>0</v>
      </c>
    </row>
    <row r="1511" spans="1:15" x14ac:dyDescent="0.2">
      <c r="A1511" s="1" t="str">
        <f>HYPERLINK("http://www.twitter.com/banuakdenizli/status/1578413363792859137", "1578413363792859137")</f>
        <v>1578413363792859137</v>
      </c>
      <c r="B1511" t="s">
        <v>15</v>
      </c>
      <c r="C1511" s="2">
        <v>44841.662569444437</v>
      </c>
      <c r="D1511">
        <v>0</v>
      </c>
      <c r="E1511">
        <v>9</v>
      </c>
      <c r="F1511" t="s">
        <v>16</v>
      </c>
      <c r="G1511" t="s">
        <v>1596</v>
      </c>
      <c r="H1511" t="str">
        <f>HYPERLINK("http://pbs.twimg.com/media/FeejF5sWYAA61F9.jpg", "http://pbs.twimg.com/media/FeejF5sWYAA61F9.jpg")</f>
        <v>http://pbs.twimg.com/media/FeejF5sWYAA61F9.jpg</v>
      </c>
      <c r="I1511" t="str">
        <f>HYPERLINK("http://pbs.twimg.com/media/FeejF5uWYAEjhPh.jpg", "http://pbs.twimg.com/media/FeejF5uWYAEjhPh.jpg")</f>
        <v>http://pbs.twimg.com/media/FeejF5uWYAEjhPh.jpg</v>
      </c>
      <c r="L1511">
        <v>0</v>
      </c>
      <c r="M1511">
        <v>0</v>
      </c>
      <c r="N1511">
        <v>1</v>
      </c>
      <c r="O1511">
        <v>0</v>
      </c>
    </row>
    <row r="1512" spans="1:15" x14ac:dyDescent="0.2">
      <c r="A1512" s="1" t="str">
        <f>HYPERLINK("http://www.twitter.com/banuakdenizli/status/1578408608613781506", "1578408608613781506")</f>
        <v>1578408608613781506</v>
      </c>
      <c r="B1512" t="s">
        <v>15</v>
      </c>
      <c r="C1512" s="2">
        <v>44841.649444444447</v>
      </c>
      <c r="D1512">
        <v>0</v>
      </c>
      <c r="E1512">
        <v>10</v>
      </c>
      <c r="F1512" t="s">
        <v>1522</v>
      </c>
      <c r="G1512" t="s">
        <v>1597</v>
      </c>
      <c r="H1512" t="str">
        <f>HYPERLINK("http://pbs.twimg.com/media/FeZsY6tWQAUt2wL.jpg", "http://pbs.twimg.com/media/FeZsY6tWQAUt2wL.jpg")</f>
        <v>http://pbs.twimg.com/media/FeZsY6tWQAUt2wL.jpg</v>
      </c>
      <c r="L1512">
        <v>0</v>
      </c>
      <c r="M1512">
        <v>0</v>
      </c>
      <c r="N1512">
        <v>1</v>
      </c>
      <c r="O1512">
        <v>0</v>
      </c>
    </row>
    <row r="1513" spans="1:15" x14ac:dyDescent="0.2">
      <c r="A1513" s="1" t="str">
        <f>HYPERLINK("http://www.twitter.com/banuakdenizli/status/1578387465563475969", "1578387465563475969")</f>
        <v>1578387465563475969</v>
      </c>
      <c r="B1513" t="s">
        <v>15</v>
      </c>
      <c r="C1513" s="2">
        <v>44841.591099537043</v>
      </c>
      <c r="D1513">
        <v>0</v>
      </c>
      <c r="E1513">
        <v>262</v>
      </c>
      <c r="F1513" t="s">
        <v>911</v>
      </c>
      <c r="G1513" t="s">
        <v>1598</v>
      </c>
      <c r="H1513" t="str">
        <f>HYPERLINK("http://pbs.twimg.com/media/FeZj4L9X0AQPVCA.jpg", "http://pbs.twimg.com/media/FeZj4L9X0AQPVCA.jpg")</f>
        <v>http://pbs.twimg.com/media/FeZj4L9X0AQPVCA.jpg</v>
      </c>
      <c r="L1513">
        <v>0</v>
      </c>
      <c r="M1513">
        <v>0</v>
      </c>
      <c r="N1513">
        <v>1</v>
      </c>
      <c r="O1513">
        <v>0</v>
      </c>
    </row>
    <row r="1514" spans="1:15" x14ac:dyDescent="0.2">
      <c r="A1514" s="1" t="str">
        <f>HYPERLINK("http://www.twitter.com/banuakdenizli/status/1578387272633929729", "1578387272633929729")</f>
        <v>1578387272633929729</v>
      </c>
      <c r="B1514" t="s">
        <v>15</v>
      </c>
      <c r="C1514" s="2">
        <v>44841.590567129628</v>
      </c>
      <c r="D1514">
        <v>0</v>
      </c>
      <c r="E1514">
        <v>38</v>
      </c>
      <c r="F1514" t="s">
        <v>28</v>
      </c>
      <c r="G1514" t="s">
        <v>1599</v>
      </c>
      <c r="L1514">
        <v>0</v>
      </c>
      <c r="M1514">
        <v>0</v>
      </c>
      <c r="N1514">
        <v>1</v>
      </c>
      <c r="O1514">
        <v>0</v>
      </c>
    </row>
    <row r="1515" spans="1:15" x14ac:dyDescent="0.2">
      <c r="A1515" s="1" t="str">
        <f>HYPERLINK("http://www.twitter.com/banuakdenizli/status/1578386354743959552", "1578386354743959552")</f>
        <v>1578386354743959552</v>
      </c>
      <c r="B1515" t="s">
        <v>15</v>
      </c>
      <c r="C1515" s="2">
        <v>44841.58803240741</v>
      </c>
      <c r="D1515">
        <v>0</v>
      </c>
      <c r="E1515">
        <v>13</v>
      </c>
      <c r="F1515" t="s">
        <v>35</v>
      </c>
      <c r="G1515" t="s">
        <v>1600</v>
      </c>
      <c r="H1515" t="str">
        <f>HYPERLINK("https://video.twimg.com/ext_tw_video/1578384040557776898/pu/vid/800x480/l3vCq49U4r55GUyP.mp4?tag=12", "https://video.twimg.com/ext_tw_video/1578384040557776898/pu/vid/800x480/l3vCq49U4r55GUyP.mp4?tag=12")</f>
        <v>https://video.twimg.com/ext_tw_video/1578384040557776898/pu/vid/800x480/l3vCq49U4r55GUyP.mp4?tag=12</v>
      </c>
      <c r="L1515">
        <v>-0.128</v>
      </c>
      <c r="M1515">
        <v>0.124</v>
      </c>
      <c r="N1515">
        <v>0.76200000000000001</v>
      </c>
      <c r="O1515">
        <v>0.114</v>
      </c>
    </row>
    <row r="1516" spans="1:15" x14ac:dyDescent="0.2">
      <c r="A1516" s="1" t="str">
        <f>HYPERLINK("http://www.twitter.com/banuakdenizli/status/1578386334628171782", "1578386334628171782")</f>
        <v>1578386334628171782</v>
      </c>
      <c r="B1516" t="s">
        <v>15</v>
      </c>
      <c r="C1516" s="2">
        <v>44841.58797453704</v>
      </c>
      <c r="D1516">
        <v>0</v>
      </c>
      <c r="E1516">
        <v>31</v>
      </c>
      <c r="F1516" t="s">
        <v>28</v>
      </c>
      <c r="G1516" t="s">
        <v>1601</v>
      </c>
      <c r="L1516">
        <v>0</v>
      </c>
      <c r="M1516">
        <v>0</v>
      </c>
      <c r="N1516">
        <v>1</v>
      </c>
      <c r="O1516">
        <v>0</v>
      </c>
    </row>
    <row r="1517" spans="1:15" x14ac:dyDescent="0.2">
      <c r="A1517" s="1" t="str">
        <f>HYPERLINK("http://www.twitter.com/banuakdenizli/status/1578386220081618946", "1578386220081618946")</f>
        <v>1578386220081618946</v>
      </c>
      <c r="B1517" t="s">
        <v>15</v>
      </c>
      <c r="C1517" s="2">
        <v>44841.58766203704</v>
      </c>
      <c r="D1517">
        <v>0</v>
      </c>
      <c r="E1517">
        <v>33</v>
      </c>
      <c r="F1517" t="s">
        <v>35</v>
      </c>
      <c r="G1517" t="s">
        <v>1602</v>
      </c>
      <c r="H1517" t="str">
        <f>HYPERLINK("https://video.twimg.com/ext_tw_video/1578383319133298691/pu/vid/800x480/kh1lSE7BAhQlyjzn.mp4?tag=12", "https://video.twimg.com/ext_tw_video/1578383319133298691/pu/vid/800x480/kh1lSE7BAhQlyjzn.mp4?tag=12")</f>
        <v>https://video.twimg.com/ext_tw_video/1578383319133298691/pu/vid/800x480/kh1lSE7BAhQlyjzn.mp4?tag=12</v>
      </c>
      <c r="L1517">
        <v>0</v>
      </c>
      <c r="M1517">
        <v>0</v>
      </c>
      <c r="N1517">
        <v>1</v>
      </c>
      <c r="O1517">
        <v>0</v>
      </c>
    </row>
    <row r="1518" spans="1:15" x14ac:dyDescent="0.2">
      <c r="A1518" s="1" t="str">
        <f>HYPERLINK("http://www.twitter.com/banuakdenizli/status/1578374536319225856", "1578374536319225856")</f>
        <v>1578374536319225856</v>
      </c>
      <c r="B1518" t="s">
        <v>15</v>
      </c>
      <c r="C1518" s="2">
        <v>44841.55541666667</v>
      </c>
      <c r="D1518">
        <v>0</v>
      </c>
      <c r="E1518">
        <v>12</v>
      </c>
      <c r="F1518" t="s">
        <v>29</v>
      </c>
      <c r="G1518" t="s">
        <v>1603</v>
      </c>
      <c r="H1518" t="str">
        <f>HYPERLINK("http://pbs.twimg.com/media/Fea3rZ1XEAAHZIq.jpg", "http://pbs.twimg.com/media/Fea3rZ1XEAAHZIq.jpg")</f>
        <v>http://pbs.twimg.com/media/Fea3rZ1XEAAHZIq.jpg</v>
      </c>
      <c r="L1518">
        <v>0.5423</v>
      </c>
      <c r="M1518">
        <v>6.5000000000000002E-2</v>
      </c>
      <c r="N1518">
        <v>0.78900000000000003</v>
      </c>
      <c r="O1518">
        <v>0.14599999999999999</v>
      </c>
    </row>
    <row r="1519" spans="1:15" x14ac:dyDescent="0.2">
      <c r="A1519" s="1" t="str">
        <f>HYPERLINK("http://www.twitter.com/banuakdenizli/status/1578374384112177152", "1578374384112177152")</f>
        <v>1578374384112177152</v>
      </c>
      <c r="B1519" t="s">
        <v>15</v>
      </c>
      <c r="C1519" s="2">
        <v>44841.555</v>
      </c>
      <c r="D1519">
        <v>0</v>
      </c>
      <c r="E1519">
        <v>7</v>
      </c>
      <c r="F1519" t="s">
        <v>17</v>
      </c>
      <c r="G1519" t="s">
        <v>1604</v>
      </c>
      <c r="H1519" t="str">
        <f>HYPERLINK("http://pbs.twimg.com/media/FedLXh_XwAATgbD.jpg", "http://pbs.twimg.com/media/FedLXh_XwAATgbD.jpg")</f>
        <v>http://pbs.twimg.com/media/FedLXh_XwAATgbD.jpg</v>
      </c>
      <c r="L1519">
        <v>0</v>
      </c>
      <c r="M1519">
        <v>0</v>
      </c>
      <c r="N1519">
        <v>1</v>
      </c>
      <c r="O1519">
        <v>0</v>
      </c>
    </row>
    <row r="1520" spans="1:15" x14ac:dyDescent="0.2">
      <c r="A1520" s="1" t="str">
        <f>HYPERLINK("http://www.twitter.com/banuakdenizli/status/1578374350776184833", "1578374350776184833")</f>
        <v>1578374350776184833</v>
      </c>
      <c r="B1520" t="s">
        <v>15</v>
      </c>
      <c r="C1520" s="2">
        <v>44841.554907407408</v>
      </c>
      <c r="D1520">
        <v>0</v>
      </c>
      <c r="E1520">
        <v>16</v>
      </c>
      <c r="F1520" t="s">
        <v>19</v>
      </c>
      <c r="G1520" t="s">
        <v>1605</v>
      </c>
      <c r="H1520" t="str">
        <f>HYPERLINK("http://pbs.twimg.com/media/Fea65d3XgAA8cB-.jpg", "http://pbs.twimg.com/media/Fea65d3XgAA8cB-.jpg")</f>
        <v>http://pbs.twimg.com/media/Fea65d3XgAA8cB-.jpg</v>
      </c>
      <c r="L1520">
        <v>0.85909999999999997</v>
      </c>
      <c r="M1520">
        <v>0</v>
      </c>
      <c r="N1520">
        <v>0.68899999999999995</v>
      </c>
      <c r="O1520">
        <v>0.311</v>
      </c>
    </row>
    <row r="1521" spans="1:15" x14ac:dyDescent="0.2">
      <c r="A1521" s="1" t="str">
        <f>HYPERLINK("http://www.twitter.com/banuakdenizli/status/1578374301828276224", "1578374301828276224")</f>
        <v>1578374301828276224</v>
      </c>
      <c r="B1521" t="s">
        <v>15</v>
      </c>
      <c r="C1521" s="2">
        <v>44841.554768518523</v>
      </c>
      <c r="D1521">
        <v>0</v>
      </c>
      <c r="E1521">
        <v>10</v>
      </c>
      <c r="F1521" t="s">
        <v>16</v>
      </c>
      <c r="G1521" t="s">
        <v>1606</v>
      </c>
      <c r="H1521" t="str">
        <f>HYPERLINK("http://pbs.twimg.com/media/FecqqJaWIAAq8VA.jpg", "http://pbs.twimg.com/media/FecqqJaWIAAq8VA.jpg")</f>
        <v>http://pbs.twimg.com/media/FecqqJaWIAAq8VA.jpg</v>
      </c>
      <c r="L1521">
        <v>0</v>
      </c>
      <c r="M1521">
        <v>0</v>
      </c>
      <c r="N1521">
        <v>1</v>
      </c>
      <c r="O1521">
        <v>0</v>
      </c>
    </row>
    <row r="1522" spans="1:15" x14ac:dyDescent="0.2">
      <c r="A1522" s="1" t="str">
        <f>HYPERLINK("http://www.twitter.com/banuakdenizli/status/1578374269838700545", "1578374269838700545")</f>
        <v>1578374269838700545</v>
      </c>
      <c r="B1522" t="s">
        <v>15</v>
      </c>
      <c r="C1522" s="2">
        <v>44841.5546875</v>
      </c>
      <c r="D1522">
        <v>0</v>
      </c>
      <c r="E1522">
        <v>8</v>
      </c>
      <c r="F1522" t="s">
        <v>17</v>
      </c>
      <c r="G1522" t="s">
        <v>1607</v>
      </c>
      <c r="H1522" t="str">
        <f>HYPERLINK("http://pbs.twimg.com/media/Fed5DiTX0AAH2Mc.jpg", "http://pbs.twimg.com/media/Fed5DiTX0AAH2Mc.jpg")</f>
        <v>http://pbs.twimg.com/media/Fed5DiTX0AAH2Mc.jpg</v>
      </c>
      <c r="I1522" t="str">
        <f>HYPERLINK("http://pbs.twimg.com/media/Fed5DiTXkAYG_cc.jpg", "http://pbs.twimg.com/media/Fed5DiTXkAYG_cc.jpg")</f>
        <v>http://pbs.twimg.com/media/Fed5DiTXkAYG_cc.jpg</v>
      </c>
      <c r="J1522" t="str">
        <f>HYPERLINK("http://pbs.twimg.com/media/Fed5DiVWAAQCOfK.jpg", "http://pbs.twimg.com/media/Fed5DiVWAAQCOfK.jpg")</f>
        <v>http://pbs.twimg.com/media/Fed5DiVWAAQCOfK.jpg</v>
      </c>
      <c r="L1522">
        <v>0</v>
      </c>
      <c r="M1522">
        <v>0</v>
      </c>
      <c r="N1522">
        <v>1</v>
      </c>
      <c r="O1522">
        <v>0</v>
      </c>
    </row>
    <row r="1523" spans="1:15" x14ac:dyDescent="0.2">
      <c r="A1523" s="1" t="str">
        <f>HYPERLINK("http://www.twitter.com/banuakdenizli/status/1578374230311600128", "1578374230311600128")</f>
        <v>1578374230311600128</v>
      </c>
      <c r="B1523" t="s">
        <v>15</v>
      </c>
      <c r="C1523" s="2">
        <v>44841.554571759261</v>
      </c>
      <c r="D1523">
        <v>0</v>
      </c>
      <c r="E1523">
        <v>7</v>
      </c>
      <c r="F1523" t="s">
        <v>16</v>
      </c>
      <c r="G1523" t="s">
        <v>1608</v>
      </c>
      <c r="H1523" t="str">
        <f>HYPERLINK("http://pbs.twimg.com/media/FedpHWtWYAA5SEl.jpg", "http://pbs.twimg.com/media/FedpHWtWYAA5SEl.jpg")</f>
        <v>http://pbs.twimg.com/media/FedpHWtWYAA5SEl.jpg</v>
      </c>
      <c r="I1523" t="str">
        <f>HYPERLINK("http://pbs.twimg.com/media/FedpHW2WYAA5Wuj.jpg", "http://pbs.twimg.com/media/FedpHW2WYAA5Wuj.jpg")</f>
        <v>http://pbs.twimg.com/media/FedpHW2WYAA5Wuj.jpg</v>
      </c>
      <c r="J1523" t="str">
        <f>HYPERLINK("http://pbs.twimg.com/media/FedpHWvWYAAA544.jpg", "http://pbs.twimg.com/media/FedpHWvWYAAA544.jpg")</f>
        <v>http://pbs.twimg.com/media/FedpHWvWYAAA544.jpg</v>
      </c>
      <c r="L1523">
        <v>0</v>
      </c>
      <c r="M1523">
        <v>0</v>
      </c>
      <c r="N1523">
        <v>1</v>
      </c>
      <c r="O1523">
        <v>0</v>
      </c>
    </row>
    <row r="1524" spans="1:15" x14ac:dyDescent="0.2">
      <c r="A1524" s="1" t="str">
        <f>HYPERLINK("http://www.twitter.com/banuakdenizli/status/1578090783961391105", "1578090783961391105")</f>
        <v>1578090783961391105</v>
      </c>
      <c r="B1524" t="s">
        <v>15</v>
      </c>
      <c r="C1524" s="2">
        <v>44840.772418981483</v>
      </c>
      <c r="D1524">
        <v>0</v>
      </c>
      <c r="E1524">
        <v>7</v>
      </c>
      <c r="F1524" t="s">
        <v>20</v>
      </c>
      <c r="G1524" t="s">
        <v>1609</v>
      </c>
      <c r="H1524" t="str">
        <f>HYPERLINK("https://video.twimg.com/ext_tw_video/1577751130473480193/pu/vid/1280x676/iVntOZzZr3mVmUy4.mp4?tag=12", "https://video.twimg.com/ext_tw_video/1577751130473480193/pu/vid/1280x676/iVntOZzZr3mVmUy4.mp4?tag=12")</f>
        <v>https://video.twimg.com/ext_tw_video/1577751130473480193/pu/vid/1280x676/iVntOZzZr3mVmUy4.mp4?tag=12</v>
      </c>
      <c r="L1524">
        <v>0</v>
      </c>
      <c r="M1524">
        <v>0</v>
      </c>
      <c r="N1524">
        <v>1</v>
      </c>
      <c r="O1524">
        <v>0</v>
      </c>
    </row>
    <row r="1525" spans="1:15" x14ac:dyDescent="0.2">
      <c r="A1525" s="1" t="str">
        <f>HYPERLINK("http://www.twitter.com/banuakdenizli/status/1578090749857476608", "1578090749857476608")</f>
        <v>1578090749857476608</v>
      </c>
      <c r="B1525" t="s">
        <v>15</v>
      </c>
      <c r="C1525" s="2">
        <v>44840.772314814807</v>
      </c>
      <c r="D1525">
        <v>0</v>
      </c>
      <c r="E1525">
        <v>7</v>
      </c>
      <c r="F1525" t="s">
        <v>20</v>
      </c>
      <c r="G1525" t="s">
        <v>1610</v>
      </c>
      <c r="H1525" t="str">
        <f>HYPERLINK("http://pbs.twimg.com/media/FeVophSWIAcc5Pz.jpg", "http://pbs.twimg.com/media/FeVophSWIAcc5Pz.jpg")</f>
        <v>http://pbs.twimg.com/media/FeVophSWIAcc5Pz.jpg</v>
      </c>
      <c r="L1525">
        <v>0</v>
      </c>
      <c r="M1525">
        <v>0</v>
      </c>
      <c r="N1525">
        <v>1</v>
      </c>
      <c r="O1525">
        <v>0</v>
      </c>
    </row>
    <row r="1526" spans="1:15" x14ac:dyDescent="0.2">
      <c r="A1526" s="1" t="str">
        <f>HYPERLINK("http://www.twitter.com/banuakdenizli/status/1578048598163574789", "1578048598163574789")</f>
        <v>1578048598163574789</v>
      </c>
      <c r="B1526" t="s">
        <v>15</v>
      </c>
      <c r="C1526" s="2">
        <v>44840.656006944453</v>
      </c>
      <c r="D1526">
        <v>0</v>
      </c>
      <c r="E1526">
        <v>8</v>
      </c>
      <c r="F1526" t="s">
        <v>17</v>
      </c>
      <c r="G1526" t="s">
        <v>1611</v>
      </c>
      <c r="H1526" t="str">
        <f>HYPERLINK("http://pbs.twimg.com/media/FeZY4E2WAAAUXaF.jpg", "http://pbs.twimg.com/media/FeZY4E2WAAAUXaF.jpg")</f>
        <v>http://pbs.twimg.com/media/FeZY4E2WAAAUXaF.jpg</v>
      </c>
      <c r="L1526">
        <v>0</v>
      </c>
      <c r="M1526">
        <v>0</v>
      </c>
      <c r="N1526">
        <v>1</v>
      </c>
      <c r="O1526">
        <v>0</v>
      </c>
    </row>
    <row r="1527" spans="1:15" x14ac:dyDescent="0.2">
      <c r="A1527" s="1" t="str">
        <f>HYPERLINK("http://www.twitter.com/banuakdenizli/status/1578046337244864513", "1578046337244864513")</f>
        <v>1578046337244864513</v>
      </c>
      <c r="B1527" t="s">
        <v>15</v>
      </c>
      <c r="C1527" s="2">
        <v>44840.649768518517</v>
      </c>
      <c r="D1527">
        <v>0</v>
      </c>
      <c r="E1527">
        <v>8</v>
      </c>
      <c r="F1527" t="s">
        <v>29</v>
      </c>
      <c r="G1527" t="s">
        <v>1612</v>
      </c>
      <c r="H1527" t="str">
        <f>HYPERLINK("https://video.twimg.com/ext_tw_video/1577745462765010947/pu/vid/1280x720/WLONehiT_c0YxfcU.mp4?tag=12", "https://video.twimg.com/ext_tw_video/1577745462765010947/pu/vid/1280x720/WLONehiT_c0YxfcU.mp4?tag=12")</f>
        <v>https://video.twimg.com/ext_tw_video/1577745462765010947/pu/vid/1280x720/WLONehiT_c0YxfcU.mp4?tag=12</v>
      </c>
      <c r="L1527">
        <v>0.91859999999999997</v>
      </c>
      <c r="M1527">
        <v>0</v>
      </c>
      <c r="N1527">
        <v>0.61099999999999999</v>
      </c>
      <c r="O1527">
        <v>0.38900000000000001</v>
      </c>
    </row>
    <row r="1528" spans="1:15" x14ac:dyDescent="0.2">
      <c r="A1528" s="1" t="str">
        <f>HYPERLINK("http://www.twitter.com/banuakdenizli/status/1578046175013470208", "1578046175013470208")</f>
        <v>1578046175013470208</v>
      </c>
      <c r="B1528" t="s">
        <v>15</v>
      </c>
      <c r="C1528" s="2">
        <v>44840.649317129632</v>
      </c>
      <c r="D1528">
        <v>0</v>
      </c>
      <c r="E1528">
        <v>16</v>
      </c>
      <c r="F1528" t="s">
        <v>1522</v>
      </c>
      <c r="G1528" t="s">
        <v>1613</v>
      </c>
      <c r="H1528" t="str">
        <f>HYPERLINK("https://video.twimg.com/ext_tw_video/1577743502624145413/pu/vid/1280x720/XT-wo04CcI0sdedM.mp4?tag=12", "https://video.twimg.com/ext_tw_video/1577743502624145413/pu/vid/1280x720/XT-wo04CcI0sdedM.mp4?tag=12")</f>
        <v>https://video.twimg.com/ext_tw_video/1577743502624145413/pu/vid/1280x720/XT-wo04CcI0sdedM.mp4?tag=12</v>
      </c>
      <c r="L1528">
        <v>0</v>
      </c>
      <c r="M1528">
        <v>0</v>
      </c>
      <c r="N1528">
        <v>1</v>
      </c>
      <c r="O1528">
        <v>0</v>
      </c>
    </row>
    <row r="1529" spans="1:15" x14ac:dyDescent="0.2">
      <c r="A1529" s="1" t="str">
        <f>HYPERLINK("http://www.twitter.com/banuakdenizli/status/1578045996600332290", "1578045996600332290")</f>
        <v>1578045996600332290</v>
      </c>
      <c r="B1529" t="s">
        <v>15</v>
      </c>
      <c r="C1529" s="2">
        <v>44840.648819444446</v>
      </c>
      <c r="D1529">
        <v>0</v>
      </c>
      <c r="E1529">
        <v>58</v>
      </c>
      <c r="F1529" t="s">
        <v>28</v>
      </c>
      <c r="G1529" t="s">
        <v>1614</v>
      </c>
      <c r="H1529" t="str">
        <f>HYPERLINK("http://pbs.twimg.com/media/FeU-XQLXoAI9nWr.jpg", "http://pbs.twimg.com/media/FeU-XQLXoAI9nWr.jpg")</f>
        <v>http://pbs.twimg.com/media/FeU-XQLXoAI9nWr.jpg</v>
      </c>
      <c r="I1529" t="str">
        <f>HYPERLINK("http://pbs.twimg.com/media/FeU-XQEWAAEABIo.jpg", "http://pbs.twimg.com/media/FeU-XQEWAAEABIo.jpg")</f>
        <v>http://pbs.twimg.com/media/FeU-XQEWAAEABIo.jpg</v>
      </c>
      <c r="J1529" t="str">
        <f>HYPERLINK("http://pbs.twimg.com/media/FeU-XQFWQAAntcm.jpg", "http://pbs.twimg.com/media/FeU-XQFWQAAntcm.jpg")</f>
        <v>http://pbs.twimg.com/media/FeU-XQFWQAAntcm.jpg</v>
      </c>
      <c r="L1529">
        <v>0</v>
      </c>
      <c r="M1529">
        <v>0</v>
      </c>
      <c r="N1529">
        <v>1</v>
      </c>
      <c r="O1529">
        <v>0</v>
      </c>
    </row>
    <row r="1530" spans="1:15" x14ac:dyDescent="0.2">
      <c r="A1530" s="1" t="str">
        <f>HYPERLINK("http://www.twitter.com/banuakdenizli/status/1578022899931152386", "1578022899931152386")</f>
        <v>1578022899931152386</v>
      </c>
      <c r="B1530" t="s">
        <v>15</v>
      </c>
      <c r="C1530" s="2">
        <v>44840.585092592592</v>
      </c>
      <c r="D1530">
        <v>0</v>
      </c>
      <c r="E1530">
        <v>3</v>
      </c>
      <c r="F1530" t="s">
        <v>29</v>
      </c>
      <c r="G1530" t="s">
        <v>1615</v>
      </c>
      <c r="H1530" t="str">
        <f>HYPERLINK("http://pbs.twimg.com/media/FeVHsGrWAAApCf-.jpg", "http://pbs.twimg.com/media/FeVHsGrWAAApCf-.jpg")</f>
        <v>http://pbs.twimg.com/media/FeVHsGrWAAApCf-.jpg</v>
      </c>
      <c r="L1530">
        <v>0.7964</v>
      </c>
      <c r="M1530">
        <v>0</v>
      </c>
      <c r="N1530">
        <v>0.71699999999999997</v>
      </c>
      <c r="O1530">
        <v>0.28299999999999997</v>
      </c>
    </row>
    <row r="1531" spans="1:15" x14ac:dyDescent="0.2">
      <c r="A1531" s="1" t="str">
        <f>HYPERLINK("http://www.twitter.com/banuakdenizli/status/1578022832608460800", "1578022832608460800")</f>
        <v>1578022832608460800</v>
      </c>
      <c r="B1531" t="s">
        <v>15</v>
      </c>
      <c r="C1531" s="2">
        <v>44840.584907407407</v>
      </c>
      <c r="D1531">
        <v>0</v>
      </c>
      <c r="E1531">
        <v>2</v>
      </c>
      <c r="F1531" t="s">
        <v>19</v>
      </c>
      <c r="G1531" t="s">
        <v>1616</v>
      </c>
      <c r="H1531" t="str">
        <f>HYPERLINK("http://pbs.twimg.com/media/FeY7u-NX0AEheoG.jpg", "http://pbs.twimg.com/media/FeY7u-NX0AEheoG.jpg")</f>
        <v>http://pbs.twimg.com/media/FeY7u-NX0AEheoG.jpg</v>
      </c>
      <c r="L1531">
        <v>0.45879999999999999</v>
      </c>
      <c r="M1531">
        <v>0</v>
      </c>
      <c r="N1531">
        <v>0.875</v>
      </c>
      <c r="O1531">
        <v>0.125</v>
      </c>
    </row>
    <row r="1532" spans="1:15" x14ac:dyDescent="0.2">
      <c r="A1532" s="1" t="str">
        <f>HYPERLINK("http://www.twitter.com/banuakdenizli/status/1578022742946828291", "1578022742946828291")</f>
        <v>1578022742946828291</v>
      </c>
      <c r="B1532" t="s">
        <v>15</v>
      </c>
      <c r="C1532" s="2">
        <v>44840.584652777783</v>
      </c>
      <c r="D1532">
        <v>0</v>
      </c>
      <c r="E1532">
        <v>6</v>
      </c>
      <c r="F1532" t="s">
        <v>16</v>
      </c>
      <c r="G1532" t="s">
        <v>1617</v>
      </c>
      <c r="H1532" t="str">
        <f>HYPERLINK("http://pbs.twimg.com/media/FeZAcHDVEAQACUB.jpg", "http://pbs.twimg.com/media/FeZAcHDVEAQACUB.jpg")</f>
        <v>http://pbs.twimg.com/media/FeZAcHDVEAQACUB.jpg</v>
      </c>
      <c r="L1532">
        <v>0</v>
      </c>
      <c r="M1532">
        <v>0</v>
      </c>
      <c r="N1532">
        <v>1</v>
      </c>
      <c r="O1532">
        <v>0</v>
      </c>
    </row>
    <row r="1533" spans="1:15" x14ac:dyDescent="0.2">
      <c r="A1533" s="1" t="str">
        <f>HYPERLINK("http://www.twitter.com/banuakdenizli/status/1578019303785304069", "1578019303785304069")</f>
        <v>1578019303785304069</v>
      </c>
      <c r="B1533" t="s">
        <v>15</v>
      </c>
      <c r="C1533" s="2">
        <v>44840.575162037043</v>
      </c>
      <c r="D1533">
        <v>0</v>
      </c>
      <c r="E1533">
        <v>20</v>
      </c>
      <c r="F1533" t="s">
        <v>24</v>
      </c>
      <c r="G1533" t="s">
        <v>1618</v>
      </c>
      <c r="H1533" t="str">
        <f>HYPERLINK("http://pbs.twimg.com/media/FeVGzwYXEAAzSmn.jpg", "http://pbs.twimg.com/media/FeVGzwYXEAAzSmn.jpg")</f>
        <v>http://pbs.twimg.com/media/FeVGzwYXEAAzSmn.jpg</v>
      </c>
      <c r="L1533">
        <v>0.57189999999999996</v>
      </c>
      <c r="M1533">
        <v>0</v>
      </c>
      <c r="N1533">
        <v>0.84699999999999998</v>
      </c>
      <c r="O1533">
        <v>0.153</v>
      </c>
    </row>
    <row r="1534" spans="1:15" x14ac:dyDescent="0.2">
      <c r="A1534" s="1" t="str">
        <f>HYPERLINK("http://www.twitter.com/banuakdenizli/status/1578019002198073345", "1578019002198073345")</f>
        <v>1578019002198073345</v>
      </c>
      <c r="B1534" t="s">
        <v>15</v>
      </c>
      <c r="C1534" s="2">
        <v>44840.574328703697</v>
      </c>
      <c r="D1534">
        <v>0</v>
      </c>
      <c r="E1534">
        <v>6</v>
      </c>
      <c r="F1534" t="s">
        <v>19</v>
      </c>
      <c r="G1534" t="s">
        <v>1619</v>
      </c>
      <c r="H1534" t="str">
        <f>HYPERLINK("http://pbs.twimg.com/media/FeY56LfXEAQI1DK.jpg", "http://pbs.twimg.com/media/FeY56LfXEAQI1DK.jpg")</f>
        <v>http://pbs.twimg.com/media/FeY56LfXEAQI1DK.jpg</v>
      </c>
      <c r="L1534">
        <v>0.92010000000000003</v>
      </c>
      <c r="M1534">
        <v>0</v>
      </c>
      <c r="N1534">
        <v>0.71299999999999997</v>
      </c>
      <c r="O1534">
        <v>0.28699999999999998</v>
      </c>
    </row>
    <row r="1535" spans="1:15" x14ac:dyDescent="0.2">
      <c r="A1535" s="1" t="str">
        <f>HYPERLINK("http://www.twitter.com/banuakdenizli/status/1578004200763572227", "1578004200763572227")</f>
        <v>1578004200763572227</v>
      </c>
      <c r="B1535" t="s">
        <v>15</v>
      </c>
      <c r="C1535" s="2">
        <v>44840.533495370371</v>
      </c>
      <c r="D1535">
        <v>0</v>
      </c>
      <c r="E1535">
        <v>11</v>
      </c>
      <c r="F1535" t="s">
        <v>17</v>
      </c>
      <c r="G1535" t="s">
        <v>1620</v>
      </c>
      <c r="H1535" t="str">
        <f>HYPERLINK("http://pbs.twimg.com/media/FeYpjn2WAAAU32-.jpg", "http://pbs.twimg.com/media/FeYpjn2WAAAU32-.jpg")</f>
        <v>http://pbs.twimg.com/media/FeYpjn2WAAAU32-.jpg</v>
      </c>
      <c r="I1535" t="str">
        <f>HYPERLINK("http://pbs.twimg.com/media/FeYpjn0XkAcGffu.jpg", "http://pbs.twimg.com/media/FeYpjn0XkAcGffu.jpg")</f>
        <v>http://pbs.twimg.com/media/FeYpjn0XkAcGffu.jpg</v>
      </c>
      <c r="J1535" t="str">
        <f>HYPERLINK("http://pbs.twimg.com/media/FeYpjp2XEAA9Bqa.jpg", "http://pbs.twimg.com/media/FeYpjp2XEAA9Bqa.jpg")</f>
        <v>http://pbs.twimg.com/media/FeYpjp2XEAA9Bqa.jpg</v>
      </c>
      <c r="L1535">
        <v>0</v>
      </c>
      <c r="M1535">
        <v>0</v>
      </c>
      <c r="N1535">
        <v>1</v>
      </c>
      <c r="O1535">
        <v>0</v>
      </c>
    </row>
    <row r="1536" spans="1:15" x14ac:dyDescent="0.2">
      <c r="A1536" s="1" t="str">
        <f>HYPERLINK("http://www.twitter.com/banuakdenizli/status/1578004073634308096", "1578004073634308096")</f>
        <v>1578004073634308096</v>
      </c>
      <c r="B1536" t="s">
        <v>15</v>
      </c>
      <c r="C1536" s="2">
        <v>44840.533136574071</v>
      </c>
      <c r="D1536">
        <v>0</v>
      </c>
      <c r="E1536">
        <v>15</v>
      </c>
      <c r="F1536" t="s">
        <v>17</v>
      </c>
      <c r="G1536" t="s">
        <v>1621</v>
      </c>
      <c r="H1536" t="str">
        <f>HYPERLINK("http://pbs.twimg.com/media/FeVn2WoWIBMPawE.jpg", "http://pbs.twimg.com/media/FeVn2WoWIBMPawE.jpg")</f>
        <v>http://pbs.twimg.com/media/FeVn2WoWIBMPawE.jpg</v>
      </c>
      <c r="L1536">
        <v>-0.29599999999999999</v>
      </c>
      <c r="M1536">
        <v>0.22900000000000001</v>
      </c>
      <c r="N1536">
        <v>0.625</v>
      </c>
      <c r="O1536">
        <v>0.14599999999999999</v>
      </c>
    </row>
    <row r="1537" spans="1:15" x14ac:dyDescent="0.2">
      <c r="A1537" s="1" t="str">
        <f>HYPERLINK("http://www.twitter.com/banuakdenizli/status/1578003943342448642", "1578003943342448642")</f>
        <v>1578003943342448642</v>
      </c>
      <c r="B1537" t="s">
        <v>15</v>
      </c>
      <c r="C1537" s="2">
        <v>44840.532777777778</v>
      </c>
      <c r="D1537">
        <v>0</v>
      </c>
      <c r="E1537">
        <v>589</v>
      </c>
      <c r="F1537" t="s">
        <v>27</v>
      </c>
      <c r="G1537" t="s">
        <v>1622</v>
      </c>
      <c r="H1537" t="str">
        <f>HYPERLINK("http://pbs.twimg.com/media/FeVCDs2X0AA_p9V.jpg", "http://pbs.twimg.com/media/FeVCDs2X0AA_p9V.jpg")</f>
        <v>http://pbs.twimg.com/media/FeVCDs2X0AA_p9V.jpg</v>
      </c>
      <c r="I1537" t="str">
        <f>HYPERLINK("http://pbs.twimg.com/media/FeVCDs4XwBMavlQ.jpg", "http://pbs.twimg.com/media/FeVCDs4XwBMavlQ.jpg")</f>
        <v>http://pbs.twimg.com/media/FeVCDs4XwBMavlQ.jpg</v>
      </c>
      <c r="L1537">
        <v>0</v>
      </c>
      <c r="M1537">
        <v>0</v>
      </c>
      <c r="N1537">
        <v>1</v>
      </c>
      <c r="O1537">
        <v>0</v>
      </c>
    </row>
    <row r="1538" spans="1:15" x14ac:dyDescent="0.2">
      <c r="A1538" s="1" t="str">
        <f>HYPERLINK("http://www.twitter.com/banuakdenizli/status/1578003867656151041", "1578003867656151041")</f>
        <v>1578003867656151041</v>
      </c>
      <c r="B1538" t="s">
        <v>15</v>
      </c>
      <c r="C1538" s="2">
        <v>44840.532569444447</v>
      </c>
      <c r="D1538">
        <v>0</v>
      </c>
      <c r="E1538">
        <v>16</v>
      </c>
      <c r="F1538" t="s">
        <v>16</v>
      </c>
      <c r="G1538" t="s">
        <v>1623</v>
      </c>
      <c r="H1538" t="str">
        <f>HYPERLINK("http://pbs.twimg.com/media/FeYX5sBWIAArNoo.jpg", "http://pbs.twimg.com/media/FeYX5sBWIAArNoo.jpg")</f>
        <v>http://pbs.twimg.com/media/FeYX5sBWIAArNoo.jpg</v>
      </c>
      <c r="I1538" t="str">
        <f>HYPERLINK("http://pbs.twimg.com/media/FeYX5r9XgAAYnAv.jpg", "http://pbs.twimg.com/media/FeYX5r9XgAAYnAv.jpg")</f>
        <v>http://pbs.twimg.com/media/FeYX5r9XgAAYnAv.jpg</v>
      </c>
      <c r="J1538" t="str">
        <f>HYPERLINK("http://pbs.twimg.com/media/FeYX5sBWYAMrR4I.jpg", "http://pbs.twimg.com/media/FeYX5sBWYAMrR4I.jpg")</f>
        <v>http://pbs.twimg.com/media/FeYX5sBWYAMrR4I.jpg</v>
      </c>
      <c r="L1538">
        <v>0</v>
      </c>
      <c r="M1538">
        <v>0</v>
      </c>
      <c r="N1538">
        <v>1</v>
      </c>
      <c r="O1538">
        <v>0</v>
      </c>
    </row>
    <row r="1539" spans="1:15" x14ac:dyDescent="0.2">
      <c r="A1539" s="1" t="str">
        <f>HYPERLINK("http://www.twitter.com/banuakdenizli/status/1577733491948765184", "1577733491948765184")</f>
        <v>1577733491948765184</v>
      </c>
      <c r="B1539" t="s">
        <v>15</v>
      </c>
      <c r="C1539" s="2">
        <v>44839.786481481482</v>
      </c>
      <c r="D1539">
        <v>0</v>
      </c>
      <c r="E1539">
        <v>10</v>
      </c>
      <c r="F1539" t="s">
        <v>16</v>
      </c>
      <c r="G1539" t="s">
        <v>1624</v>
      </c>
      <c r="H1539" t="str">
        <f>HYPERLINK("http://pbs.twimg.com/media/FeU4fEiXkBwcKUR.jpg", "http://pbs.twimg.com/media/FeU4fEiXkBwcKUR.jpg")</f>
        <v>http://pbs.twimg.com/media/FeU4fEiXkBwcKUR.jpg</v>
      </c>
      <c r="L1539">
        <v>0</v>
      </c>
      <c r="M1539">
        <v>0</v>
      </c>
      <c r="N1539">
        <v>1</v>
      </c>
      <c r="O1539">
        <v>0</v>
      </c>
    </row>
    <row r="1540" spans="1:15" x14ac:dyDescent="0.2">
      <c r="A1540" s="1" t="str">
        <f>HYPERLINK("http://www.twitter.com/banuakdenizli/status/1577723195800551424", "1577723195800551424")</f>
        <v>1577723195800551424</v>
      </c>
      <c r="B1540" t="s">
        <v>15</v>
      </c>
      <c r="C1540" s="2">
        <v>44839.758067129631</v>
      </c>
      <c r="D1540">
        <v>0</v>
      </c>
      <c r="E1540">
        <v>7</v>
      </c>
      <c r="F1540" t="s">
        <v>17</v>
      </c>
      <c r="G1540" t="s">
        <v>1625</v>
      </c>
      <c r="H1540" t="str">
        <f>HYPERLINK("http://pbs.twimg.com/media/FeUyOWIXkA0MVCo.jpg", "http://pbs.twimg.com/media/FeUyOWIXkA0MVCo.jpg")</f>
        <v>http://pbs.twimg.com/media/FeUyOWIXkA0MVCo.jpg</v>
      </c>
      <c r="L1540">
        <v>0.40189999999999998</v>
      </c>
      <c r="M1540">
        <v>0</v>
      </c>
      <c r="N1540">
        <v>0.88100000000000001</v>
      </c>
      <c r="O1540">
        <v>0.11899999999999999</v>
      </c>
    </row>
    <row r="1541" spans="1:15" x14ac:dyDescent="0.2">
      <c r="A1541" s="1" t="str">
        <f>HYPERLINK("http://www.twitter.com/banuakdenizli/status/1577710354779754496", "1577710354779754496")</f>
        <v>1577710354779754496</v>
      </c>
      <c r="B1541" t="s">
        <v>15</v>
      </c>
      <c r="C1541" s="2">
        <v>44839.722627314812</v>
      </c>
      <c r="D1541">
        <v>0</v>
      </c>
      <c r="E1541">
        <v>2</v>
      </c>
      <c r="F1541" t="s">
        <v>115</v>
      </c>
      <c r="G1541" t="s">
        <v>1626</v>
      </c>
      <c r="H1541" t="str">
        <f>HYPERLINK("http://pbs.twimg.com/media/FeUmlihWIAUjaSF.jpg", "http://pbs.twimg.com/media/FeUmlihWIAUjaSF.jpg")</f>
        <v>http://pbs.twimg.com/media/FeUmlihWIAUjaSF.jpg</v>
      </c>
      <c r="L1541">
        <v>0</v>
      </c>
      <c r="M1541">
        <v>0</v>
      </c>
      <c r="N1541">
        <v>1</v>
      </c>
      <c r="O1541">
        <v>0</v>
      </c>
    </row>
    <row r="1542" spans="1:15" x14ac:dyDescent="0.2">
      <c r="A1542" s="1" t="str">
        <f>HYPERLINK("http://www.twitter.com/banuakdenizli/status/1577710335993286658", "1577710335993286658")</f>
        <v>1577710335993286658</v>
      </c>
      <c r="B1542" t="s">
        <v>15</v>
      </c>
      <c r="C1542" s="2">
        <v>44839.722581018519</v>
      </c>
      <c r="D1542">
        <v>0</v>
      </c>
      <c r="E1542">
        <v>2</v>
      </c>
      <c r="F1542" t="s">
        <v>115</v>
      </c>
      <c r="G1542" t="s">
        <v>1627</v>
      </c>
      <c r="H1542" t="str">
        <f>HYPERLINK("http://pbs.twimg.com/media/FeUmz9SXEAAY6fR.jpg", "http://pbs.twimg.com/media/FeUmz9SXEAAY6fR.jpg")</f>
        <v>http://pbs.twimg.com/media/FeUmz9SXEAAY6fR.jpg</v>
      </c>
      <c r="L1542">
        <v>0.40189999999999998</v>
      </c>
      <c r="M1542">
        <v>0</v>
      </c>
      <c r="N1542">
        <v>0.93</v>
      </c>
      <c r="O1542">
        <v>7.0000000000000007E-2</v>
      </c>
    </row>
    <row r="1543" spans="1:15" x14ac:dyDescent="0.2">
      <c r="A1543" s="1" t="str">
        <f>HYPERLINK("http://www.twitter.com/banuakdenizli/status/1577697009183510534", "1577697009183510534")</f>
        <v>1577697009183510534</v>
      </c>
      <c r="B1543" t="s">
        <v>15</v>
      </c>
      <c r="C1543" s="2">
        <v>44839.685798611114</v>
      </c>
      <c r="D1543">
        <v>0</v>
      </c>
      <c r="E1543">
        <v>2</v>
      </c>
      <c r="F1543" t="s">
        <v>26</v>
      </c>
      <c r="G1543" t="s">
        <v>1628</v>
      </c>
      <c r="L1543">
        <v>0.88849999999999996</v>
      </c>
      <c r="M1543">
        <v>0</v>
      </c>
      <c r="N1543">
        <v>0.64800000000000002</v>
      </c>
      <c r="O1543">
        <v>0.35199999999999998</v>
      </c>
    </row>
    <row r="1544" spans="1:15" x14ac:dyDescent="0.2">
      <c r="A1544" s="1" t="str">
        <f>HYPERLINK("http://www.twitter.com/banuakdenizli/status/1577689871782711296", "1577689871782711296")</f>
        <v>1577689871782711296</v>
      </c>
      <c r="B1544" t="s">
        <v>15</v>
      </c>
      <c r="C1544" s="2">
        <v>44839.66611111111</v>
      </c>
      <c r="D1544">
        <v>0</v>
      </c>
      <c r="E1544">
        <v>19</v>
      </c>
      <c r="F1544" t="s">
        <v>711</v>
      </c>
      <c r="G1544" t="s">
        <v>1629</v>
      </c>
      <c r="H1544" t="str">
        <f>HYPERLINK("https://video.twimg.com/ext_tw_video/1576971619184033793/pu/vid/640x352/w0YfV6rTQ7nmytf_.mp4?tag=12", "https://video.twimg.com/ext_tw_video/1576971619184033793/pu/vid/640x352/w0YfV6rTQ7nmytf_.mp4?tag=12")</f>
        <v>https://video.twimg.com/ext_tw_video/1576971619184033793/pu/vid/640x352/w0YfV6rTQ7nmytf_.mp4?tag=12</v>
      </c>
      <c r="L1544">
        <v>0.82210000000000005</v>
      </c>
      <c r="M1544">
        <v>0</v>
      </c>
      <c r="N1544">
        <v>0.83</v>
      </c>
      <c r="O1544">
        <v>0.17</v>
      </c>
    </row>
    <row r="1545" spans="1:15" x14ac:dyDescent="0.2">
      <c r="A1545" s="1" t="str">
        <f>HYPERLINK("http://www.twitter.com/banuakdenizli/status/1577687867983282178", "1577687867983282178")</f>
        <v>1577687867983282178</v>
      </c>
      <c r="B1545" t="s">
        <v>15</v>
      </c>
      <c r="C1545" s="2">
        <v>44839.660578703697</v>
      </c>
      <c r="D1545">
        <v>0</v>
      </c>
      <c r="E1545">
        <v>4</v>
      </c>
      <c r="F1545" t="s">
        <v>22</v>
      </c>
      <c r="G1545" t="s">
        <v>1630</v>
      </c>
      <c r="H1545" t="str">
        <f>HYPERLINK("http://pbs.twimg.com/media/FeURIJ9WYAIqYYT.jpg", "http://pbs.twimg.com/media/FeURIJ9WYAIqYYT.jpg")</f>
        <v>http://pbs.twimg.com/media/FeURIJ9WYAIqYYT.jpg</v>
      </c>
      <c r="I1545" t="str">
        <f>HYPERLINK("http://pbs.twimg.com/media/FeURIJ_WQAEWX1I.jpg", "http://pbs.twimg.com/media/FeURIJ_WQAEWX1I.jpg")</f>
        <v>http://pbs.twimg.com/media/FeURIJ_WQAEWX1I.jpg</v>
      </c>
      <c r="J1545" t="str">
        <f>HYPERLINK("http://pbs.twimg.com/media/FeURIKBXoAM4OYG.jpg", "http://pbs.twimg.com/media/FeURIKBXoAM4OYG.jpg")</f>
        <v>http://pbs.twimg.com/media/FeURIKBXoAM4OYG.jpg</v>
      </c>
      <c r="K1545" t="str">
        <f>HYPERLINK("http://pbs.twimg.com/media/FeURIJ9X0AA2BgL.jpg", "http://pbs.twimg.com/media/FeURIJ9X0AA2BgL.jpg")</f>
        <v>http://pbs.twimg.com/media/FeURIJ9X0AA2BgL.jpg</v>
      </c>
      <c r="L1545">
        <v>0</v>
      </c>
      <c r="M1545">
        <v>0</v>
      </c>
      <c r="N1545">
        <v>1</v>
      </c>
      <c r="O1545">
        <v>0</v>
      </c>
    </row>
    <row r="1546" spans="1:15" x14ac:dyDescent="0.2">
      <c r="A1546" s="1" t="str">
        <f>HYPERLINK("http://www.twitter.com/banuakdenizli/status/1577687796667621381", "1577687796667621381")</f>
        <v>1577687796667621381</v>
      </c>
      <c r="B1546" t="s">
        <v>15</v>
      </c>
      <c r="C1546" s="2">
        <v>44839.660381944443</v>
      </c>
      <c r="D1546">
        <v>0</v>
      </c>
      <c r="E1546">
        <v>13</v>
      </c>
      <c r="F1546" t="s">
        <v>17</v>
      </c>
      <c r="G1546" t="s">
        <v>1631</v>
      </c>
      <c r="H1546" t="str">
        <f>HYPERLINK("http://pbs.twimg.com/media/FeUQ6Q5XoAgwlbj.jpg", "http://pbs.twimg.com/media/FeUQ6Q5XoAgwlbj.jpg")</f>
        <v>http://pbs.twimg.com/media/FeUQ6Q5XoAgwlbj.jpg</v>
      </c>
      <c r="L1546">
        <v>0.38179999999999997</v>
      </c>
      <c r="M1546">
        <v>0</v>
      </c>
      <c r="N1546">
        <v>0.84299999999999997</v>
      </c>
      <c r="O1546">
        <v>0.157</v>
      </c>
    </row>
    <row r="1547" spans="1:15" x14ac:dyDescent="0.2">
      <c r="A1547" s="1" t="str">
        <f>HYPERLINK("http://www.twitter.com/banuakdenizli/status/1577685241694650368", "1577685241694650368")</f>
        <v>1577685241694650368</v>
      </c>
      <c r="B1547" t="s">
        <v>15</v>
      </c>
      <c r="C1547" s="2">
        <v>44839.653333333343</v>
      </c>
      <c r="D1547">
        <v>0</v>
      </c>
      <c r="E1547">
        <v>3</v>
      </c>
      <c r="F1547" t="s">
        <v>26</v>
      </c>
      <c r="G1547" t="s">
        <v>1632</v>
      </c>
      <c r="L1547">
        <v>0</v>
      </c>
      <c r="M1547">
        <v>0</v>
      </c>
      <c r="N1547">
        <v>1</v>
      </c>
      <c r="O1547">
        <v>0</v>
      </c>
    </row>
    <row r="1548" spans="1:15" x14ac:dyDescent="0.2">
      <c r="A1548" s="1" t="str">
        <f>HYPERLINK("http://www.twitter.com/banuakdenizli/status/1577685164695625729", "1577685164695625729")</f>
        <v>1577685164695625729</v>
      </c>
      <c r="B1548" t="s">
        <v>15</v>
      </c>
      <c r="C1548" s="2">
        <v>44839.653113425928</v>
      </c>
      <c r="D1548">
        <v>0</v>
      </c>
      <c r="E1548">
        <v>45</v>
      </c>
      <c r="F1548" t="s">
        <v>28</v>
      </c>
      <c r="G1548" t="s">
        <v>1633</v>
      </c>
      <c r="H1548" t="str">
        <f>HYPERLINK("http://pbs.twimg.com/media/FeUOVdoWIAQ5XX8.jpg", "http://pbs.twimg.com/media/FeUOVdoWIAQ5XX8.jpg")</f>
        <v>http://pbs.twimg.com/media/FeUOVdoWIAQ5XX8.jpg</v>
      </c>
      <c r="I1548" t="str">
        <f>HYPERLINK("http://pbs.twimg.com/media/FeUOVdkWIAMdMdL.jpg", "http://pbs.twimg.com/media/FeUOVdkWIAMdMdL.jpg")</f>
        <v>http://pbs.twimg.com/media/FeUOVdkWIAMdMdL.jpg</v>
      </c>
      <c r="L1548">
        <v>0</v>
      </c>
      <c r="M1548">
        <v>0</v>
      </c>
      <c r="N1548">
        <v>1</v>
      </c>
      <c r="O1548">
        <v>0</v>
      </c>
    </row>
    <row r="1549" spans="1:15" x14ac:dyDescent="0.2">
      <c r="A1549" s="1" t="str">
        <f>HYPERLINK("http://www.twitter.com/banuakdenizli/status/1577680610457444353", "1577680610457444353")</f>
        <v>1577680610457444353</v>
      </c>
      <c r="B1549" t="s">
        <v>15</v>
      </c>
      <c r="C1549" s="2">
        <v>44839.640555555547</v>
      </c>
      <c r="D1549">
        <v>0</v>
      </c>
      <c r="E1549">
        <v>41</v>
      </c>
      <c r="F1549" t="s">
        <v>28</v>
      </c>
      <c r="G1549" t="s">
        <v>1634</v>
      </c>
      <c r="H1549" t="str">
        <f>HYPERLINK("http://pbs.twimg.com/media/FeTspC8WQAAZxJn.jpg", "http://pbs.twimg.com/media/FeTspC8WQAAZxJn.jpg")</f>
        <v>http://pbs.twimg.com/media/FeTspC8WQAAZxJn.jpg</v>
      </c>
      <c r="I1549" t="str">
        <f>HYPERLINK("http://pbs.twimg.com/media/FeTspC6XEAEctpm.jpg", "http://pbs.twimg.com/media/FeTspC6XEAEctpm.jpg")</f>
        <v>http://pbs.twimg.com/media/FeTspC6XEAEctpm.jpg</v>
      </c>
      <c r="J1549" t="str">
        <f>HYPERLINK("http://pbs.twimg.com/media/FeTspC9WIAIm02j.jpg", "http://pbs.twimg.com/media/FeTspC9WIAIm02j.jpg")</f>
        <v>http://pbs.twimg.com/media/FeTspC9WIAIm02j.jpg</v>
      </c>
      <c r="K1549" t="str">
        <f>HYPERLINK("http://pbs.twimg.com/media/FeTspDEWIAAdbhC.jpg", "http://pbs.twimg.com/media/FeTspDEWIAAdbhC.jpg")</f>
        <v>http://pbs.twimg.com/media/FeTspDEWIAAdbhC.jpg</v>
      </c>
      <c r="L1549">
        <v>0</v>
      </c>
      <c r="M1549">
        <v>0</v>
      </c>
      <c r="N1549">
        <v>1</v>
      </c>
      <c r="O1549">
        <v>0</v>
      </c>
    </row>
    <row r="1550" spans="1:15" x14ac:dyDescent="0.2">
      <c r="A1550" s="1" t="str">
        <f>HYPERLINK("http://www.twitter.com/banuakdenizli/status/1577675130116915200", "1577675130116915200")</f>
        <v>1577675130116915200</v>
      </c>
      <c r="B1550" t="s">
        <v>15</v>
      </c>
      <c r="C1550" s="2">
        <v>44839.625428240739</v>
      </c>
      <c r="D1550">
        <v>0</v>
      </c>
      <c r="E1550">
        <v>1</v>
      </c>
      <c r="F1550" t="s">
        <v>21</v>
      </c>
      <c r="G1550" t="s">
        <v>1635</v>
      </c>
      <c r="L1550">
        <v>-0.20230000000000001</v>
      </c>
      <c r="M1550">
        <v>0.114</v>
      </c>
      <c r="N1550">
        <v>0.78900000000000003</v>
      </c>
      <c r="O1550">
        <v>9.6000000000000002E-2</v>
      </c>
    </row>
    <row r="1551" spans="1:15" x14ac:dyDescent="0.2">
      <c r="A1551" s="1" t="str">
        <f>HYPERLINK("http://www.twitter.com/banuakdenizli/status/1577675096256397313", "1577675096256397313")</f>
        <v>1577675096256397313</v>
      </c>
      <c r="B1551" t="s">
        <v>15</v>
      </c>
      <c r="C1551" s="2">
        <v>44839.625335648147</v>
      </c>
      <c r="D1551">
        <v>0</v>
      </c>
      <c r="E1551">
        <v>8</v>
      </c>
      <c r="F1551" t="s">
        <v>19</v>
      </c>
      <c r="G1551" t="s">
        <v>1636</v>
      </c>
      <c r="H1551" t="str">
        <f>HYPERLINK("http://pbs.twimg.com/media/FeUE4gFXoAEB4o-.jpg", "http://pbs.twimg.com/media/FeUE4gFXoAEB4o-.jpg")</f>
        <v>http://pbs.twimg.com/media/FeUE4gFXoAEB4o-.jpg</v>
      </c>
      <c r="L1551">
        <v>0.98419999999999996</v>
      </c>
      <c r="M1551">
        <v>0</v>
      </c>
      <c r="N1551">
        <v>0.53400000000000003</v>
      </c>
      <c r="O1551">
        <v>0.46600000000000003</v>
      </c>
    </row>
    <row r="1552" spans="1:15" x14ac:dyDescent="0.2">
      <c r="A1552" s="1" t="str">
        <f>HYPERLINK("http://www.twitter.com/banuakdenizli/status/1577668961885372421", "1577668961885372421")</f>
        <v>1577668961885372421</v>
      </c>
      <c r="B1552" t="s">
        <v>15</v>
      </c>
      <c r="C1552" s="2">
        <v>44839.608402777783</v>
      </c>
      <c r="D1552">
        <v>0</v>
      </c>
      <c r="E1552">
        <v>4</v>
      </c>
      <c r="F1552" t="s">
        <v>16</v>
      </c>
      <c r="G1552" t="s">
        <v>1637</v>
      </c>
      <c r="H1552" t="str">
        <f>HYPERLINK("http://pbs.twimg.com/media/FeUBSIDX0AENng2.jpg", "http://pbs.twimg.com/media/FeUBSIDX0AENng2.jpg")</f>
        <v>http://pbs.twimg.com/media/FeUBSIDX0AENng2.jpg</v>
      </c>
      <c r="L1552">
        <v>0</v>
      </c>
      <c r="M1552">
        <v>0</v>
      </c>
      <c r="N1552">
        <v>1</v>
      </c>
      <c r="O1552">
        <v>0</v>
      </c>
    </row>
    <row r="1553" spans="1:15" x14ac:dyDescent="0.2">
      <c r="A1553" s="1" t="str">
        <f>HYPERLINK("http://www.twitter.com/banuakdenizli/status/1577665588880674822", "1577665588880674822")</f>
        <v>1577665588880674822</v>
      </c>
      <c r="B1553" t="s">
        <v>15</v>
      </c>
      <c r="C1553" s="2">
        <v>44839.599097222221</v>
      </c>
      <c r="D1553">
        <v>0</v>
      </c>
      <c r="E1553">
        <v>2</v>
      </c>
      <c r="F1553" t="s">
        <v>29</v>
      </c>
      <c r="G1553" t="s">
        <v>1638</v>
      </c>
      <c r="H1553" t="str">
        <f>HYPERLINK("http://pbs.twimg.com/media/FeT83xnXwAAPPLV.jpg", "http://pbs.twimg.com/media/FeT83xnXwAAPPLV.jpg")</f>
        <v>http://pbs.twimg.com/media/FeT83xnXwAAPPLV.jpg</v>
      </c>
      <c r="I1553" t="str">
        <f>HYPERLINK("http://pbs.twimg.com/media/FeT83yXWYAEynlY.jpg", "http://pbs.twimg.com/media/FeT83yXWYAEynlY.jpg")</f>
        <v>http://pbs.twimg.com/media/FeT83yXWYAEynlY.jpg</v>
      </c>
      <c r="J1553" t="str">
        <f>HYPERLINK("http://pbs.twimg.com/media/FeT83yAXEAQ8Oc_.jpg", "http://pbs.twimg.com/media/FeT83yAXEAQ8Oc_.jpg")</f>
        <v>http://pbs.twimg.com/media/FeT83yAXEAQ8Oc_.jpg</v>
      </c>
      <c r="K1553" t="str">
        <f>HYPERLINK("http://pbs.twimg.com/media/FeT83yvXoAcUT4T.jpg", "http://pbs.twimg.com/media/FeT83yvXoAcUT4T.jpg")</f>
        <v>http://pbs.twimg.com/media/FeT83yvXoAcUT4T.jpg</v>
      </c>
      <c r="L1553">
        <v>0</v>
      </c>
      <c r="M1553">
        <v>0</v>
      </c>
      <c r="N1553">
        <v>1</v>
      </c>
      <c r="O1553">
        <v>0</v>
      </c>
    </row>
    <row r="1554" spans="1:15" x14ac:dyDescent="0.2">
      <c r="A1554" s="1" t="str">
        <f>HYPERLINK("http://www.twitter.com/banuakdenizli/status/1577665573642797056", "1577665573642797056")</f>
        <v>1577665573642797056</v>
      </c>
      <c r="B1554" t="s">
        <v>15</v>
      </c>
      <c r="C1554" s="2">
        <v>44839.599062499998</v>
      </c>
      <c r="D1554">
        <v>0</v>
      </c>
      <c r="E1554">
        <v>19</v>
      </c>
      <c r="F1554" t="s">
        <v>905</v>
      </c>
      <c r="G1554" t="s">
        <v>1639</v>
      </c>
      <c r="L1554">
        <v>0.92169999999999996</v>
      </c>
      <c r="M1554">
        <v>0</v>
      </c>
      <c r="N1554">
        <v>0.76900000000000002</v>
      </c>
      <c r="O1554">
        <v>0.23100000000000001</v>
      </c>
    </row>
    <row r="1555" spans="1:15" x14ac:dyDescent="0.2">
      <c r="A1555" s="1" t="str">
        <f>HYPERLINK("http://www.twitter.com/banuakdenizli/status/1577665417056772103", "1577665417056772103")</f>
        <v>1577665417056772103</v>
      </c>
      <c r="B1555" t="s">
        <v>15</v>
      </c>
      <c r="C1555" s="2">
        <v>44839.598622685182</v>
      </c>
      <c r="D1555">
        <v>0</v>
      </c>
      <c r="E1555">
        <v>12</v>
      </c>
      <c r="F1555" t="s">
        <v>38</v>
      </c>
      <c r="G1555" t="s">
        <v>1640</v>
      </c>
      <c r="H1555" t="str">
        <f>HYPERLINK("http://pbs.twimg.com/media/FeTOeryXoAAahus.jpg", "http://pbs.twimg.com/media/FeTOeryXoAAahus.jpg")</f>
        <v>http://pbs.twimg.com/media/FeTOeryXoAAahus.jpg</v>
      </c>
      <c r="L1555">
        <v>0</v>
      </c>
      <c r="M1555">
        <v>0</v>
      </c>
      <c r="N1555">
        <v>1</v>
      </c>
      <c r="O1555">
        <v>0</v>
      </c>
    </row>
    <row r="1556" spans="1:15" x14ac:dyDescent="0.2">
      <c r="A1556" s="1" t="str">
        <f>HYPERLINK("http://www.twitter.com/banuakdenizli/status/1577665083643252737", "1577665083643252737")</f>
        <v>1577665083643252737</v>
      </c>
      <c r="B1556" t="s">
        <v>15</v>
      </c>
      <c r="C1556" s="2">
        <v>44839.597708333327</v>
      </c>
      <c r="D1556">
        <v>0</v>
      </c>
      <c r="E1556">
        <v>2</v>
      </c>
      <c r="F1556" t="s">
        <v>21</v>
      </c>
      <c r="G1556" t="s">
        <v>1641</v>
      </c>
      <c r="H1556" t="str">
        <f>HYPERLINK("http://pbs.twimg.com/media/FeTvZNdX0AEV61e.jpg", "http://pbs.twimg.com/media/FeTvZNdX0AEV61e.jpg")</f>
        <v>http://pbs.twimg.com/media/FeTvZNdX0AEV61e.jpg</v>
      </c>
      <c r="L1556">
        <v>0</v>
      </c>
      <c r="M1556">
        <v>0</v>
      </c>
      <c r="N1556">
        <v>1</v>
      </c>
      <c r="O1556">
        <v>0</v>
      </c>
    </row>
    <row r="1557" spans="1:15" x14ac:dyDescent="0.2">
      <c r="A1557" s="1" t="str">
        <f>HYPERLINK("http://www.twitter.com/banuakdenizli/status/1577664940667817985", "1577664940667817985")</f>
        <v>1577664940667817985</v>
      </c>
      <c r="B1557" t="s">
        <v>15</v>
      </c>
      <c r="C1557" s="2">
        <v>44839.597314814811</v>
      </c>
      <c r="D1557">
        <v>0</v>
      </c>
      <c r="E1557">
        <v>12</v>
      </c>
      <c r="F1557" t="s">
        <v>42</v>
      </c>
      <c r="G1557" t="s">
        <v>1642</v>
      </c>
      <c r="H1557" t="str">
        <f>HYPERLINK("http://pbs.twimg.com/media/FeTMziHaAAABLCE.jpg", "http://pbs.twimg.com/media/FeTMziHaAAABLCE.jpg")</f>
        <v>http://pbs.twimg.com/media/FeTMziHaAAABLCE.jpg</v>
      </c>
      <c r="L1557">
        <v>0.82709999999999995</v>
      </c>
      <c r="M1557">
        <v>0</v>
      </c>
      <c r="N1557">
        <v>0.63300000000000001</v>
      </c>
      <c r="O1557">
        <v>0.36699999999999999</v>
      </c>
    </row>
    <row r="1558" spans="1:15" x14ac:dyDescent="0.2">
      <c r="A1558" s="1" t="str">
        <f>HYPERLINK("http://www.twitter.com/banuakdenizli/status/1577664830617669633", "1577664830617669633")</f>
        <v>1577664830617669633</v>
      </c>
      <c r="B1558" t="s">
        <v>15</v>
      </c>
      <c r="C1558" s="2">
        <v>44839.597002314818</v>
      </c>
      <c r="D1558">
        <v>0</v>
      </c>
      <c r="E1558">
        <v>17</v>
      </c>
      <c r="F1558" t="s">
        <v>42</v>
      </c>
      <c r="G1558" t="s">
        <v>1643</v>
      </c>
      <c r="H1558" t="str">
        <f>HYPERLINK("http://pbs.twimg.com/media/FeTMtVqaYAUYAkM.jpg", "http://pbs.twimg.com/media/FeTMtVqaYAUYAkM.jpg")</f>
        <v>http://pbs.twimg.com/media/FeTMtVqaYAUYAkM.jpg</v>
      </c>
      <c r="L1558">
        <v>0</v>
      </c>
      <c r="M1558">
        <v>0</v>
      </c>
      <c r="N1558">
        <v>1</v>
      </c>
      <c r="O1558">
        <v>0</v>
      </c>
    </row>
    <row r="1559" spans="1:15" x14ac:dyDescent="0.2">
      <c r="A1559" s="1" t="str">
        <f>HYPERLINK("http://www.twitter.com/banuakdenizli/status/1577662204912041984", "1577662204912041984")</f>
        <v>1577662204912041984</v>
      </c>
      <c r="B1559" t="s">
        <v>15</v>
      </c>
      <c r="C1559" s="2">
        <v>44839.589756944442</v>
      </c>
      <c r="D1559">
        <v>0</v>
      </c>
      <c r="E1559">
        <v>5</v>
      </c>
      <c r="F1559" t="s">
        <v>20</v>
      </c>
      <c r="G1559" t="s">
        <v>1644</v>
      </c>
      <c r="H1559" t="str">
        <f>HYPERLINK("https://video.twimg.com/ext_tw_video/1577167217380278273/pu/vid/1280x676/tArx28eWZbDxppp1.mp4?tag=12", "https://video.twimg.com/ext_tw_video/1577167217380278273/pu/vid/1280x676/tArx28eWZbDxppp1.mp4?tag=12")</f>
        <v>https://video.twimg.com/ext_tw_video/1577167217380278273/pu/vid/1280x676/tArx28eWZbDxppp1.mp4?tag=12</v>
      </c>
      <c r="L1559">
        <v>0</v>
      </c>
      <c r="M1559">
        <v>0</v>
      </c>
      <c r="N1559">
        <v>1</v>
      </c>
      <c r="O1559">
        <v>0</v>
      </c>
    </row>
    <row r="1560" spans="1:15" x14ac:dyDescent="0.2">
      <c r="A1560" s="1" t="str">
        <f>HYPERLINK("http://www.twitter.com/banuakdenizli/status/1577662162201415681", "1577662162201415681")</f>
        <v>1577662162201415681</v>
      </c>
      <c r="B1560" t="s">
        <v>15</v>
      </c>
      <c r="C1560" s="2">
        <v>44839.589641203696</v>
      </c>
      <c r="D1560">
        <v>0</v>
      </c>
      <c r="E1560">
        <v>2</v>
      </c>
      <c r="F1560" t="s">
        <v>20</v>
      </c>
      <c r="G1560" t="s">
        <v>1645</v>
      </c>
      <c r="H1560" t="str">
        <f>HYPERLINK("http://pbs.twimg.com/media/FeK_IeCWAAYt8BM.jpg", "http://pbs.twimg.com/media/FeK_IeCWAAYt8BM.jpg")</f>
        <v>http://pbs.twimg.com/media/FeK_IeCWAAYt8BM.jpg</v>
      </c>
      <c r="L1560">
        <v>0</v>
      </c>
      <c r="M1560">
        <v>0</v>
      </c>
      <c r="N1560">
        <v>1</v>
      </c>
      <c r="O1560">
        <v>0</v>
      </c>
    </row>
    <row r="1561" spans="1:15" x14ac:dyDescent="0.2">
      <c r="A1561" s="1" t="str">
        <f>HYPERLINK("http://www.twitter.com/banuakdenizli/status/1577662089136578562", "1577662089136578562")</f>
        <v>1577662089136578562</v>
      </c>
      <c r="B1561" t="s">
        <v>15</v>
      </c>
      <c r="C1561" s="2">
        <v>44839.589444444442</v>
      </c>
      <c r="D1561">
        <v>0</v>
      </c>
      <c r="E1561">
        <v>8</v>
      </c>
      <c r="F1561" t="s">
        <v>37</v>
      </c>
      <c r="G1561" t="s">
        <v>1646</v>
      </c>
      <c r="H1561" t="str">
        <f>HYPERLINK("http://pbs.twimg.com/media/FeTl0ImX0AYruZ8.jpg", "http://pbs.twimg.com/media/FeTl0ImX0AYruZ8.jpg")</f>
        <v>http://pbs.twimg.com/media/FeTl0ImX0AYruZ8.jpg</v>
      </c>
      <c r="L1561">
        <v>0</v>
      </c>
      <c r="M1561">
        <v>0</v>
      </c>
      <c r="N1561">
        <v>1</v>
      </c>
      <c r="O1561">
        <v>0</v>
      </c>
    </row>
    <row r="1562" spans="1:15" x14ac:dyDescent="0.2">
      <c r="A1562" s="1" t="str">
        <f>HYPERLINK("http://www.twitter.com/banuakdenizli/status/1577661657618255872", "1577661657618255872")</f>
        <v>1577661657618255872</v>
      </c>
      <c r="B1562" t="s">
        <v>15</v>
      </c>
      <c r="C1562" s="2">
        <v>44839.588252314818</v>
      </c>
      <c r="D1562">
        <v>0</v>
      </c>
      <c r="E1562">
        <v>55</v>
      </c>
      <c r="F1562" t="s">
        <v>28</v>
      </c>
      <c r="G1562" t="s">
        <v>1647</v>
      </c>
      <c r="H1562" t="str">
        <f>HYPERLINK("http://pbs.twimg.com/media/FeT6MqRWAAAzCVo.jpg", "http://pbs.twimg.com/media/FeT6MqRWAAAzCVo.jpg")</f>
        <v>http://pbs.twimg.com/media/FeT6MqRWAAAzCVo.jpg</v>
      </c>
      <c r="I1562" t="str">
        <f>HYPERLINK("http://pbs.twimg.com/media/FeT6MqSWIAA3SCM.jpg", "http://pbs.twimg.com/media/FeT6MqSWIAA3SCM.jpg")</f>
        <v>http://pbs.twimg.com/media/FeT6MqSWIAA3SCM.jpg</v>
      </c>
      <c r="L1562">
        <v>0</v>
      </c>
      <c r="M1562">
        <v>0</v>
      </c>
      <c r="N1562">
        <v>1</v>
      </c>
      <c r="O1562">
        <v>0</v>
      </c>
    </row>
    <row r="1563" spans="1:15" x14ac:dyDescent="0.2">
      <c r="A1563" s="1" t="str">
        <f>HYPERLINK("http://www.twitter.com/banuakdenizli/status/1577661410401828867", "1577661410401828867")</f>
        <v>1577661410401828867</v>
      </c>
      <c r="B1563" t="s">
        <v>15</v>
      </c>
      <c r="C1563" s="2">
        <v>44839.587569444448</v>
      </c>
      <c r="D1563">
        <v>0</v>
      </c>
      <c r="E1563">
        <v>1</v>
      </c>
      <c r="F1563" t="s">
        <v>29</v>
      </c>
      <c r="G1563" t="s">
        <v>1648</v>
      </c>
      <c r="H1563" t="str">
        <f>HYPERLINK("https://video.twimg.com/ext_tw_video/1577591234503270401/pu/vid/320x320/6OCqmEIR7h1UD-ME.mp4?tag=12", "https://video.twimg.com/ext_tw_video/1577591234503270401/pu/vid/320x320/6OCqmEIR7h1UD-ME.mp4?tag=12")</f>
        <v>https://video.twimg.com/ext_tw_video/1577591234503270401/pu/vid/320x320/6OCqmEIR7h1UD-ME.mp4?tag=12</v>
      </c>
      <c r="L1563">
        <v>0.61240000000000006</v>
      </c>
      <c r="M1563">
        <v>0</v>
      </c>
      <c r="N1563">
        <v>0.88400000000000001</v>
      </c>
      <c r="O1563">
        <v>0.11600000000000001</v>
      </c>
    </row>
    <row r="1564" spans="1:15" x14ac:dyDescent="0.2">
      <c r="A1564" s="1" t="str">
        <f>HYPERLINK("http://www.twitter.com/banuakdenizli/status/1577661228616454145", "1577661228616454145")</f>
        <v>1577661228616454145</v>
      </c>
      <c r="B1564" t="s">
        <v>15</v>
      </c>
      <c r="C1564" s="2">
        <v>44839.587071759262</v>
      </c>
      <c r="D1564">
        <v>0</v>
      </c>
      <c r="E1564">
        <v>2</v>
      </c>
      <c r="F1564" t="s">
        <v>29</v>
      </c>
      <c r="G1564" t="s">
        <v>1649</v>
      </c>
      <c r="H1564" t="str">
        <f>HYPERLINK("http://pbs.twimg.com/media/FeS7LU6XEAATx2w.jpg", "http://pbs.twimg.com/media/FeS7LU6XEAATx2w.jpg")</f>
        <v>http://pbs.twimg.com/media/FeS7LU6XEAATx2w.jpg</v>
      </c>
      <c r="L1564">
        <v>0</v>
      </c>
      <c r="M1564">
        <v>0</v>
      </c>
      <c r="N1564">
        <v>1</v>
      </c>
      <c r="O1564">
        <v>0</v>
      </c>
    </row>
    <row r="1565" spans="1:15" x14ac:dyDescent="0.2">
      <c r="A1565" s="1" t="str">
        <f>HYPERLINK("http://www.twitter.com/banuakdenizli/status/1577661120764067842", "1577661120764067842")</f>
        <v>1577661120764067842</v>
      </c>
      <c r="B1565" t="s">
        <v>15</v>
      </c>
      <c r="C1565" s="2">
        <v>44839.586770833332</v>
      </c>
      <c r="D1565">
        <v>0</v>
      </c>
      <c r="E1565">
        <v>3</v>
      </c>
      <c r="F1565" t="s">
        <v>29</v>
      </c>
      <c r="G1565" t="s">
        <v>1650</v>
      </c>
      <c r="H1565" t="str">
        <f>HYPERLINK("http://pbs.twimg.com/media/FeTVOp0XgAA2iTk.jpg", "http://pbs.twimg.com/media/FeTVOp0XgAA2iTk.jpg")</f>
        <v>http://pbs.twimg.com/media/FeTVOp0XgAA2iTk.jpg</v>
      </c>
      <c r="L1565">
        <v>0.67049999999999998</v>
      </c>
      <c r="M1565">
        <v>0</v>
      </c>
      <c r="N1565">
        <v>0.83599999999999997</v>
      </c>
      <c r="O1565">
        <v>0.16400000000000001</v>
      </c>
    </row>
    <row r="1566" spans="1:15" x14ac:dyDescent="0.2">
      <c r="A1566" s="1" t="str">
        <f>HYPERLINK("http://www.twitter.com/banuakdenizli/status/1577660997132861441", "1577660997132861441")</f>
        <v>1577660997132861441</v>
      </c>
      <c r="B1566" t="s">
        <v>15</v>
      </c>
      <c r="C1566" s="2">
        <v>44839.586423611108</v>
      </c>
      <c r="D1566">
        <v>0</v>
      </c>
      <c r="E1566">
        <v>3</v>
      </c>
      <c r="F1566" t="s">
        <v>29</v>
      </c>
      <c r="G1566" t="s">
        <v>1651</v>
      </c>
      <c r="H1566" t="str">
        <f>HYPERLINK("http://pbs.twimg.com/media/FeTTkZ5WAAAPSqe.jpg", "http://pbs.twimg.com/media/FeTTkZ5WAAAPSqe.jpg")</f>
        <v>http://pbs.twimg.com/media/FeTTkZ5WAAAPSqe.jpg</v>
      </c>
      <c r="L1566">
        <v>0.47670000000000001</v>
      </c>
      <c r="M1566">
        <v>7.1999999999999995E-2</v>
      </c>
      <c r="N1566">
        <v>0.751</v>
      </c>
      <c r="O1566">
        <v>0.17699999999999999</v>
      </c>
    </row>
    <row r="1567" spans="1:15" x14ac:dyDescent="0.2">
      <c r="A1567" s="1" t="str">
        <f>HYPERLINK("http://www.twitter.com/banuakdenizli/status/1577660761597509632", "1577660761597509632")</f>
        <v>1577660761597509632</v>
      </c>
      <c r="B1567" t="s">
        <v>15</v>
      </c>
      <c r="C1567" s="2">
        <v>44839.585775462961</v>
      </c>
      <c r="D1567">
        <v>0</v>
      </c>
      <c r="E1567">
        <v>7</v>
      </c>
      <c r="F1567" t="s">
        <v>37</v>
      </c>
      <c r="G1567" t="s">
        <v>1652</v>
      </c>
      <c r="H1567" t="str">
        <f>HYPERLINK("http://pbs.twimg.com/media/FeTkGczWIAMeVFV.jpg", "http://pbs.twimg.com/media/FeTkGczWIAMeVFV.jpg")</f>
        <v>http://pbs.twimg.com/media/FeTkGczWIAMeVFV.jpg</v>
      </c>
      <c r="L1567">
        <v>0</v>
      </c>
      <c r="M1567">
        <v>0</v>
      </c>
      <c r="N1567">
        <v>1</v>
      </c>
      <c r="O1567">
        <v>0</v>
      </c>
    </row>
    <row r="1568" spans="1:15" x14ac:dyDescent="0.2">
      <c r="A1568" s="1" t="str">
        <f>HYPERLINK("http://www.twitter.com/banuakdenizli/status/1577660434978594818", "1577660434978594818")</f>
        <v>1577660434978594818</v>
      </c>
      <c r="B1568" t="s">
        <v>15</v>
      </c>
      <c r="C1568" s="2">
        <v>44839.584872685176</v>
      </c>
      <c r="D1568">
        <v>0</v>
      </c>
      <c r="E1568">
        <v>1</v>
      </c>
      <c r="F1568" t="s">
        <v>29</v>
      </c>
      <c r="G1568" t="s">
        <v>1653</v>
      </c>
      <c r="H1568" t="str">
        <f>HYPERLINK("http://pbs.twimg.com/media/FeTBlBrWYAEC2s_.jpg", "http://pbs.twimg.com/media/FeTBlBrWYAEC2s_.jpg")</f>
        <v>http://pbs.twimg.com/media/FeTBlBrWYAEC2s_.jpg</v>
      </c>
      <c r="L1568">
        <v>0.50960000000000005</v>
      </c>
      <c r="M1568">
        <v>0</v>
      </c>
      <c r="N1568">
        <v>0.78800000000000003</v>
      </c>
      <c r="O1568">
        <v>0.21199999999999999</v>
      </c>
    </row>
    <row r="1569" spans="1:15" x14ac:dyDescent="0.2">
      <c r="A1569" s="1" t="str">
        <f>HYPERLINK("http://www.twitter.com/banuakdenizli/status/1577656204159062017", "1577656204159062017")</f>
        <v>1577656204159062017</v>
      </c>
      <c r="B1569" t="s">
        <v>15</v>
      </c>
      <c r="C1569" s="2">
        <v>44839.573206018518</v>
      </c>
      <c r="D1569">
        <v>0</v>
      </c>
      <c r="E1569">
        <v>6</v>
      </c>
      <c r="F1569" t="s">
        <v>22</v>
      </c>
      <c r="G1569" t="s">
        <v>1654</v>
      </c>
      <c r="L1569">
        <v>0</v>
      </c>
      <c r="M1569">
        <v>0</v>
      </c>
      <c r="N1569">
        <v>1</v>
      </c>
      <c r="O1569">
        <v>0</v>
      </c>
    </row>
    <row r="1570" spans="1:15" x14ac:dyDescent="0.2">
      <c r="A1570" s="1" t="str">
        <f>HYPERLINK("http://www.twitter.com/banuakdenizli/status/1577656095002296320", "1577656095002296320")</f>
        <v>1577656095002296320</v>
      </c>
      <c r="B1570" t="s">
        <v>15</v>
      </c>
      <c r="C1570" s="2">
        <v>44839.572905092587</v>
      </c>
      <c r="D1570">
        <v>0</v>
      </c>
      <c r="E1570">
        <v>7</v>
      </c>
      <c r="F1570" t="s">
        <v>19</v>
      </c>
      <c r="G1570" t="s">
        <v>1655</v>
      </c>
      <c r="H1570" t="str">
        <f>HYPERLINK("http://pbs.twimg.com/media/FeP7LBdXEBEC_Sc.jpg", "http://pbs.twimg.com/media/FeP7LBdXEBEC_Sc.jpg")</f>
        <v>http://pbs.twimg.com/media/FeP7LBdXEBEC_Sc.jpg</v>
      </c>
      <c r="L1570">
        <v>0.90620000000000001</v>
      </c>
      <c r="M1570">
        <v>0</v>
      </c>
      <c r="N1570">
        <v>0.745</v>
      </c>
      <c r="O1570">
        <v>0.255</v>
      </c>
    </row>
    <row r="1571" spans="1:15" x14ac:dyDescent="0.2">
      <c r="A1571" s="1" t="str">
        <f>HYPERLINK("http://www.twitter.com/banuakdenizli/status/1577649220919631872", "1577649220919631872")</f>
        <v>1577649220919631872</v>
      </c>
      <c r="B1571" t="s">
        <v>15</v>
      </c>
      <c r="C1571" s="2">
        <v>44839.553935185177</v>
      </c>
      <c r="D1571">
        <v>0</v>
      </c>
      <c r="E1571">
        <v>11</v>
      </c>
      <c r="F1571" t="s">
        <v>16</v>
      </c>
      <c r="G1571" t="s">
        <v>1656</v>
      </c>
      <c r="H1571" t="str">
        <f>HYPERLINK("http://pbs.twimg.com/media/FeP2LSmWQDYF6l3.jpg", "http://pbs.twimg.com/media/FeP2LSmWQDYF6l3.jpg")</f>
        <v>http://pbs.twimg.com/media/FeP2LSmWQDYF6l3.jpg</v>
      </c>
      <c r="I1571" t="str">
        <f>HYPERLINK("http://pbs.twimg.com/media/FeP2LSbWQBkt6xU.jpg", "http://pbs.twimg.com/media/FeP2LSbWQBkt6xU.jpg")</f>
        <v>http://pbs.twimg.com/media/FeP2LSbWQBkt6xU.jpg</v>
      </c>
      <c r="J1571" t="str">
        <f>HYPERLINK("http://pbs.twimg.com/media/FeP2LSbXoAABEXd.jpg", "http://pbs.twimg.com/media/FeP2LSbXoAABEXd.jpg")</f>
        <v>http://pbs.twimg.com/media/FeP2LSbXoAABEXd.jpg</v>
      </c>
      <c r="K1571" t="str">
        <f>HYPERLINK("http://pbs.twimg.com/media/FeP2LSlWQBQrUXj.jpg", "http://pbs.twimg.com/media/FeP2LSlWQBQrUXj.jpg")</f>
        <v>http://pbs.twimg.com/media/FeP2LSlWQBQrUXj.jpg</v>
      </c>
      <c r="L1571">
        <v>0</v>
      </c>
      <c r="M1571">
        <v>0</v>
      </c>
      <c r="N1571">
        <v>1</v>
      </c>
      <c r="O1571">
        <v>0</v>
      </c>
    </row>
    <row r="1572" spans="1:15" x14ac:dyDescent="0.2">
      <c r="A1572" s="1" t="str">
        <f>HYPERLINK("http://www.twitter.com/banuakdenizli/status/1577649191828045825", "1577649191828045825")</f>
        <v>1577649191828045825</v>
      </c>
      <c r="B1572" t="s">
        <v>15</v>
      </c>
      <c r="C1572" s="2">
        <v>44839.553854166668</v>
      </c>
      <c r="D1572">
        <v>0</v>
      </c>
      <c r="E1572">
        <v>20</v>
      </c>
      <c r="F1572" t="s">
        <v>16</v>
      </c>
      <c r="G1572" t="s">
        <v>1657</v>
      </c>
      <c r="H1572" t="str">
        <f>HYPERLINK("http://pbs.twimg.com/media/FeP52hWXkAAz_Wd.jpg", "http://pbs.twimg.com/media/FeP52hWXkAAz_Wd.jpg")</f>
        <v>http://pbs.twimg.com/media/FeP52hWXkAAz_Wd.jpg</v>
      </c>
      <c r="I1572" t="str">
        <f>HYPERLINK("http://pbs.twimg.com/media/FeP52hsWQAc0LfN.jpg", "http://pbs.twimg.com/media/FeP52hsWQAc0LfN.jpg")</f>
        <v>http://pbs.twimg.com/media/FeP52hsWQAc0LfN.jpg</v>
      </c>
      <c r="J1572" t="str">
        <f>HYPERLINK("http://pbs.twimg.com/media/FeP52haWQBUJQTA.jpg", "http://pbs.twimg.com/media/FeP52haWQBUJQTA.jpg")</f>
        <v>http://pbs.twimg.com/media/FeP52haWQBUJQTA.jpg</v>
      </c>
      <c r="K1572" t="str">
        <f>HYPERLINK("http://pbs.twimg.com/media/FeP52hgWQAMKx2S.jpg", "http://pbs.twimg.com/media/FeP52hgWQAMKx2S.jpg")</f>
        <v>http://pbs.twimg.com/media/FeP52hgWQAMKx2S.jpg</v>
      </c>
      <c r="L1572">
        <v>0</v>
      </c>
      <c r="M1572">
        <v>0</v>
      </c>
      <c r="N1572">
        <v>1</v>
      </c>
      <c r="O1572">
        <v>0</v>
      </c>
    </row>
    <row r="1573" spans="1:15" x14ac:dyDescent="0.2">
      <c r="A1573" s="1" t="str">
        <f>HYPERLINK("http://www.twitter.com/banuakdenizli/status/1577649165949181955", "1577649165949181955")</f>
        <v>1577649165949181955</v>
      </c>
      <c r="B1573" t="s">
        <v>15</v>
      </c>
      <c r="C1573" s="2">
        <v>44839.553784722222</v>
      </c>
      <c r="D1573">
        <v>0</v>
      </c>
      <c r="E1573">
        <v>21</v>
      </c>
      <c r="F1573" t="s">
        <v>16</v>
      </c>
      <c r="G1573" t="s">
        <v>1658</v>
      </c>
      <c r="H1573" t="str">
        <f>HYPERLINK("https://video.twimg.com/ext_tw_video/1577384333018648578/pu/vid/1280x720/m0QexTFILxmpGc84.mp4?tag=12", "https://video.twimg.com/ext_tw_video/1577384333018648578/pu/vid/1280x720/m0QexTFILxmpGc84.mp4?tag=12")</f>
        <v>https://video.twimg.com/ext_tw_video/1577384333018648578/pu/vid/1280x720/m0QexTFILxmpGc84.mp4?tag=12</v>
      </c>
      <c r="L1573">
        <v>0</v>
      </c>
      <c r="M1573">
        <v>0</v>
      </c>
      <c r="N1573">
        <v>1</v>
      </c>
      <c r="O1573">
        <v>0</v>
      </c>
    </row>
    <row r="1574" spans="1:15" x14ac:dyDescent="0.2">
      <c r="A1574" s="1" t="str">
        <f>HYPERLINK("http://www.twitter.com/banuakdenizli/status/1577649139457970178", "1577649139457970178")</f>
        <v>1577649139457970178</v>
      </c>
      <c r="B1574" t="s">
        <v>15</v>
      </c>
      <c r="C1574" s="2">
        <v>44839.553703703707</v>
      </c>
      <c r="D1574">
        <v>0</v>
      </c>
      <c r="E1574">
        <v>12</v>
      </c>
      <c r="F1574" t="s">
        <v>16</v>
      </c>
      <c r="G1574" t="s">
        <v>1659</v>
      </c>
      <c r="H1574" t="str">
        <f>HYPERLINK("http://pbs.twimg.com/media/FeSO94jXEAMbqmS.jpg", "http://pbs.twimg.com/media/FeSO94jXEAMbqmS.jpg")</f>
        <v>http://pbs.twimg.com/media/FeSO94jXEAMbqmS.jpg</v>
      </c>
      <c r="L1574">
        <v>0</v>
      </c>
      <c r="M1574">
        <v>0</v>
      </c>
      <c r="N1574">
        <v>1</v>
      </c>
      <c r="O1574">
        <v>0</v>
      </c>
    </row>
    <row r="1575" spans="1:15" x14ac:dyDescent="0.2">
      <c r="A1575" s="1" t="str">
        <f>HYPERLINK("http://www.twitter.com/banuakdenizli/status/1577649089554137089", "1577649089554137089")</f>
        <v>1577649089554137089</v>
      </c>
      <c r="B1575" t="s">
        <v>15</v>
      </c>
      <c r="C1575" s="2">
        <v>44839.553564814807</v>
      </c>
      <c r="D1575">
        <v>0</v>
      </c>
      <c r="E1575">
        <v>8</v>
      </c>
      <c r="F1575" t="s">
        <v>16</v>
      </c>
      <c r="G1575" t="s">
        <v>1660</v>
      </c>
      <c r="H1575" t="str">
        <f>HYPERLINK("http://pbs.twimg.com/media/FeSPz0YWQAASi23.jpg", "http://pbs.twimg.com/media/FeSPz0YWQAASi23.jpg")</f>
        <v>http://pbs.twimg.com/media/FeSPz0YWQAASi23.jpg</v>
      </c>
      <c r="L1575">
        <v>0</v>
      </c>
      <c r="M1575">
        <v>0</v>
      </c>
      <c r="N1575">
        <v>1</v>
      </c>
      <c r="O1575">
        <v>0</v>
      </c>
    </row>
    <row r="1576" spans="1:15" x14ac:dyDescent="0.2">
      <c r="A1576" s="1" t="str">
        <f>HYPERLINK("http://www.twitter.com/banuakdenizli/status/1577649072286081025", "1577649072286081025")</f>
        <v>1577649072286081025</v>
      </c>
      <c r="B1576" t="s">
        <v>15</v>
      </c>
      <c r="C1576" s="2">
        <v>44839.553518518522</v>
      </c>
      <c r="D1576">
        <v>0</v>
      </c>
      <c r="E1576">
        <v>21</v>
      </c>
      <c r="F1576" t="s">
        <v>26</v>
      </c>
      <c r="G1576" t="s">
        <v>1661</v>
      </c>
      <c r="L1576">
        <v>0</v>
      </c>
      <c r="M1576">
        <v>0</v>
      </c>
      <c r="N1576">
        <v>1</v>
      </c>
      <c r="O1576">
        <v>0</v>
      </c>
    </row>
    <row r="1577" spans="1:15" x14ac:dyDescent="0.2">
      <c r="A1577" s="1" t="str">
        <f>HYPERLINK("http://www.twitter.com/banuakdenizli/status/1577649058210086912", "1577649058210086912")</f>
        <v>1577649058210086912</v>
      </c>
      <c r="B1577" t="s">
        <v>15</v>
      </c>
      <c r="C1577" s="2">
        <v>44839.553483796299</v>
      </c>
      <c r="D1577">
        <v>0</v>
      </c>
      <c r="E1577">
        <v>7</v>
      </c>
      <c r="F1577" t="s">
        <v>16</v>
      </c>
      <c r="G1577" t="s">
        <v>1662</v>
      </c>
      <c r="H1577" t="str">
        <f>HYPERLINK("http://pbs.twimg.com/media/FeSxpv_XEAcyaO8.jpg", "http://pbs.twimg.com/media/FeSxpv_XEAcyaO8.jpg")</f>
        <v>http://pbs.twimg.com/media/FeSxpv_XEAcyaO8.jpg</v>
      </c>
      <c r="L1577">
        <v>0</v>
      </c>
      <c r="M1577">
        <v>0</v>
      </c>
      <c r="N1577">
        <v>1</v>
      </c>
      <c r="O1577">
        <v>0</v>
      </c>
    </row>
    <row r="1578" spans="1:15" x14ac:dyDescent="0.2">
      <c r="A1578" s="1" t="str">
        <f>HYPERLINK("http://www.twitter.com/banuakdenizli/status/1577649030510907392", "1577649030510907392")</f>
        <v>1577649030510907392</v>
      </c>
      <c r="B1578" t="s">
        <v>15</v>
      </c>
      <c r="C1578" s="2">
        <v>44839.553402777783</v>
      </c>
      <c r="D1578">
        <v>0</v>
      </c>
      <c r="E1578">
        <v>6</v>
      </c>
      <c r="F1578" t="s">
        <v>16</v>
      </c>
      <c r="G1578" t="s">
        <v>1663</v>
      </c>
      <c r="H1578" t="str">
        <f>HYPERLINK("http://pbs.twimg.com/media/FeS6HvoWIAAvRzy.jpg", "http://pbs.twimg.com/media/FeS6HvoWIAAvRzy.jpg")</f>
        <v>http://pbs.twimg.com/media/FeS6HvoWIAAvRzy.jpg</v>
      </c>
      <c r="L1578">
        <v>0</v>
      </c>
      <c r="M1578">
        <v>0</v>
      </c>
      <c r="N1578">
        <v>1</v>
      </c>
      <c r="O1578">
        <v>0</v>
      </c>
    </row>
    <row r="1579" spans="1:15" x14ac:dyDescent="0.2">
      <c r="A1579" s="1" t="str">
        <f>HYPERLINK("http://www.twitter.com/banuakdenizli/status/1577649014304038914", "1577649014304038914")</f>
        <v>1577649014304038914</v>
      </c>
      <c r="B1579" t="s">
        <v>15</v>
      </c>
      <c r="C1579" s="2">
        <v>44839.553356481483</v>
      </c>
      <c r="D1579">
        <v>0</v>
      </c>
      <c r="E1579">
        <v>22</v>
      </c>
      <c r="F1579" t="s">
        <v>28</v>
      </c>
      <c r="G1579" t="s">
        <v>1664</v>
      </c>
      <c r="H1579" t="str">
        <f>HYPERLINK("http://pbs.twimg.com/media/FeTO08HWQAEdeOa.jpg", "http://pbs.twimg.com/media/FeTO08HWQAEdeOa.jpg")</f>
        <v>http://pbs.twimg.com/media/FeTO08HWQAEdeOa.jpg</v>
      </c>
      <c r="L1579">
        <v>0</v>
      </c>
      <c r="M1579">
        <v>0</v>
      </c>
      <c r="N1579">
        <v>1</v>
      </c>
      <c r="O1579">
        <v>0</v>
      </c>
    </row>
    <row r="1580" spans="1:15" x14ac:dyDescent="0.2">
      <c r="A1580" s="1" t="str">
        <f>HYPERLINK("http://www.twitter.com/banuakdenizli/status/1577648990845378562", "1577648990845378562")</f>
        <v>1577648990845378562</v>
      </c>
      <c r="B1580" t="s">
        <v>15</v>
      </c>
      <c r="C1580" s="2">
        <v>44839.553298611107</v>
      </c>
      <c r="D1580">
        <v>0</v>
      </c>
      <c r="E1580">
        <v>72</v>
      </c>
      <c r="F1580" t="s">
        <v>28</v>
      </c>
      <c r="G1580" t="s">
        <v>1665</v>
      </c>
      <c r="H1580" t="str">
        <f>HYPERLINK("http://pbs.twimg.com/media/FeTTLp6XwAAe3rt.jpg", "http://pbs.twimg.com/media/FeTTLp6XwAAe3rt.jpg")</f>
        <v>http://pbs.twimg.com/media/FeTTLp6XwAAe3rt.jpg</v>
      </c>
      <c r="I1580" t="str">
        <f>HYPERLINK("http://pbs.twimg.com/media/FeTTLp8XkAAvExS.jpg", "http://pbs.twimg.com/media/FeTTLp8XkAAvExS.jpg")</f>
        <v>http://pbs.twimg.com/media/FeTTLp8XkAAvExS.jpg</v>
      </c>
      <c r="J1580" t="str">
        <f>HYPERLINK("http://pbs.twimg.com/media/FeTTLp7WAAAyrMo.jpg", "http://pbs.twimg.com/media/FeTTLp7WAAAyrMo.jpg")</f>
        <v>http://pbs.twimg.com/media/FeTTLp7WAAAyrMo.jpg</v>
      </c>
      <c r="K1580" t="str">
        <f>HYPERLINK("http://pbs.twimg.com/media/FeTTLp6XgAAtYeq.jpg", "http://pbs.twimg.com/media/FeTTLp6XgAAtYeq.jpg")</f>
        <v>http://pbs.twimg.com/media/FeTTLp6XgAAtYeq.jpg</v>
      </c>
      <c r="L1580">
        <v>0</v>
      </c>
      <c r="M1580">
        <v>0</v>
      </c>
      <c r="N1580">
        <v>1</v>
      </c>
      <c r="O1580">
        <v>0</v>
      </c>
    </row>
    <row r="1581" spans="1:15" x14ac:dyDescent="0.2">
      <c r="A1581" s="1" t="str">
        <f>HYPERLINK("http://www.twitter.com/banuakdenizli/status/1577648854090088450", "1577648854090088450")</f>
        <v>1577648854090088450</v>
      </c>
      <c r="B1581" t="s">
        <v>15</v>
      </c>
      <c r="C1581" s="2">
        <v>44839.552916666667</v>
      </c>
      <c r="D1581">
        <v>0</v>
      </c>
      <c r="E1581">
        <v>12</v>
      </c>
      <c r="F1581" t="s">
        <v>17</v>
      </c>
      <c r="G1581" t="s">
        <v>1666</v>
      </c>
      <c r="H1581" t="str">
        <f>HYPERLINK("http://pbs.twimg.com/media/FeQ-YQ1XoAExnJb.jpg", "http://pbs.twimg.com/media/FeQ-YQ1XoAExnJb.jpg")</f>
        <v>http://pbs.twimg.com/media/FeQ-YQ1XoAExnJb.jpg</v>
      </c>
      <c r="I1581" t="str">
        <f>HYPERLINK("http://pbs.twimg.com/media/FeQ-YQ2X0AE5m7I.jpg", "http://pbs.twimg.com/media/FeQ-YQ2X0AE5m7I.jpg")</f>
        <v>http://pbs.twimg.com/media/FeQ-YQ2X0AE5m7I.jpg</v>
      </c>
      <c r="J1581" t="str">
        <f>HYPERLINK("http://pbs.twimg.com/media/FeQ-YQ0XEAI3Uq_.jpg", "http://pbs.twimg.com/media/FeQ-YQ0XEAI3Uq_.jpg")</f>
        <v>http://pbs.twimg.com/media/FeQ-YQ0XEAI3Uq_.jpg</v>
      </c>
      <c r="K1581" t="str">
        <f>HYPERLINK("http://pbs.twimg.com/media/FeQ-YQ0WIAQrH3p.jpg", "http://pbs.twimg.com/media/FeQ-YQ0WIAQrH3p.jpg")</f>
        <v>http://pbs.twimg.com/media/FeQ-YQ0WIAQrH3p.jpg</v>
      </c>
      <c r="L1581">
        <v>0</v>
      </c>
      <c r="M1581">
        <v>0</v>
      </c>
      <c r="N1581">
        <v>1</v>
      </c>
      <c r="O1581">
        <v>0</v>
      </c>
    </row>
    <row r="1582" spans="1:15" x14ac:dyDescent="0.2">
      <c r="A1582" s="1" t="str">
        <f>HYPERLINK("http://www.twitter.com/banuakdenizli/status/1577648828848668676", "1577648828848668676")</f>
        <v>1577648828848668676</v>
      </c>
      <c r="B1582" t="s">
        <v>15</v>
      </c>
      <c r="C1582" s="2">
        <v>44839.552847222221</v>
      </c>
      <c r="D1582">
        <v>0</v>
      </c>
      <c r="E1582">
        <v>19</v>
      </c>
      <c r="F1582" t="s">
        <v>26</v>
      </c>
      <c r="G1582" t="s">
        <v>1667</v>
      </c>
      <c r="L1582">
        <v>0.92869999999999997</v>
      </c>
      <c r="M1582">
        <v>0</v>
      </c>
      <c r="N1582">
        <v>0.69</v>
      </c>
      <c r="O1582">
        <v>0.31</v>
      </c>
    </row>
    <row r="1583" spans="1:15" x14ac:dyDescent="0.2">
      <c r="A1583" s="1" t="str">
        <f>HYPERLINK("http://www.twitter.com/banuakdenizli/status/1577648794556141570", "1577648794556141570")</f>
        <v>1577648794556141570</v>
      </c>
      <c r="B1583" t="s">
        <v>15</v>
      </c>
      <c r="C1583" s="2">
        <v>44839.552754629629</v>
      </c>
      <c r="D1583">
        <v>0</v>
      </c>
      <c r="E1583">
        <v>5</v>
      </c>
      <c r="F1583" t="s">
        <v>17</v>
      </c>
      <c r="G1583" t="s">
        <v>1668</v>
      </c>
      <c r="H1583" t="str">
        <f>HYPERLINK("http://pbs.twimg.com/media/FeTRM-YXwAEkoWw.jpg", "http://pbs.twimg.com/media/FeTRM-YXwAEkoWw.jpg")</f>
        <v>http://pbs.twimg.com/media/FeTRM-YXwAEkoWw.jpg</v>
      </c>
      <c r="L1583">
        <v>0</v>
      </c>
      <c r="M1583">
        <v>0</v>
      </c>
      <c r="N1583">
        <v>1</v>
      </c>
      <c r="O1583">
        <v>0</v>
      </c>
    </row>
    <row r="1584" spans="1:15" x14ac:dyDescent="0.2">
      <c r="A1584" s="1" t="str">
        <f>HYPERLINK("http://www.twitter.com/banuakdenizli/status/1577648743624622080", "1577648743624622080")</f>
        <v>1577648743624622080</v>
      </c>
      <c r="B1584" t="s">
        <v>15</v>
      </c>
      <c r="C1584" s="2">
        <v>44839.552615740737</v>
      </c>
      <c r="D1584">
        <v>0</v>
      </c>
      <c r="E1584">
        <v>7</v>
      </c>
      <c r="F1584" t="s">
        <v>17</v>
      </c>
      <c r="G1584" t="s">
        <v>1669</v>
      </c>
      <c r="H1584" t="str">
        <f>HYPERLINK("http://pbs.twimg.com/media/FeTZfDFXkAIpeF8.jpg", "http://pbs.twimg.com/media/FeTZfDFXkAIpeF8.jpg")</f>
        <v>http://pbs.twimg.com/media/FeTZfDFXkAIpeF8.jpg</v>
      </c>
      <c r="L1584">
        <v>0</v>
      </c>
      <c r="M1584">
        <v>0</v>
      </c>
      <c r="N1584">
        <v>1</v>
      </c>
      <c r="O1584">
        <v>0</v>
      </c>
    </row>
    <row r="1585" spans="1:15" x14ac:dyDescent="0.2">
      <c r="A1585" s="1" t="str">
        <f>HYPERLINK("http://www.twitter.com/banuakdenizli/status/1577648711886307328", "1577648711886307328")</f>
        <v>1577648711886307328</v>
      </c>
      <c r="B1585" t="s">
        <v>15</v>
      </c>
      <c r="C1585" s="2">
        <v>44839.552523148152</v>
      </c>
      <c r="D1585">
        <v>0</v>
      </c>
      <c r="E1585">
        <v>6</v>
      </c>
      <c r="F1585" t="s">
        <v>17</v>
      </c>
      <c r="G1585" t="s">
        <v>1670</v>
      </c>
      <c r="H1585" t="str">
        <f>HYPERLINK("http://pbs.twimg.com/media/FeTaf5rWYAErOm-.jpg", "http://pbs.twimg.com/media/FeTaf5rWYAErOm-.jpg")</f>
        <v>http://pbs.twimg.com/media/FeTaf5rWYAErOm-.jpg</v>
      </c>
      <c r="L1585">
        <v>0</v>
      </c>
      <c r="M1585">
        <v>0</v>
      </c>
      <c r="N1585">
        <v>1</v>
      </c>
      <c r="O1585">
        <v>0</v>
      </c>
    </row>
    <row r="1586" spans="1:15" x14ac:dyDescent="0.2">
      <c r="A1586" s="1" t="str">
        <f>HYPERLINK("http://www.twitter.com/banuakdenizli/status/1577354919132422144", "1577354919132422144")</f>
        <v>1577354919132422144</v>
      </c>
      <c r="B1586" t="s">
        <v>15</v>
      </c>
      <c r="C1586" s="2">
        <v>44838.74181712963</v>
      </c>
      <c r="D1586">
        <v>0</v>
      </c>
      <c r="E1586">
        <v>6</v>
      </c>
      <c r="F1586" t="s">
        <v>35</v>
      </c>
      <c r="G1586" t="s">
        <v>1671</v>
      </c>
      <c r="H1586" t="str">
        <f>HYPERLINK("http://pbs.twimg.com/media/FePamYDXoAACxI2.jpg", "http://pbs.twimg.com/media/FePamYDXoAACxI2.jpg")</f>
        <v>http://pbs.twimg.com/media/FePamYDXoAACxI2.jpg</v>
      </c>
      <c r="I1586" t="str">
        <f>HYPERLINK("http://pbs.twimg.com/media/FePamYCWIAEgWwe.jpg", "http://pbs.twimg.com/media/FePamYCWIAEgWwe.jpg")</f>
        <v>http://pbs.twimg.com/media/FePamYCWIAEgWwe.jpg</v>
      </c>
      <c r="L1586">
        <v>0.51060000000000005</v>
      </c>
      <c r="M1586">
        <v>0</v>
      </c>
      <c r="N1586">
        <v>0.88300000000000001</v>
      </c>
      <c r="O1586">
        <v>0.11700000000000001</v>
      </c>
    </row>
    <row r="1587" spans="1:15" x14ac:dyDescent="0.2">
      <c r="A1587" s="1" t="str">
        <f>HYPERLINK("http://www.twitter.com/banuakdenizli/status/1577332739900166144", "1577332739900166144")</f>
        <v>1577332739900166144</v>
      </c>
      <c r="B1587" t="s">
        <v>15</v>
      </c>
      <c r="C1587" s="2">
        <v>44838.680613425917</v>
      </c>
      <c r="D1587">
        <v>0</v>
      </c>
      <c r="E1587">
        <v>2</v>
      </c>
      <c r="F1587" t="s">
        <v>29</v>
      </c>
      <c r="G1587" t="s">
        <v>1672</v>
      </c>
      <c r="H1587" t="str">
        <f>HYPERLINK("http://pbs.twimg.com/media/FeOC6S1WAAAa8Yd.jpg", "http://pbs.twimg.com/media/FeOC6S1WAAAa8Yd.jpg")</f>
        <v>http://pbs.twimg.com/media/FeOC6S1WAAAa8Yd.jpg</v>
      </c>
      <c r="L1587">
        <v>0.65969999999999995</v>
      </c>
      <c r="M1587">
        <v>0</v>
      </c>
      <c r="N1587">
        <v>0.87</v>
      </c>
      <c r="O1587">
        <v>0.13</v>
      </c>
    </row>
    <row r="1588" spans="1:15" x14ac:dyDescent="0.2">
      <c r="A1588" s="1" t="str">
        <f>HYPERLINK("http://www.twitter.com/banuakdenizli/status/1577332543606722560", "1577332543606722560")</f>
        <v>1577332543606722560</v>
      </c>
      <c r="B1588" t="s">
        <v>15</v>
      </c>
      <c r="C1588" s="2">
        <v>44838.680069444446</v>
      </c>
      <c r="D1588">
        <v>0</v>
      </c>
      <c r="E1588">
        <v>9</v>
      </c>
      <c r="F1588" t="s">
        <v>17</v>
      </c>
      <c r="G1588" t="s">
        <v>1673</v>
      </c>
      <c r="H1588" t="str">
        <f>HYPERLINK("http://pbs.twimg.com/media/FePAQRnX0AIjqT1.jpg", "http://pbs.twimg.com/media/FePAQRnX0AIjqT1.jpg")</f>
        <v>http://pbs.twimg.com/media/FePAQRnX0AIjqT1.jpg</v>
      </c>
      <c r="L1588">
        <v>0.34</v>
      </c>
      <c r="M1588">
        <v>0</v>
      </c>
      <c r="N1588">
        <v>0.87</v>
      </c>
      <c r="O1588">
        <v>0.13</v>
      </c>
    </row>
    <row r="1589" spans="1:15" x14ac:dyDescent="0.2">
      <c r="A1589" s="1" t="str">
        <f>HYPERLINK("http://www.twitter.com/banuakdenizli/status/1577332513520996355", "1577332513520996355")</f>
        <v>1577332513520996355</v>
      </c>
      <c r="B1589" t="s">
        <v>15</v>
      </c>
      <c r="C1589" s="2">
        <v>44838.679988425924</v>
      </c>
      <c r="D1589">
        <v>0</v>
      </c>
      <c r="E1589">
        <v>14</v>
      </c>
      <c r="F1589" t="s">
        <v>16</v>
      </c>
      <c r="G1589" t="s">
        <v>1674</v>
      </c>
      <c r="H1589" t="str">
        <f>HYPERLINK("http://pbs.twimg.com/media/FePAIQSX0AERYyF.jpg", "http://pbs.twimg.com/media/FePAIQSX0AERYyF.jpg")</f>
        <v>http://pbs.twimg.com/media/FePAIQSX0AERYyF.jpg</v>
      </c>
      <c r="L1589">
        <v>0</v>
      </c>
      <c r="M1589">
        <v>0</v>
      </c>
      <c r="N1589">
        <v>1</v>
      </c>
      <c r="O1589">
        <v>0</v>
      </c>
    </row>
    <row r="1590" spans="1:15" x14ac:dyDescent="0.2">
      <c r="A1590" s="1" t="str">
        <f>HYPERLINK("http://www.twitter.com/banuakdenizli/status/1577305392509599744", "1577305392509599744")</f>
        <v>1577305392509599744</v>
      </c>
      <c r="B1590" t="s">
        <v>15</v>
      </c>
      <c r="C1590" s="2">
        <v>44838.605150462958</v>
      </c>
      <c r="D1590">
        <v>0</v>
      </c>
      <c r="E1590">
        <v>7</v>
      </c>
      <c r="F1590" t="s">
        <v>17</v>
      </c>
      <c r="G1590" t="s">
        <v>1675</v>
      </c>
      <c r="H1590" t="str">
        <f>HYPERLINK("http://pbs.twimg.com/media/FeOyWshXgAgdxWr.jpg", "http://pbs.twimg.com/media/FeOyWshXgAgdxWr.jpg")</f>
        <v>http://pbs.twimg.com/media/FeOyWshXgAgdxWr.jpg</v>
      </c>
      <c r="I1590" t="str">
        <f>HYPERLINK("http://pbs.twimg.com/media/FeOybaiWIAEcwLt.jpg", "http://pbs.twimg.com/media/FeOybaiWIAEcwLt.jpg")</f>
        <v>http://pbs.twimg.com/media/FeOybaiWIAEcwLt.jpg</v>
      </c>
      <c r="J1590" t="str">
        <f>HYPERLINK("http://pbs.twimg.com/media/FeOybahXEAEsT3H.jpg", "http://pbs.twimg.com/media/FeOybahXEAEsT3H.jpg")</f>
        <v>http://pbs.twimg.com/media/FeOybahXEAEsT3H.jpg</v>
      </c>
      <c r="K1590" t="str">
        <f>HYPERLINK("http://pbs.twimg.com/media/FeOybanXoAUTohe.jpg", "http://pbs.twimg.com/media/FeOybanXoAUTohe.jpg")</f>
        <v>http://pbs.twimg.com/media/FeOybanXoAUTohe.jpg</v>
      </c>
      <c r="L1590">
        <v>0</v>
      </c>
      <c r="M1590">
        <v>0</v>
      </c>
      <c r="N1590">
        <v>1</v>
      </c>
      <c r="O1590">
        <v>0</v>
      </c>
    </row>
    <row r="1591" spans="1:15" x14ac:dyDescent="0.2">
      <c r="A1591" s="1" t="str">
        <f>HYPERLINK("http://www.twitter.com/banuakdenizli/status/1577299133978779650", "1577299133978779650")</f>
        <v>1577299133978779650</v>
      </c>
      <c r="B1591" t="s">
        <v>15</v>
      </c>
      <c r="C1591" s="2">
        <v>44838.587870370371</v>
      </c>
      <c r="D1591">
        <v>0</v>
      </c>
      <c r="E1591">
        <v>1</v>
      </c>
      <c r="F1591" t="s">
        <v>29</v>
      </c>
      <c r="G1591" t="s">
        <v>1676</v>
      </c>
      <c r="H1591" t="str">
        <f>HYPERLINK("http://pbs.twimg.com/media/FeOwrWZXgAAPV-5.jpg", "http://pbs.twimg.com/media/FeOwrWZXgAAPV-5.jpg")</f>
        <v>http://pbs.twimg.com/media/FeOwrWZXgAAPV-5.jpg</v>
      </c>
      <c r="L1591">
        <v>0</v>
      </c>
      <c r="M1591">
        <v>0</v>
      </c>
      <c r="N1591">
        <v>1</v>
      </c>
      <c r="O1591">
        <v>0</v>
      </c>
    </row>
    <row r="1592" spans="1:15" x14ac:dyDescent="0.2">
      <c r="A1592" s="1" t="str">
        <f>HYPERLINK("http://www.twitter.com/banuakdenizli/status/1577298989648678916", "1577298989648678916")</f>
        <v>1577298989648678916</v>
      </c>
      <c r="B1592" t="s">
        <v>15</v>
      </c>
      <c r="C1592" s="2">
        <v>44838.587476851862</v>
      </c>
      <c r="D1592">
        <v>0</v>
      </c>
      <c r="E1592">
        <v>11</v>
      </c>
      <c r="F1592" t="s">
        <v>44</v>
      </c>
      <c r="G1592" t="s">
        <v>1677</v>
      </c>
      <c r="H1592" t="str">
        <f>HYPERLINK("http://pbs.twimg.com/media/FeOrSTnXgAARLfD.jpg", "http://pbs.twimg.com/media/FeOrSTnXgAARLfD.jpg")</f>
        <v>http://pbs.twimg.com/media/FeOrSTnXgAARLfD.jpg</v>
      </c>
      <c r="I1592" t="str">
        <f>HYPERLINK("http://pbs.twimg.com/media/FeOrSTnXwAYWST-.jpg", "http://pbs.twimg.com/media/FeOrSTnXwAYWST-.jpg")</f>
        <v>http://pbs.twimg.com/media/FeOrSTnXwAYWST-.jpg</v>
      </c>
      <c r="J1592" t="str">
        <f>HYPERLINK("http://pbs.twimg.com/media/FeOrSToXgAIlv8s.jpg", "http://pbs.twimg.com/media/FeOrSToXgAIlv8s.jpg")</f>
        <v>http://pbs.twimg.com/media/FeOrSToXgAIlv8s.jpg</v>
      </c>
      <c r="K1592" t="str">
        <f>HYPERLINK("http://pbs.twimg.com/media/FeOrSTmWQAcabbY.jpg", "http://pbs.twimg.com/media/FeOrSTmWQAcabbY.jpg")</f>
        <v>http://pbs.twimg.com/media/FeOrSTmWQAcabbY.jpg</v>
      </c>
      <c r="L1592">
        <v>0</v>
      </c>
      <c r="M1592">
        <v>0</v>
      </c>
      <c r="N1592">
        <v>1</v>
      </c>
      <c r="O1592">
        <v>0</v>
      </c>
    </row>
    <row r="1593" spans="1:15" x14ac:dyDescent="0.2">
      <c r="A1593" s="1" t="str">
        <f>HYPERLINK("http://www.twitter.com/banuakdenizli/status/1577298954835968000", "1577298954835968000")</f>
        <v>1577298954835968000</v>
      </c>
      <c r="B1593" t="s">
        <v>15</v>
      </c>
      <c r="C1593" s="2">
        <v>44838.587384259263</v>
      </c>
      <c r="D1593">
        <v>0</v>
      </c>
      <c r="E1593">
        <v>7</v>
      </c>
      <c r="F1593" t="s">
        <v>29</v>
      </c>
      <c r="G1593" t="s">
        <v>1678</v>
      </c>
      <c r="H1593" t="str">
        <f>HYPERLINK("http://pbs.twimg.com/media/FeOCGkBX0AAQFoK.jpg", "http://pbs.twimg.com/media/FeOCGkBX0AAQFoK.jpg")</f>
        <v>http://pbs.twimg.com/media/FeOCGkBX0AAQFoK.jpg</v>
      </c>
      <c r="I1593" t="str">
        <f>HYPERLINK("http://pbs.twimg.com/media/FeOCGjeXEAAlAPL.jpg", "http://pbs.twimg.com/media/FeOCGjeXEAAlAPL.jpg")</f>
        <v>http://pbs.twimg.com/media/FeOCGjeXEAAlAPL.jpg</v>
      </c>
      <c r="J1593" t="str">
        <f>HYPERLINK("http://pbs.twimg.com/media/FeOCGjmXgAI25jI.jpg", "http://pbs.twimg.com/media/FeOCGjmXgAI25jI.jpg")</f>
        <v>http://pbs.twimg.com/media/FeOCGjmXgAI25jI.jpg</v>
      </c>
      <c r="L1593">
        <v>0</v>
      </c>
      <c r="M1593">
        <v>0</v>
      </c>
      <c r="N1593">
        <v>1</v>
      </c>
      <c r="O1593">
        <v>0</v>
      </c>
    </row>
    <row r="1594" spans="1:15" x14ac:dyDescent="0.2">
      <c r="A1594" s="1" t="str">
        <f>HYPERLINK("http://www.twitter.com/banuakdenizli/status/1577298889635512329", "1577298889635512329")</f>
        <v>1577298889635512329</v>
      </c>
      <c r="B1594" t="s">
        <v>15</v>
      </c>
      <c r="C1594" s="2">
        <v>44838.587199074071</v>
      </c>
      <c r="D1594">
        <v>0</v>
      </c>
      <c r="E1594">
        <v>4</v>
      </c>
      <c r="F1594" t="s">
        <v>44</v>
      </c>
      <c r="G1594" t="s">
        <v>1679</v>
      </c>
      <c r="H1594" t="str">
        <f>HYPERLINK("http://pbs.twimg.com/media/FeOrwZgXEAQDwdB.jpg", "http://pbs.twimg.com/media/FeOrwZgXEAQDwdB.jpg")</f>
        <v>http://pbs.twimg.com/media/FeOrwZgXEAQDwdB.jpg</v>
      </c>
      <c r="I1594" t="str">
        <f>HYPERLINK("http://pbs.twimg.com/media/FeOrwZdX0AIHnch.jpg", "http://pbs.twimg.com/media/FeOrwZdX0AIHnch.jpg")</f>
        <v>http://pbs.twimg.com/media/FeOrwZdX0AIHnch.jpg</v>
      </c>
      <c r="J1594" t="str">
        <f>HYPERLINK("http://pbs.twimg.com/media/FeOrwZgXEAEUYCD.jpg", "http://pbs.twimg.com/media/FeOrwZgXEAEUYCD.jpg")</f>
        <v>http://pbs.twimg.com/media/FeOrwZgXEAEUYCD.jpg</v>
      </c>
      <c r="K1594" t="str">
        <f>HYPERLINK("http://pbs.twimg.com/media/FeOrwZiWYAIKvIJ.jpg", "http://pbs.twimg.com/media/FeOrwZiWYAIKvIJ.jpg")</f>
        <v>http://pbs.twimg.com/media/FeOrwZiWYAIKvIJ.jpg</v>
      </c>
      <c r="L1594">
        <v>0</v>
      </c>
      <c r="M1594">
        <v>0</v>
      </c>
      <c r="N1594">
        <v>1</v>
      </c>
      <c r="O1594">
        <v>0</v>
      </c>
    </row>
    <row r="1595" spans="1:15" x14ac:dyDescent="0.2">
      <c r="A1595" s="1" t="str">
        <f>HYPERLINK("http://www.twitter.com/banuakdenizli/status/1577298774313111553", "1577298774313111553")</f>
        <v>1577298774313111553</v>
      </c>
      <c r="B1595" t="s">
        <v>15</v>
      </c>
      <c r="C1595" s="2">
        <v>44838.586886574078</v>
      </c>
      <c r="D1595">
        <v>0</v>
      </c>
      <c r="E1595">
        <v>9</v>
      </c>
      <c r="F1595" t="s">
        <v>34</v>
      </c>
      <c r="G1595" t="s">
        <v>1680</v>
      </c>
      <c r="H1595" t="str">
        <f>HYPERLINK("http://pbs.twimg.com/media/FeN2ZO7XoAEgAxM.jpg", "http://pbs.twimg.com/media/FeN2ZO7XoAEgAxM.jpg")</f>
        <v>http://pbs.twimg.com/media/FeN2ZO7XoAEgAxM.jpg</v>
      </c>
      <c r="I1595" t="str">
        <f>HYPERLINK("http://pbs.twimg.com/media/FeN2ZPCXoAA6Zav.jpg", "http://pbs.twimg.com/media/FeN2ZPCXoAA6Zav.jpg")</f>
        <v>http://pbs.twimg.com/media/FeN2ZPCXoAA6Zav.jpg</v>
      </c>
      <c r="J1595" t="str">
        <f>HYPERLINK("http://pbs.twimg.com/media/FeN2ZO9XEAU_mDE.jpg", "http://pbs.twimg.com/media/FeN2ZO9XEAU_mDE.jpg")</f>
        <v>http://pbs.twimg.com/media/FeN2ZO9XEAU_mDE.jpg</v>
      </c>
      <c r="K1595" t="str">
        <f>HYPERLINK("http://pbs.twimg.com/media/FeN2ZO9XEAYE7kw.jpg", "http://pbs.twimg.com/media/FeN2ZO9XEAYE7kw.jpg")</f>
        <v>http://pbs.twimg.com/media/FeN2ZO9XEAYE7kw.jpg</v>
      </c>
      <c r="L1595">
        <v>0</v>
      </c>
      <c r="M1595">
        <v>0</v>
      </c>
      <c r="N1595">
        <v>1</v>
      </c>
      <c r="O1595">
        <v>0</v>
      </c>
    </row>
    <row r="1596" spans="1:15" x14ac:dyDescent="0.2">
      <c r="A1596" s="1" t="str">
        <f>HYPERLINK("http://www.twitter.com/banuakdenizli/status/1577298722668658689", "1577298722668658689")</f>
        <v>1577298722668658689</v>
      </c>
      <c r="B1596" t="s">
        <v>15</v>
      </c>
      <c r="C1596" s="2">
        <v>44838.586736111109</v>
      </c>
      <c r="D1596">
        <v>0</v>
      </c>
      <c r="E1596">
        <v>2</v>
      </c>
      <c r="F1596" t="s">
        <v>21</v>
      </c>
      <c r="G1596" t="s">
        <v>1681</v>
      </c>
      <c r="H1596" t="str">
        <f>HYPERLINK("http://pbs.twimg.com/media/FeOHC-JXwAIykIF.jpg", "http://pbs.twimg.com/media/FeOHC-JXwAIykIF.jpg")</f>
        <v>http://pbs.twimg.com/media/FeOHC-JXwAIykIF.jpg</v>
      </c>
      <c r="L1596">
        <v>0</v>
      </c>
      <c r="M1596">
        <v>0</v>
      </c>
      <c r="N1596">
        <v>1</v>
      </c>
      <c r="O1596">
        <v>0</v>
      </c>
    </row>
    <row r="1597" spans="1:15" x14ac:dyDescent="0.2">
      <c r="A1597" s="1" t="str">
        <f>HYPERLINK("http://www.twitter.com/banuakdenizli/status/1577298666490060801", "1577298666490060801")</f>
        <v>1577298666490060801</v>
      </c>
      <c r="B1597" t="s">
        <v>15</v>
      </c>
      <c r="C1597" s="2">
        <v>44838.586585648147</v>
      </c>
      <c r="D1597">
        <v>0</v>
      </c>
      <c r="E1597">
        <v>6</v>
      </c>
      <c r="F1597" t="s">
        <v>19</v>
      </c>
      <c r="G1597" t="s">
        <v>1682</v>
      </c>
      <c r="H1597" t="str">
        <f>HYPERLINK("http://pbs.twimg.com/media/FeOlE6YXgAUHBqO.jpg", "http://pbs.twimg.com/media/FeOlE6YXgAUHBqO.jpg")</f>
        <v>http://pbs.twimg.com/media/FeOlE6YXgAUHBqO.jpg</v>
      </c>
      <c r="L1597">
        <v>0.83599999999999997</v>
      </c>
      <c r="M1597">
        <v>0</v>
      </c>
      <c r="N1597">
        <v>0.79700000000000004</v>
      </c>
      <c r="O1597">
        <v>0.20300000000000001</v>
      </c>
    </row>
    <row r="1598" spans="1:15" x14ac:dyDescent="0.2">
      <c r="A1598" s="1" t="str">
        <f>HYPERLINK("http://www.twitter.com/banuakdenizli/status/1577298553499787275", "1577298553499787275")</f>
        <v>1577298553499787275</v>
      </c>
      <c r="B1598" t="s">
        <v>15</v>
      </c>
      <c r="C1598" s="2">
        <v>44838.586273148147</v>
      </c>
      <c r="D1598">
        <v>0</v>
      </c>
      <c r="E1598">
        <v>11</v>
      </c>
      <c r="F1598" t="s">
        <v>16</v>
      </c>
      <c r="G1598" t="s">
        <v>1683</v>
      </c>
      <c r="H1598" t="str">
        <f>HYPERLINK("http://pbs.twimg.com/media/FeM5l97XkAMiY_H.jpg", "http://pbs.twimg.com/media/FeM5l97XkAMiY_H.jpg")</f>
        <v>http://pbs.twimg.com/media/FeM5l97XkAMiY_H.jpg</v>
      </c>
      <c r="L1598">
        <v>0</v>
      </c>
      <c r="M1598">
        <v>0</v>
      </c>
      <c r="N1598">
        <v>1</v>
      </c>
      <c r="O1598">
        <v>0</v>
      </c>
    </row>
    <row r="1599" spans="1:15" x14ac:dyDescent="0.2">
      <c r="A1599" s="1" t="str">
        <f>HYPERLINK("http://www.twitter.com/banuakdenizli/status/1577298532876406786", "1577298532876406786")</f>
        <v>1577298532876406786</v>
      </c>
      <c r="B1599" t="s">
        <v>15</v>
      </c>
      <c r="C1599" s="2">
        <v>44838.586215277777</v>
      </c>
      <c r="D1599">
        <v>0</v>
      </c>
      <c r="E1599">
        <v>48</v>
      </c>
      <c r="F1599" t="s">
        <v>28</v>
      </c>
      <c r="G1599" t="s">
        <v>1684</v>
      </c>
      <c r="H1599" t="str">
        <f>HYPERLINK("http://pbs.twimg.com/media/FeN6wvYXkAAmaAF.jpg", "http://pbs.twimg.com/media/FeN6wvYXkAAmaAF.jpg")</f>
        <v>http://pbs.twimg.com/media/FeN6wvYXkAAmaAF.jpg</v>
      </c>
      <c r="I1599" t="str">
        <f>HYPERLINK("http://pbs.twimg.com/media/FeN6wvXXoAYhyt6.jpg", "http://pbs.twimg.com/media/FeN6wvXXoAYhyt6.jpg")</f>
        <v>http://pbs.twimg.com/media/FeN6wvXXoAYhyt6.jpg</v>
      </c>
      <c r="L1599">
        <v>0</v>
      </c>
      <c r="M1599">
        <v>0</v>
      </c>
      <c r="N1599">
        <v>1</v>
      </c>
      <c r="O1599">
        <v>0</v>
      </c>
    </row>
    <row r="1600" spans="1:15" x14ac:dyDescent="0.2">
      <c r="A1600" s="1" t="str">
        <f>HYPERLINK("http://www.twitter.com/banuakdenizli/status/1577298521505538048", "1577298521505538048")</f>
        <v>1577298521505538048</v>
      </c>
      <c r="B1600" t="s">
        <v>15</v>
      </c>
      <c r="C1600" s="2">
        <v>44838.586180555547</v>
      </c>
      <c r="D1600">
        <v>0</v>
      </c>
      <c r="E1600">
        <v>4</v>
      </c>
      <c r="F1600" t="s">
        <v>16</v>
      </c>
      <c r="G1600" t="s">
        <v>1685</v>
      </c>
      <c r="H1600" t="str">
        <f>HYPERLINK("http://pbs.twimg.com/media/FeNDSKdWQAAEPoz.jpg", "http://pbs.twimg.com/media/FeNDSKdWQAAEPoz.jpg")</f>
        <v>http://pbs.twimg.com/media/FeNDSKdWQAAEPoz.jpg</v>
      </c>
      <c r="L1600">
        <v>0</v>
      </c>
      <c r="M1600">
        <v>0</v>
      </c>
      <c r="N1600">
        <v>1</v>
      </c>
      <c r="O1600">
        <v>0</v>
      </c>
    </row>
    <row r="1601" spans="1:15" x14ac:dyDescent="0.2">
      <c r="A1601" s="1" t="str">
        <f>HYPERLINK("http://www.twitter.com/banuakdenizli/status/1577298439171411977", "1577298439171411977")</f>
        <v>1577298439171411977</v>
      </c>
      <c r="B1601" t="s">
        <v>15</v>
      </c>
      <c r="C1601" s="2">
        <v>44838.585960648154</v>
      </c>
      <c r="D1601">
        <v>0</v>
      </c>
      <c r="E1601">
        <v>7</v>
      </c>
      <c r="F1601" t="s">
        <v>16</v>
      </c>
      <c r="G1601" t="s">
        <v>1686</v>
      </c>
      <c r="H1601" t="str">
        <f>HYPERLINK("http://pbs.twimg.com/media/FeOOYbBWIAAMmXd.jpg", "http://pbs.twimg.com/media/FeOOYbBWIAAMmXd.jpg")</f>
        <v>http://pbs.twimg.com/media/FeOOYbBWIAAMmXd.jpg</v>
      </c>
      <c r="I1601" t="str">
        <f>HYPERLINK("http://pbs.twimg.com/media/FeOOYa7WIAAYqd3.jpg", "http://pbs.twimg.com/media/FeOOYa7WIAAYqd3.jpg")</f>
        <v>http://pbs.twimg.com/media/FeOOYa7WIAAYqd3.jpg</v>
      </c>
      <c r="L1601">
        <v>0</v>
      </c>
      <c r="M1601">
        <v>0</v>
      </c>
      <c r="N1601">
        <v>1</v>
      </c>
      <c r="O1601">
        <v>0</v>
      </c>
    </row>
    <row r="1602" spans="1:15" x14ac:dyDescent="0.2">
      <c r="A1602" s="1" t="str">
        <f>HYPERLINK("http://www.twitter.com/banuakdenizli/status/1577298384280485891", "1577298384280485891")</f>
        <v>1577298384280485891</v>
      </c>
      <c r="B1602" t="s">
        <v>15</v>
      </c>
      <c r="C1602" s="2">
        <v>44838.585810185177</v>
      </c>
      <c r="D1602">
        <v>0</v>
      </c>
      <c r="E1602">
        <v>7</v>
      </c>
      <c r="F1602" t="s">
        <v>16</v>
      </c>
      <c r="G1602" t="s">
        <v>1687</v>
      </c>
      <c r="H1602" t="str">
        <f>HYPERLINK("http://pbs.twimg.com/media/FeOQ0lGXwAANYxN.jpg", "http://pbs.twimg.com/media/FeOQ0lGXwAANYxN.jpg")</f>
        <v>http://pbs.twimg.com/media/FeOQ0lGXwAANYxN.jpg</v>
      </c>
      <c r="L1602">
        <v>0</v>
      </c>
      <c r="M1602">
        <v>0</v>
      </c>
      <c r="N1602">
        <v>1</v>
      </c>
      <c r="O1602">
        <v>0</v>
      </c>
    </row>
    <row r="1603" spans="1:15" x14ac:dyDescent="0.2">
      <c r="A1603" s="1" t="str">
        <f>HYPERLINK("http://www.twitter.com/banuakdenizli/status/1577297000336396292", "1577297000336396292")</f>
        <v>1577297000336396292</v>
      </c>
      <c r="B1603" t="s">
        <v>15</v>
      </c>
      <c r="C1603" s="2">
        <v>44838.581990740742</v>
      </c>
      <c r="D1603">
        <v>0</v>
      </c>
      <c r="E1603">
        <v>9</v>
      </c>
      <c r="F1603" t="s">
        <v>17</v>
      </c>
      <c r="G1603" t="s">
        <v>1688</v>
      </c>
      <c r="H1603" t="str">
        <f>HYPERLINK("http://pbs.twimg.com/media/FeKuLEYXkAE78ES.jpg", "http://pbs.twimg.com/media/FeKuLEYXkAE78ES.jpg")</f>
        <v>http://pbs.twimg.com/media/FeKuLEYXkAE78ES.jpg</v>
      </c>
      <c r="I1603" t="str">
        <f>HYPERLINK("http://pbs.twimg.com/media/FeKuLEiWYAASIBq.jpg", "http://pbs.twimg.com/media/FeKuLEiWYAASIBq.jpg")</f>
        <v>http://pbs.twimg.com/media/FeKuLEiWYAASIBq.jpg</v>
      </c>
      <c r="J1603" t="str">
        <f>HYPERLINK("http://pbs.twimg.com/media/FeKuLEPXkAAeeEe.jpg", "http://pbs.twimg.com/media/FeKuLEPXkAAeeEe.jpg")</f>
        <v>http://pbs.twimg.com/media/FeKuLEPXkAAeeEe.jpg</v>
      </c>
      <c r="K1603" t="str">
        <f>HYPERLINK("http://pbs.twimg.com/media/FeKuLEaWACAxccv.jpg", "http://pbs.twimg.com/media/FeKuLEaWACAxccv.jpg")</f>
        <v>http://pbs.twimg.com/media/FeKuLEaWACAxccv.jpg</v>
      </c>
      <c r="L1603">
        <v>0</v>
      </c>
      <c r="M1603">
        <v>0</v>
      </c>
      <c r="N1603">
        <v>1</v>
      </c>
      <c r="O1603">
        <v>0</v>
      </c>
    </row>
    <row r="1604" spans="1:15" x14ac:dyDescent="0.2">
      <c r="A1604" s="1" t="str">
        <f>HYPERLINK("http://www.twitter.com/banuakdenizli/status/1577296974587613187", "1577296974587613187")</f>
        <v>1577296974587613187</v>
      </c>
      <c r="B1604" t="s">
        <v>15</v>
      </c>
      <c r="C1604" s="2">
        <v>44838.581921296303</v>
      </c>
      <c r="D1604">
        <v>0</v>
      </c>
      <c r="E1604">
        <v>10</v>
      </c>
      <c r="F1604" t="s">
        <v>17</v>
      </c>
      <c r="G1604" t="s">
        <v>1689</v>
      </c>
      <c r="H1604" t="str">
        <f>HYPERLINK("https://video.twimg.com/ext_tw_video/1577015657064955905/pu/vid/1280x720/yTnWjbTArNhqiNKc.mp4?tag=12", "https://video.twimg.com/ext_tw_video/1577015657064955905/pu/vid/1280x720/yTnWjbTArNhqiNKc.mp4?tag=12")</f>
        <v>https://video.twimg.com/ext_tw_video/1577015657064955905/pu/vid/1280x720/yTnWjbTArNhqiNKc.mp4?tag=12</v>
      </c>
      <c r="L1604">
        <v>0</v>
      </c>
      <c r="M1604">
        <v>0</v>
      </c>
      <c r="N1604">
        <v>1</v>
      </c>
      <c r="O1604">
        <v>0</v>
      </c>
    </row>
    <row r="1605" spans="1:15" x14ac:dyDescent="0.2">
      <c r="A1605" s="1" t="str">
        <f>HYPERLINK("http://www.twitter.com/banuakdenizli/status/1577296949434253315", "1577296949434253315")</f>
        <v>1577296949434253315</v>
      </c>
      <c r="B1605" t="s">
        <v>15</v>
      </c>
      <c r="C1605" s="2">
        <v>44838.58185185185</v>
      </c>
      <c r="D1605">
        <v>0</v>
      </c>
      <c r="E1605">
        <v>7</v>
      </c>
      <c r="F1605" t="s">
        <v>17</v>
      </c>
      <c r="G1605" t="s">
        <v>1690</v>
      </c>
      <c r="H1605" t="str">
        <f>HYPERLINK("http://pbs.twimg.com/media/FeKv2DOWIAAEcTh.jpg", "http://pbs.twimg.com/media/FeKv2DOWIAAEcTh.jpg")</f>
        <v>http://pbs.twimg.com/media/FeKv2DOWIAAEcTh.jpg</v>
      </c>
      <c r="L1605">
        <v>0</v>
      </c>
      <c r="M1605">
        <v>0</v>
      </c>
      <c r="N1605">
        <v>1</v>
      </c>
      <c r="O1605">
        <v>0</v>
      </c>
    </row>
    <row r="1606" spans="1:15" x14ac:dyDescent="0.2">
      <c r="A1606" s="1" t="str">
        <f>HYPERLINK("http://www.twitter.com/banuakdenizli/status/1577296925929381889", "1577296925929381889")</f>
        <v>1577296925929381889</v>
      </c>
      <c r="B1606" t="s">
        <v>15</v>
      </c>
      <c r="C1606" s="2">
        <v>44838.581782407397</v>
      </c>
      <c r="D1606">
        <v>0</v>
      </c>
      <c r="E1606">
        <v>9</v>
      </c>
      <c r="F1606" t="s">
        <v>17</v>
      </c>
      <c r="G1606" t="s">
        <v>1691</v>
      </c>
      <c r="H1606" t="str">
        <f>HYPERLINK("http://pbs.twimg.com/media/FeKxpvlWABgJ4Ek.jpg", "http://pbs.twimg.com/media/FeKxpvlWABgJ4Ek.jpg")</f>
        <v>http://pbs.twimg.com/media/FeKxpvlWABgJ4Ek.jpg</v>
      </c>
      <c r="L1606">
        <v>0.70030000000000003</v>
      </c>
      <c r="M1606">
        <v>0</v>
      </c>
      <c r="N1606">
        <v>0.69099999999999995</v>
      </c>
      <c r="O1606">
        <v>0.309</v>
      </c>
    </row>
    <row r="1607" spans="1:15" x14ac:dyDescent="0.2">
      <c r="A1607" s="1" t="str">
        <f>HYPERLINK("http://www.twitter.com/banuakdenizli/status/1577296901426364418", "1577296901426364418")</f>
        <v>1577296901426364418</v>
      </c>
      <c r="B1607" t="s">
        <v>15</v>
      </c>
      <c r="C1607" s="2">
        <v>44838.581712962958</v>
      </c>
      <c r="D1607">
        <v>0</v>
      </c>
      <c r="E1607">
        <v>9</v>
      </c>
      <c r="F1607" t="s">
        <v>17</v>
      </c>
      <c r="G1607" t="s">
        <v>1692</v>
      </c>
      <c r="H1607" t="str">
        <f>HYPERLINK("http://pbs.twimg.com/media/FeNYTd_XwAA3gZU.jpg", "http://pbs.twimg.com/media/FeNYTd_XwAA3gZU.jpg")</f>
        <v>http://pbs.twimg.com/media/FeNYTd_XwAA3gZU.jpg</v>
      </c>
      <c r="L1607">
        <v>0.59940000000000004</v>
      </c>
      <c r="M1607">
        <v>0</v>
      </c>
      <c r="N1607">
        <v>0.77600000000000002</v>
      </c>
      <c r="O1607">
        <v>0.224</v>
      </c>
    </row>
    <row r="1608" spans="1:15" x14ac:dyDescent="0.2">
      <c r="A1608" s="1" t="str">
        <f>HYPERLINK("http://www.twitter.com/banuakdenizli/status/1577296883592175617", "1577296883592175617")</f>
        <v>1577296883592175617</v>
      </c>
      <c r="B1608" t="s">
        <v>15</v>
      </c>
      <c r="C1608" s="2">
        <v>44838.581666666672</v>
      </c>
      <c r="D1608">
        <v>0</v>
      </c>
      <c r="E1608">
        <v>6</v>
      </c>
      <c r="F1608" t="s">
        <v>17</v>
      </c>
      <c r="G1608" t="s">
        <v>1693</v>
      </c>
      <c r="H1608" t="str">
        <f>HYPERLINK("http://pbs.twimg.com/media/FeOfkDjWYAA5379.jpg", "http://pbs.twimg.com/media/FeOfkDjWYAA5379.jpg")</f>
        <v>http://pbs.twimg.com/media/FeOfkDjWYAA5379.jpg</v>
      </c>
      <c r="I1608" t="str">
        <f>HYPERLINK("http://pbs.twimg.com/media/FeOfkDcWQAIlHsx.jpg", "http://pbs.twimg.com/media/FeOfkDcWQAIlHsx.jpg")</f>
        <v>http://pbs.twimg.com/media/FeOfkDcWQAIlHsx.jpg</v>
      </c>
      <c r="L1608">
        <v>0</v>
      </c>
      <c r="M1608">
        <v>0</v>
      </c>
      <c r="N1608">
        <v>1</v>
      </c>
      <c r="O1608">
        <v>0</v>
      </c>
    </row>
    <row r="1609" spans="1:15" x14ac:dyDescent="0.2">
      <c r="A1609" s="1" t="str">
        <f>HYPERLINK("http://www.twitter.com/banuakdenizli/status/1577296188545671172", "1577296188545671172")</f>
        <v>1577296188545671172</v>
      </c>
      <c r="B1609" t="s">
        <v>15</v>
      </c>
      <c r="C1609" s="2">
        <v>44838.579745370371</v>
      </c>
      <c r="D1609">
        <v>0</v>
      </c>
      <c r="E1609">
        <v>4</v>
      </c>
      <c r="F1609" t="s">
        <v>16</v>
      </c>
      <c r="G1609" t="s">
        <v>1694</v>
      </c>
      <c r="H1609" t="str">
        <f>HYPERLINK("http://pbs.twimg.com/media/FeOfdjsWAAY0O4t.jpg", "http://pbs.twimg.com/media/FeOfdjsWAAY0O4t.jpg")</f>
        <v>http://pbs.twimg.com/media/FeOfdjsWAAY0O4t.jpg</v>
      </c>
      <c r="I1609" t="str">
        <f>HYPERLINK("http://pbs.twimg.com/media/FeOfdjrXEAEmwvv.jpg", "http://pbs.twimg.com/media/FeOfdjrXEAEmwvv.jpg")</f>
        <v>http://pbs.twimg.com/media/FeOfdjrXEAEmwvv.jpg</v>
      </c>
      <c r="J1609" t="str">
        <f>HYPERLINK("http://pbs.twimg.com/media/FeOfdjrXgAEHT9U.jpg", "http://pbs.twimg.com/media/FeOfdjrXgAEHT9U.jpg")</f>
        <v>http://pbs.twimg.com/media/FeOfdjrXgAEHT9U.jpg</v>
      </c>
      <c r="K1609" t="str">
        <f>HYPERLINK("http://pbs.twimg.com/media/FeOfdjmWQAMgO10.jpg", "http://pbs.twimg.com/media/FeOfdjmWQAMgO10.jpg")</f>
        <v>http://pbs.twimg.com/media/FeOfdjmWQAMgO10.jpg</v>
      </c>
      <c r="L1609">
        <v>0</v>
      </c>
      <c r="M1609">
        <v>0</v>
      </c>
      <c r="N1609">
        <v>1</v>
      </c>
      <c r="O1609">
        <v>0</v>
      </c>
    </row>
    <row r="1610" spans="1:15" x14ac:dyDescent="0.2">
      <c r="A1610" s="1" t="str">
        <f>HYPERLINK("http://www.twitter.com/banuakdenizli/status/1577010567880986624", "1577010567880986624")</f>
        <v>1577010567880986624</v>
      </c>
      <c r="B1610" t="s">
        <v>15</v>
      </c>
      <c r="C1610" s="2">
        <v>44837.791585648149</v>
      </c>
      <c r="D1610">
        <v>0</v>
      </c>
      <c r="E1610">
        <v>4</v>
      </c>
      <c r="F1610" t="s">
        <v>16</v>
      </c>
      <c r="G1610" t="s">
        <v>1695</v>
      </c>
      <c r="H1610" t="str">
        <f>HYPERLINK("http://pbs.twimg.com/media/FeKeKs5XkBUVgfz.jpg", "http://pbs.twimg.com/media/FeKeKs5XkBUVgfz.jpg")</f>
        <v>http://pbs.twimg.com/media/FeKeKs5XkBUVgfz.jpg</v>
      </c>
      <c r="L1610">
        <v>0</v>
      </c>
      <c r="M1610">
        <v>0</v>
      </c>
      <c r="N1610">
        <v>1</v>
      </c>
      <c r="O1610">
        <v>0</v>
      </c>
    </row>
    <row r="1611" spans="1:15" x14ac:dyDescent="0.2">
      <c r="A1611" s="1" t="str">
        <f>HYPERLINK("http://www.twitter.com/banuakdenizli/status/1577010486704427009", "1577010486704427009")</f>
        <v>1577010486704427009</v>
      </c>
      <c r="B1611" t="s">
        <v>15</v>
      </c>
      <c r="C1611" s="2">
        <v>44837.791365740741</v>
      </c>
      <c r="D1611">
        <v>0</v>
      </c>
      <c r="E1611">
        <v>10</v>
      </c>
      <c r="F1611" t="s">
        <v>16</v>
      </c>
      <c r="G1611" t="s">
        <v>1696</v>
      </c>
      <c r="H1611" t="str">
        <f>HYPERLINK("http://pbs.twimg.com/media/FeKbx7xXwAEmlCT.jpg", "http://pbs.twimg.com/media/FeKbx7xXwAEmlCT.jpg")</f>
        <v>http://pbs.twimg.com/media/FeKbx7xXwAEmlCT.jpg</v>
      </c>
      <c r="I1611" t="str">
        <f>HYPERLINK("http://pbs.twimg.com/media/FeKbx77XEAEykGU.jpg", "http://pbs.twimg.com/media/FeKbx77XEAEykGU.jpg")</f>
        <v>http://pbs.twimg.com/media/FeKbx77XEAEykGU.jpg</v>
      </c>
      <c r="J1611" t="str">
        <f>HYPERLINK("http://pbs.twimg.com/media/FeKbx78XkA84ck0.jpg", "http://pbs.twimg.com/media/FeKbx78XkA84ck0.jpg")</f>
        <v>http://pbs.twimg.com/media/FeKbx78XkA84ck0.jpg</v>
      </c>
      <c r="L1611">
        <v>0</v>
      </c>
      <c r="M1611">
        <v>0</v>
      </c>
      <c r="N1611">
        <v>1</v>
      </c>
      <c r="O1611">
        <v>0</v>
      </c>
    </row>
    <row r="1612" spans="1:15" x14ac:dyDescent="0.2">
      <c r="A1612" s="1" t="str">
        <f>HYPERLINK("http://www.twitter.com/banuakdenizli/status/1577010147515195392", "1577010147515195392")</f>
        <v>1577010147515195392</v>
      </c>
      <c r="B1612" t="s">
        <v>15</v>
      </c>
      <c r="C1612" s="2">
        <v>44837.79042824074</v>
      </c>
      <c r="D1612">
        <v>0</v>
      </c>
      <c r="E1612">
        <v>34</v>
      </c>
      <c r="F1612" t="s">
        <v>18</v>
      </c>
      <c r="G1612" t="s">
        <v>1697</v>
      </c>
      <c r="H1612" t="str">
        <f>HYPERLINK("http://pbs.twimg.com/media/FeKbnNoXEAIXb1z.jpg", "http://pbs.twimg.com/media/FeKbnNoXEAIXb1z.jpg")</f>
        <v>http://pbs.twimg.com/media/FeKbnNoXEAIXb1z.jpg</v>
      </c>
      <c r="L1612">
        <v>0</v>
      </c>
      <c r="M1612">
        <v>0</v>
      </c>
      <c r="N1612">
        <v>1</v>
      </c>
      <c r="O1612">
        <v>0</v>
      </c>
    </row>
    <row r="1613" spans="1:15" x14ac:dyDescent="0.2">
      <c r="A1613" s="1" t="str">
        <f>HYPERLINK("http://www.twitter.com/banuakdenizli/status/1577010045702746112", "1577010045702746112")</f>
        <v>1577010045702746112</v>
      </c>
      <c r="B1613" t="s">
        <v>15</v>
      </c>
      <c r="C1613" s="2">
        <v>44837.790138888893</v>
      </c>
      <c r="D1613">
        <v>0</v>
      </c>
      <c r="E1613">
        <v>37</v>
      </c>
      <c r="F1613" t="s">
        <v>18</v>
      </c>
      <c r="G1613" t="s">
        <v>1698</v>
      </c>
      <c r="H1613" t="str">
        <f>HYPERLINK("http://pbs.twimg.com/media/FeKewJwXkBU7VDR.jpg", "http://pbs.twimg.com/media/FeKewJwXkBU7VDR.jpg")</f>
        <v>http://pbs.twimg.com/media/FeKewJwXkBU7VDR.jpg</v>
      </c>
      <c r="L1613">
        <v>0.80740000000000001</v>
      </c>
      <c r="M1613">
        <v>0</v>
      </c>
      <c r="N1613">
        <v>0.79900000000000004</v>
      </c>
      <c r="O1613">
        <v>0.20100000000000001</v>
      </c>
    </row>
    <row r="1614" spans="1:15" x14ac:dyDescent="0.2">
      <c r="A1614" s="1" t="str">
        <f>HYPERLINK("http://www.twitter.com/banuakdenizli/status/1576986874480316416", "1576986874480316416")</f>
        <v>1576986874480316416</v>
      </c>
      <c r="B1614" t="s">
        <v>15</v>
      </c>
      <c r="C1614" s="2">
        <v>44837.726203703707</v>
      </c>
      <c r="D1614">
        <v>0</v>
      </c>
      <c r="E1614">
        <v>11</v>
      </c>
      <c r="F1614" t="s">
        <v>16</v>
      </c>
      <c r="G1614" t="s">
        <v>1699</v>
      </c>
      <c r="H1614" t="str">
        <f>HYPERLINK("http://pbs.twimg.com/media/FeKOaSLXEAAmZYp.jpg", "http://pbs.twimg.com/media/FeKOaSLXEAAmZYp.jpg")</f>
        <v>http://pbs.twimg.com/media/FeKOaSLXEAAmZYp.jpg</v>
      </c>
      <c r="L1614">
        <v>0</v>
      </c>
      <c r="M1614">
        <v>0</v>
      </c>
      <c r="N1614">
        <v>1</v>
      </c>
      <c r="O1614">
        <v>0</v>
      </c>
    </row>
    <row r="1615" spans="1:15" x14ac:dyDescent="0.2">
      <c r="A1615" s="1" t="str">
        <f>HYPERLINK("http://www.twitter.com/banuakdenizli/status/1576978041724551170", "1576978041724551170")</f>
        <v>1576978041724551170</v>
      </c>
      <c r="B1615" t="s">
        <v>15</v>
      </c>
      <c r="C1615" s="2">
        <v>44837.701828703714</v>
      </c>
      <c r="D1615">
        <v>0</v>
      </c>
      <c r="E1615">
        <v>12</v>
      </c>
      <c r="F1615" t="s">
        <v>16</v>
      </c>
      <c r="G1615" t="s">
        <v>1700</v>
      </c>
      <c r="H1615" t="str">
        <f>HYPERLINK("http://pbs.twimg.com/media/FeJCcfAWIAEu6sn.jpg", "http://pbs.twimg.com/media/FeJCcfAWIAEu6sn.jpg")</f>
        <v>http://pbs.twimg.com/media/FeJCcfAWIAEu6sn.jpg</v>
      </c>
      <c r="L1615">
        <v>0</v>
      </c>
      <c r="M1615">
        <v>0</v>
      </c>
      <c r="N1615">
        <v>1</v>
      </c>
      <c r="O1615">
        <v>0</v>
      </c>
    </row>
    <row r="1616" spans="1:15" x14ac:dyDescent="0.2">
      <c r="A1616" s="1" t="str">
        <f>HYPERLINK("http://www.twitter.com/banuakdenizli/status/1576977924334288898", "1576977924334288898")</f>
        <v>1576977924334288898</v>
      </c>
      <c r="B1616" t="s">
        <v>15</v>
      </c>
      <c r="C1616" s="2">
        <v>44837.701504629629</v>
      </c>
      <c r="D1616">
        <v>0</v>
      </c>
      <c r="E1616">
        <v>5</v>
      </c>
      <c r="F1616" t="s">
        <v>17</v>
      </c>
      <c r="G1616" t="s">
        <v>1701</v>
      </c>
      <c r="H1616" t="str">
        <f>HYPERLINK("http://pbs.twimg.com/media/FeJO9ElXwAM2-dj.jpg", "http://pbs.twimg.com/media/FeJO9ElXwAM2-dj.jpg")</f>
        <v>http://pbs.twimg.com/media/FeJO9ElXwAM2-dj.jpg</v>
      </c>
      <c r="L1616">
        <v>0</v>
      </c>
      <c r="M1616">
        <v>0</v>
      </c>
      <c r="N1616">
        <v>1</v>
      </c>
      <c r="O1616">
        <v>0</v>
      </c>
    </row>
    <row r="1617" spans="1:15" x14ac:dyDescent="0.2">
      <c r="A1617" s="1" t="str">
        <f>HYPERLINK("http://www.twitter.com/banuakdenizli/status/1576973196859183106", "1576973196859183106")</f>
        <v>1576973196859183106</v>
      </c>
      <c r="B1617" t="s">
        <v>15</v>
      </c>
      <c r="C1617" s="2">
        <v>44837.688460648147</v>
      </c>
      <c r="D1617">
        <v>0</v>
      </c>
      <c r="E1617">
        <v>4</v>
      </c>
      <c r="F1617" t="s">
        <v>16</v>
      </c>
      <c r="G1617" t="s">
        <v>1702</v>
      </c>
      <c r="H1617" t="str">
        <f>HYPERLINK("http://pbs.twimg.com/media/FeJ3Xm0WIAEliS6.jpg", "http://pbs.twimg.com/media/FeJ3Xm0WIAEliS6.jpg")</f>
        <v>http://pbs.twimg.com/media/FeJ3Xm0WIAEliS6.jpg</v>
      </c>
      <c r="I1617" t="str">
        <f>HYPERLINK("http://pbs.twimg.com/media/FeJ3XmxXoAEd2Dx.jpg", "http://pbs.twimg.com/media/FeJ3XmxXoAEd2Dx.jpg")</f>
        <v>http://pbs.twimg.com/media/FeJ3XmxXoAEd2Dx.jpg</v>
      </c>
      <c r="L1617">
        <v>0</v>
      </c>
      <c r="M1617">
        <v>0</v>
      </c>
      <c r="N1617">
        <v>1</v>
      </c>
      <c r="O1617">
        <v>0</v>
      </c>
    </row>
    <row r="1618" spans="1:15" x14ac:dyDescent="0.2">
      <c r="A1618" s="1" t="str">
        <f>HYPERLINK("http://www.twitter.com/banuakdenizli/status/1576973090575482882", "1576973090575482882")</f>
        <v>1576973090575482882</v>
      </c>
      <c r="B1618" t="s">
        <v>15</v>
      </c>
      <c r="C1618" s="2">
        <v>44837.688171296293</v>
      </c>
      <c r="D1618">
        <v>0</v>
      </c>
      <c r="E1618">
        <v>11</v>
      </c>
      <c r="F1618" t="s">
        <v>1703</v>
      </c>
      <c r="G1618" t="s">
        <v>1704</v>
      </c>
      <c r="H1618" t="str">
        <f>HYPERLINK("http://pbs.twimg.com/media/FeEFqUoXwAAVP5e.jpg", "http://pbs.twimg.com/media/FeEFqUoXwAAVP5e.jpg")</f>
        <v>http://pbs.twimg.com/media/FeEFqUoXwAAVP5e.jpg</v>
      </c>
      <c r="L1618">
        <v>0.49390000000000001</v>
      </c>
      <c r="M1618">
        <v>5.0999999999999997E-2</v>
      </c>
      <c r="N1618">
        <v>0.83</v>
      </c>
      <c r="O1618">
        <v>0.11899999999999999</v>
      </c>
    </row>
    <row r="1619" spans="1:15" x14ac:dyDescent="0.2">
      <c r="A1619" s="1" t="str">
        <f>HYPERLINK("http://www.twitter.com/banuakdenizli/status/1576972948552155137", "1576972948552155137")</f>
        <v>1576972948552155137</v>
      </c>
      <c r="B1619" t="s">
        <v>15</v>
      </c>
      <c r="C1619" s="2">
        <v>44837.687777777777</v>
      </c>
      <c r="D1619">
        <v>0</v>
      </c>
      <c r="E1619">
        <v>6</v>
      </c>
      <c r="F1619" t="s">
        <v>17</v>
      </c>
      <c r="G1619" t="s">
        <v>1705</v>
      </c>
      <c r="H1619" t="str">
        <f>HYPERLINK("http://pbs.twimg.com/media/FeJ3-XHWQAQYJAt.jpg", "http://pbs.twimg.com/media/FeJ3-XHWQAQYJAt.jpg")</f>
        <v>http://pbs.twimg.com/media/FeJ3-XHWQAQYJAt.jpg</v>
      </c>
      <c r="I1619" t="str">
        <f>HYPERLINK("http://pbs.twimg.com/media/FeJ3-XHX0AMCFSx.jpg", "http://pbs.twimg.com/media/FeJ3-XHX0AMCFSx.jpg")</f>
        <v>http://pbs.twimg.com/media/FeJ3-XHX0AMCFSx.jpg</v>
      </c>
      <c r="L1619">
        <v>0</v>
      </c>
      <c r="M1619">
        <v>0</v>
      </c>
      <c r="N1619">
        <v>1</v>
      </c>
      <c r="O1619">
        <v>0</v>
      </c>
    </row>
    <row r="1620" spans="1:15" x14ac:dyDescent="0.2">
      <c r="A1620" s="1" t="str">
        <f>HYPERLINK("http://www.twitter.com/banuakdenizli/status/1576972848043675649", "1576972848043675649")</f>
        <v>1576972848043675649</v>
      </c>
      <c r="B1620" t="s">
        <v>15</v>
      </c>
      <c r="C1620" s="2">
        <v>44837.6875</v>
      </c>
      <c r="D1620">
        <v>0</v>
      </c>
      <c r="E1620">
        <v>15</v>
      </c>
      <c r="F1620" t="s">
        <v>17</v>
      </c>
      <c r="G1620" t="s">
        <v>1706</v>
      </c>
      <c r="H1620" t="str">
        <f>HYPERLINK("http://pbs.twimg.com/media/FeFdAMSXkAUo2qM.jpg", "http://pbs.twimg.com/media/FeFdAMSXkAUo2qM.jpg")</f>
        <v>http://pbs.twimg.com/media/FeFdAMSXkAUo2qM.jpg</v>
      </c>
      <c r="L1620">
        <v>0.67049999999999998</v>
      </c>
      <c r="M1620">
        <v>0</v>
      </c>
      <c r="N1620">
        <v>0.66700000000000004</v>
      </c>
      <c r="O1620">
        <v>0.33300000000000002</v>
      </c>
    </row>
    <row r="1621" spans="1:15" x14ac:dyDescent="0.2">
      <c r="A1621" s="1" t="str">
        <f>HYPERLINK("http://www.twitter.com/banuakdenizli/status/1576972822706278401", "1576972822706278401")</f>
        <v>1576972822706278401</v>
      </c>
      <c r="B1621" t="s">
        <v>15</v>
      </c>
      <c r="C1621" s="2">
        <v>44837.687430555547</v>
      </c>
      <c r="D1621">
        <v>0</v>
      </c>
      <c r="E1621">
        <v>7</v>
      </c>
      <c r="F1621" t="s">
        <v>17</v>
      </c>
      <c r="G1621" t="s">
        <v>1707</v>
      </c>
      <c r="H1621" t="str">
        <f>HYPERLINK("https://video.twimg.com/ext_tw_video/1576803046411091968/pu/vid/848x480/qC66pz2_gP67Cwz0.mp4?tag=12", "https://video.twimg.com/ext_tw_video/1576803046411091968/pu/vid/848x480/qC66pz2_gP67Cwz0.mp4?tag=12")</f>
        <v>https://video.twimg.com/ext_tw_video/1576803046411091968/pu/vid/848x480/qC66pz2_gP67Cwz0.mp4?tag=12</v>
      </c>
      <c r="L1621">
        <v>0</v>
      </c>
      <c r="M1621">
        <v>0</v>
      </c>
      <c r="N1621">
        <v>1</v>
      </c>
      <c r="O1621">
        <v>0</v>
      </c>
    </row>
    <row r="1622" spans="1:15" x14ac:dyDescent="0.2">
      <c r="A1622" s="1" t="str">
        <f>HYPERLINK("http://www.twitter.com/banuakdenizli/status/1576972769728004096", "1576972769728004096")</f>
        <v>1576972769728004096</v>
      </c>
      <c r="B1622" t="s">
        <v>15</v>
      </c>
      <c r="C1622" s="2">
        <v>44837.687280092592</v>
      </c>
      <c r="D1622">
        <v>0</v>
      </c>
      <c r="E1622">
        <v>12</v>
      </c>
      <c r="F1622" t="s">
        <v>17</v>
      </c>
      <c r="G1622" t="s">
        <v>1708</v>
      </c>
      <c r="H1622" t="str">
        <f>HYPERLINK("http://pbs.twimg.com/media/FeJt4KbX0AAJ348.jpg", "http://pbs.twimg.com/media/FeJt4KbX0AAJ348.jpg")</f>
        <v>http://pbs.twimg.com/media/FeJt4KbX0AAJ348.jpg</v>
      </c>
      <c r="L1622">
        <v>0.42149999999999999</v>
      </c>
      <c r="M1622">
        <v>0.16</v>
      </c>
      <c r="N1622">
        <v>0.53200000000000003</v>
      </c>
      <c r="O1622">
        <v>0.309</v>
      </c>
    </row>
    <row r="1623" spans="1:15" x14ac:dyDescent="0.2">
      <c r="A1623" s="1" t="str">
        <f>HYPERLINK("http://www.twitter.com/banuakdenizli/status/1576972754439393291", "1576972754439393291")</f>
        <v>1576972754439393291</v>
      </c>
      <c r="B1623" t="s">
        <v>15</v>
      </c>
      <c r="C1623" s="2">
        <v>44837.687245370369</v>
      </c>
      <c r="D1623">
        <v>0</v>
      </c>
      <c r="E1623">
        <v>10</v>
      </c>
      <c r="F1623" t="s">
        <v>17</v>
      </c>
      <c r="G1623" t="s">
        <v>1709</v>
      </c>
      <c r="H1623" t="str">
        <f>HYPERLINK("http://pbs.twimg.com/media/FeJzLTeXEAYze_P.jpg", "http://pbs.twimg.com/media/FeJzLTeXEAYze_P.jpg")</f>
        <v>http://pbs.twimg.com/media/FeJzLTeXEAYze_P.jpg</v>
      </c>
      <c r="L1623">
        <v>-0.29599999999999999</v>
      </c>
      <c r="M1623">
        <v>0.26600000000000001</v>
      </c>
      <c r="N1623">
        <v>0.56499999999999995</v>
      </c>
      <c r="O1623">
        <v>0.16900000000000001</v>
      </c>
    </row>
    <row r="1624" spans="1:15" x14ac:dyDescent="0.2">
      <c r="A1624" s="1" t="str">
        <f>HYPERLINK("http://www.twitter.com/banuakdenizli/status/1576972673841647618", "1576972673841647618")</f>
        <v>1576972673841647618</v>
      </c>
      <c r="B1624" t="s">
        <v>15</v>
      </c>
      <c r="C1624" s="2">
        <v>44837.687013888892</v>
      </c>
      <c r="D1624">
        <v>0</v>
      </c>
      <c r="E1624">
        <v>12</v>
      </c>
      <c r="F1624" t="s">
        <v>16</v>
      </c>
      <c r="G1624" t="s">
        <v>1710</v>
      </c>
      <c r="H1624" t="str">
        <f>HYPERLINK("http://pbs.twimg.com/media/FeJopWjWIAEiLWf.jpg", "http://pbs.twimg.com/media/FeJopWjWIAEiLWf.jpg")</f>
        <v>http://pbs.twimg.com/media/FeJopWjWIAEiLWf.jpg</v>
      </c>
      <c r="L1624">
        <v>0</v>
      </c>
      <c r="M1624">
        <v>0</v>
      </c>
      <c r="N1624">
        <v>1</v>
      </c>
      <c r="O1624">
        <v>0</v>
      </c>
    </row>
    <row r="1625" spans="1:15" x14ac:dyDescent="0.2">
      <c r="A1625" s="1" t="str">
        <f>HYPERLINK("http://www.twitter.com/banuakdenizli/status/1576972654963085313", "1576972654963085313")</f>
        <v>1576972654963085313</v>
      </c>
      <c r="B1625" t="s">
        <v>15</v>
      </c>
      <c r="C1625" s="2">
        <v>44837.686967592592</v>
      </c>
      <c r="D1625">
        <v>0</v>
      </c>
      <c r="E1625">
        <v>27</v>
      </c>
      <c r="F1625" t="s">
        <v>16</v>
      </c>
      <c r="G1625" t="s">
        <v>1711</v>
      </c>
      <c r="H1625" t="str">
        <f>HYPERLINK("http://pbs.twimg.com/media/FeJdj9GWIAIuMjW.jpg", "http://pbs.twimg.com/media/FeJdj9GWIAIuMjW.jpg")</f>
        <v>http://pbs.twimg.com/media/FeJdj9GWIAIuMjW.jpg</v>
      </c>
      <c r="L1625">
        <v>0</v>
      </c>
      <c r="M1625">
        <v>0</v>
      </c>
      <c r="N1625">
        <v>1</v>
      </c>
      <c r="O1625">
        <v>0</v>
      </c>
    </row>
    <row r="1626" spans="1:15" x14ac:dyDescent="0.2">
      <c r="A1626" s="1" t="str">
        <f>HYPERLINK("http://www.twitter.com/banuakdenizli/status/1576972620355883017", "1576972620355883017")</f>
        <v>1576972620355883017</v>
      </c>
      <c r="B1626" t="s">
        <v>15</v>
      </c>
      <c r="C1626" s="2">
        <v>44837.686874999999</v>
      </c>
      <c r="D1626">
        <v>0</v>
      </c>
      <c r="E1626">
        <v>32</v>
      </c>
      <c r="F1626" t="s">
        <v>28</v>
      </c>
      <c r="G1626" t="s">
        <v>1712</v>
      </c>
      <c r="L1626">
        <v>0</v>
      </c>
      <c r="M1626">
        <v>0</v>
      </c>
      <c r="N1626">
        <v>1</v>
      </c>
      <c r="O1626">
        <v>0</v>
      </c>
    </row>
    <row r="1627" spans="1:15" x14ac:dyDescent="0.2">
      <c r="A1627" s="1" t="str">
        <f>HYPERLINK("http://www.twitter.com/banuakdenizli/status/1576972586969600001", "1576972586969600001")</f>
        <v>1576972586969600001</v>
      </c>
      <c r="B1627" t="s">
        <v>15</v>
      </c>
      <c r="C1627" s="2">
        <v>44837.686782407407</v>
      </c>
      <c r="D1627">
        <v>0</v>
      </c>
      <c r="E1627">
        <v>19</v>
      </c>
      <c r="F1627" t="s">
        <v>16</v>
      </c>
      <c r="G1627" t="s">
        <v>1713</v>
      </c>
      <c r="H1627" t="str">
        <f>HYPERLINK("https://video.twimg.com/ext_tw_video/1576802684937682947/pu/vid/848x480/pkWoFOlAd99YJEWW.mp4?tag=12", "https://video.twimg.com/ext_tw_video/1576802684937682947/pu/vid/848x480/pkWoFOlAd99YJEWW.mp4?tag=12")</f>
        <v>https://video.twimg.com/ext_tw_video/1576802684937682947/pu/vid/848x480/pkWoFOlAd99YJEWW.mp4?tag=12</v>
      </c>
      <c r="L1627">
        <v>0</v>
      </c>
      <c r="M1627">
        <v>0</v>
      </c>
      <c r="N1627">
        <v>1</v>
      </c>
      <c r="O1627">
        <v>0</v>
      </c>
    </row>
    <row r="1628" spans="1:15" x14ac:dyDescent="0.2">
      <c r="A1628" s="1" t="str">
        <f>HYPERLINK("http://www.twitter.com/banuakdenizli/status/1576972545961889792", "1576972545961889792")</f>
        <v>1576972545961889792</v>
      </c>
      <c r="B1628" t="s">
        <v>15</v>
      </c>
      <c r="C1628" s="2">
        <v>44837.686666666668</v>
      </c>
      <c r="D1628">
        <v>0</v>
      </c>
      <c r="E1628">
        <v>30</v>
      </c>
      <c r="F1628" t="s">
        <v>16</v>
      </c>
      <c r="G1628" t="s">
        <v>1714</v>
      </c>
      <c r="H1628" t="str">
        <f>HYPERLINK("http://pbs.twimg.com/media/FeFc4V6XoAEk8kc.jpg", "http://pbs.twimg.com/media/FeFc4V6XoAEk8kc.jpg")</f>
        <v>http://pbs.twimg.com/media/FeFc4V6XoAEk8kc.jpg</v>
      </c>
      <c r="L1628">
        <v>0</v>
      </c>
      <c r="M1628">
        <v>0</v>
      </c>
      <c r="N1628">
        <v>1</v>
      </c>
      <c r="O1628">
        <v>0</v>
      </c>
    </row>
    <row r="1629" spans="1:15" x14ac:dyDescent="0.2">
      <c r="A1629" s="1" t="str">
        <f>HYPERLINK("http://www.twitter.com/banuakdenizli/status/1576619233173463040", "1576619233173463040")</f>
        <v>1576619233173463040</v>
      </c>
      <c r="B1629" t="s">
        <v>15</v>
      </c>
      <c r="C1629" s="2">
        <v>44836.711712962962</v>
      </c>
      <c r="D1629">
        <v>0</v>
      </c>
      <c r="E1629">
        <v>6</v>
      </c>
      <c r="F1629" t="s">
        <v>17</v>
      </c>
      <c r="G1629" t="s">
        <v>1715</v>
      </c>
      <c r="H1629" t="str">
        <f>HYPERLINK("http://pbs.twimg.com/media/FeFGrY1XgAEsIvz.jpg", "http://pbs.twimg.com/media/FeFGrY1XgAEsIvz.jpg")</f>
        <v>http://pbs.twimg.com/media/FeFGrY1XgAEsIvz.jpg</v>
      </c>
      <c r="I1629" t="str">
        <f>HYPERLINK("http://pbs.twimg.com/media/FeFGrY9WQAcf5IT.jpg", "http://pbs.twimg.com/media/FeFGrY9WQAcf5IT.jpg")</f>
        <v>http://pbs.twimg.com/media/FeFGrY9WQAcf5IT.jpg</v>
      </c>
      <c r="J1629" t="str">
        <f>HYPERLINK("http://pbs.twimg.com/media/FeFGrZDX0AAPrPR.jpg", "http://pbs.twimg.com/media/FeFGrZDX0AAPrPR.jpg")</f>
        <v>http://pbs.twimg.com/media/FeFGrZDX0AAPrPR.jpg</v>
      </c>
      <c r="L1629">
        <v>0</v>
      </c>
      <c r="M1629">
        <v>0</v>
      </c>
      <c r="N1629">
        <v>1</v>
      </c>
      <c r="O1629">
        <v>0</v>
      </c>
    </row>
    <row r="1630" spans="1:15" x14ac:dyDescent="0.2">
      <c r="A1630" s="1" t="str">
        <f>HYPERLINK("http://www.twitter.com/banuakdenizli/status/1576614874498494466", "1576614874498494466")</f>
        <v>1576614874498494466</v>
      </c>
      <c r="B1630" t="s">
        <v>15</v>
      </c>
      <c r="C1630" s="2">
        <v>44836.699675925927</v>
      </c>
      <c r="D1630">
        <v>0</v>
      </c>
      <c r="E1630">
        <v>24</v>
      </c>
      <c r="F1630" t="s">
        <v>16</v>
      </c>
      <c r="G1630" t="s">
        <v>1716</v>
      </c>
      <c r="H1630" t="str">
        <f>HYPERLINK("http://pbs.twimg.com/media/FeEzF31WIAA_BpE.jpg", "http://pbs.twimg.com/media/FeEzF31WIAA_BpE.jpg")</f>
        <v>http://pbs.twimg.com/media/FeEzF31WIAA_BpE.jpg</v>
      </c>
      <c r="I1630" t="str">
        <f>HYPERLINK("http://pbs.twimg.com/media/FeEzF3wXgAE1RtC.jpg", "http://pbs.twimg.com/media/FeEzF3wXgAE1RtC.jpg")</f>
        <v>http://pbs.twimg.com/media/FeEzF3wXgAE1RtC.jpg</v>
      </c>
      <c r="J1630" t="str">
        <f>HYPERLINK("http://pbs.twimg.com/media/FeEzF36XgAAmY6w.jpg", "http://pbs.twimg.com/media/FeEzF36XgAAmY6w.jpg")</f>
        <v>http://pbs.twimg.com/media/FeEzF36XgAAmY6w.jpg</v>
      </c>
      <c r="L1630">
        <v>0</v>
      </c>
      <c r="M1630">
        <v>0</v>
      </c>
      <c r="N1630">
        <v>1</v>
      </c>
      <c r="O1630">
        <v>0</v>
      </c>
    </row>
    <row r="1631" spans="1:15" x14ac:dyDescent="0.2">
      <c r="A1631" s="1" t="str">
        <f>HYPERLINK("http://www.twitter.com/banuakdenizli/status/1576614016952082433", "1576614016952082433")</f>
        <v>1576614016952082433</v>
      </c>
      <c r="B1631" t="s">
        <v>15</v>
      </c>
      <c r="C1631" s="2">
        <v>44836.697314814817</v>
      </c>
      <c r="D1631">
        <v>0</v>
      </c>
      <c r="E1631">
        <v>21</v>
      </c>
      <c r="F1631" t="s">
        <v>16</v>
      </c>
      <c r="G1631" t="s">
        <v>1717</v>
      </c>
      <c r="H1631" t="str">
        <f>HYPERLINK("https://video.twimg.com/ext_tw_video/1576610616587976708/pu/vid/1280x720/qpA-SZMWeJAeLnXD.mp4?tag=12", "https://video.twimg.com/ext_tw_video/1576610616587976708/pu/vid/1280x720/qpA-SZMWeJAeLnXD.mp4?tag=12")</f>
        <v>https://video.twimg.com/ext_tw_video/1576610616587976708/pu/vid/1280x720/qpA-SZMWeJAeLnXD.mp4?tag=12</v>
      </c>
      <c r="L1631">
        <v>0</v>
      </c>
      <c r="M1631">
        <v>0</v>
      </c>
      <c r="N1631">
        <v>1</v>
      </c>
      <c r="O1631">
        <v>0</v>
      </c>
    </row>
    <row r="1632" spans="1:15" x14ac:dyDescent="0.2">
      <c r="A1632" s="1" t="str">
        <f>HYPERLINK("http://www.twitter.com/banuakdenizli/status/1576612001325133829", "1576612001325133829")</f>
        <v>1576612001325133829</v>
      </c>
      <c r="B1632" t="s">
        <v>15</v>
      </c>
      <c r="C1632" s="2">
        <v>44836.691747685189</v>
      </c>
      <c r="D1632">
        <v>0</v>
      </c>
      <c r="E1632">
        <v>8</v>
      </c>
      <c r="F1632" t="s">
        <v>16</v>
      </c>
      <c r="G1632" t="s">
        <v>1718</v>
      </c>
      <c r="H1632" t="str">
        <f>HYPERLINK("http://pbs.twimg.com/media/FeC5hQ6WQAArzrP.jpg", "http://pbs.twimg.com/media/FeC5hQ6WQAArzrP.jpg")</f>
        <v>http://pbs.twimg.com/media/FeC5hQ6WQAArzrP.jpg</v>
      </c>
      <c r="L1632">
        <v>0</v>
      </c>
      <c r="M1632">
        <v>0</v>
      </c>
      <c r="N1632">
        <v>1</v>
      </c>
      <c r="O1632">
        <v>0</v>
      </c>
    </row>
    <row r="1633" spans="1:15" x14ac:dyDescent="0.2">
      <c r="A1633" s="1" t="str">
        <f>HYPERLINK("http://www.twitter.com/banuakdenizli/status/1576611979501793280", "1576611979501793280")</f>
        <v>1576611979501793280</v>
      </c>
      <c r="B1633" t="s">
        <v>15</v>
      </c>
      <c r="C1633" s="2">
        <v>44836.691689814812</v>
      </c>
      <c r="D1633">
        <v>0</v>
      </c>
      <c r="E1633">
        <v>30</v>
      </c>
      <c r="F1633" t="s">
        <v>18</v>
      </c>
      <c r="G1633" t="s">
        <v>1719</v>
      </c>
      <c r="H1633" t="str">
        <f>HYPERLINK("http://pbs.twimg.com/media/FeDcIN-XEAYY8nl.jpg", "http://pbs.twimg.com/media/FeDcIN-XEAYY8nl.jpg")</f>
        <v>http://pbs.twimg.com/media/FeDcIN-XEAYY8nl.jpg</v>
      </c>
      <c r="L1633">
        <v>0.82250000000000001</v>
      </c>
      <c r="M1633">
        <v>0</v>
      </c>
      <c r="N1633">
        <v>0.76900000000000002</v>
      </c>
      <c r="O1633">
        <v>0.23100000000000001</v>
      </c>
    </row>
    <row r="1634" spans="1:15" x14ac:dyDescent="0.2">
      <c r="A1634" s="1" t="str">
        <f>HYPERLINK("http://www.twitter.com/banuakdenizli/status/1576611943237853186", "1576611943237853186")</f>
        <v>1576611943237853186</v>
      </c>
      <c r="B1634" t="s">
        <v>15</v>
      </c>
      <c r="C1634" s="2">
        <v>44836.69158564815</v>
      </c>
      <c r="D1634">
        <v>0</v>
      </c>
      <c r="E1634">
        <v>7</v>
      </c>
      <c r="F1634" t="s">
        <v>16</v>
      </c>
      <c r="G1634" t="s">
        <v>1720</v>
      </c>
      <c r="H1634" t="str">
        <f>HYPERLINK("http://pbs.twimg.com/media/FeDq4WkXwAINi7p.jpg", "http://pbs.twimg.com/media/FeDq4WkXwAINi7p.jpg")</f>
        <v>http://pbs.twimg.com/media/FeDq4WkXwAINi7p.jpg</v>
      </c>
      <c r="I1634" t="str">
        <f>HYPERLINK("http://pbs.twimg.com/media/FeDq4WiXgAEGxAJ.jpg", "http://pbs.twimg.com/media/FeDq4WiXgAEGxAJ.jpg")</f>
        <v>http://pbs.twimg.com/media/FeDq4WiXgAEGxAJ.jpg</v>
      </c>
      <c r="J1634" t="str">
        <f>HYPERLINK("http://pbs.twimg.com/media/FeDq4WkXoAE-T1O.jpg", "http://pbs.twimg.com/media/FeDq4WkXoAE-T1O.jpg")</f>
        <v>http://pbs.twimg.com/media/FeDq4WkXoAE-T1O.jpg</v>
      </c>
      <c r="K1634" t="str">
        <f>HYPERLINK("http://pbs.twimg.com/media/FeDq4RhXwAEqieZ.jpg", "http://pbs.twimg.com/media/FeDq4RhXwAEqieZ.jpg")</f>
        <v>http://pbs.twimg.com/media/FeDq4RhXwAEqieZ.jpg</v>
      </c>
      <c r="L1634">
        <v>0</v>
      </c>
      <c r="M1634">
        <v>0</v>
      </c>
      <c r="N1634">
        <v>1</v>
      </c>
      <c r="O1634">
        <v>0</v>
      </c>
    </row>
    <row r="1635" spans="1:15" x14ac:dyDescent="0.2">
      <c r="A1635" s="1" t="str">
        <f>HYPERLINK("http://www.twitter.com/banuakdenizli/status/1576611910673276928", "1576611910673276928")</f>
        <v>1576611910673276928</v>
      </c>
      <c r="B1635" t="s">
        <v>15</v>
      </c>
      <c r="C1635" s="2">
        <v>44836.691504629627</v>
      </c>
      <c r="D1635">
        <v>0</v>
      </c>
      <c r="E1635">
        <v>7</v>
      </c>
      <c r="F1635" t="s">
        <v>17</v>
      </c>
      <c r="G1635" t="s">
        <v>1721</v>
      </c>
      <c r="H1635" t="str">
        <f>HYPERLINK("http://pbs.twimg.com/media/FeDiYK8WAAI8IMb.jpg", "http://pbs.twimg.com/media/FeDiYK8WAAI8IMb.jpg")</f>
        <v>http://pbs.twimg.com/media/FeDiYK8WAAI8IMb.jpg</v>
      </c>
      <c r="L1635">
        <v>0</v>
      </c>
      <c r="M1635">
        <v>0</v>
      </c>
      <c r="N1635">
        <v>1</v>
      </c>
      <c r="O1635">
        <v>0</v>
      </c>
    </row>
    <row r="1636" spans="1:15" x14ac:dyDescent="0.2">
      <c r="A1636" s="1" t="str">
        <f>HYPERLINK("http://www.twitter.com/banuakdenizli/status/1576611863793917952", "1576611863793917952")</f>
        <v>1576611863793917952</v>
      </c>
      <c r="B1636" t="s">
        <v>15</v>
      </c>
      <c r="C1636" s="2">
        <v>44836.691377314812</v>
      </c>
      <c r="D1636">
        <v>0</v>
      </c>
      <c r="E1636">
        <v>41</v>
      </c>
      <c r="F1636" t="s">
        <v>18</v>
      </c>
      <c r="G1636" t="s">
        <v>1722</v>
      </c>
      <c r="H1636" t="str">
        <f>HYPERLINK("http://pbs.twimg.com/media/FeDXpjoWYAA91RO.jpg", "http://pbs.twimg.com/media/FeDXpjoWYAA91RO.jpg")</f>
        <v>http://pbs.twimg.com/media/FeDXpjoWYAA91RO.jpg</v>
      </c>
      <c r="L1636">
        <v>0</v>
      </c>
      <c r="M1636">
        <v>0</v>
      </c>
      <c r="N1636">
        <v>1</v>
      </c>
      <c r="O1636">
        <v>0</v>
      </c>
    </row>
    <row r="1637" spans="1:15" x14ac:dyDescent="0.2">
      <c r="A1637" s="1" t="str">
        <f>HYPERLINK("http://www.twitter.com/banuakdenizli/status/1576611691801944064", "1576611691801944064")</f>
        <v>1576611691801944064</v>
      </c>
      <c r="B1637" t="s">
        <v>15</v>
      </c>
      <c r="C1637" s="2">
        <v>44836.69090277778</v>
      </c>
      <c r="D1637">
        <v>0</v>
      </c>
      <c r="E1637">
        <v>10</v>
      </c>
      <c r="F1637" t="s">
        <v>17</v>
      </c>
      <c r="G1637" t="s">
        <v>1723</v>
      </c>
      <c r="H1637" t="str">
        <f>HYPERLINK("http://pbs.twimg.com/media/FeDtki-X0AEVavh.jpg", "http://pbs.twimg.com/media/FeDtki-X0AEVavh.jpg")</f>
        <v>http://pbs.twimg.com/media/FeDtki-X0AEVavh.jpg</v>
      </c>
      <c r="I1637" t="str">
        <f>HYPERLINK("http://pbs.twimg.com/media/FeDtknqXoAE3JPE.jpg", "http://pbs.twimg.com/media/FeDtknqXoAE3JPE.jpg")</f>
        <v>http://pbs.twimg.com/media/FeDtknqXoAE3JPE.jpg</v>
      </c>
      <c r="J1637" t="str">
        <f>HYPERLINK("http://pbs.twimg.com/media/FeDtknyXwAA3LLE.jpg", "http://pbs.twimg.com/media/FeDtknyXwAA3LLE.jpg")</f>
        <v>http://pbs.twimg.com/media/FeDtknyXwAA3LLE.jpg</v>
      </c>
      <c r="K1637" t="str">
        <f>HYPERLINK("http://pbs.twimg.com/media/FeDtkntXkAAjPRu.jpg", "http://pbs.twimg.com/media/FeDtkntXkAAjPRu.jpg")</f>
        <v>http://pbs.twimg.com/media/FeDtkntXkAAjPRu.jpg</v>
      </c>
      <c r="L1637">
        <v>0</v>
      </c>
      <c r="M1637">
        <v>0</v>
      </c>
      <c r="N1637">
        <v>1</v>
      </c>
      <c r="O1637">
        <v>0</v>
      </c>
    </row>
    <row r="1638" spans="1:15" x14ac:dyDescent="0.2">
      <c r="A1638" s="1" t="str">
        <f>HYPERLINK("http://www.twitter.com/banuakdenizli/status/1576309171313840129", "1576309171313840129")</f>
        <v>1576309171313840129</v>
      </c>
      <c r="B1638" t="s">
        <v>15</v>
      </c>
      <c r="C1638" s="2">
        <v>44835.856099537043</v>
      </c>
      <c r="D1638">
        <v>0</v>
      </c>
      <c r="E1638">
        <v>7</v>
      </c>
      <c r="F1638" t="s">
        <v>17</v>
      </c>
      <c r="G1638" t="s">
        <v>1724</v>
      </c>
      <c r="H1638" t="str">
        <f>HYPERLINK("http://pbs.twimg.com/media/Fd_xyp1XEAQJ07g.jpg", "http://pbs.twimg.com/media/Fd_xyp1XEAQJ07g.jpg")</f>
        <v>http://pbs.twimg.com/media/Fd_xyp1XEAQJ07g.jpg</v>
      </c>
      <c r="I1638" t="str">
        <f>HYPERLINK("http://pbs.twimg.com/media/Fd_xyrEWQAAtRW5.jpg", "http://pbs.twimg.com/media/Fd_xyrEWQAAtRW5.jpg")</f>
        <v>http://pbs.twimg.com/media/Fd_xyrEWQAAtRW5.jpg</v>
      </c>
      <c r="J1638" t="str">
        <f>HYPERLINK("http://pbs.twimg.com/media/Fd_xyp9X0AAf2aS.jpg", "http://pbs.twimg.com/media/Fd_xyp9X0AAf2aS.jpg")</f>
        <v>http://pbs.twimg.com/media/Fd_xyp9X0AAf2aS.jpg</v>
      </c>
      <c r="L1638">
        <v>0</v>
      </c>
      <c r="M1638">
        <v>0</v>
      </c>
      <c r="N1638">
        <v>1</v>
      </c>
      <c r="O1638">
        <v>0</v>
      </c>
    </row>
    <row r="1639" spans="1:15" x14ac:dyDescent="0.2">
      <c r="A1639" s="1" t="str">
        <f>HYPERLINK("http://www.twitter.com/banuakdenizli/status/1576309160219533313", "1576309160219533313")</f>
        <v>1576309160219533313</v>
      </c>
      <c r="B1639" t="s">
        <v>15</v>
      </c>
      <c r="C1639" s="2">
        <v>44835.856064814812</v>
      </c>
      <c r="D1639">
        <v>0</v>
      </c>
      <c r="E1639">
        <v>7</v>
      </c>
      <c r="F1639" t="s">
        <v>17</v>
      </c>
      <c r="G1639" t="s">
        <v>1725</v>
      </c>
      <c r="H1639" t="str">
        <f>HYPERLINK("http://pbs.twimg.com/media/FeAU3ndWAAAN-5K.jpg", "http://pbs.twimg.com/media/FeAU3ndWAAAN-5K.jpg")</f>
        <v>http://pbs.twimg.com/media/FeAU3ndWAAAN-5K.jpg</v>
      </c>
      <c r="I1639" t="str">
        <f>HYPERLINK("http://pbs.twimg.com/media/FeAU3nnWQAA8LE4.jpg", "http://pbs.twimg.com/media/FeAU3nnWQAA8LE4.jpg")</f>
        <v>http://pbs.twimg.com/media/FeAU3nnWQAA8LE4.jpg</v>
      </c>
      <c r="J1639" t="str">
        <f>HYPERLINK("http://pbs.twimg.com/media/FeAU3nlWQAoyqnS.jpg", "http://pbs.twimg.com/media/FeAU3nlWQAoyqnS.jpg")</f>
        <v>http://pbs.twimg.com/media/FeAU3nlWQAoyqnS.jpg</v>
      </c>
      <c r="L1639">
        <v>0</v>
      </c>
      <c r="M1639">
        <v>0</v>
      </c>
      <c r="N1639">
        <v>1</v>
      </c>
      <c r="O1639">
        <v>0</v>
      </c>
    </row>
    <row r="1640" spans="1:15" x14ac:dyDescent="0.2">
      <c r="A1640" s="1" t="str">
        <f>HYPERLINK("http://www.twitter.com/banuakdenizli/status/1576309086546579456", "1576309086546579456")</f>
        <v>1576309086546579456</v>
      </c>
      <c r="B1640" t="s">
        <v>15</v>
      </c>
      <c r="C1640" s="2">
        <v>44835.855868055558</v>
      </c>
      <c r="D1640">
        <v>0</v>
      </c>
      <c r="E1640">
        <v>41</v>
      </c>
      <c r="F1640" t="s">
        <v>18</v>
      </c>
      <c r="G1640" t="s">
        <v>1726</v>
      </c>
      <c r="L1640">
        <v>0</v>
      </c>
      <c r="M1640">
        <v>0</v>
      </c>
      <c r="N1640">
        <v>1</v>
      </c>
      <c r="O1640">
        <v>0</v>
      </c>
    </row>
    <row r="1641" spans="1:15" x14ac:dyDescent="0.2">
      <c r="A1641" s="1" t="str">
        <f>HYPERLINK("http://www.twitter.com/banuakdenizli/status/1576309049288581120", "1576309049288581120")</f>
        <v>1576309049288581120</v>
      </c>
      <c r="B1641" t="s">
        <v>15</v>
      </c>
      <c r="C1641" s="2">
        <v>44835.855763888889</v>
      </c>
      <c r="D1641">
        <v>0</v>
      </c>
      <c r="E1641">
        <v>13</v>
      </c>
      <c r="F1641" t="s">
        <v>16</v>
      </c>
      <c r="G1641" t="s">
        <v>1727</v>
      </c>
      <c r="H1641" t="str">
        <f>HYPERLINK("http://pbs.twimg.com/media/Fd_m8RPX0AEqC6a.jpg", "http://pbs.twimg.com/media/Fd_m8RPX0AEqC6a.jpg")</f>
        <v>http://pbs.twimg.com/media/Fd_m8RPX0AEqC6a.jpg</v>
      </c>
      <c r="I1641" t="str">
        <f>HYPERLINK("http://pbs.twimg.com/media/Fd_m8RQWYAApflU.jpg", "http://pbs.twimg.com/media/Fd_m8RQWYAApflU.jpg")</f>
        <v>http://pbs.twimg.com/media/Fd_m8RQWYAApflU.jpg</v>
      </c>
      <c r="J1641" t="str">
        <f>HYPERLINK("http://pbs.twimg.com/media/Fd_m8RVXoAI_3yq.jpg", "http://pbs.twimg.com/media/Fd_m8RVXoAI_3yq.jpg")</f>
        <v>http://pbs.twimg.com/media/Fd_m8RVXoAI_3yq.jpg</v>
      </c>
      <c r="L1641">
        <v>0</v>
      </c>
      <c r="M1641">
        <v>0</v>
      </c>
      <c r="N1641">
        <v>1</v>
      </c>
      <c r="O1641">
        <v>0</v>
      </c>
    </row>
    <row r="1642" spans="1:15" x14ac:dyDescent="0.2">
      <c r="A1642" s="1" t="str">
        <f>HYPERLINK("http://www.twitter.com/banuakdenizli/status/1576309014157135873", "1576309014157135873")</f>
        <v>1576309014157135873</v>
      </c>
      <c r="B1642" t="s">
        <v>15</v>
      </c>
      <c r="C1642" s="2">
        <v>44835.855671296304</v>
      </c>
      <c r="D1642">
        <v>0</v>
      </c>
      <c r="E1642">
        <v>13</v>
      </c>
      <c r="F1642" t="s">
        <v>16</v>
      </c>
      <c r="G1642" t="s">
        <v>1728</v>
      </c>
      <c r="H1642" t="str">
        <f>HYPERLINK("http://pbs.twimg.com/media/FeAK49mXoAEd5hx.jpg", "http://pbs.twimg.com/media/FeAK49mXoAEd5hx.jpg")</f>
        <v>http://pbs.twimg.com/media/FeAK49mXoAEd5hx.jpg</v>
      </c>
      <c r="I1642" t="str">
        <f>HYPERLINK("http://pbs.twimg.com/media/FeAK49pXoAIiMUV.jpg", "http://pbs.twimg.com/media/FeAK49pXoAIiMUV.jpg")</f>
        <v>http://pbs.twimg.com/media/FeAK49pXoAIiMUV.jpg</v>
      </c>
      <c r="J1642" t="str">
        <f>HYPERLINK("http://pbs.twimg.com/media/FeAK49tXEAElDC-.jpg", "http://pbs.twimg.com/media/FeAK49tXEAElDC-.jpg")</f>
        <v>http://pbs.twimg.com/media/FeAK49tXEAElDC-.jpg</v>
      </c>
      <c r="L1642">
        <v>0</v>
      </c>
      <c r="M1642">
        <v>0</v>
      </c>
      <c r="N1642">
        <v>1</v>
      </c>
      <c r="O1642">
        <v>0</v>
      </c>
    </row>
    <row r="1643" spans="1:15" x14ac:dyDescent="0.2">
      <c r="A1643" s="1" t="str">
        <f>HYPERLINK("http://www.twitter.com/banuakdenizli/status/1576002608984379393", "1576002608984379393")</f>
        <v>1576002608984379393</v>
      </c>
      <c r="B1643" t="s">
        <v>15</v>
      </c>
      <c r="C1643" s="2">
        <v>44835.010150462957</v>
      </c>
      <c r="D1643">
        <v>0</v>
      </c>
      <c r="E1643">
        <v>32</v>
      </c>
      <c r="F1643" t="s">
        <v>35</v>
      </c>
      <c r="G1643" t="s">
        <v>1729</v>
      </c>
      <c r="H1643" t="str">
        <f>HYPERLINK("http://pbs.twimg.com/media/Fd6zJ7IXwAEXLM-.jpg", "http://pbs.twimg.com/media/Fd6zJ7IXwAEXLM-.jpg")</f>
        <v>http://pbs.twimg.com/media/Fd6zJ7IXwAEXLM-.jpg</v>
      </c>
      <c r="I1643" t="str">
        <f>HYPERLINK("http://pbs.twimg.com/media/Fd6zJ7IXgAA7c4D.jpg", "http://pbs.twimg.com/media/Fd6zJ7IXgAA7c4D.jpg")</f>
        <v>http://pbs.twimg.com/media/Fd6zJ7IXgAA7c4D.jpg</v>
      </c>
      <c r="L1643">
        <v>0</v>
      </c>
      <c r="M1643">
        <v>0</v>
      </c>
      <c r="N1643">
        <v>1</v>
      </c>
      <c r="O1643">
        <v>0</v>
      </c>
    </row>
    <row r="1644" spans="1:15" x14ac:dyDescent="0.2">
      <c r="A1644" s="1" t="str">
        <f>HYPERLINK("http://www.twitter.com/banuakdenizli/status/1576002114047791105", "1576002114047791105")</f>
        <v>1576002114047791105</v>
      </c>
      <c r="B1644" t="s">
        <v>15</v>
      </c>
      <c r="C1644" s="2">
        <v>44835.008784722217</v>
      </c>
      <c r="D1644">
        <v>0</v>
      </c>
      <c r="E1644">
        <v>14</v>
      </c>
      <c r="F1644" t="s">
        <v>35</v>
      </c>
      <c r="G1644" t="s">
        <v>1730</v>
      </c>
      <c r="H1644" t="str">
        <f>HYPERLINK("http://pbs.twimg.com/media/Fd6278YXkAEAfwq.jpg", "http://pbs.twimg.com/media/Fd6278YXkAEAfwq.jpg")</f>
        <v>http://pbs.twimg.com/media/Fd6278YXkAEAfwq.jpg</v>
      </c>
      <c r="I1644" t="str">
        <f>HYPERLINK("http://pbs.twimg.com/media/Fd6277tXoAAcYhS.jpg", "http://pbs.twimg.com/media/Fd6277tXoAAcYhS.jpg")</f>
        <v>http://pbs.twimg.com/media/Fd6277tXoAAcYhS.jpg</v>
      </c>
      <c r="L1644">
        <v>0.75060000000000004</v>
      </c>
      <c r="M1644">
        <v>5.2999999999999999E-2</v>
      </c>
      <c r="N1644">
        <v>0.748</v>
      </c>
      <c r="O1644">
        <v>0.19900000000000001</v>
      </c>
    </row>
    <row r="1645" spans="1:15" x14ac:dyDescent="0.2">
      <c r="A1645" s="1"/>
      <c r="C1645" s="2"/>
    </row>
    <row r="1646" spans="1:15" x14ac:dyDescent="0.2">
      <c r="A1646" s="1"/>
      <c r="C1646" s="2"/>
    </row>
    <row r="1647" spans="1:15" x14ac:dyDescent="0.2">
      <c r="A1647" s="1"/>
      <c r="C1647" s="2"/>
    </row>
    <row r="1648" spans="1:15" x14ac:dyDescent="0.2">
      <c r="A1648" s="1"/>
      <c r="C1648" s="2"/>
    </row>
    <row r="1649" spans="1:3" x14ac:dyDescent="0.2">
      <c r="A1649" s="1"/>
      <c r="C1649" s="2"/>
    </row>
    <row r="1650" spans="1:3" x14ac:dyDescent="0.2">
      <c r="A1650" s="1"/>
      <c r="C1650" s="2"/>
    </row>
    <row r="1651" spans="1:3" x14ac:dyDescent="0.2">
      <c r="A1651" s="1"/>
      <c r="C1651" s="2"/>
    </row>
    <row r="1652" spans="1:3" x14ac:dyDescent="0.2">
      <c r="A1652" s="1"/>
      <c r="C1652" s="2"/>
    </row>
    <row r="1653" spans="1:3" x14ac:dyDescent="0.2">
      <c r="A1653" s="1"/>
      <c r="C1653" s="2"/>
    </row>
    <row r="1654" spans="1:3" x14ac:dyDescent="0.2">
      <c r="A1654" s="1"/>
      <c r="C1654" s="2"/>
    </row>
    <row r="1655" spans="1:3" x14ac:dyDescent="0.2">
      <c r="A1655" s="1"/>
      <c r="C1655" s="2"/>
    </row>
    <row r="1656" spans="1:3" x14ac:dyDescent="0.2">
      <c r="A1656" s="1"/>
      <c r="C1656" s="2"/>
    </row>
    <row r="1657" spans="1:3" x14ac:dyDescent="0.2">
      <c r="A1657" s="1"/>
      <c r="C1657" s="2"/>
    </row>
    <row r="1658" spans="1:3" x14ac:dyDescent="0.2">
      <c r="A1658" s="1"/>
      <c r="C1658" s="2"/>
    </row>
    <row r="1659" spans="1:3" x14ac:dyDescent="0.2">
      <c r="A1659" s="1"/>
      <c r="C1659" s="2"/>
    </row>
    <row r="1660" spans="1:3" x14ac:dyDescent="0.2">
      <c r="A1660" s="1"/>
      <c r="C1660" s="2"/>
    </row>
    <row r="1661" spans="1:3" x14ac:dyDescent="0.2">
      <c r="A1661" s="1"/>
      <c r="C1661" s="2"/>
    </row>
    <row r="1662" spans="1:3" x14ac:dyDescent="0.2">
      <c r="A1662" s="1"/>
      <c r="C1662" s="2"/>
    </row>
    <row r="1663" spans="1:3" x14ac:dyDescent="0.2">
      <c r="A1663" s="1"/>
      <c r="C1663" s="2"/>
    </row>
    <row r="1664" spans="1:3" x14ac:dyDescent="0.2">
      <c r="A1664" s="1"/>
      <c r="C1664" s="2"/>
    </row>
    <row r="1665" spans="1:3" x14ac:dyDescent="0.2">
      <c r="A1665" s="1"/>
      <c r="C1665" s="2"/>
    </row>
    <row r="1666" spans="1:3" x14ac:dyDescent="0.2">
      <c r="A1666" s="1"/>
      <c r="C1666" s="2"/>
    </row>
    <row r="1667" spans="1:3" x14ac:dyDescent="0.2">
      <c r="A1667" s="1"/>
      <c r="C1667" s="2"/>
    </row>
    <row r="1668" spans="1:3" x14ac:dyDescent="0.2">
      <c r="A1668" s="1"/>
      <c r="C1668" s="2"/>
    </row>
    <row r="1669" spans="1:3" x14ac:dyDescent="0.2">
      <c r="A1669" s="1"/>
      <c r="C1669" s="2"/>
    </row>
    <row r="1670" spans="1:3" x14ac:dyDescent="0.2">
      <c r="A1670" s="1"/>
      <c r="C1670" s="2"/>
    </row>
    <row r="1671" spans="1:3" x14ac:dyDescent="0.2">
      <c r="A1671" s="1"/>
      <c r="C1671" s="2"/>
    </row>
    <row r="1672" spans="1:3" x14ac:dyDescent="0.2">
      <c r="A1672" s="1"/>
      <c r="C1672" s="2"/>
    </row>
    <row r="1673" spans="1:3" x14ac:dyDescent="0.2">
      <c r="A1673" s="1"/>
      <c r="C1673" s="2"/>
    </row>
    <row r="1674" spans="1:3" x14ac:dyDescent="0.2">
      <c r="A1674" s="1"/>
      <c r="C1674" s="2"/>
    </row>
    <row r="1675" spans="1:3" x14ac:dyDescent="0.2">
      <c r="A1675" s="1"/>
      <c r="C1675" s="2"/>
    </row>
    <row r="1676" spans="1:3" x14ac:dyDescent="0.2">
      <c r="A1676" s="1"/>
      <c r="C1676" s="2"/>
    </row>
    <row r="1677" spans="1:3" x14ac:dyDescent="0.2">
      <c r="A1677" s="1"/>
      <c r="C1677" s="2"/>
    </row>
    <row r="1678" spans="1:3" x14ac:dyDescent="0.2">
      <c r="A1678" s="1"/>
      <c r="C1678" s="2"/>
    </row>
    <row r="1679" spans="1:3" x14ac:dyDescent="0.2">
      <c r="A1679" s="1"/>
      <c r="C1679" s="2"/>
    </row>
    <row r="1680" spans="1:3" x14ac:dyDescent="0.2">
      <c r="A1680" s="1"/>
      <c r="C1680" s="2"/>
    </row>
    <row r="1681" spans="1:3" x14ac:dyDescent="0.2">
      <c r="A1681" s="1"/>
      <c r="C1681" s="2"/>
    </row>
    <row r="1682" spans="1:3" x14ac:dyDescent="0.2">
      <c r="A1682" s="1"/>
      <c r="C1682" s="2"/>
    </row>
    <row r="1683" spans="1:3" x14ac:dyDescent="0.2">
      <c r="A1683" s="1"/>
      <c r="C1683" s="2"/>
    </row>
    <row r="1684" spans="1:3" x14ac:dyDescent="0.2">
      <c r="A1684" s="1"/>
      <c r="C1684" s="2"/>
    </row>
    <row r="1685" spans="1:3" x14ac:dyDescent="0.2">
      <c r="A1685" s="1"/>
      <c r="C1685" s="2"/>
    </row>
    <row r="1686" spans="1:3" x14ac:dyDescent="0.2">
      <c r="A1686" s="1"/>
      <c r="C1686" s="2"/>
    </row>
    <row r="1687" spans="1:3" x14ac:dyDescent="0.2">
      <c r="A1687" s="1"/>
      <c r="C1687" s="2"/>
    </row>
    <row r="1688" spans="1:3" x14ac:dyDescent="0.2">
      <c r="A1688" s="1"/>
      <c r="C1688" s="2"/>
    </row>
    <row r="1689" spans="1:3" x14ac:dyDescent="0.2">
      <c r="A1689" s="1"/>
      <c r="C1689" s="2"/>
    </row>
    <row r="1690" spans="1:3" x14ac:dyDescent="0.2">
      <c r="A1690" s="1"/>
      <c r="C1690" s="2"/>
    </row>
    <row r="1691" spans="1:3" x14ac:dyDescent="0.2">
      <c r="A1691" s="1"/>
      <c r="C1691" s="2"/>
    </row>
    <row r="1692" spans="1:3" x14ac:dyDescent="0.2">
      <c r="A1692" s="1"/>
      <c r="C1692" s="2"/>
    </row>
    <row r="1693" spans="1:3" x14ac:dyDescent="0.2">
      <c r="A1693" s="1"/>
      <c r="C1693" s="2"/>
    </row>
    <row r="1694" spans="1:3" x14ac:dyDescent="0.2">
      <c r="A1694" s="1"/>
      <c r="C1694" s="2"/>
    </row>
    <row r="1695" spans="1:3" x14ac:dyDescent="0.2">
      <c r="A1695" s="1"/>
      <c r="C1695" s="2"/>
    </row>
    <row r="1696" spans="1:3" x14ac:dyDescent="0.2">
      <c r="A1696" s="1"/>
      <c r="C1696" s="2"/>
    </row>
    <row r="1697" spans="1:3" x14ac:dyDescent="0.2">
      <c r="A1697" s="1"/>
      <c r="C1697" s="2"/>
    </row>
    <row r="1698" spans="1:3" x14ac:dyDescent="0.2">
      <c r="A1698" s="1"/>
      <c r="C1698" s="2"/>
    </row>
    <row r="1699" spans="1:3" x14ac:dyDescent="0.2">
      <c r="A1699" s="1"/>
      <c r="C1699" s="2"/>
    </row>
    <row r="1700" spans="1:3" x14ac:dyDescent="0.2">
      <c r="A1700" s="1"/>
      <c r="C1700" s="2"/>
    </row>
    <row r="1701" spans="1:3" x14ac:dyDescent="0.2">
      <c r="A1701" s="1"/>
      <c r="C1701" s="2"/>
    </row>
    <row r="1702" spans="1:3" x14ac:dyDescent="0.2">
      <c r="A1702" s="1"/>
      <c r="C1702" s="2"/>
    </row>
    <row r="1703" spans="1:3" x14ac:dyDescent="0.2">
      <c r="A1703" s="1"/>
      <c r="C1703" s="2"/>
    </row>
    <row r="1704" spans="1:3" x14ac:dyDescent="0.2">
      <c r="A1704" s="1"/>
      <c r="C1704" s="2"/>
    </row>
    <row r="1705" spans="1:3" x14ac:dyDescent="0.2">
      <c r="A1705" s="1"/>
      <c r="C1705" s="2"/>
    </row>
    <row r="1706" spans="1:3" x14ac:dyDescent="0.2">
      <c r="A1706" s="1"/>
      <c r="C1706" s="2"/>
    </row>
    <row r="1707" spans="1:3" x14ac:dyDescent="0.2">
      <c r="A1707" s="1"/>
      <c r="C1707" s="2"/>
    </row>
    <row r="1708" spans="1:3" x14ac:dyDescent="0.2">
      <c r="A1708" s="1"/>
      <c r="C1708" s="2"/>
    </row>
    <row r="1709" spans="1:3" x14ac:dyDescent="0.2">
      <c r="A1709" s="1"/>
      <c r="C1709" s="2"/>
    </row>
    <row r="1710" spans="1:3" x14ac:dyDescent="0.2">
      <c r="A1710" s="1"/>
      <c r="C1710" s="2"/>
    </row>
    <row r="1711" spans="1:3" x14ac:dyDescent="0.2">
      <c r="A1711" s="1"/>
      <c r="C1711" s="2"/>
    </row>
    <row r="1712" spans="1:3" x14ac:dyDescent="0.2">
      <c r="A1712" s="1"/>
      <c r="C1712" s="2"/>
    </row>
    <row r="1713" spans="1:3" x14ac:dyDescent="0.2">
      <c r="A1713" s="1"/>
      <c r="C1713" s="2"/>
    </row>
    <row r="1714" spans="1:3" x14ac:dyDescent="0.2">
      <c r="A1714" s="1"/>
      <c r="C1714" s="2"/>
    </row>
    <row r="1715" spans="1:3" x14ac:dyDescent="0.2">
      <c r="A1715" s="1"/>
      <c r="C1715" s="2"/>
    </row>
    <row r="1716" spans="1:3" x14ac:dyDescent="0.2">
      <c r="A1716" s="1"/>
      <c r="C1716" s="2"/>
    </row>
    <row r="1717" spans="1:3" x14ac:dyDescent="0.2">
      <c r="A1717" s="1"/>
      <c r="C1717" s="2"/>
    </row>
    <row r="1718" spans="1:3" x14ac:dyDescent="0.2">
      <c r="A1718" s="1"/>
      <c r="C1718" s="2"/>
    </row>
    <row r="1719" spans="1:3" x14ac:dyDescent="0.2">
      <c r="A1719" s="1"/>
      <c r="C1719" s="2"/>
    </row>
    <row r="1720" spans="1:3" x14ac:dyDescent="0.2">
      <c r="A1720" s="1"/>
      <c r="C1720" s="2"/>
    </row>
    <row r="1721" spans="1:3" x14ac:dyDescent="0.2">
      <c r="A1721" s="1"/>
      <c r="C1721" s="2"/>
    </row>
    <row r="1722" spans="1:3" x14ac:dyDescent="0.2">
      <c r="A1722" s="1"/>
      <c r="C1722" s="2"/>
    </row>
    <row r="1723" spans="1:3" x14ac:dyDescent="0.2">
      <c r="A1723" s="1"/>
      <c r="C1723" s="2"/>
    </row>
    <row r="1724" spans="1:3" x14ac:dyDescent="0.2">
      <c r="A1724" s="1"/>
      <c r="C1724" s="2"/>
    </row>
    <row r="1725" spans="1:3" x14ac:dyDescent="0.2">
      <c r="A1725" s="1"/>
      <c r="C1725" s="2"/>
    </row>
    <row r="1726" spans="1:3" x14ac:dyDescent="0.2">
      <c r="A1726" s="1"/>
      <c r="C1726" s="2"/>
    </row>
    <row r="1727" spans="1:3" x14ac:dyDescent="0.2">
      <c r="A1727" s="1"/>
      <c r="C1727" s="2"/>
    </row>
    <row r="1728" spans="1:3" x14ac:dyDescent="0.2">
      <c r="A1728" s="1"/>
      <c r="C1728" s="2"/>
    </row>
    <row r="1729" spans="1:3" x14ac:dyDescent="0.2">
      <c r="A1729" s="1"/>
      <c r="C1729" s="2"/>
    </row>
    <row r="1730" spans="1:3" x14ac:dyDescent="0.2">
      <c r="A1730" s="1"/>
      <c r="C1730" s="2"/>
    </row>
    <row r="1731" spans="1:3" x14ac:dyDescent="0.2">
      <c r="A1731" s="1"/>
      <c r="C1731" s="2"/>
    </row>
    <row r="1732" spans="1:3" x14ac:dyDescent="0.2">
      <c r="A1732" s="1"/>
      <c r="C1732" s="2"/>
    </row>
    <row r="1733" spans="1:3" x14ac:dyDescent="0.2">
      <c r="A1733" s="1"/>
      <c r="C1733" s="2"/>
    </row>
    <row r="1734" spans="1:3" x14ac:dyDescent="0.2">
      <c r="A1734" s="1"/>
      <c r="C1734" s="2"/>
    </row>
    <row r="1735" spans="1:3" x14ac:dyDescent="0.2">
      <c r="A1735" s="1"/>
      <c r="C1735" s="2"/>
    </row>
    <row r="1736" spans="1:3" x14ac:dyDescent="0.2">
      <c r="A1736" s="1"/>
      <c r="C1736" s="2"/>
    </row>
    <row r="1737" spans="1:3" x14ac:dyDescent="0.2">
      <c r="A1737" s="1"/>
      <c r="C1737" s="2"/>
    </row>
    <row r="1738" spans="1:3" x14ac:dyDescent="0.2">
      <c r="A1738" s="1"/>
      <c r="C1738" s="2"/>
    </row>
    <row r="1739" spans="1:3" x14ac:dyDescent="0.2">
      <c r="A1739" s="1"/>
      <c r="C1739" s="2"/>
    </row>
    <row r="1740" spans="1:3" x14ac:dyDescent="0.2">
      <c r="A1740" s="1"/>
      <c r="C1740" s="2"/>
    </row>
    <row r="1741" spans="1:3" x14ac:dyDescent="0.2">
      <c r="A1741" s="1"/>
      <c r="C1741" s="2"/>
    </row>
    <row r="1742" spans="1:3" x14ac:dyDescent="0.2">
      <c r="A1742" s="1"/>
      <c r="C1742" s="2"/>
    </row>
    <row r="1743" spans="1:3" x14ac:dyDescent="0.2">
      <c r="A1743" s="1"/>
      <c r="C1743" s="2"/>
    </row>
    <row r="1744" spans="1:3" x14ac:dyDescent="0.2">
      <c r="A1744" s="1"/>
      <c r="C1744" s="2"/>
    </row>
    <row r="1745" spans="1:3" x14ac:dyDescent="0.2">
      <c r="A1745" s="1"/>
      <c r="C1745" s="2"/>
    </row>
    <row r="1746" spans="1:3" x14ac:dyDescent="0.2">
      <c r="A1746" s="1"/>
      <c r="C1746" s="2"/>
    </row>
    <row r="1747" spans="1:3" x14ac:dyDescent="0.2">
      <c r="A1747" s="1"/>
      <c r="C1747" s="2"/>
    </row>
    <row r="1748" spans="1:3" x14ac:dyDescent="0.2">
      <c r="A1748" s="1"/>
      <c r="C1748" s="2"/>
    </row>
    <row r="1749" spans="1:3" x14ac:dyDescent="0.2">
      <c r="A1749" s="1"/>
      <c r="C1749" s="2"/>
    </row>
    <row r="1750" spans="1:3" x14ac:dyDescent="0.2">
      <c r="A1750" s="1"/>
      <c r="C1750" s="2"/>
    </row>
    <row r="1751" spans="1:3" x14ac:dyDescent="0.2">
      <c r="A1751" s="1"/>
      <c r="C1751" s="2"/>
    </row>
    <row r="1752" spans="1:3" x14ac:dyDescent="0.2">
      <c r="A1752" s="1"/>
      <c r="C1752" s="2"/>
    </row>
    <row r="1753" spans="1:3" x14ac:dyDescent="0.2">
      <c r="A1753" s="1"/>
      <c r="C1753" s="2"/>
    </row>
    <row r="1754" spans="1:3" x14ac:dyDescent="0.2">
      <c r="A1754" s="1"/>
      <c r="C1754" s="2"/>
    </row>
    <row r="1755" spans="1:3" x14ac:dyDescent="0.2">
      <c r="A1755" s="1"/>
      <c r="C1755" s="2"/>
    </row>
    <row r="1756" spans="1:3" x14ac:dyDescent="0.2">
      <c r="A1756" s="1"/>
      <c r="C1756" s="2"/>
    </row>
    <row r="1757" spans="1:3" x14ac:dyDescent="0.2">
      <c r="A1757" s="1"/>
      <c r="C1757" s="2"/>
    </row>
    <row r="1758" spans="1:3" x14ac:dyDescent="0.2">
      <c r="A1758" s="1"/>
      <c r="C1758" s="2"/>
    </row>
    <row r="1759" spans="1:3" x14ac:dyDescent="0.2">
      <c r="A1759" s="1"/>
      <c r="C1759" s="2"/>
    </row>
    <row r="1760" spans="1:3" x14ac:dyDescent="0.2">
      <c r="A1760" s="1"/>
      <c r="C1760" s="2"/>
    </row>
    <row r="1761" spans="1:3" x14ac:dyDescent="0.2">
      <c r="A1761" s="1"/>
      <c r="C1761" s="2"/>
    </row>
    <row r="1762" spans="1:3" x14ac:dyDescent="0.2">
      <c r="A1762" s="1"/>
      <c r="C1762" s="2"/>
    </row>
    <row r="1763" spans="1:3" x14ac:dyDescent="0.2">
      <c r="A1763" s="1"/>
      <c r="C1763" s="2"/>
    </row>
    <row r="1764" spans="1:3" x14ac:dyDescent="0.2">
      <c r="A1764" s="1"/>
      <c r="C1764" s="2"/>
    </row>
    <row r="1765" spans="1:3" x14ac:dyDescent="0.2">
      <c r="A1765" s="1"/>
      <c r="C1765" s="2"/>
    </row>
    <row r="1766" spans="1:3" x14ac:dyDescent="0.2">
      <c r="A1766" s="1"/>
      <c r="C1766" s="2"/>
    </row>
    <row r="1767" spans="1:3" x14ac:dyDescent="0.2">
      <c r="A1767" s="1"/>
      <c r="C1767" s="2"/>
    </row>
    <row r="1768" spans="1:3" x14ac:dyDescent="0.2">
      <c r="A1768" s="1"/>
      <c r="C1768" s="2"/>
    </row>
    <row r="1769" spans="1:3" x14ac:dyDescent="0.2">
      <c r="A1769" s="1"/>
      <c r="C1769" s="2"/>
    </row>
    <row r="1770" spans="1:3" x14ac:dyDescent="0.2">
      <c r="A1770" s="1"/>
      <c r="C1770" s="2"/>
    </row>
    <row r="1771" spans="1:3" x14ac:dyDescent="0.2">
      <c r="A1771" s="1"/>
      <c r="C1771" s="2"/>
    </row>
    <row r="1772" spans="1:3" x14ac:dyDescent="0.2">
      <c r="A1772" s="1"/>
      <c r="C1772" s="2"/>
    </row>
    <row r="1773" spans="1:3" x14ac:dyDescent="0.2">
      <c r="A1773" s="1"/>
      <c r="C1773" s="2"/>
    </row>
    <row r="1774" spans="1:3" x14ac:dyDescent="0.2">
      <c r="A1774" s="1"/>
      <c r="C1774" s="2"/>
    </row>
    <row r="1775" spans="1:3" x14ac:dyDescent="0.2">
      <c r="A1775" s="1"/>
      <c r="C1775" s="2"/>
    </row>
    <row r="1776" spans="1:3" x14ac:dyDescent="0.2">
      <c r="A1776" s="1"/>
      <c r="C1776" s="2"/>
    </row>
    <row r="1777" spans="1:3" x14ac:dyDescent="0.2">
      <c r="A1777" s="1"/>
      <c r="C1777" s="2"/>
    </row>
    <row r="1778" spans="1:3" x14ac:dyDescent="0.2">
      <c r="A1778" s="1"/>
      <c r="C1778" s="2"/>
    </row>
    <row r="1779" spans="1:3" x14ac:dyDescent="0.2">
      <c r="A1779" s="1"/>
      <c r="C1779" s="2"/>
    </row>
    <row r="1780" spans="1:3" x14ac:dyDescent="0.2">
      <c r="A1780" s="1"/>
      <c r="C1780" s="2"/>
    </row>
    <row r="1781" spans="1:3" x14ac:dyDescent="0.2">
      <c r="A1781" s="1"/>
      <c r="C1781" s="2"/>
    </row>
    <row r="1782" spans="1:3" x14ac:dyDescent="0.2">
      <c r="A1782" s="1"/>
      <c r="C1782" s="2"/>
    </row>
    <row r="1783" spans="1:3" x14ac:dyDescent="0.2">
      <c r="A1783" s="1"/>
      <c r="C1783" s="2"/>
    </row>
    <row r="1784" spans="1:3" x14ac:dyDescent="0.2">
      <c r="A1784" s="1"/>
      <c r="C1784" s="2"/>
    </row>
    <row r="1785" spans="1:3" x14ac:dyDescent="0.2">
      <c r="A1785" s="1"/>
      <c r="C1785" s="2"/>
    </row>
    <row r="1786" spans="1:3" x14ac:dyDescent="0.2">
      <c r="A1786" s="1"/>
      <c r="C1786" s="2"/>
    </row>
    <row r="1787" spans="1:3" x14ac:dyDescent="0.2">
      <c r="A1787" s="1"/>
      <c r="C1787" s="2"/>
    </row>
    <row r="1788" spans="1:3" x14ac:dyDescent="0.2">
      <c r="A1788" s="1"/>
      <c r="C1788" s="2"/>
    </row>
    <row r="1789" spans="1:3" x14ac:dyDescent="0.2">
      <c r="A1789" s="1"/>
      <c r="C1789" s="2"/>
    </row>
    <row r="1790" spans="1:3" x14ac:dyDescent="0.2">
      <c r="A1790" s="1"/>
      <c r="C1790" s="2"/>
    </row>
    <row r="1791" spans="1:3" x14ac:dyDescent="0.2">
      <c r="A1791" s="1"/>
      <c r="C1791" s="2"/>
    </row>
    <row r="1792" spans="1:3" x14ac:dyDescent="0.2">
      <c r="A1792" s="1"/>
      <c r="C1792" s="2"/>
    </row>
    <row r="1793" spans="1:3" x14ac:dyDescent="0.2">
      <c r="A1793" s="1"/>
      <c r="C1793" s="2"/>
    </row>
    <row r="1794" spans="1:3" x14ac:dyDescent="0.2">
      <c r="A1794" s="1"/>
      <c r="C1794" s="2"/>
    </row>
    <row r="1795" spans="1:3" x14ac:dyDescent="0.2">
      <c r="A1795" s="1"/>
      <c r="C1795" s="2"/>
    </row>
    <row r="1796" spans="1:3" x14ac:dyDescent="0.2">
      <c r="A1796" s="1"/>
      <c r="C1796" s="2"/>
    </row>
    <row r="1797" spans="1:3" x14ac:dyDescent="0.2">
      <c r="A1797" s="1"/>
      <c r="C1797" s="2"/>
    </row>
    <row r="1798" spans="1:3" x14ac:dyDescent="0.2">
      <c r="A1798" s="1"/>
      <c r="C1798" s="2"/>
    </row>
    <row r="1799" spans="1:3" x14ac:dyDescent="0.2">
      <c r="A1799" s="1"/>
      <c r="C1799" s="2"/>
    </row>
    <row r="1800" spans="1:3" x14ac:dyDescent="0.2">
      <c r="A1800" s="1"/>
      <c r="C1800" s="2"/>
    </row>
    <row r="1801" spans="1:3" x14ac:dyDescent="0.2">
      <c r="A1801" s="1"/>
      <c r="C1801" s="2"/>
    </row>
    <row r="1802" spans="1:3" x14ac:dyDescent="0.2">
      <c r="A1802" s="1"/>
      <c r="C1802" s="2"/>
    </row>
    <row r="1803" spans="1:3" x14ac:dyDescent="0.2">
      <c r="A1803" s="1"/>
      <c r="C1803" s="2"/>
    </row>
    <row r="1804" spans="1:3" x14ac:dyDescent="0.2">
      <c r="A1804" s="1"/>
      <c r="C1804" s="2"/>
    </row>
    <row r="1805" spans="1:3" x14ac:dyDescent="0.2">
      <c r="A1805" s="1"/>
      <c r="C1805" s="2"/>
    </row>
    <row r="1806" spans="1:3" x14ac:dyDescent="0.2">
      <c r="A1806" s="1"/>
      <c r="C1806" s="2"/>
    </row>
    <row r="1807" spans="1:3" x14ac:dyDescent="0.2">
      <c r="A1807" s="1"/>
      <c r="C1807" s="2"/>
    </row>
    <row r="1808" spans="1:3" x14ac:dyDescent="0.2">
      <c r="A1808" s="1"/>
      <c r="C1808" s="2"/>
    </row>
    <row r="1809" spans="1:3" x14ac:dyDescent="0.2">
      <c r="A1809" s="1"/>
      <c r="C1809" s="2"/>
    </row>
    <row r="1810" spans="1:3" x14ac:dyDescent="0.2">
      <c r="A1810" s="1"/>
      <c r="C1810" s="2"/>
    </row>
    <row r="1811" spans="1:3" x14ac:dyDescent="0.2">
      <c r="A1811" s="1"/>
      <c r="C1811" s="2"/>
    </row>
    <row r="1812" spans="1:3" x14ac:dyDescent="0.2">
      <c r="A1812" s="1"/>
      <c r="C1812" s="2"/>
    </row>
    <row r="1813" spans="1:3" x14ac:dyDescent="0.2">
      <c r="A1813" s="1"/>
      <c r="C1813" s="2"/>
    </row>
    <row r="1814" spans="1:3" x14ac:dyDescent="0.2">
      <c r="A1814" s="1"/>
      <c r="C1814" s="2"/>
    </row>
    <row r="1815" spans="1:3" x14ac:dyDescent="0.2">
      <c r="A1815" s="1"/>
      <c r="C1815" s="2"/>
    </row>
    <row r="1816" spans="1:3" x14ac:dyDescent="0.2">
      <c r="A1816" s="1"/>
      <c r="C1816" s="2"/>
    </row>
    <row r="1817" spans="1:3" x14ac:dyDescent="0.2">
      <c r="A1817" s="1"/>
      <c r="C1817" s="2"/>
    </row>
    <row r="1818" spans="1:3" x14ac:dyDescent="0.2">
      <c r="A1818" s="1"/>
      <c r="C1818" s="2"/>
    </row>
    <row r="1819" spans="1:3" x14ac:dyDescent="0.2">
      <c r="A1819" s="1"/>
      <c r="C1819" s="2"/>
    </row>
    <row r="1820" spans="1:3" x14ac:dyDescent="0.2">
      <c r="A1820" s="1"/>
      <c r="C1820" s="2"/>
    </row>
    <row r="1821" spans="1:3" x14ac:dyDescent="0.2">
      <c r="A1821" s="1"/>
      <c r="C1821" s="2"/>
    </row>
    <row r="1822" spans="1:3" x14ac:dyDescent="0.2">
      <c r="A1822" s="1"/>
      <c r="C1822" s="2"/>
    </row>
    <row r="1823" spans="1:3" x14ac:dyDescent="0.2">
      <c r="A1823" s="1"/>
      <c r="C1823" s="2"/>
    </row>
    <row r="1824" spans="1:3" x14ac:dyDescent="0.2">
      <c r="A1824" s="1"/>
      <c r="C1824" s="2"/>
    </row>
    <row r="1825" spans="1:3" x14ac:dyDescent="0.2">
      <c r="A1825" s="1"/>
      <c r="C1825" s="2"/>
    </row>
    <row r="1826" spans="1:3" x14ac:dyDescent="0.2">
      <c r="A1826" s="1"/>
      <c r="C1826" s="2"/>
    </row>
    <row r="1827" spans="1:3" x14ac:dyDescent="0.2">
      <c r="A1827" s="1"/>
      <c r="C1827" s="2"/>
    </row>
    <row r="1828" spans="1:3" x14ac:dyDescent="0.2">
      <c r="A1828" s="1"/>
      <c r="C1828" s="2"/>
    </row>
    <row r="1829" spans="1:3" x14ac:dyDescent="0.2">
      <c r="A1829" s="1"/>
      <c r="C1829" s="2"/>
    </row>
    <row r="1830" spans="1:3" x14ac:dyDescent="0.2">
      <c r="A1830" s="1"/>
      <c r="C1830" s="2"/>
    </row>
    <row r="1831" spans="1:3" x14ac:dyDescent="0.2">
      <c r="A1831" s="1"/>
      <c r="C1831" s="2"/>
    </row>
    <row r="1832" spans="1:3" x14ac:dyDescent="0.2">
      <c r="A1832" s="1"/>
      <c r="C1832" s="2"/>
    </row>
    <row r="1833" spans="1:3" x14ac:dyDescent="0.2">
      <c r="A1833" s="1"/>
      <c r="C1833" s="2"/>
    </row>
    <row r="1834" spans="1:3" x14ac:dyDescent="0.2">
      <c r="A1834" s="1"/>
      <c r="C1834" s="2"/>
    </row>
    <row r="1835" spans="1:3" x14ac:dyDescent="0.2">
      <c r="A1835" s="1"/>
      <c r="C1835" s="2"/>
    </row>
    <row r="1836" spans="1:3" x14ac:dyDescent="0.2">
      <c r="A1836" s="1"/>
      <c r="C1836" s="2"/>
    </row>
    <row r="1837" spans="1:3" x14ac:dyDescent="0.2">
      <c r="A1837" s="1"/>
      <c r="C1837" s="2"/>
    </row>
    <row r="1838" spans="1:3" x14ac:dyDescent="0.2">
      <c r="A1838" s="1"/>
      <c r="C1838" s="2"/>
    </row>
    <row r="1839" spans="1:3" x14ac:dyDescent="0.2">
      <c r="A1839" s="1"/>
      <c r="C1839" s="2"/>
    </row>
    <row r="1840" spans="1:3" x14ac:dyDescent="0.2">
      <c r="A1840" s="1"/>
      <c r="C1840" s="2"/>
    </row>
    <row r="1841" spans="1:3" x14ac:dyDescent="0.2">
      <c r="A1841" s="1"/>
      <c r="C1841" s="2"/>
    </row>
    <row r="1842" spans="1:3" x14ac:dyDescent="0.2">
      <c r="A1842" s="1"/>
      <c r="C1842" s="2"/>
    </row>
    <row r="1843" spans="1:3" x14ac:dyDescent="0.2">
      <c r="A1843" s="1"/>
      <c r="C1843" s="2"/>
    </row>
    <row r="1844" spans="1:3" x14ac:dyDescent="0.2">
      <c r="A1844" s="1"/>
      <c r="C1844" s="2"/>
    </row>
    <row r="1845" spans="1:3" x14ac:dyDescent="0.2">
      <c r="A1845" s="1"/>
      <c r="C1845" s="2"/>
    </row>
    <row r="1846" spans="1:3" x14ac:dyDescent="0.2">
      <c r="A1846" s="1"/>
      <c r="C1846" s="2"/>
    </row>
    <row r="1847" spans="1:3" x14ac:dyDescent="0.2">
      <c r="A1847" s="1"/>
      <c r="C1847" s="2"/>
    </row>
    <row r="1848" spans="1:3" x14ac:dyDescent="0.2">
      <c r="A1848" s="1"/>
      <c r="C1848" s="2"/>
    </row>
    <row r="1849" spans="1:3" x14ac:dyDescent="0.2">
      <c r="A1849" s="1"/>
      <c r="C1849" s="2"/>
    </row>
    <row r="1850" spans="1:3" x14ac:dyDescent="0.2">
      <c r="A1850" s="1"/>
      <c r="C1850" s="2"/>
    </row>
    <row r="1851" spans="1:3" x14ac:dyDescent="0.2">
      <c r="A1851" s="1"/>
      <c r="C1851" s="2"/>
    </row>
    <row r="1852" spans="1:3" x14ac:dyDescent="0.2">
      <c r="A1852" s="1"/>
      <c r="C1852" s="2"/>
    </row>
    <row r="1853" spans="1:3" x14ac:dyDescent="0.2">
      <c r="A1853" s="1"/>
      <c r="C1853" s="2"/>
    </row>
    <row r="1854" spans="1:3" x14ac:dyDescent="0.2">
      <c r="A1854" s="1"/>
      <c r="C1854" s="2"/>
    </row>
    <row r="1855" spans="1:3" x14ac:dyDescent="0.2">
      <c r="A1855" s="1"/>
      <c r="C1855" s="2"/>
    </row>
    <row r="1856" spans="1:3" x14ac:dyDescent="0.2">
      <c r="A1856" s="1"/>
      <c r="C1856" s="2"/>
    </row>
    <row r="1857" spans="1:3" x14ac:dyDescent="0.2">
      <c r="A1857" s="1"/>
      <c r="C1857" s="2"/>
    </row>
    <row r="1858" spans="1:3" x14ac:dyDescent="0.2">
      <c r="A1858" s="1"/>
      <c r="C1858" s="2"/>
    </row>
    <row r="1859" spans="1:3" x14ac:dyDescent="0.2">
      <c r="A1859" s="1"/>
      <c r="C1859" s="2"/>
    </row>
    <row r="1860" spans="1:3" x14ac:dyDescent="0.2">
      <c r="A1860" s="1"/>
      <c r="C1860" s="2"/>
    </row>
    <row r="1861" spans="1:3" x14ac:dyDescent="0.2">
      <c r="A1861" s="1"/>
      <c r="C1861" s="2"/>
    </row>
    <row r="1862" spans="1:3" x14ac:dyDescent="0.2">
      <c r="A1862" s="1"/>
      <c r="C1862" s="2"/>
    </row>
    <row r="1863" spans="1:3" x14ac:dyDescent="0.2">
      <c r="A1863" s="1"/>
      <c r="C1863" s="2"/>
    </row>
    <row r="1864" spans="1:3" x14ac:dyDescent="0.2">
      <c r="A1864" s="1"/>
      <c r="C1864" s="2"/>
    </row>
    <row r="1865" spans="1:3" x14ac:dyDescent="0.2">
      <c r="A1865" s="1"/>
      <c r="C1865" s="2"/>
    </row>
    <row r="1866" spans="1:3" x14ac:dyDescent="0.2">
      <c r="A1866" s="1"/>
      <c r="C1866" s="2"/>
    </row>
    <row r="1867" spans="1:3" x14ac:dyDescent="0.2">
      <c r="A1867" s="1"/>
      <c r="C1867" s="2"/>
    </row>
    <row r="1868" spans="1:3" x14ac:dyDescent="0.2">
      <c r="A1868" s="1"/>
      <c r="C1868" s="2"/>
    </row>
    <row r="1869" spans="1:3" x14ac:dyDescent="0.2">
      <c r="A1869" s="1"/>
      <c r="C1869" s="2"/>
    </row>
    <row r="1870" spans="1:3" x14ac:dyDescent="0.2">
      <c r="A1870" s="1"/>
      <c r="C1870" s="2"/>
    </row>
    <row r="1871" spans="1:3" x14ac:dyDescent="0.2">
      <c r="A1871" s="1"/>
      <c r="C1871" s="2"/>
    </row>
    <row r="1872" spans="1:3" x14ac:dyDescent="0.2">
      <c r="A1872" s="1"/>
      <c r="C1872" s="2"/>
    </row>
    <row r="1873" spans="1:3" x14ac:dyDescent="0.2">
      <c r="A1873" s="1"/>
      <c r="C1873" s="2"/>
    </row>
    <row r="1874" spans="1:3" x14ac:dyDescent="0.2">
      <c r="A1874" s="1"/>
      <c r="C1874" s="2"/>
    </row>
    <row r="1875" spans="1:3" x14ac:dyDescent="0.2">
      <c r="A1875" s="1"/>
      <c r="C1875" s="2"/>
    </row>
    <row r="1876" spans="1:3" x14ac:dyDescent="0.2">
      <c r="A1876" s="1"/>
      <c r="C1876" s="2"/>
    </row>
    <row r="1877" spans="1:3" x14ac:dyDescent="0.2">
      <c r="A1877" s="1"/>
      <c r="C1877" s="2"/>
    </row>
    <row r="1878" spans="1:3" x14ac:dyDescent="0.2">
      <c r="A1878" s="1"/>
      <c r="C1878" s="2"/>
    </row>
    <row r="1879" spans="1:3" x14ac:dyDescent="0.2">
      <c r="A1879" s="1"/>
      <c r="C1879" s="2"/>
    </row>
    <row r="1880" spans="1:3" x14ac:dyDescent="0.2">
      <c r="A1880" s="1"/>
      <c r="C1880" s="2"/>
    </row>
    <row r="1881" spans="1:3" x14ac:dyDescent="0.2">
      <c r="A1881" s="1"/>
      <c r="C1881" s="2"/>
    </row>
    <row r="1882" spans="1:3" x14ac:dyDescent="0.2">
      <c r="A1882" s="1"/>
      <c r="C1882" s="2"/>
    </row>
    <row r="1883" spans="1:3" x14ac:dyDescent="0.2">
      <c r="A1883" s="1"/>
      <c r="C1883" s="2"/>
    </row>
    <row r="1884" spans="1:3" x14ac:dyDescent="0.2">
      <c r="A1884" s="1"/>
      <c r="C1884" s="2"/>
    </row>
    <row r="1885" spans="1:3" x14ac:dyDescent="0.2">
      <c r="A1885" s="1"/>
      <c r="C1885" s="2"/>
    </row>
    <row r="1886" spans="1:3" x14ac:dyDescent="0.2">
      <c r="A1886" s="1"/>
      <c r="C1886" s="2"/>
    </row>
    <row r="1887" spans="1:3" x14ac:dyDescent="0.2">
      <c r="A1887" s="1"/>
      <c r="C1887" s="2"/>
    </row>
    <row r="1888" spans="1:3" x14ac:dyDescent="0.2">
      <c r="A1888" s="1"/>
      <c r="C1888" s="2"/>
    </row>
    <row r="1889" spans="1:3" x14ac:dyDescent="0.2">
      <c r="A1889" s="1"/>
      <c r="C1889" s="2"/>
    </row>
    <row r="1890" spans="1:3" x14ac:dyDescent="0.2">
      <c r="A1890" s="1"/>
      <c r="C1890" s="2"/>
    </row>
    <row r="1891" spans="1:3" x14ac:dyDescent="0.2">
      <c r="A1891" s="1"/>
      <c r="C1891" s="2"/>
    </row>
    <row r="1892" spans="1:3" x14ac:dyDescent="0.2">
      <c r="A1892" s="1"/>
      <c r="C1892" s="2"/>
    </row>
    <row r="1893" spans="1:3" x14ac:dyDescent="0.2">
      <c r="A1893" s="1"/>
      <c r="C1893" s="2"/>
    </row>
    <row r="1894" spans="1:3" x14ac:dyDescent="0.2">
      <c r="A1894" s="1"/>
      <c r="C1894" s="2"/>
    </row>
    <row r="1895" spans="1:3" x14ac:dyDescent="0.2">
      <c r="A1895" s="1"/>
      <c r="C1895" s="2"/>
    </row>
    <row r="1896" spans="1:3" x14ac:dyDescent="0.2">
      <c r="A1896" s="1"/>
      <c r="C1896" s="2"/>
    </row>
    <row r="1897" spans="1:3" x14ac:dyDescent="0.2">
      <c r="A1897" s="1"/>
      <c r="C1897" s="2"/>
    </row>
    <row r="1898" spans="1:3" x14ac:dyDescent="0.2">
      <c r="A1898" s="1"/>
      <c r="C1898" s="2"/>
    </row>
    <row r="1899" spans="1:3" x14ac:dyDescent="0.2">
      <c r="A1899" s="1"/>
      <c r="C1899" s="2"/>
    </row>
    <row r="1900" spans="1:3" x14ac:dyDescent="0.2">
      <c r="A1900" s="1"/>
      <c r="C1900" s="2"/>
    </row>
    <row r="1901" spans="1:3" x14ac:dyDescent="0.2">
      <c r="A1901" s="1"/>
      <c r="C1901" s="2"/>
    </row>
    <row r="1902" spans="1:3" x14ac:dyDescent="0.2">
      <c r="A1902" s="1"/>
      <c r="C1902" s="2"/>
    </row>
    <row r="1903" spans="1:3" x14ac:dyDescent="0.2">
      <c r="A1903" s="1"/>
      <c r="C1903" s="2"/>
    </row>
    <row r="1904" spans="1:3" x14ac:dyDescent="0.2">
      <c r="A1904" s="1"/>
      <c r="C1904" s="2"/>
    </row>
    <row r="1905" spans="1:3" x14ac:dyDescent="0.2">
      <c r="A1905" s="1"/>
      <c r="C1905" s="2"/>
    </row>
    <row r="1906" spans="1:3" x14ac:dyDescent="0.2">
      <c r="A1906" s="1"/>
      <c r="C1906" s="2"/>
    </row>
    <row r="1907" spans="1:3" x14ac:dyDescent="0.2">
      <c r="A1907" s="1"/>
      <c r="C1907" s="2"/>
    </row>
    <row r="1908" spans="1:3" x14ac:dyDescent="0.2">
      <c r="A1908" s="1"/>
      <c r="C1908" s="2"/>
    </row>
    <row r="1909" spans="1:3" x14ac:dyDescent="0.2">
      <c r="A1909" s="1"/>
      <c r="C1909" s="2"/>
    </row>
    <row r="1910" spans="1:3" x14ac:dyDescent="0.2">
      <c r="A1910" s="1"/>
      <c r="C1910" s="2"/>
    </row>
    <row r="1911" spans="1:3" x14ac:dyDescent="0.2">
      <c r="A1911" s="1"/>
      <c r="C1911" s="2"/>
    </row>
    <row r="1912" spans="1:3" x14ac:dyDescent="0.2">
      <c r="A1912" s="1"/>
      <c r="C1912" s="2"/>
    </row>
    <row r="1913" spans="1:3" x14ac:dyDescent="0.2">
      <c r="A1913" s="1"/>
      <c r="C1913" s="2"/>
    </row>
    <row r="1914" spans="1:3" x14ac:dyDescent="0.2">
      <c r="A1914" s="1"/>
      <c r="C1914" s="2"/>
    </row>
    <row r="1915" spans="1:3" x14ac:dyDescent="0.2">
      <c r="A1915" s="1"/>
      <c r="C1915" s="2"/>
    </row>
    <row r="1916" spans="1:3" x14ac:dyDescent="0.2">
      <c r="A1916" s="1"/>
      <c r="C1916" s="2"/>
    </row>
    <row r="1917" spans="1:3" x14ac:dyDescent="0.2">
      <c r="A1917" s="1"/>
      <c r="C1917" s="2"/>
    </row>
    <row r="1918" spans="1:3" x14ac:dyDescent="0.2">
      <c r="A1918" s="1"/>
      <c r="C1918" s="2"/>
    </row>
    <row r="1919" spans="1:3" x14ac:dyDescent="0.2">
      <c r="A1919" s="1"/>
      <c r="C1919" s="2"/>
    </row>
    <row r="1920" spans="1:3" x14ac:dyDescent="0.2">
      <c r="A1920" s="1"/>
      <c r="C1920" s="2"/>
    </row>
    <row r="1921" spans="1:3" x14ac:dyDescent="0.2">
      <c r="A1921" s="1"/>
      <c r="C1921" s="2"/>
    </row>
    <row r="1922" spans="1:3" x14ac:dyDescent="0.2">
      <c r="A1922" s="1"/>
      <c r="C1922" s="2"/>
    </row>
    <row r="1923" spans="1:3" x14ac:dyDescent="0.2">
      <c r="A1923" s="1"/>
      <c r="C1923" s="2"/>
    </row>
    <row r="1924" spans="1:3" x14ac:dyDescent="0.2">
      <c r="A1924" s="1"/>
      <c r="C1924" s="2"/>
    </row>
    <row r="1925" spans="1:3" x14ac:dyDescent="0.2">
      <c r="A1925" s="1"/>
      <c r="C1925" s="2"/>
    </row>
    <row r="1926" spans="1:3" x14ac:dyDescent="0.2">
      <c r="A1926" s="1"/>
      <c r="C1926" s="2"/>
    </row>
    <row r="1927" spans="1:3" x14ac:dyDescent="0.2">
      <c r="A1927" s="1"/>
      <c r="C1927" s="2"/>
    </row>
    <row r="1928" spans="1:3" x14ac:dyDescent="0.2">
      <c r="A1928" s="1"/>
      <c r="C1928" s="2"/>
    </row>
    <row r="1929" spans="1:3" x14ac:dyDescent="0.2">
      <c r="A1929" s="1"/>
      <c r="C1929" s="2"/>
    </row>
    <row r="1930" spans="1:3" x14ac:dyDescent="0.2">
      <c r="A1930" s="1"/>
      <c r="C1930" s="2"/>
    </row>
    <row r="1931" spans="1:3" x14ac:dyDescent="0.2">
      <c r="A1931" s="1"/>
      <c r="C1931" s="2"/>
    </row>
    <row r="1932" spans="1:3" x14ac:dyDescent="0.2">
      <c r="A1932" s="1"/>
      <c r="C1932" s="2"/>
    </row>
    <row r="1933" spans="1:3" x14ac:dyDescent="0.2">
      <c r="A1933" s="1"/>
      <c r="C1933" s="2"/>
    </row>
    <row r="1934" spans="1:3" x14ac:dyDescent="0.2">
      <c r="A1934" s="1"/>
      <c r="C1934" s="2"/>
    </row>
    <row r="1935" spans="1:3" x14ac:dyDescent="0.2">
      <c r="A1935" s="1"/>
      <c r="C1935" s="2"/>
    </row>
    <row r="1936" spans="1:3" x14ac:dyDescent="0.2">
      <c r="A1936" s="1"/>
      <c r="C1936" s="2"/>
    </row>
    <row r="1937" spans="1:3" x14ac:dyDescent="0.2">
      <c r="A1937" s="1"/>
      <c r="C1937" s="2"/>
    </row>
    <row r="1938" spans="1:3" x14ac:dyDescent="0.2">
      <c r="A1938" s="1"/>
      <c r="C1938" s="2"/>
    </row>
    <row r="1939" spans="1:3" x14ac:dyDescent="0.2">
      <c r="A1939" s="1"/>
      <c r="C1939" s="2"/>
    </row>
    <row r="1940" spans="1:3" x14ac:dyDescent="0.2">
      <c r="A1940" s="1"/>
      <c r="C1940" s="2"/>
    </row>
    <row r="1941" spans="1:3" x14ac:dyDescent="0.2">
      <c r="A1941" s="1"/>
      <c r="C1941" s="2"/>
    </row>
    <row r="1942" spans="1:3" x14ac:dyDescent="0.2">
      <c r="A1942" s="1"/>
      <c r="C1942" s="2"/>
    </row>
    <row r="1943" spans="1:3" x14ac:dyDescent="0.2">
      <c r="A1943" s="1"/>
      <c r="C1943" s="2"/>
    </row>
    <row r="1944" spans="1:3" x14ac:dyDescent="0.2">
      <c r="A1944" s="1"/>
      <c r="C1944" s="2"/>
    </row>
    <row r="1945" spans="1:3" x14ac:dyDescent="0.2">
      <c r="A1945" s="1"/>
      <c r="C1945" s="2"/>
    </row>
    <row r="1946" spans="1:3" x14ac:dyDescent="0.2">
      <c r="A1946" s="1"/>
      <c r="C1946" s="2"/>
    </row>
    <row r="1947" spans="1:3" x14ac:dyDescent="0.2">
      <c r="A1947" s="1"/>
      <c r="C1947" s="2"/>
    </row>
    <row r="1948" spans="1:3" x14ac:dyDescent="0.2">
      <c r="A1948" s="1"/>
      <c r="C1948" s="2"/>
    </row>
    <row r="1949" spans="1:3" x14ac:dyDescent="0.2">
      <c r="A1949" s="1"/>
      <c r="C1949" s="2"/>
    </row>
    <row r="1950" spans="1:3" x14ac:dyDescent="0.2">
      <c r="A1950" s="1"/>
      <c r="C1950" s="2"/>
    </row>
    <row r="1951" spans="1:3" x14ac:dyDescent="0.2">
      <c r="A1951" s="1"/>
      <c r="C1951" s="2"/>
    </row>
    <row r="1952" spans="1:3" x14ac:dyDescent="0.2">
      <c r="A1952" s="1"/>
      <c r="C1952" s="2"/>
    </row>
    <row r="1953" spans="1:3" x14ac:dyDescent="0.2">
      <c r="A1953" s="1"/>
      <c r="C1953" s="2"/>
    </row>
    <row r="1954" spans="1:3" x14ac:dyDescent="0.2">
      <c r="A1954" s="1"/>
      <c r="C1954" s="2"/>
    </row>
    <row r="1955" spans="1:3" x14ac:dyDescent="0.2">
      <c r="A1955" s="1"/>
      <c r="C1955" s="2"/>
    </row>
    <row r="1956" spans="1:3" x14ac:dyDescent="0.2">
      <c r="A1956" s="1"/>
      <c r="C1956" s="2"/>
    </row>
    <row r="1957" spans="1:3" x14ac:dyDescent="0.2">
      <c r="A1957" s="1"/>
      <c r="C1957" s="2"/>
    </row>
    <row r="1958" spans="1:3" x14ac:dyDescent="0.2">
      <c r="A1958" s="1"/>
      <c r="C1958" s="2"/>
    </row>
    <row r="1959" spans="1:3" x14ac:dyDescent="0.2">
      <c r="A1959" s="1"/>
      <c r="C1959" s="2"/>
    </row>
    <row r="1960" spans="1:3" x14ac:dyDescent="0.2">
      <c r="A1960" s="1"/>
      <c r="C1960" s="2"/>
    </row>
    <row r="1961" spans="1:3" x14ac:dyDescent="0.2">
      <c r="A1961" s="1"/>
      <c r="C1961" s="2"/>
    </row>
    <row r="1962" spans="1:3" x14ac:dyDescent="0.2">
      <c r="A1962" s="1"/>
      <c r="C1962" s="2"/>
    </row>
    <row r="1963" spans="1:3" x14ac:dyDescent="0.2">
      <c r="A1963" s="1"/>
      <c r="C1963" s="2"/>
    </row>
    <row r="1964" spans="1:3" x14ac:dyDescent="0.2">
      <c r="A1964" s="1"/>
      <c r="C1964" s="2"/>
    </row>
    <row r="1965" spans="1:3" x14ac:dyDescent="0.2">
      <c r="A1965" s="1"/>
      <c r="C1965" s="2"/>
    </row>
    <row r="1966" spans="1:3" x14ac:dyDescent="0.2">
      <c r="A1966" s="1"/>
      <c r="C1966" s="2"/>
    </row>
    <row r="1967" spans="1:3" x14ac:dyDescent="0.2">
      <c r="A1967" s="1"/>
      <c r="C1967" s="2"/>
    </row>
    <row r="1968" spans="1:3" x14ac:dyDescent="0.2">
      <c r="A1968" s="1"/>
      <c r="C1968" s="2"/>
    </row>
    <row r="1969" spans="1:3" x14ac:dyDescent="0.2">
      <c r="A1969" s="1"/>
      <c r="C1969" s="2"/>
    </row>
    <row r="1970" spans="1:3" x14ac:dyDescent="0.2">
      <c r="A1970" s="1"/>
      <c r="C1970" s="2"/>
    </row>
    <row r="1971" spans="1:3" x14ac:dyDescent="0.2">
      <c r="A1971" s="1"/>
      <c r="C1971" s="2"/>
    </row>
    <row r="1972" spans="1:3" x14ac:dyDescent="0.2">
      <c r="A1972" s="1"/>
      <c r="C1972" s="2"/>
    </row>
    <row r="1973" spans="1:3" x14ac:dyDescent="0.2">
      <c r="A1973" s="1"/>
      <c r="C1973" s="2"/>
    </row>
    <row r="1974" spans="1:3" x14ac:dyDescent="0.2">
      <c r="A1974" s="1"/>
      <c r="C1974" s="2"/>
    </row>
    <row r="1975" spans="1:3" x14ac:dyDescent="0.2">
      <c r="A1975" s="1"/>
      <c r="C1975" s="2"/>
    </row>
    <row r="1976" spans="1:3" x14ac:dyDescent="0.2">
      <c r="A1976" s="1"/>
      <c r="C1976" s="2"/>
    </row>
    <row r="1977" spans="1:3" x14ac:dyDescent="0.2">
      <c r="A1977" s="1"/>
      <c r="C1977" s="2"/>
    </row>
    <row r="1978" spans="1:3" x14ac:dyDescent="0.2">
      <c r="A1978" s="1"/>
      <c r="C1978" s="2"/>
    </row>
    <row r="1979" spans="1:3" x14ac:dyDescent="0.2">
      <c r="A1979" s="1"/>
      <c r="C1979" s="2"/>
    </row>
    <row r="1980" spans="1:3" x14ac:dyDescent="0.2">
      <c r="A1980" s="1"/>
      <c r="C1980" s="2"/>
    </row>
    <row r="1981" spans="1:3" x14ac:dyDescent="0.2">
      <c r="A1981" s="1"/>
      <c r="C1981" s="2"/>
    </row>
    <row r="1982" spans="1:3" x14ac:dyDescent="0.2">
      <c r="A1982" s="1"/>
      <c r="C1982" s="2"/>
    </row>
    <row r="1983" spans="1:3" x14ac:dyDescent="0.2">
      <c r="A1983" s="1"/>
      <c r="C1983" s="2"/>
    </row>
    <row r="1984" spans="1:3" x14ac:dyDescent="0.2">
      <c r="A1984" s="1"/>
      <c r="C1984" s="2"/>
    </row>
    <row r="1985" spans="1:3" x14ac:dyDescent="0.2">
      <c r="A1985" s="1"/>
      <c r="C1985" s="2"/>
    </row>
    <row r="1986" spans="1:3" x14ac:dyDescent="0.2">
      <c r="A1986" s="1"/>
      <c r="C1986" s="2"/>
    </row>
    <row r="1987" spans="1:3" x14ac:dyDescent="0.2">
      <c r="A1987" s="1"/>
      <c r="C1987" s="2"/>
    </row>
    <row r="1988" spans="1:3" x14ac:dyDescent="0.2">
      <c r="A1988" s="1"/>
      <c r="C1988" s="2"/>
    </row>
    <row r="1989" spans="1:3" x14ac:dyDescent="0.2">
      <c r="A1989" s="1"/>
      <c r="C1989" s="2"/>
    </row>
    <row r="1990" spans="1:3" x14ac:dyDescent="0.2">
      <c r="A1990" s="1"/>
      <c r="C1990" s="2"/>
    </row>
    <row r="1991" spans="1:3" x14ac:dyDescent="0.2">
      <c r="A1991" s="1"/>
      <c r="C1991" s="2"/>
    </row>
    <row r="1992" spans="1:3" x14ac:dyDescent="0.2">
      <c r="A1992" s="1"/>
      <c r="C1992" s="2"/>
    </row>
    <row r="1993" spans="1:3" x14ac:dyDescent="0.2">
      <c r="A1993" s="1"/>
      <c r="C1993" s="2"/>
    </row>
    <row r="1994" spans="1:3" x14ac:dyDescent="0.2">
      <c r="A1994" s="1"/>
      <c r="C1994" s="2"/>
    </row>
    <row r="1995" spans="1:3" x14ac:dyDescent="0.2">
      <c r="A1995" s="1"/>
      <c r="C1995" s="2"/>
    </row>
    <row r="1996" spans="1:3" x14ac:dyDescent="0.2">
      <c r="A1996" s="1"/>
      <c r="C1996" s="2"/>
    </row>
    <row r="1997" spans="1:3" x14ac:dyDescent="0.2">
      <c r="A1997" s="1"/>
      <c r="C1997" s="2"/>
    </row>
    <row r="1998" spans="1:3" x14ac:dyDescent="0.2">
      <c r="A1998" s="1"/>
      <c r="C1998" s="2"/>
    </row>
    <row r="1999" spans="1:3" x14ac:dyDescent="0.2">
      <c r="A1999" s="1"/>
      <c r="C1999" s="2"/>
    </row>
    <row r="2000" spans="1:3" x14ac:dyDescent="0.2">
      <c r="A2000" s="1"/>
      <c r="C2000" s="2"/>
    </row>
    <row r="2001" spans="1:3" x14ac:dyDescent="0.2">
      <c r="A2001" s="1"/>
      <c r="C2001" s="2"/>
    </row>
    <row r="2002" spans="1:3" x14ac:dyDescent="0.2">
      <c r="A2002" s="1"/>
      <c r="C2002" s="2"/>
    </row>
    <row r="2003" spans="1:3" x14ac:dyDescent="0.2">
      <c r="A2003" s="1"/>
      <c r="C2003" s="2"/>
    </row>
    <row r="2004" spans="1:3" x14ac:dyDescent="0.2">
      <c r="A2004" s="1"/>
      <c r="C2004" s="2"/>
    </row>
    <row r="2005" spans="1:3" x14ac:dyDescent="0.2">
      <c r="A2005" s="1"/>
      <c r="C2005" s="2"/>
    </row>
    <row r="2006" spans="1:3" x14ac:dyDescent="0.2">
      <c r="A2006" s="1"/>
      <c r="C2006" s="2"/>
    </row>
    <row r="2007" spans="1:3" x14ac:dyDescent="0.2">
      <c r="A2007" s="1"/>
      <c r="C2007" s="2"/>
    </row>
    <row r="2008" spans="1:3" x14ac:dyDescent="0.2">
      <c r="A2008" s="1"/>
      <c r="C2008" s="2"/>
    </row>
    <row r="2009" spans="1:3" x14ac:dyDescent="0.2">
      <c r="A2009" s="1"/>
      <c r="C2009" s="2"/>
    </row>
    <row r="2010" spans="1:3" x14ac:dyDescent="0.2">
      <c r="A2010" s="1"/>
      <c r="C2010" s="2"/>
    </row>
    <row r="2011" spans="1:3" x14ac:dyDescent="0.2">
      <c r="A2011" s="1"/>
      <c r="C2011" s="2"/>
    </row>
    <row r="2012" spans="1:3" x14ac:dyDescent="0.2">
      <c r="A2012" s="1"/>
      <c r="C2012" s="2"/>
    </row>
    <row r="2013" spans="1:3" x14ac:dyDescent="0.2">
      <c r="A2013" s="1"/>
      <c r="C2013" s="2"/>
    </row>
    <row r="2014" spans="1:3" x14ac:dyDescent="0.2">
      <c r="A2014" s="1"/>
      <c r="C2014" s="2"/>
    </row>
    <row r="2015" spans="1:3" x14ac:dyDescent="0.2">
      <c r="A2015" s="1"/>
      <c r="C2015" s="2"/>
    </row>
    <row r="2016" spans="1:3" x14ac:dyDescent="0.2">
      <c r="A2016" s="1"/>
      <c r="C2016" s="2"/>
    </row>
    <row r="2017" spans="1:3" x14ac:dyDescent="0.2">
      <c r="A2017" s="1"/>
      <c r="C2017" s="2"/>
    </row>
    <row r="2018" spans="1:3" x14ac:dyDescent="0.2">
      <c r="A2018" s="1"/>
      <c r="C2018" s="2"/>
    </row>
    <row r="2019" spans="1:3" x14ac:dyDescent="0.2">
      <c r="A2019" s="1"/>
      <c r="C2019" s="2"/>
    </row>
    <row r="2020" spans="1:3" x14ac:dyDescent="0.2">
      <c r="A2020" s="1"/>
      <c r="C2020" s="2"/>
    </row>
    <row r="2021" spans="1:3" x14ac:dyDescent="0.2">
      <c r="A2021" s="1"/>
      <c r="C2021" s="2"/>
    </row>
    <row r="2022" spans="1:3" x14ac:dyDescent="0.2">
      <c r="A2022" s="1"/>
      <c r="C2022" s="2"/>
    </row>
    <row r="2023" spans="1:3" x14ac:dyDescent="0.2">
      <c r="A2023" s="1"/>
      <c r="C2023" s="2"/>
    </row>
    <row r="2024" spans="1:3" x14ac:dyDescent="0.2">
      <c r="A2024" s="1"/>
      <c r="C2024" s="2"/>
    </row>
    <row r="2025" spans="1:3" x14ac:dyDescent="0.2">
      <c r="A2025" s="1"/>
      <c r="C2025" s="2"/>
    </row>
    <row r="2026" spans="1:3" x14ac:dyDescent="0.2">
      <c r="A2026" s="1"/>
      <c r="C2026" s="2"/>
    </row>
    <row r="2027" spans="1:3" x14ac:dyDescent="0.2">
      <c r="A2027" s="1"/>
      <c r="C2027" s="2"/>
    </row>
    <row r="2028" spans="1:3" x14ac:dyDescent="0.2">
      <c r="A2028" s="1"/>
      <c r="C2028" s="2"/>
    </row>
    <row r="2029" spans="1:3" x14ac:dyDescent="0.2">
      <c r="A2029" s="1"/>
      <c r="C2029" s="2"/>
    </row>
    <row r="2030" spans="1:3" x14ac:dyDescent="0.2">
      <c r="A2030" s="1"/>
      <c r="C2030" s="2"/>
    </row>
    <row r="2031" spans="1:3" x14ac:dyDescent="0.2">
      <c r="A2031" s="1"/>
      <c r="C2031" s="2"/>
    </row>
    <row r="2032" spans="1:3" x14ac:dyDescent="0.2">
      <c r="A2032" s="1"/>
      <c r="C2032" s="2"/>
    </row>
    <row r="2033" spans="1:3" x14ac:dyDescent="0.2">
      <c r="A2033" s="1"/>
      <c r="C2033" s="2"/>
    </row>
    <row r="2034" spans="1:3" x14ac:dyDescent="0.2">
      <c r="A2034" s="1"/>
      <c r="C2034" s="2"/>
    </row>
    <row r="2035" spans="1:3" x14ac:dyDescent="0.2">
      <c r="A2035" s="1"/>
      <c r="C2035" s="2"/>
    </row>
    <row r="2036" spans="1:3" x14ac:dyDescent="0.2">
      <c r="A2036" s="1"/>
      <c r="C2036" s="2"/>
    </row>
    <row r="2037" spans="1:3" x14ac:dyDescent="0.2">
      <c r="A2037" s="1"/>
      <c r="C2037" s="2"/>
    </row>
    <row r="2038" spans="1:3" x14ac:dyDescent="0.2">
      <c r="A2038" s="1"/>
      <c r="C2038" s="2"/>
    </row>
    <row r="2039" spans="1:3" x14ac:dyDescent="0.2">
      <c r="A2039" s="1"/>
      <c r="C2039" s="2"/>
    </row>
    <row r="2040" spans="1:3" x14ac:dyDescent="0.2">
      <c r="A2040" s="1"/>
      <c r="C2040" s="2"/>
    </row>
    <row r="2041" spans="1:3" x14ac:dyDescent="0.2">
      <c r="A2041" s="1"/>
      <c r="C2041" s="2"/>
    </row>
    <row r="2042" spans="1:3" x14ac:dyDescent="0.2">
      <c r="A2042" s="1"/>
      <c r="C2042" s="2"/>
    </row>
    <row r="2043" spans="1:3" x14ac:dyDescent="0.2">
      <c r="A2043" s="1"/>
      <c r="C2043" s="2"/>
    </row>
    <row r="2044" spans="1:3" x14ac:dyDescent="0.2">
      <c r="A2044" s="1"/>
      <c r="C2044" s="2"/>
    </row>
    <row r="2045" spans="1:3" x14ac:dyDescent="0.2">
      <c r="A2045" s="1"/>
      <c r="C2045" s="2"/>
    </row>
    <row r="2046" spans="1:3" x14ac:dyDescent="0.2">
      <c r="A2046" s="1"/>
      <c r="C2046" s="2"/>
    </row>
    <row r="2047" spans="1:3" x14ac:dyDescent="0.2">
      <c r="A2047" s="1"/>
      <c r="C2047" s="2"/>
    </row>
    <row r="2048" spans="1:3" x14ac:dyDescent="0.2">
      <c r="A2048" s="1"/>
      <c r="C2048" s="2"/>
    </row>
    <row r="2049" spans="1:3" x14ac:dyDescent="0.2">
      <c r="A2049" s="1"/>
      <c r="C2049" s="2"/>
    </row>
    <row r="2050" spans="1:3" x14ac:dyDescent="0.2">
      <c r="A2050" s="1"/>
      <c r="C2050" s="2"/>
    </row>
    <row r="2051" spans="1:3" x14ac:dyDescent="0.2">
      <c r="A2051" s="1"/>
      <c r="C2051" s="2"/>
    </row>
    <row r="2052" spans="1:3" x14ac:dyDescent="0.2">
      <c r="A2052" s="1"/>
      <c r="C2052" s="2"/>
    </row>
    <row r="2053" spans="1:3" x14ac:dyDescent="0.2">
      <c r="A2053" s="1"/>
      <c r="C2053" s="2"/>
    </row>
    <row r="2054" spans="1:3" x14ac:dyDescent="0.2">
      <c r="A2054" s="1"/>
      <c r="C2054" s="2"/>
    </row>
    <row r="2055" spans="1:3" x14ac:dyDescent="0.2">
      <c r="A2055" s="1"/>
      <c r="C2055" s="2"/>
    </row>
    <row r="2056" spans="1:3" x14ac:dyDescent="0.2">
      <c r="A2056" s="1"/>
      <c r="C2056" s="2"/>
    </row>
    <row r="2057" spans="1:3" x14ac:dyDescent="0.2">
      <c r="A2057" s="1"/>
      <c r="C2057" s="2"/>
    </row>
    <row r="2058" spans="1:3" x14ac:dyDescent="0.2">
      <c r="A2058" s="1"/>
      <c r="C2058" s="2"/>
    </row>
    <row r="2059" spans="1:3" x14ac:dyDescent="0.2">
      <c r="A2059" s="1"/>
      <c r="C2059" s="2"/>
    </row>
    <row r="2060" spans="1:3" x14ac:dyDescent="0.2">
      <c r="A2060" s="1"/>
      <c r="C2060" s="2"/>
    </row>
    <row r="2061" spans="1:3" x14ac:dyDescent="0.2">
      <c r="A2061" s="1"/>
      <c r="C2061" s="2"/>
    </row>
    <row r="2062" spans="1:3" x14ac:dyDescent="0.2">
      <c r="A2062" s="1"/>
      <c r="C2062" s="2"/>
    </row>
    <row r="2063" spans="1:3" x14ac:dyDescent="0.2">
      <c r="A2063" s="1"/>
      <c r="C2063" s="2"/>
    </row>
    <row r="2064" spans="1:3" x14ac:dyDescent="0.2">
      <c r="A2064" s="1"/>
      <c r="C2064" s="2"/>
    </row>
    <row r="2065" spans="1:3" x14ac:dyDescent="0.2">
      <c r="A2065" s="1"/>
      <c r="C2065" s="2"/>
    </row>
    <row r="2066" spans="1:3" x14ac:dyDescent="0.2">
      <c r="A2066" s="1"/>
      <c r="C2066" s="2"/>
    </row>
    <row r="2067" spans="1:3" x14ac:dyDescent="0.2">
      <c r="A2067" s="1"/>
      <c r="C2067" s="2"/>
    </row>
    <row r="2068" spans="1:3" x14ac:dyDescent="0.2">
      <c r="A2068" s="1"/>
      <c r="C2068" s="2"/>
    </row>
    <row r="2069" spans="1:3" x14ac:dyDescent="0.2">
      <c r="A2069" s="1"/>
      <c r="C2069" s="2"/>
    </row>
    <row r="2070" spans="1:3" x14ac:dyDescent="0.2">
      <c r="A2070" s="1"/>
      <c r="C2070" s="2"/>
    </row>
    <row r="2071" spans="1:3" x14ac:dyDescent="0.2">
      <c r="A2071" s="1"/>
      <c r="C2071" s="2"/>
    </row>
    <row r="2072" spans="1:3" x14ac:dyDescent="0.2">
      <c r="A2072" s="1"/>
      <c r="C2072" s="2"/>
    </row>
    <row r="2073" spans="1:3" x14ac:dyDescent="0.2">
      <c r="A2073" s="1"/>
      <c r="C2073" s="2"/>
    </row>
    <row r="2074" spans="1:3" x14ac:dyDescent="0.2">
      <c r="A2074" s="1"/>
      <c r="C2074" s="2"/>
    </row>
    <row r="2075" spans="1:3" x14ac:dyDescent="0.2">
      <c r="A2075" s="1"/>
      <c r="C2075" s="2"/>
    </row>
    <row r="2076" spans="1:3" x14ac:dyDescent="0.2">
      <c r="A2076" s="1"/>
      <c r="C2076" s="2"/>
    </row>
    <row r="2077" spans="1:3" x14ac:dyDescent="0.2">
      <c r="A2077" s="1"/>
      <c r="C2077" s="2"/>
    </row>
    <row r="2078" spans="1:3" x14ac:dyDescent="0.2">
      <c r="A2078" s="1"/>
      <c r="C2078" s="2"/>
    </row>
    <row r="2079" spans="1:3" x14ac:dyDescent="0.2">
      <c r="A2079" s="1"/>
      <c r="C2079" s="2"/>
    </row>
    <row r="2080" spans="1:3" x14ac:dyDescent="0.2">
      <c r="A2080" s="1"/>
      <c r="C2080" s="2"/>
    </row>
    <row r="2081" spans="1:3" x14ac:dyDescent="0.2">
      <c r="A2081" s="1"/>
      <c r="C2081" s="2"/>
    </row>
    <row r="2082" spans="1:3" x14ac:dyDescent="0.2">
      <c r="A2082" s="1"/>
      <c r="C2082" s="2"/>
    </row>
    <row r="2083" spans="1:3" x14ac:dyDescent="0.2">
      <c r="A2083" s="1"/>
      <c r="C2083" s="2"/>
    </row>
    <row r="2084" spans="1:3" x14ac:dyDescent="0.2">
      <c r="A2084" s="1"/>
      <c r="C2084" s="2"/>
    </row>
    <row r="2085" spans="1:3" x14ac:dyDescent="0.2">
      <c r="A2085" s="1"/>
      <c r="C2085" s="2"/>
    </row>
    <row r="2086" spans="1:3" x14ac:dyDescent="0.2">
      <c r="A2086" s="1"/>
      <c r="C2086" s="2"/>
    </row>
    <row r="2087" spans="1:3" x14ac:dyDescent="0.2">
      <c r="A2087" s="1"/>
      <c r="C2087" s="2"/>
    </row>
    <row r="2088" spans="1:3" x14ac:dyDescent="0.2">
      <c r="A2088" s="1"/>
      <c r="C2088" s="2"/>
    </row>
    <row r="2089" spans="1:3" x14ac:dyDescent="0.2">
      <c r="A2089" s="1"/>
      <c r="C2089" s="2"/>
    </row>
    <row r="2090" spans="1:3" x14ac:dyDescent="0.2">
      <c r="A2090" s="1"/>
      <c r="C2090" s="2"/>
    </row>
    <row r="2091" spans="1:3" x14ac:dyDescent="0.2">
      <c r="A2091" s="1"/>
      <c r="C2091" s="2"/>
    </row>
    <row r="2092" spans="1:3" x14ac:dyDescent="0.2">
      <c r="A2092" s="1"/>
      <c r="C2092" s="2"/>
    </row>
    <row r="2093" spans="1:3" x14ac:dyDescent="0.2">
      <c r="A2093" s="1"/>
      <c r="C2093" s="2"/>
    </row>
    <row r="2094" spans="1:3" x14ac:dyDescent="0.2">
      <c r="A2094" s="1"/>
      <c r="C2094" s="2"/>
    </row>
    <row r="2095" spans="1:3" x14ac:dyDescent="0.2">
      <c r="A2095" s="1"/>
      <c r="C2095" s="2"/>
    </row>
    <row r="2096" spans="1:3" x14ac:dyDescent="0.2">
      <c r="A2096" s="1"/>
      <c r="C2096" s="2"/>
    </row>
    <row r="2097" spans="1:3" x14ac:dyDescent="0.2">
      <c r="A2097" s="1"/>
      <c r="C2097" s="2"/>
    </row>
    <row r="2098" spans="1:3" x14ac:dyDescent="0.2">
      <c r="A2098" s="1"/>
      <c r="C2098" s="2"/>
    </row>
    <row r="2099" spans="1:3" x14ac:dyDescent="0.2">
      <c r="A2099" s="1"/>
      <c r="C2099" s="2"/>
    </row>
    <row r="2100" spans="1:3" x14ac:dyDescent="0.2">
      <c r="A2100" s="1"/>
      <c r="C2100" s="2"/>
    </row>
    <row r="2101" spans="1:3" x14ac:dyDescent="0.2">
      <c r="A2101" s="1"/>
      <c r="C2101" s="2"/>
    </row>
    <row r="2102" spans="1:3" x14ac:dyDescent="0.2">
      <c r="A2102" s="1"/>
      <c r="C2102" s="2"/>
    </row>
    <row r="2103" spans="1:3" x14ac:dyDescent="0.2">
      <c r="A2103" s="1"/>
      <c r="C2103" s="2"/>
    </row>
    <row r="2104" spans="1:3" x14ac:dyDescent="0.2">
      <c r="A2104" s="1"/>
      <c r="C2104" s="2"/>
    </row>
    <row r="2105" spans="1:3" x14ac:dyDescent="0.2">
      <c r="A2105" s="1"/>
      <c r="C2105" s="2"/>
    </row>
    <row r="2106" spans="1:3" x14ac:dyDescent="0.2">
      <c r="A2106" s="1"/>
      <c r="C2106" s="2"/>
    </row>
    <row r="2107" spans="1:3" x14ac:dyDescent="0.2">
      <c r="A2107" s="1"/>
      <c r="C2107" s="2"/>
    </row>
    <row r="2108" spans="1:3" x14ac:dyDescent="0.2">
      <c r="A2108" s="1"/>
      <c r="C2108" s="2"/>
    </row>
    <row r="2109" spans="1:3" x14ac:dyDescent="0.2">
      <c r="A2109" s="1"/>
      <c r="C2109" s="2"/>
    </row>
    <row r="2110" spans="1:3" x14ac:dyDescent="0.2">
      <c r="A2110" s="1"/>
      <c r="C2110" s="2"/>
    </row>
    <row r="2111" spans="1:3" x14ac:dyDescent="0.2">
      <c r="A2111" s="1"/>
      <c r="C2111" s="2"/>
    </row>
    <row r="2112" spans="1:3" x14ac:dyDescent="0.2">
      <c r="A2112" s="1"/>
      <c r="C2112" s="2"/>
    </row>
    <row r="2113" spans="1:3" x14ac:dyDescent="0.2">
      <c r="A2113" s="1"/>
      <c r="C2113" s="2"/>
    </row>
    <row r="2114" spans="1:3" x14ac:dyDescent="0.2">
      <c r="A2114" s="1"/>
      <c r="C2114" s="2"/>
    </row>
    <row r="2115" spans="1:3" x14ac:dyDescent="0.2">
      <c r="A2115" s="1"/>
      <c r="C2115" s="2"/>
    </row>
    <row r="2116" spans="1:3" x14ac:dyDescent="0.2">
      <c r="A2116" s="1"/>
      <c r="C2116" s="2"/>
    </row>
    <row r="2117" spans="1:3" x14ac:dyDescent="0.2">
      <c r="A2117" s="1"/>
      <c r="C2117" s="2"/>
    </row>
    <row r="2118" spans="1:3" x14ac:dyDescent="0.2">
      <c r="A2118" s="1"/>
      <c r="C2118" s="2"/>
    </row>
    <row r="2119" spans="1:3" x14ac:dyDescent="0.2">
      <c r="A2119" s="1"/>
      <c r="C2119" s="2"/>
    </row>
    <row r="2120" spans="1:3" x14ac:dyDescent="0.2">
      <c r="A2120" s="1"/>
      <c r="C2120" s="2"/>
    </row>
    <row r="2121" spans="1:3" x14ac:dyDescent="0.2">
      <c r="A2121" s="1"/>
      <c r="C2121" s="2"/>
    </row>
    <row r="2122" spans="1:3" x14ac:dyDescent="0.2">
      <c r="A2122" s="1"/>
      <c r="C2122" s="2"/>
    </row>
    <row r="2123" spans="1:3" x14ac:dyDescent="0.2">
      <c r="A2123" s="1"/>
      <c r="C2123" s="2"/>
    </row>
    <row r="2124" spans="1:3" x14ac:dyDescent="0.2">
      <c r="A2124" s="1"/>
      <c r="C2124" s="2"/>
    </row>
    <row r="2125" spans="1:3" x14ac:dyDescent="0.2">
      <c r="A2125" s="1"/>
      <c r="C2125" s="2"/>
    </row>
    <row r="2126" spans="1:3" x14ac:dyDescent="0.2">
      <c r="A2126" s="1"/>
      <c r="C2126" s="2"/>
    </row>
    <row r="2127" spans="1:3" x14ac:dyDescent="0.2">
      <c r="A2127" s="1"/>
      <c r="C2127" s="2"/>
    </row>
    <row r="2128" spans="1:3" x14ac:dyDescent="0.2">
      <c r="A2128" s="1"/>
      <c r="C2128" s="2"/>
    </row>
    <row r="2129" spans="1:3" x14ac:dyDescent="0.2">
      <c r="A2129" s="1"/>
      <c r="C2129" s="2"/>
    </row>
    <row r="2130" spans="1:3" x14ac:dyDescent="0.2">
      <c r="A2130" s="1"/>
      <c r="C2130" s="2"/>
    </row>
    <row r="2131" spans="1:3" x14ac:dyDescent="0.2">
      <c r="A2131" s="1"/>
      <c r="C2131" s="2"/>
    </row>
    <row r="2132" spans="1:3" x14ac:dyDescent="0.2">
      <c r="A2132" s="1"/>
      <c r="C2132" s="2"/>
    </row>
    <row r="2133" spans="1:3" x14ac:dyDescent="0.2">
      <c r="A2133" s="1"/>
      <c r="C2133" s="2"/>
    </row>
    <row r="2134" spans="1:3" x14ac:dyDescent="0.2">
      <c r="A2134" s="1"/>
      <c r="C2134" s="2"/>
    </row>
    <row r="2135" spans="1:3" x14ac:dyDescent="0.2">
      <c r="A2135" s="1"/>
      <c r="C2135" s="2"/>
    </row>
    <row r="2136" spans="1:3" x14ac:dyDescent="0.2">
      <c r="A2136" s="1"/>
      <c r="C2136" s="2"/>
    </row>
    <row r="2137" spans="1:3" x14ac:dyDescent="0.2">
      <c r="A2137" s="1"/>
      <c r="C2137" s="2"/>
    </row>
    <row r="2138" spans="1:3" x14ac:dyDescent="0.2">
      <c r="A2138" s="1"/>
      <c r="C2138" s="2"/>
    </row>
    <row r="2139" spans="1:3" x14ac:dyDescent="0.2">
      <c r="A2139" s="1"/>
      <c r="C2139" s="2"/>
    </row>
    <row r="2140" spans="1:3" x14ac:dyDescent="0.2">
      <c r="A2140" s="1"/>
      <c r="C2140" s="2"/>
    </row>
    <row r="2141" spans="1:3" x14ac:dyDescent="0.2">
      <c r="A2141" s="1"/>
      <c r="C2141" s="2"/>
    </row>
    <row r="2142" spans="1:3" x14ac:dyDescent="0.2">
      <c r="A2142" s="1"/>
      <c r="C2142" s="2"/>
    </row>
    <row r="2143" spans="1:3" x14ac:dyDescent="0.2">
      <c r="A2143" s="1"/>
      <c r="C2143" s="2"/>
    </row>
    <row r="2144" spans="1:3" x14ac:dyDescent="0.2">
      <c r="A2144" s="1"/>
      <c r="C2144" s="2"/>
    </row>
    <row r="2145" spans="1:3" x14ac:dyDescent="0.2">
      <c r="A2145" s="1"/>
      <c r="C2145" s="2"/>
    </row>
    <row r="2146" spans="1:3" x14ac:dyDescent="0.2">
      <c r="A2146" s="1"/>
      <c r="C2146" s="2"/>
    </row>
    <row r="2147" spans="1:3" x14ac:dyDescent="0.2">
      <c r="A2147" s="1"/>
      <c r="C2147" s="2"/>
    </row>
    <row r="2148" spans="1:3" x14ac:dyDescent="0.2">
      <c r="A2148" s="1"/>
      <c r="C2148" s="2"/>
    </row>
    <row r="2149" spans="1:3" x14ac:dyDescent="0.2">
      <c r="A2149" s="1"/>
      <c r="C2149" s="2"/>
    </row>
    <row r="2150" spans="1:3" x14ac:dyDescent="0.2">
      <c r="A2150" s="1"/>
      <c r="C2150" s="2"/>
    </row>
    <row r="2151" spans="1:3" x14ac:dyDescent="0.2">
      <c r="A2151" s="1"/>
      <c r="C2151" s="2"/>
    </row>
    <row r="2152" spans="1:3" x14ac:dyDescent="0.2">
      <c r="A2152" s="1"/>
      <c r="C2152" s="2"/>
    </row>
    <row r="2153" spans="1:3" x14ac:dyDescent="0.2">
      <c r="A2153" s="1"/>
      <c r="C2153" s="2"/>
    </row>
    <row r="2154" spans="1:3" x14ac:dyDescent="0.2">
      <c r="A2154" s="1"/>
      <c r="C2154" s="2"/>
    </row>
    <row r="2155" spans="1:3" x14ac:dyDescent="0.2">
      <c r="A2155" s="1"/>
      <c r="C2155" s="2"/>
    </row>
    <row r="2156" spans="1:3" x14ac:dyDescent="0.2">
      <c r="A2156" s="1"/>
      <c r="C2156" s="2"/>
    </row>
    <row r="2157" spans="1:3" x14ac:dyDescent="0.2">
      <c r="A2157" s="1"/>
      <c r="C2157" s="2"/>
    </row>
    <row r="2158" spans="1:3" x14ac:dyDescent="0.2">
      <c r="A2158" s="1"/>
      <c r="C2158" s="2"/>
    </row>
    <row r="2159" spans="1:3" x14ac:dyDescent="0.2">
      <c r="A2159" s="1"/>
      <c r="C2159" s="2"/>
    </row>
    <row r="2160" spans="1:3" x14ac:dyDescent="0.2">
      <c r="A2160" s="1"/>
      <c r="C2160" s="2"/>
    </row>
    <row r="2161" spans="1:3" x14ac:dyDescent="0.2">
      <c r="A2161" s="1"/>
      <c r="C2161" s="2"/>
    </row>
    <row r="2162" spans="1:3" x14ac:dyDescent="0.2">
      <c r="A2162" s="1"/>
      <c r="C2162" s="2"/>
    </row>
    <row r="2163" spans="1:3" x14ac:dyDescent="0.2">
      <c r="A2163" s="1"/>
      <c r="C2163" s="2"/>
    </row>
    <row r="2164" spans="1:3" x14ac:dyDescent="0.2">
      <c r="A2164" s="1"/>
      <c r="C2164" s="2"/>
    </row>
    <row r="2165" spans="1:3" x14ac:dyDescent="0.2">
      <c r="A2165" s="1"/>
      <c r="C2165" s="2"/>
    </row>
    <row r="2166" spans="1:3" x14ac:dyDescent="0.2">
      <c r="A2166" s="1"/>
      <c r="C2166" s="2"/>
    </row>
    <row r="2167" spans="1:3" x14ac:dyDescent="0.2">
      <c r="A2167" s="1"/>
      <c r="C2167" s="2"/>
    </row>
    <row r="2168" spans="1:3" x14ac:dyDescent="0.2">
      <c r="A2168" s="1"/>
      <c r="C2168" s="2"/>
    </row>
    <row r="2169" spans="1:3" x14ac:dyDescent="0.2">
      <c r="A2169" s="1"/>
      <c r="C2169" s="2"/>
    </row>
    <row r="2170" spans="1:3" x14ac:dyDescent="0.2">
      <c r="A2170" s="1"/>
      <c r="C2170" s="2"/>
    </row>
    <row r="2171" spans="1:3" x14ac:dyDescent="0.2">
      <c r="A2171" s="1"/>
      <c r="C2171" s="2"/>
    </row>
    <row r="2172" spans="1:3" x14ac:dyDescent="0.2">
      <c r="A2172" s="1"/>
      <c r="C2172" s="2"/>
    </row>
    <row r="2173" spans="1:3" x14ac:dyDescent="0.2">
      <c r="A2173" s="1"/>
      <c r="C2173" s="2"/>
    </row>
    <row r="2174" spans="1:3" x14ac:dyDescent="0.2">
      <c r="A2174" s="1"/>
      <c r="C2174" s="2"/>
    </row>
    <row r="2175" spans="1:3" x14ac:dyDescent="0.2">
      <c r="A2175" s="1"/>
      <c r="C2175" s="2"/>
    </row>
    <row r="2176" spans="1:3" x14ac:dyDescent="0.2">
      <c r="A2176" s="1"/>
      <c r="C2176" s="2"/>
    </row>
    <row r="2177" spans="1:3" x14ac:dyDescent="0.2">
      <c r="A2177" s="1"/>
      <c r="C2177" s="2"/>
    </row>
    <row r="2178" spans="1:3" x14ac:dyDescent="0.2">
      <c r="A2178" s="1"/>
      <c r="C2178" s="2"/>
    </row>
    <row r="2179" spans="1:3" x14ac:dyDescent="0.2">
      <c r="A2179" s="1"/>
      <c r="C2179" s="2"/>
    </row>
    <row r="2180" spans="1:3" x14ac:dyDescent="0.2">
      <c r="A2180" s="1"/>
      <c r="C2180" s="2"/>
    </row>
    <row r="2181" spans="1:3" x14ac:dyDescent="0.2">
      <c r="A2181" s="1"/>
      <c r="C2181" s="2"/>
    </row>
    <row r="2182" spans="1:3" x14ac:dyDescent="0.2">
      <c r="A2182" s="1"/>
      <c r="C2182" s="2"/>
    </row>
    <row r="2183" spans="1:3" x14ac:dyDescent="0.2">
      <c r="A2183" s="1"/>
      <c r="C2183" s="2"/>
    </row>
    <row r="2184" spans="1:3" x14ac:dyDescent="0.2">
      <c r="A2184" s="1"/>
      <c r="C2184" s="2"/>
    </row>
    <row r="2185" spans="1:3" x14ac:dyDescent="0.2">
      <c r="A2185" s="1"/>
      <c r="C2185" s="2"/>
    </row>
    <row r="2186" spans="1:3" x14ac:dyDescent="0.2">
      <c r="A2186" s="1"/>
      <c r="C2186" s="2"/>
    </row>
    <row r="2187" spans="1:3" x14ac:dyDescent="0.2">
      <c r="A2187" s="1"/>
      <c r="C2187" s="2"/>
    </row>
    <row r="2188" spans="1:3" x14ac:dyDescent="0.2">
      <c r="A2188" s="1"/>
      <c r="C2188" s="2"/>
    </row>
    <row r="2189" spans="1:3" x14ac:dyDescent="0.2">
      <c r="A2189" s="1"/>
      <c r="C2189" s="2"/>
    </row>
    <row r="2190" spans="1:3" x14ac:dyDescent="0.2">
      <c r="A2190" s="1"/>
      <c r="C2190" s="2"/>
    </row>
    <row r="2191" spans="1:3" x14ac:dyDescent="0.2">
      <c r="A2191" s="1"/>
      <c r="C2191" s="2"/>
    </row>
    <row r="2192" spans="1:3" x14ac:dyDescent="0.2">
      <c r="A2192" s="1"/>
      <c r="C2192" s="2"/>
    </row>
    <row r="2193" spans="1:3" x14ac:dyDescent="0.2">
      <c r="A2193" s="1"/>
      <c r="C2193" s="2"/>
    </row>
    <row r="2194" spans="1:3" x14ac:dyDescent="0.2">
      <c r="A2194" s="1"/>
      <c r="C2194" s="2"/>
    </row>
    <row r="2195" spans="1:3" x14ac:dyDescent="0.2">
      <c r="A2195" s="1"/>
      <c r="C2195" s="2"/>
    </row>
    <row r="2196" spans="1:3" x14ac:dyDescent="0.2">
      <c r="A2196" s="1"/>
      <c r="C2196" s="2"/>
    </row>
    <row r="2197" spans="1:3" x14ac:dyDescent="0.2">
      <c r="A2197" s="1"/>
      <c r="C2197" s="2"/>
    </row>
    <row r="2198" spans="1:3" x14ac:dyDescent="0.2">
      <c r="A2198" s="1"/>
      <c r="C2198" s="2"/>
    </row>
    <row r="2199" spans="1:3" x14ac:dyDescent="0.2">
      <c r="A2199" s="1"/>
      <c r="C2199" s="2"/>
    </row>
    <row r="2200" spans="1:3" x14ac:dyDescent="0.2">
      <c r="A2200" s="1"/>
      <c r="C2200" s="2"/>
    </row>
    <row r="2201" spans="1:3" x14ac:dyDescent="0.2">
      <c r="A2201" s="1"/>
      <c r="C2201" s="2"/>
    </row>
    <row r="2202" spans="1:3" x14ac:dyDescent="0.2">
      <c r="A2202" s="1"/>
      <c r="C2202" s="2"/>
    </row>
    <row r="2203" spans="1:3" x14ac:dyDescent="0.2">
      <c r="A2203" s="1"/>
      <c r="C2203" s="2"/>
    </row>
    <row r="2204" spans="1:3" x14ac:dyDescent="0.2">
      <c r="A2204" s="1"/>
      <c r="C2204" s="2"/>
    </row>
    <row r="2205" spans="1:3" x14ac:dyDescent="0.2">
      <c r="A2205" s="1"/>
      <c r="C2205" s="2"/>
    </row>
    <row r="2206" spans="1:3" x14ac:dyDescent="0.2">
      <c r="A2206" s="1"/>
      <c r="C2206" s="2"/>
    </row>
    <row r="2207" spans="1:3" x14ac:dyDescent="0.2">
      <c r="A2207" s="1"/>
      <c r="C2207" s="2"/>
    </row>
    <row r="2208" spans="1:3" x14ac:dyDescent="0.2">
      <c r="A2208" s="1"/>
      <c r="C2208" s="2"/>
    </row>
    <row r="2209" spans="1:3" x14ac:dyDescent="0.2">
      <c r="A2209" s="1"/>
      <c r="C2209" s="2"/>
    </row>
    <row r="2210" spans="1:3" x14ac:dyDescent="0.2">
      <c r="A2210" s="1"/>
      <c r="C2210" s="2"/>
    </row>
    <row r="2211" spans="1:3" x14ac:dyDescent="0.2">
      <c r="A2211" s="1"/>
      <c r="C2211" s="2"/>
    </row>
    <row r="2212" spans="1:3" x14ac:dyDescent="0.2">
      <c r="A2212" s="1"/>
      <c r="C2212" s="2"/>
    </row>
    <row r="2213" spans="1:3" x14ac:dyDescent="0.2">
      <c r="A2213" s="1"/>
      <c r="C2213" s="2"/>
    </row>
    <row r="2214" spans="1:3" x14ac:dyDescent="0.2">
      <c r="A2214" s="1"/>
      <c r="C2214" s="2"/>
    </row>
    <row r="2215" spans="1:3" x14ac:dyDescent="0.2">
      <c r="A2215" s="1"/>
      <c r="C2215" s="2"/>
    </row>
    <row r="2216" spans="1:3" x14ac:dyDescent="0.2">
      <c r="A2216" s="1"/>
      <c r="C2216" s="2"/>
    </row>
    <row r="2217" spans="1:3" x14ac:dyDescent="0.2">
      <c r="A2217" s="1"/>
      <c r="C2217" s="2"/>
    </row>
    <row r="2218" spans="1:3" x14ac:dyDescent="0.2">
      <c r="A2218" s="1"/>
      <c r="C2218" s="2"/>
    </row>
    <row r="2219" spans="1:3" x14ac:dyDescent="0.2">
      <c r="A2219" s="1"/>
      <c r="C2219" s="2"/>
    </row>
    <row r="2220" spans="1:3" x14ac:dyDescent="0.2">
      <c r="A2220" s="1"/>
      <c r="C2220" s="2"/>
    </row>
    <row r="2221" spans="1:3" x14ac:dyDescent="0.2">
      <c r="A2221" s="1"/>
      <c r="C2221" s="2"/>
    </row>
    <row r="2222" spans="1:3" x14ac:dyDescent="0.2">
      <c r="A2222" s="1"/>
      <c r="C2222" s="2"/>
    </row>
    <row r="2223" spans="1:3" x14ac:dyDescent="0.2">
      <c r="A2223" s="1"/>
      <c r="C2223" s="2"/>
    </row>
    <row r="2224" spans="1:3" x14ac:dyDescent="0.2">
      <c r="A2224" s="1"/>
      <c r="C2224" s="2"/>
    </row>
    <row r="2225" spans="1:3" x14ac:dyDescent="0.2">
      <c r="A2225" s="1"/>
      <c r="C2225" s="2"/>
    </row>
    <row r="2226" spans="1:3" x14ac:dyDescent="0.2">
      <c r="A2226" s="1"/>
      <c r="C2226" s="2"/>
    </row>
    <row r="2227" spans="1:3" x14ac:dyDescent="0.2">
      <c r="A2227" s="1"/>
      <c r="C2227" s="2"/>
    </row>
    <row r="2228" spans="1:3" x14ac:dyDescent="0.2">
      <c r="A2228" s="1"/>
      <c r="C2228" s="2"/>
    </row>
    <row r="2229" spans="1:3" x14ac:dyDescent="0.2">
      <c r="A2229" s="1"/>
      <c r="C2229" s="2"/>
    </row>
    <row r="2230" spans="1:3" x14ac:dyDescent="0.2">
      <c r="A2230" s="1"/>
      <c r="C2230" s="2"/>
    </row>
    <row r="2231" spans="1:3" x14ac:dyDescent="0.2">
      <c r="A2231" s="1"/>
      <c r="C2231" s="2"/>
    </row>
    <row r="2232" spans="1:3" x14ac:dyDescent="0.2">
      <c r="A2232" s="1"/>
      <c r="C2232" s="2"/>
    </row>
    <row r="2233" spans="1:3" x14ac:dyDescent="0.2">
      <c r="A2233" s="1"/>
      <c r="C2233" s="2"/>
    </row>
    <row r="2234" spans="1:3" x14ac:dyDescent="0.2">
      <c r="A2234" s="1"/>
      <c r="C2234" s="2"/>
    </row>
    <row r="2235" spans="1:3" x14ac:dyDescent="0.2">
      <c r="A2235" s="1"/>
      <c r="C2235" s="2"/>
    </row>
    <row r="2236" spans="1:3" x14ac:dyDescent="0.2">
      <c r="A2236" s="1"/>
      <c r="C2236" s="2"/>
    </row>
    <row r="2237" spans="1:3" x14ac:dyDescent="0.2">
      <c r="A2237" s="1"/>
      <c r="C2237" s="2"/>
    </row>
    <row r="2238" spans="1:3" x14ac:dyDescent="0.2">
      <c r="A2238" s="1"/>
      <c r="C2238" s="2"/>
    </row>
    <row r="2239" spans="1:3" x14ac:dyDescent="0.2">
      <c r="A2239" s="1"/>
      <c r="C2239" s="2"/>
    </row>
    <row r="2240" spans="1:3" x14ac:dyDescent="0.2">
      <c r="A2240" s="1"/>
      <c r="C2240" s="2"/>
    </row>
    <row r="2241" spans="1:3" x14ac:dyDescent="0.2">
      <c r="A2241" s="1"/>
      <c r="C2241" s="2"/>
    </row>
    <row r="2242" spans="1:3" x14ac:dyDescent="0.2">
      <c r="A2242" s="1"/>
      <c r="C2242" s="2"/>
    </row>
    <row r="2243" spans="1:3" x14ac:dyDescent="0.2">
      <c r="A2243" s="1"/>
      <c r="C2243" s="2"/>
    </row>
    <row r="2244" spans="1:3" x14ac:dyDescent="0.2">
      <c r="A2244" s="1"/>
      <c r="C2244" s="2"/>
    </row>
    <row r="2245" spans="1:3" x14ac:dyDescent="0.2">
      <c r="A2245" s="1"/>
      <c r="C2245" s="2"/>
    </row>
    <row r="2246" spans="1:3" x14ac:dyDescent="0.2">
      <c r="A2246" s="1"/>
      <c r="C2246" s="2"/>
    </row>
    <row r="2247" spans="1:3" x14ac:dyDescent="0.2">
      <c r="A2247" s="1"/>
      <c r="C2247" s="2"/>
    </row>
    <row r="2248" spans="1:3" x14ac:dyDescent="0.2">
      <c r="A2248" s="1"/>
      <c r="C2248" s="2"/>
    </row>
    <row r="2249" spans="1:3" x14ac:dyDescent="0.2">
      <c r="A2249" s="1"/>
      <c r="C2249" s="2"/>
    </row>
    <row r="2250" spans="1:3" x14ac:dyDescent="0.2">
      <c r="A2250" s="1"/>
      <c r="C2250" s="2"/>
    </row>
    <row r="2251" spans="1:3" x14ac:dyDescent="0.2">
      <c r="A2251" s="1"/>
      <c r="C2251" s="2"/>
    </row>
    <row r="2252" spans="1:3" x14ac:dyDescent="0.2">
      <c r="A2252" s="1"/>
      <c r="C2252" s="2"/>
    </row>
    <row r="2253" spans="1:3" x14ac:dyDescent="0.2">
      <c r="A2253" s="1"/>
      <c r="C2253" s="2"/>
    </row>
    <row r="2254" spans="1:3" x14ac:dyDescent="0.2">
      <c r="A2254" s="1"/>
      <c r="C2254" s="2"/>
    </row>
    <row r="2255" spans="1:3" x14ac:dyDescent="0.2">
      <c r="A2255" s="1"/>
      <c r="C2255" s="2"/>
    </row>
    <row r="2256" spans="1:3" x14ac:dyDescent="0.2">
      <c r="A2256" s="1"/>
      <c r="C2256" s="2"/>
    </row>
    <row r="2257" spans="1:3" x14ac:dyDescent="0.2">
      <c r="A2257" s="1"/>
      <c r="C2257" s="2"/>
    </row>
    <row r="2258" spans="1:3" x14ac:dyDescent="0.2">
      <c r="A2258" s="1"/>
      <c r="C2258" s="2"/>
    </row>
    <row r="2259" spans="1:3" x14ac:dyDescent="0.2">
      <c r="A2259" s="1"/>
      <c r="C2259" s="2"/>
    </row>
    <row r="2260" spans="1:3" x14ac:dyDescent="0.2">
      <c r="A2260" s="1"/>
      <c r="C2260" s="2"/>
    </row>
    <row r="2261" spans="1:3" x14ac:dyDescent="0.2">
      <c r="A2261" s="1"/>
      <c r="C2261" s="2"/>
    </row>
    <row r="2262" spans="1:3" x14ac:dyDescent="0.2">
      <c r="A2262" s="1"/>
      <c r="C2262" s="2"/>
    </row>
    <row r="2263" spans="1:3" x14ac:dyDescent="0.2">
      <c r="A2263" s="1"/>
      <c r="C2263" s="2"/>
    </row>
    <row r="2264" spans="1:3" x14ac:dyDescent="0.2">
      <c r="A2264" s="1"/>
      <c r="C2264" s="2"/>
    </row>
    <row r="2265" spans="1:3" x14ac:dyDescent="0.2">
      <c r="A2265" s="1"/>
      <c r="C2265" s="2"/>
    </row>
    <row r="2266" spans="1:3" x14ac:dyDescent="0.2">
      <c r="A2266" s="1"/>
      <c r="C2266" s="2"/>
    </row>
    <row r="2267" spans="1:3" x14ac:dyDescent="0.2">
      <c r="A2267" s="1"/>
      <c r="C2267" s="2"/>
    </row>
    <row r="2268" spans="1:3" x14ac:dyDescent="0.2">
      <c r="A2268" s="1"/>
      <c r="C2268" s="2"/>
    </row>
    <row r="2269" spans="1:3" x14ac:dyDescent="0.2">
      <c r="A2269" s="1"/>
      <c r="C2269" s="2"/>
    </row>
    <row r="2270" spans="1:3" x14ac:dyDescent="0.2">
      <c r="A2270" s="1"/>
      <c r="C2270" s="2"/>
    </row>
    <row r="2271" spans="1:3" x14ac:dyDescent="0.2">
      <c r="A2271" s="1"/>
      <c r="C2271" s="2"/>
    </row>
    <row r="2272" spans="1:3" x14ac:dyDescent="0.2">
      <c r="A2272" s="1"/>
      <c r="C2272" s="2"/>
    </row>
    <row r="2273" spans="1:3" x14ac:dyDescent="0.2">
      <c r="A2273" s="1"/>
      <c r="C2273" s="2"/>
    </row>
    <row r="2274" spans="1:3" x14ac:dyDescent="0.2">
      <c r="A2274" s="1"/>
      <c r="C2274" s="2"/>
    </row>
    <row r="2275" spans="1:3" x14ac:dyDescent="0.2">
      <c r="A2275" s="1"/>
      <c r="C2275" s="2"/>
    </row>
    <row r="2276" spans="1:3" x14ac:dyDescent="0.2">
      <c r="A2276" s="1"/>
      <c r="C2276" s="2"/>
    </row>
    <row r="2277" spans="1:3" x14ac:dyDescent="0.2">
      <c r="A2277" s="1"/>
      <c r="C2277" s="2"/>
    </row>
    <row r="2278" spans="1:3" x14ac:dyDescent="0.2">
      <c r="A2278" s="1"/>
      <c r="C2278" s="2"/>
    </row>
    <row r="2279" spans="1:3" x14ac:dyDescent="0.2">
      <c r="A2279" s="1"/>
      <c r="C2279" s="2"/>
    </row>
    <row r="2280" spans="1:3" x14ac:dyDescent="0.2">
      <c r="A2280" s="1"/>
      <c r="C2280" s="2"/>
    </row>
    <row r="2281" spans="1:3" x14ac:dyDescent="0.2">
      <c r="A2281" s="1"/>
      <c r="C2281" s="2"/>
    </row>
    <row r="2282" spans="1:3" x14ac:dyDescent="0.2">
      <c r="A2282" s="1"/>
      <c r="C2282" s="2"/>
    </row>
    <row r="2283" spans="1:3" x14ac:dyDescent="0.2">
      <c r="A2283" s="1"/>
      <c r="C2283" s="2"/>
    </row>
    <row r="2284" spans="1:3" x14ac:dyDescent="0.2">
      <c r="A2284" s="1"/>
      <c r="C2284" s="2"/>
    </row>
    <row r="2285" spans="1:3" x14ac:dyDescent="0.2">
      <c r="A2285" s="1"/>
      <c r="C2285" s="2"/>
    </row>
    <row r="2286" spans="1:3" x14ac:dyDescent="0.2">
      <c r="A2286" s="1"/>
      <c r="C2286" s="2"/>
    </row>
    <row r="2287" spans="1:3" x14ac:dyDescent="0.2">
      <c r="A2287" s="1"/>
      <c r="C2287" s="2"/>
    </row>
    <row r="2288" spans="1:3" x14ac:dyDescent="0.2">
      <c r="A2288" s="1"/>
      <c r="C2288" s="2"/>
    </row>
    <row r="2289" spans="1:3" x14ac:dyDescent="0.2">
      <c r="A2289" s="1"/>
      <c r="C2289" s="2"/>
    </row>
    <row r="2290" spans="1:3" x14ac:dyDescent="0.2">
      <c r="A2290" s="1"/>
      <c r="C2290" s="2"/>
    </row>
    <row r="2291" spans="1:3" x14ac:dyDescent="0.2">
      <c r="A2291" s="1"/>
      <c r="C2291" s="2"/>
    </row>
    <row r="2292" spans="1:3" x14ac:dyDescent="0.2">
      <c r="A2292" s="1"/>
      <c r="C2292" s="2"/>
    </row>
    <row r="2293" spans="1:3" x14ac:dyDescent="0.2">
      <c r="A2293" s="1"/>
      <c r="C2293" s="2"/>
    </row>
    <row r="2294" spans="1:3" x14ac:dyDescent="0.2">
      <c r="A2294" s="1"/>
      <c r="C2294" s="2"/>
    </row>
    <row r="2295" spans="1:3" x14ac:dyDescent="0.2">
      <c r="A2295" s="1"/>
      <c r="C2295" s="2"/>
    </row>
    <row r="2296" spans="1:3" x14ac:dyDescent="0.2">
      <c r="A2296" s="1"/>
      <c r="C2296" s="2"/>
    </row>
    <row r="2297" spans="1:3" x14ac:dyDescent="0.2">
      <c r="A2297" s="1"/>
      <c r="C2297" s="2"/>
    </row>
    <row r="2298" spans="1:3" x14ac:dyDescent="0.2">
      <c r="A2298" s="1"/>
      <c r="C2298" s="2"/>
    </row>
    <row r="2299" spans="1:3" x14ac:dyDescent="0.2">
      <c r="A2299" s="1"/>
      <c r="C2299" s="2"/>
    </row>
    <row r="2300" spans="1:3" x14ac:dyDescent="0.2">
      <c r="A2300" s="1"/>
      <c r="C2300" s="2"/>
    </row>
    <row r="2301" spans="1:3" x14ac:dyDescent="0.2">
      <c r="A2301" s="1"/>
      <c r="C2301" s="2"/>
    </row>
    <row r="2302" spans="1:3" x14ac:dyDescent="0.2">
      <c r="A2302" s="1"/>
      <c r="C2302" s="2"/>
    </row>
    <row r="2303" spans="1:3" x14ac:dyDescent="0.2">
      <c r="A2303" s="1"/>
      <c r="C2303" s="2"/>
    </row>
    <row r="2304" spans="1:3" x14ac:dyDescent="0.2">
      <c r="A2304" s="1"/>
      <c r="C2304" s="2"/>
    </row>
    <row r="2305" spans="1:3" x14ac:dyDescent="0.2">
      <c r="A2305" s="1"/>
      <c r="C2305" s="2"/>
    </row>
    <row r="2306" spans="1:3" x14ac:dyDescent="0.2">
      <c r="A2306" s="1"/>
      <c r="C2306" s="2"/>
    </row>
    <row r="2307" spans="1:3" x14ac:dyDescent="0.2">
      <c r="A2307" s="1"/>
      <c r="C2307" s="2"/>
    </row>
    <row r="2308" spans="1:3" x14ac:dyDescent="0.2">
      <c r="A2308" s="1"/>
      <c r="C2308" s="2"/>
    </row>
    <row r="2309" spans="1:3" x14ac:dyDescent="0.2">
      <c r="A2309" s="1"/>
      <c r="C2309" s="2"/>
    </row>
    <row r="2310" spans="1:3" x14ac:dyDescent="0.2">
      <c r="A2310" s="1"/>
      <c r="C2310" s="2"/>
    </row>
    <row r="2311" spans="1:3" x14ac:dyDescent="0.2">
      <c r="A2311" s="1"/>
      <c r="C2311" s="2"/>
    </row>
    <row r="2312" spans="1:3" x14ac:dyDescent="0.2">
      <c r="A2312" s="1"/>
      <c r="C2312" s="2"/>
    </row>
    <row r="2313" spans="1:3" x14ac:dyDescent="0.2">
      <c r="A2313" s="1"/>
      <c r="C2313" s="2"/>
    </row>
    <row r="2314" spans="1:3" x14ac:dyDescent="0.2">
      <c r="A2314" s="1"/>
      <c r="C2314" s="2"/>
    </row>
    <row r="2315" spans="1:3" x14ac:dyDescent="0.2">
      <c r="A2315" s="1"/>
      <c r="C2315" s="2"/>
    </row>
    <row r="2316" spans="1:3" x14ac:dyDescent="0.2">
      <c r="A2316" s="1"/>
      <c r="C2316" s="2"/>
    </row>
    <row r="2317" spans="1:3" x14ac:dyDescent="0.2">
      <c r="A2317" s="1"/>
      <c r="C2317" s="2"/>
    </row>
    <row r="2318" spans="1:3" x14ac:dyDescent="0.2">
      <c r="A2318" s="1"/>
      <c r="C2318" s="2"/>
    </row>
    <row r="2319" spans="1:3" x14ac:dyDescent="0.2">
      <c r="A2319" s="1"/>
      <c r="C2319" s="2"/>
    </row>
    <row r="2320" spans="1:3" x14ac:dyDescent="0.2">
      <c r="A2320" s="1"/>
      <c r="C2320" s="2"/>
    </row>
    <row r="2321" spans="1:3" x14ac:dyDescent="0.2">
      <c r="A2321" s="1"/>
      <c r="C2321" s="2"/>
    </row>
    <row r="2322" spans="1:3" x14ac:dyDescent="0.2">
      <c r="A2322" s="1"/>
      <c r="C2322" s="2"/>
    </row>
    <row r="2323" spans="1:3" x14ac:dyDescent="0.2">
      <c r="A2323" s="1"/>
      <c r="C2323" s="2"/>
    </row>
    <row r="2324" spans="1:3" x14ac:dyDescent="0.2">
      <c r="A2324" s="1"/>
      <c r="C2324" s="2"/>
    </row>
    <row r="2325" spans="1:3" x14ac:dyDescent="0.2">
      <c r="A2325" s="1"/>
      <c r="C2325" s="2"/>
    </row>
    <row r="2326" spans="1:3" x14ac:dyDescent="0.2">
      <c r="A2326" s="1"/>
      <c r="C2326" s="2"/>
    </row>
    <row r="2327" spans="1:3" x14ac:dyDescent="0.2">
      <c r="A2327" s="1"/>
      <c r="C2327" s="2"/>
    </row>
    <row r="2328" spans="1:3" x14ac:dyDescent="0.2">
      <c r="A2328" s="1"/>
      <c r="C2328" s="2"/>
    </row>
    <row r="2329" spans="1:3" x14ac:dyDescent="0.2">
      <c r="A2329" s="1"/>
      <c r="C2329" s="2"/>
    </row>
    <row r="2330" spans="1:3" x14ac:dyDescent="0.2">
      <c r="A2330" s="1"/>
      <c r="C2330" s="2"/>
    </row>
    <row r="2331" spans="1:3" x14ac:dyDescent="0.2">
      <c r="A2331" s="1"/>
      <c r="C2331" s="2"/>
    </row>
    <row r="2332" spans="1:3" x14ac:dyDescent="0.2">
      <c r="A2332" s="1"/>
      <c r="C2332" s="2"/>
    </row>
    <row r="2333" spans="1:3" x14ac:dyDescent="0.2">
      <c r="A2333" s="1"/>
      <c r="C2333" s="2"/>
    </row>
    <row r="2334" spans="1:3" x14ac:dyDescent="0.2">
      <c r="A2334" s="1"/>
      <c r="C2334" s="2"/>
    </row>
    <row r="2335" spans="1:3" x14ac:dyDescent="0.2">
      <c r="A2335" s="1"/>
      <c r="C2335" s="2"/>
    </row>
    <row r="2336" spans="1:3" x14ac:dyDescent="0.2">
      <c r="A2336" s="1"/>
      <c r="C2336" s="2"/>
    </row>
    <row r="2337" spans="1:3" x14ac:dyDescent="0.2">
      <c r="A2337" s="1"/>
      <c r="C2337" s="2"/>
    </row>
    <row r="2338" spans="1:3" x14ac:dyDescent="0.2">
      <c r="A2338" s="1"/>
      <c r="C2338" s="2"/>
    </row>
    <row r="2339" spans="1:3" x14ac:dyDescent="0.2">
      <c r="A2339" s="1"/>
      <c r="C2339" s="2"/>
    </row>
    <row r="2340" spans="1:3" x14ac:dyDescent="0.2">
      <c r="A2340" s="1"/>
      <c r="C2340" s="2"/>
    </row>
    <row r="2341" spans="1:3" x14ac:dyDescent="0.2">
      <c r="A2341" s="1"/>
      <c r="C2341" s="2"/>
    </row>
    <row r="2342" spans="1:3" x14ac:dyDescent="0.2">
      <c r="A2342" s="1"/>
      <c r="C2342" s="2"/>
    </row>
    <row r="2343" spans="1:3" x14ac:dyDescent="0.2">
      <c r="A2343" s="1"/>
      <c r="C2343" s="2"/>
    </row>
    <row r="2344" spans="1:3" x14ac:dyDescent="0.2">
      <c r="A2344" s="1"/>
      <c r="C2344" s="2"/>
    </row>
    <row r="2345" spans="1:3" x14ac:dyDescent="0.2">
      <c r="A2345" s="1"/>
      <c r="C2345" s="2"/>
    </row>
    <row r="2346" spans="1:3" x14ac:dyDescent="0.2">
      <c r="A2346" s="1"/>
      <c r="C2346" s="2"/>
    </row>
    <row r="2347" spans="1:3" x14ac:dyDescent="0.2">
      <c r="A2347" s="1"/>
      <c r="C2347" s="2"/>
    </row>
    <row r="2348" spans="1:3" x14ac:dyDescent="0.2">
      <c r="A2348" s="1"/>
      <c r="C2348" s="2"/>
    </row>
    <row r="2349" spans="1:3" x14ac:dyDescent="0.2">
      <c r="A2349" s="1"/>
      <c r="C2349" s="2"/>
    </row>
    <row r="2350" spans="1:3" x14ac:dyDescent="0.2">
      <c r="A2350" s="1"/>
      <c r="C2350" s="2"/>
    </row>
    <row r="2351" spans="1:3" x14ac:dyDescent="0.2">
      <c r="A2351" s="1"/>
      <c r="C2351" s="2"/>
    </row>
    <row r="2352" spans="1:3" x14ac:dyDescent="0.2">
      <c r="A2352" s="1"/>
      <c r="C2352" s="2"/>
    </row>
    <row r="2353" spans="1:3" x14ac:dyDescent="0.2">
      <c r="A2353" s="1"/>
      <c r="C2353" s="2"/>
    </row>
    <row r="2354" spans="1:3" x14ac:dyDescent="0.2">
      <c r="A2354" s="1"/>
      <c r="C2354" s="2"/>
    </row>
    <row r="2355" spans="1:3" x14ac:dyDescent="0.2">
      <c r="A2355" s="1"/>
      <c r="C2355" s="2"/>
    </row>
    <row r="2356" spans="1:3" x14ac:dyDescent="0.2">
      <c r="A2356" s="1"/>
      <c r="C2356" s="2"/>
    </row>
    <row r="2357" spans="1:3" x14ac:dyDescent="0.2">
      <c r="A2357" s="1"/>
      <c r="C2357" s="2"/>
    </row>
    <row r="2358" spans="1:3" x14ac:dyDescent="0.2">
      <c r="A2358" s="1"/>
      <c r="C2358" s="2"/>
    </row>
    <row r="2359" spans="1:3" x14ac:dyDescent="0.2">
      <c r="A2359" s="1"/>
      <c r="C2359" s="2"/>
    </row>
    <row r="2360" spans="1:3" x14ac:dyDescent="0.2">
      <c r="A2360" s="1"/>
      <c r="C2360" s="2"/>
    </row>
    <row r="2361" spans="1:3" x14ac:dyDescent="0.2">
      <c r="A2361" s="1"/>
      <c r="C2361" s="2"/>
    </row>
    <row r="2362" spans="1:3" x14ac:dyDescent="0.2">
      <c r="A2362" s="1"/>
      <c r="C2362" s="2"/>
    </row>
    <row r="2363" spans="1:3" x14ac:dyDescent="0.2">
      <c r="A2363" s="1"/>
      <c r="C2363" s="2"/>
    </row>
    <row r="2364" spans="1:3" x14ac:dyDescent="0.2">
      <c r="A2364" s="1"/>
      <c r="C2364" s="2"/>
    </row>
    <row r="2365" spans="1:3" x14ac:dyDescent="0.2">
      <c r="A2365" s="1"/>
      <c r="C2365" s="2"/>
    </row>
    <row r="2366" spans="1:3" x14ac:dyDescent="0.2">
      <c r="A2366" s="1"/>
      <c r="C2366" s="2"/>
    </row>
    <row r="2367" spans="1:3" x14ac:dyDescent="0.2">
      <c r="A2367" s="1"/>
      <c r="C2367" s="2"/>
    </row>
    <row r="2368" spans="1:3" x14ac:dyDescent="0.2">
      <c r="A2368" s="1"/>
      <c r="C2368" s="2"/>
    </row>
    <row r="2369" spans="1:3" x14ac:dyDescent="0.2">
      <c r="A2369" s="1"/>
      <c r="C2369" s="2"/>
    </row>
    <row r="2370" spans="1:3" x14ac:dyDescent="0.2">
      <c r="A2370" s="1"/>
      <c r="C2370" s="2"/>
    </row>
    <row r="2371" spans="1:3" x14ac:dyDescent="0.2">
      <c r="A2371" s="1"/>
      <c r="C2371" s="2"/>
    </row>
    <row r="2372" spans="1:3" x14ac:dyDescent="0.2">
      <c r="A2372" s="1"/>
      <c r="C2372" s="2"/>
    </row>
    <row r="2373" spans="1:3" x14ac:dyDescent="0.2">
      <c r="A2373" s="1"/>
      <c r="C2373" s="2"/>
    </row>
    <row r="2374" spans="1:3" x14ac:dyDescent="0.2">
      <c r="A2374" s="1"/>
      <c r="C2374" s="2"/>
    </row>
    <row r="2375" spans="1:3" x14ac:dyDescent="0.2">
      <c r="A2375" s="1"/>
      <c r="C2375" s="2"/>
    </row>
    <row r="2376" spans="1:3" x14ac:dyDescent="0.2">
      <c r="A2376" s="1"/>
      <c r="C2376" s="2"/>
    </row>
    <row r="2377" spans="1:3" x14ac:dyDescent="0.2">
      <c r="A2377" s="1"/>
      <c r="C2377" s="2"/>
    </row>
    <row r="2378" spans="1:3" x14ac:dyDescent="0.2">
      <c r="A2378" s="1"/>
      <c r="C2378" s="2"/>
    </row>
    <row r="2379" spans="1:3" x14ac:dyDescent="0.2">
      <c r="A2379" s="1"/>
      <c r="C2379" s="2"/>
    </row>
    <row r="2380" spans="1:3" x14ac:dyDescent="0.2">
      <c r="A2380" s="1"/>
      <c r="C2380" s="2"/>
    </row>
    <row r="2381" spans="1:3" x14ac:dyDescent="0.2">
      <c r="A2381" s="1"/>
      <c r="C2381" s="2"/>
    </row>
    <row r="2382" spans="1:3" x14ac:dyDescent="0.2">
      <c r="A2382" s="1"/>
      <c r="C2382" s="2"/>
    </row>
    <row r="2383" spans="1:3" x14ac:dyDescent="0.2">
      <c r="A2383" s="1"/>
      <c r="C2383" s="2"/>
    </row>
    <row r="2384" spans="1:3" x14ac:dyDescent="0.2">
      <c r="A2384" s="1"/>
      <c r="C2384" s="2"/>
    </row>
    <row r="2385" spans="1:3" x14ac:dyDescent="0.2">
      <c r="A2385" s="1"/>
      <c r="C2385" s="2"/>
    </row>
    <row r="2386" spans="1:3" x14ac:dyDescent="0.2">
      <c r="A2386" s="1"/>
      <c r="C2386" s="2"/>
    </row>
    <row r="2387" spans="1:3" x14ac:dyDescent="0.2">
      <c r="A2387" s="1"/>
      <c r="C2387" s="2"/>
    </row>
    <row r="2388" spans="1:3" x14ac:dyDescent="0.2">
      <c r="A2388" s="1"/>
      <c r="C2388" s="2"/>
    </row>
    <row r="2389" spans="1:3" x14ac:dyDescent="0.2">
      <c r="A2389" s="1"/>
      <c r="C2389" s="2"/>
    </row>
    <row r="2390" spans="1:3" x14ac:dyDescent="0.2">
      <c r="A2390" s="1"/>
      <c r="C2390" s="2"/>
    </row>
    <row r="2391" spans="1:3" x14ac:dyDescent="0.2">
      <c r="A2391" s="1"/>
      <c r="C2391" s="2"/>
    </row>
    <row r="2392" spans="1:3" x14ac:dyDescent="0.2">
      <c r="A2392" s="1"/>
      <c r="C2392" s="2"/>
    </row>
    <row r="2393" spans="1:3" x14ac:dyDescent="0.2">
      <c r="A2393" s="1"/>
      <c r="C2393" s="2"/>
    </row>
    <row r="2394" spans="1:3" x14ac:dyDescent="0.2">
      <c r="A2394" s="1"/>
      <c r="C2394" s="2"/>
    </row>
    <row r="2395" spans="1:3" x14ac:dyDescent="0.2">
      <c r="A2395" s="1"/>
      <c r="C2395" s="2"/>
    </row>
    <row r="2396" spans="1:3" x14ac:dyDescent="0.2">
      <c r="A2396" s="1"/>
      <c r="C2396" s="2"/>
    </row>
    <row r="2397" spans="1:3" x14ac:dyDescent="0.2">
      <c r="A2397" s="1"/>
      <c r="C2397" s="2"/>
    </row>
    <row r="2398" spans="1:3" x14ac:dyDescent="0.2">
      <c r="A2398" s="1"/>
      <c r="C2398" s="2"/>
    </row>
    <row r="2399" spans="1:3" x14ac:dyDescent="0.2">
      <c r="A2399" s="1"/>
      <c r="C2399" s="2"/>
    </row>
    <row r="2400" spans="1:3" x14ac:dyDescent="0.2">
      <c r="A2400" s="1"/>
      <c r="C2400" s="2"/>
    </row>
    <row r="2401" spans="1:3" x14ac:dyDescent="0.2">
      <c r="A2401" s="1"/>
      <c r="C2401" s="2"/>
    </row>
    <row r="2402" spans="1:3" x14ac:dyDescent="0.2">
      <c r="A2402" s="1"/>
      <c r="C2402" s="2"/>
    </row>
    <row r="2403" spans="1:3" x14ac:dyDescent="0.2">
      <c r="A2403" s="1"/>
      <c r="C2403" s="2"/>
    </row>
    <row r="2404" spans="1:3" x14ac:dyDescent="0.2">
      <c r="A2404" s="1"/>
      <c r="C2404" s="2"/>
    </row>
    <row r="2405" spans="1:3" x14ac:dyDescent="0.2">
      <c r="A2405" s="1"/>
      <c r="C2405" s="2"/>
    </row>
    <row r="2406" spans="1:3" x14ac:dyDescent="0.2">
      <c r="A2406" s="1"/>
      <c r="C2406" s="2"/>
    </row>
    <row r="2407" spans="1:3" x14ac:dyDescent="0.2">
      <c r="A2407" s="1"/>
      <c r="C2407" s="2"/>
    </row>
    <row r="2408" spans="1:3" x14ac:dyDescent="0.2">
      <c r="A2408" s="1"/>
      <c r="C2408" s="2"/>
    </row>
    <row r="2409" spans="1:3" x14ac:dyDescent="0.2">
      <c r="A2409" s="1"/>
      <c r="C2409" s="2"/>
    </row>
    <row r="2410" spans="1:3" x14ac:dyDescent="0.2">
      <c r="A2410" s="1"/>
      <c r="C2410" s="2"/>
    </row>
    <row r="2411" spans="1:3" x14ac:dyDescent="0.2">
      <c r="A2411" s="1"/>
      <c r="C2411" s="2"/>
    </row>
    <row r="2412" spans="1:3" x14ac:dyDescent="0.2">
      <c r="A2412" s="1"/>
      <c r="C2412" s="2"/>
    </row>
    <row r="2413" spans="1:3" x14ac:dyDescent="0.2">
      <c r="A2413" s="1"/>
      <c r="C2413" s="2"/>
    </row>
    <row r="2414" spans="1:3" x14ac:dyDescent="0.2">
      <c r="A2414" s="1"/>
      <c r="C2414" s="2"/>
    </row>
    <row r="2415" spans="1:3" x14ac:dyDescent="0.2">
      <c r="A2415" s="1"/>
      <c r="C2415" s="2"/>
    </row>
    <row r="2416" spans="1:3" x14ac:dyDescent="0.2">
      <c r="A2416" s="1"/>
      <c r="C2416" s="2"/>
    </row>
    <row r="2417" spans="1:3" x14ac:dyDescent="0.2">
      <c r="A2417" s="1"/>
      <c r="C2417" s="2"/>
    </row>
    <row r="2418" spans="1:3" x14ac:dyDescent="0.2">
      <c r="A2418" s="1"/>
      <c r="C2418" s="2"/>
    </row>
    <row r="2419" spans="1:3" x14ac:dyDescent="0.2">
      <c r="A2419" s="1"/>
      <c r="C2419" s="2"/>
    </row>
    <row r="2420" spans="1:3" x14ac:dyDescent="0.2">
      <c r="A2420" s="1"/>
      <c r="C2420" s="2"/>
    </row>
    <row r="2421" spans="1:3" x14ac:dyDescent="0.2">
      <c r="A2421" s="1"/>
      <c r="C2421" s="2"/>
    </row>
    <row r="2422" spans="1:3" x14ac:dyDescent="0.2">
      <c r="A2422" s="1"/>
      <c r="C2422" s="2"/>
    </row>
    <row r="2423" spans="1:3" x14ac:dyDescent="0.2">
      <c r="A2423" s="1"/>
      <c r="C2423" s="2"/>
    </row>
    <row r="2424" spans="1:3" x14ac:dyDescent="0.2">
      <c r="A2424" s="1"/>
      <c r="C2424" s="2"/>
    </row>
    <row r="2425" spans="1:3" x14ac:dyDescent="0.2">
      <c r="A2425" s="1"/>
      <c r="C2425" s="2"/>
    </row>
    <row r="2426" spans="1:3" x14ac:dyDescent="0.2">
      <c r="A2426" s="1"/>
      <c r="C2426" s="2"/>
    </row>
    <row r="2427" spans="1:3" x14ac:dyDescent="0.2">
      <c r="A2427" s="1"/>
      <c r="C2427" s="2"/>
    </row>
    <row r="2428" spans="1:3" x14ac:dyDescent="0.2">
      <c r="A2428" s="1"/>
      <c r="C2428" s="2"/>
    </row>
    <row r="2429" spans="1:3" x14ac:dyDescent="0.2">
      <c r="A2429" s="1"/>
      <c r="C2429" s="2"/>
    </row>
    <row r="2430" spans="1:3" x14ac:dyDescent="0.2">
      <c r="A2430" s="1"/>
      <c r="C2430" s="2"/>
    </row>
    <row r="2431" spans="1:3" x14ac:dyDescent="0.2">
      <c r="A2431" s="1"/>
      <c r="C2431" s="2"/>
    </row>
    <row r="2432" spans="1:3" x14ac:dyDescent="0.2">
      <c r="A2432" s="1"/>
      <c r="C2432" s="2"/>
    </row>
    <row r="2433" spans="1:3" x14ac:dyDescent="0.2">
      <c r="A2433" s="1"/>
      <c r="C2433" s="2"/>
    </row>
    <row r="2434" spans="1:3" x14ac:dyDescent="0.2">
      <c r="A2434" s="1"/>
      <c r="C2434" s="2"/>
    </row>
    <row r="2435" spans="1:3" x14ac:dyDescent="0.2">
      <c r="A2435" s="1"/>
      <c r="C2435" s="2"/>
    </row>
    <row r="2436" spans="1:3" x14ac:dyDescent="0.2">
      <c r="A2436" s="1"/>
      <c r="C2436" s="2"/>
    </row>
    <row r="2437" spans="1:3" x14ac:dyDescent="0.2">
      <c r="A2437" s="1"/>
      <c r="C2437" s="2"/>
    </row>
    <row r="2438" spans="1:3" x14ac:dyDescent="0.2">
      <c r="A2438" s="1"/>
      <c r="C2438" s="2"/>
    </row>
    <row r="2439" spans="1:3" x14ac:dyDescent="0.2">
      <c r="A2439" s="1"/>
      <c r="C2439" s="2"/>
    </row>
    <row r="2440" spans="1:3" x14ac:dyDescent="0.2">
      <c r="A2440" s="1"/>
      <c r="C2440" s="2"/>
    </row>
    <row r="2441" spans="1:3" x14ac:dyDescent="0.2">
      <c r="A2441" s="1"/>
      <c r="C2441" s="2"/>
    </row>
    <row r="2442" spans="1:3" x14ac:dyDescent="0.2">
      <c r="A2442" s="1"/>
      <c r="C2442" s="2"/>
    </row>
    <row r="2443" spans="1:3" x14ac:dyDescent="0.2">
      <c r="A2443" s="1"/>
      <c r="C2443" s="2"/>
    </row>
    <row r="2444" spans="1:3" x14ac:dyDescent="0.2">
      <c r="A2444" s="1"/>
      <c r="C2444" s="2"/>
    </row>
    <row r="2445" spans="1:3" x14ac:dyDescent="0.2">
      <c r="A2445" s="1"/>
      <c r="C2445" s="2"/>
    </row>
    <row r="2446" spans="1:3" x14ac:dyDescent="0.2">
      <c r="A2446" s="1"/>
      <c r="C2446" s="2"/>
    </row>
    <row r="2447" spans="1:3" x14ac:dyDescent="0.2">
      <c r="A2447" s="1"/>
      <c r="C2447" s="2"/>
    </row>
    <row r="2448" spans="1:3" x14ac:dyDescent="0.2">
      <c r="A2448" s="1"/>
      <c r="C2448" s="2"/>
    </row>
    <row r="2449" spans="1:3" x14ac:dyDescent="0.2">
      <c r="A2449" s="1"/>
      <c r="C2449" s="2"/>
    </row>
    <row r="2450" spans="1:3" x14ac:dyDescent="0.2">
      <c r="A2450" s="1"/>
      <c r="C2450" s="2"/>
    </row>
    <row r="2451" spans="1:3" x14ac:dyDescent="0.2">
      <c r="A2451" s="1"/>
      <c r="C2451" s="2"/>
    </row>
    <row r="2452" spans="1:3" x14ac:dyDescent="0.2">
      <c r="A2452" s="1"/>
      <c r="C2452" s="2"/>
    </row>
    <row r="2453" spans="1:3" x14ac:dyDescent="0.2">
      <c r="A2453" s="1"/>
      <c r="C2453" s="2"/>
    </row>
    <row r="2454" spans="1:3" x14ac:dyDescent="0.2">
      <c r="A2454" s="1"/>
      <c r="C2454" s="2"/>
    </row>
    <row r="2455" spans="1:3" x14ac:dyDescent="0.2">
      <c r="A2455" s="1"/>
      <c r="C2455" s="2"/>
    </row>
    <row r="2456" spans="1:3" x14ac:dyDescent="0.2">
      <c r="A2456" s="1"/>
      <c r="C2456" s="2"/>
    </row>
    <row r="2457" spans="1:3" x14ac:dyDescent="0.2">
      <c r="A2457" s="1"/>
      <c r="C2457" s="2"/>
    </row>
    <row r="2458" spans="1:3" x14ac:dyDescent="0.2">
      <c r="A2458" s="1"/>
      <c r="C2458" s="2"/>
    </row>
    <row r="2459" spans="1:3" x14ac:dyDescent="0.2">
      <c r="A2459" s="1"/>
      <c r="C2459" s="2"/>
    </row>
    <row r="2460" spans="1:3" x14ac:dyDescent="0.2">
      <c r="A2460" s="1"/>
      <c r="C2460" s="2"/>
    </row>
    <row r="2461" spans="1:3" x14ac:dyDescent="0.2">
      <c r="A2461" s="1"/>
      <c r="C2461" s="2"/>
    </row>
    <row r="2462" spans="1:3" x14ac:dyDescent="0.2">
      <c r="A2462" s="1"/>
      <c r="C2462" s="2"/>
    </row>
    <row r="2463" spans="1:3" x14ac:dyDescent="0.2">
      <c r="A2463" s="1"/>
      <c r="C2463" s="2"/>
    </row>
    <row r="2464" spans="1:3" x14ac:dyDescent="0.2">
      <c r="A2464" s="1"/>
      <c r="C2464" s="2"/>
    </row>
    <row r="2465" spans="1:3" x14ac:dyDescent="0.2">
      <c r="A2465" s="1"/>
      <c r="C2465" s="2"/>
    </row>
    <row r="2466" spans="1:3" x14ac:dyDescent="0.2">
      <c r="A2466" s="1"/>
      <c r="C2466" s="2"/>
    </row>
    <row r="2467" spans="1:3" x14ac:dyDescent="0.2">
      <c r="A2467" s="1"/>
      <c r="C2467" s="2"/>
    </row>
    <row r="2468" spans="1:3" x14ac:dyDescent="0.2">
      <c r="A2468" s="1"/>
      <c r="C2468" s="2"/>
    </row>
    <row r="2469" spans="1:3" x14ac:dyDescent="0.2">
      <c r="A2469" s="1"/>
      <c r="C2469" s="2"/>
    </row>
    <row r="2470" spans="1:3" x14ac:dyDescent="0.2">
      <c r="A2470" s="1"/>
      <c r="C2470" s="2"/>
    </row>
    <row r="2471" spans="1:3" x14ac:dyDescent="0.2">
      <c r="A2471" s="1"/>
      <c r="C2471" s="2"/>
    </row>
    <row r="2472" spans="1:3" x14ac:dyDescent="0.2">
      <c r="A2472" s="1"/>
      <c r="C2472" s="2"/>
    </row>
    <row r="2473" spans="1:3" x14ac:dyDescent="0.2">
      <c r="A2473" s="1"/>
      <c r="C2473" s="2"/>
    </row>
    <row r="2474" spans="1:3" x14ac:dyDescent="0.2">
      <c r="A2474" s="1"/>
      <c r="C2474" s="2"/>
    </row>
    <row r="2475" spans="1:3" x14ac:dyDescent="0.2">
      <c r="A2475" s="1"/>
      <c r="C2475" s="2"/>
    </row>
    <row r="2476" spans="1:3" x14ac:dyDescent="0.2">
      <c r="A2476" s="1"/>
      <c r="C2476" s="2"/>
    </row>
    <row r="2477" spans="1:3" x14ac:dyDescent="0.2">
      <c r="A2477" s="1"/>
      <c r="C2477" s="2"/>
    </row>
    <row r="2478" spans="1:3" x14ac:dyDescent="0.2">
      <c r="A2478" s="1"/>
      <c r="C2478" s="2"/>
    </row>
    <row r="2479" spans="1:3" x14ac:dyDescent="0.2">
      <c r="A2479" s="1"/>
      <c r="C2479" s="2"/>
    </row>
    <row r="2480" spans="1:3" x14ac:dyDescent="0.2">
      <c r="A2480" s="1"/>
      <c r="C2480" s="2"/>
    </row>
    <row r="2481" spans="1:3" x14ac:dyDescent="0.2">
      <c r="A2481" s="1"/>
      <c r="C2481" s="2"/>
    </row>
    <row r="2482" spans="1:3" x14ac:dyDescent="0.2">
      <c r="A2482" s="1"/>
      <c r="C2482" s="2"/>
    </row>
    <row r="2483" spans="1:3" x14ac:dyDescent="0.2">
      <c r="A2483" s="1"/>
      <c r="C2483" s="2"/>
    </row>
    <row r="2484" spans="1:3" x14ac:dyDescent="0.2">
      <c r="A2484" s="1"/>
      <c r="C2484" s="2"/>
    </row>
    <row r="2485" spans="1:3" x14ac:dyDescent="0.2">
      <c r="A2485" s="1"/>
      <c r="C2485" s="2"/>
    </row>
    <row r="2486" spans="1:3" x14ac:dyDescent="0.2">
      <c r="A2486" s="1"/>
      <c r="C2486" s="2"/>
    </row>
    <row r="2487" spans="1:3" x14ac:dyDescent="0.2">
      <c r="A2487" s="1"/>
      <c r="C2487" s="2"/>
    </row>
    <row r="2488" spans="1:3" x14ac:dyDescent="0.2">
      <c r="A2488" s="1"/>
      <c r="C2488" s="2"/>
    </row>
    <row r="2489" spans="1:3" x14ac:dyDescent="0.2">
      <c r="A2489" s="1"/>
      <c r="C2489" s="2"/>
    </row>
    <row r="2490" spans="1:3" x14ac:dyDescent="0.2">
      <c r="A2490" s="1"/>
      <c r="C2490" s="2"/>
    </row>
    <row r="2491" spans="1:3" x14ac:dyDescent="0.2">
      <c r="A2491" s="1"/>
      <c r="C2491" s="2"/>
    </row>
    <row r="2492" spans="1:3" x14ac:dyDescent="0.2">
      <c r="A2492" s="1"/>
      <c r="C2492" s="2"/>
    </row>
    <row r="2493" spans="1:3" x14ac:dyDescent="0.2">
      <c r="A2493" s="1"/>
      <c r="C2493" s="2"/>
    </row>
    <row r="2494" spans="1:3" x14ac:dyDescent="0.2">
      <c r="A2494" s="1"/>
      <c r="C2494" s="2"/>
    </row>
    <row r="2495" spans="1:3" x14ac:dyDescent="0.2">
      <c r="A2495" s="1"/>
      <c r="C2495" s="2"/>
    </row>
    <row r="2496" spans="1:3" x14ac:dyDescent="0.2">
      <c r="A2496" s="1"/>
      <c r="C2496" s="2"/>
    </row>
    <row r="2497" spans="1:3" x14ac:dyDescent="0.2">
      <c r="A2497" s="1"/>
      <c r="C2497" s="2"/>
    </row>
    <row r="2498" spans="1:3" x14ac:dyDescent="0.2">
      <c r="A2498" s="1"/>
      <c r="C2498" s="2"/>
    </row>
    <row r="2499" spans="1:3" x14ac:dyDescent="0.2">
      <c r="A2499" s="1"/>
      <c r="C2499" s="2"/>
    </row>
    <row r="2500" spans="1:3" x14ac:dyDescent="0.2">
      <c r="A2500" s="1"/>
      <c r="C2500" s="2"/>
    </row>
    <row r="2501" spans="1:3" x14ac:dyDescent="0.2">
      <c r="A2501" s="1"/>
      <c r="C2501" s="2"/>
    </row>
    <row r="2502" spans="1:3" x14ac:dyDescent="0.2">
      <c r="A2502" s="1"/>
      <c r="C2502" s="2"/>
    </row>
    <row r="2503" spans="1:3" x14ac:dyDescent="0.2">
      <c r="A2503" s="1"/>
      <c r="C2503" s="2"/>
    </row>
    <row r="2504" spans="1:3" x14ac:dyDescent="0.2">
      <c r="A2504" s="1"/>
      <c r="C2504" s="2"/>
    </row>
    <row r="2505" spans="1:3" x14ac:dyDescent="0.2">
      <c r="A2505" s="1"/>
      <c r="C2505" s="2"/>
    </row>
    <row r="2506" spans="1:3" x14ac:dyDescent="0.2">
      <c r="A2506" s="1"/>
      <c r="C2506" s="2"/>
    </row>
    <row r="2507" spans="1:3" x14ac:dyDescent="0.2">
      <c r="A2507" s="1"/>
      <c r="C2507" s="2"/>
    </row>
    <row r="2508" spans="1:3" x14ac:dyDescent="0.2">
      <c r="A2508" s="1"/>
      <c r="C2508" s="2"/>
    </row>
    <row r="2509" spans="1:3" x14ac:dyDescent="0.2">
      <c r="A2509" s="1"/>
      <c r="C2509" s="2"/>
    </row>
    <row r="2510" spans="1:3" x14ac:dyDescent="0.2">
      <c r="A2510" s="1"/>
      <c r="C2510" s="2"/>
    </row>
    <row r="2511" spans="1:3" x14ac:dyDescent="0.2">
      <c r="A2511" s="1"/>
      <c r="C2511" s="2"/>
    </row>
    <row r="2512" spans="1:3" x14ac:dyDescent="0.2">
      <c r="A2512" s="1"/>
      <c r="C2512" s="2"/>
    </row>
    <row r="2513" spans="1:3" x14ac:dyDescent="0.2">
      <c r="A2513" s="1"/>
      <c r="C2513" s="2"/>
    </row>
    <row r="2514" spans="1:3" x14ac:dyDescent="0.2">
      <c r="A2514" s="1"/>
      <c r="C2514" s="2"/>
    </row>
    <row r="2515" spans="1:3" x14ac:dyDescent="0.2">
      <c r="A2515" s="1"/>
      <c r="C2515" s="2"/>
    </row>
    <row r="2516" spans="1:3" x14ac:dyDescent="0.2">
      <c r="A2516" s="1"/>
      <c r="C2516" s="2"/>
    </row>
    <row r="2517" spans="1:3" x14ac:dyDescent="0.2">
      <c r="A2517" s="1"/>
      <c r="C2517" s="2"/>
    </row>
    <row r="2518" spans="1:3" x14ac:dyDescent="0.2">
      <c r="A2518" s="1"/>
      <c r="C2518" s="2"/>
    </row>
    <row r="2519" spans="1:3" x14ac:dyDescent="0.2">
      <c r="A2519" s="1"/>
      <c r="C2519" s="2"/>
    </row>
    <row r="2520" spans="1:3" x14ac:dyDescent="0.2">
      <c r="A2520" s="1"/>
      <c r="C2520" s="2"/>
    </row>
    <row r="2521" spans="1:3" x14ac:dyDescent="0.2">
      <c r="A2521" s="1"/>
      <c r="C2521" s="2"/>
    </row>
    <row r="2522" spans="1:3" x14ac:dyDescent="0.2">
      <c r="A2522" s="1"/>
      <c r="C2522" s="2"/>
    </row>
    <row r="2523" spans="1:3" x14ac:dyDescent="0.2">
      <c r="A2523" s="1"/>
      <c r="C2523" s="2"/>
    </row>
    <row r="2524" spans="1:3" x14ac:dyDescent="0.2">
      <c r="A2524" s="1"/>
      <c r="C2524" s="2"/>
    </row>
    <row r="2525" spans="1:3" x14ac:dyDescent="0.2">
      <c r="A2525" s="1"/>
      <c r="C2525" s="2"/>
    </row>
    <row r="2526" spans="1:3" x14ac:dyDescent="0.2">
      <c r="A2526" s="1"/>
      <c r="C2526" s="2"/>
    </row>
    <row r="2527" spans="1:3" x14ac:dyDescent="0.2">
      <c r="A2527" s="1"/>
      <c r="C2527" s="2"/>
    </row>
    <row r="2528" spans="1:3" x14ac:dyDescent="0.2">
      <c r="A2528" s="1"/>
      <c r="C2528" s="2"/>
    </row>
    <row r="2529" spans="1:3" x14ac:dyDescent="0.2">
      <c r="A2529" s="1"/>
      <c r="C2529" s="2"/>
    </row>
    <row r="2530" spans="1:3" x14ac:dyDescent="0.2">
      <c r="A2530" s="1"/>
      <c r="C2530" s="2"/>
    </row>
    <row r="2531" spans="1:3" x14ac:dyDescent="0.2">
      <c r="A2531" s="1"/>
      <c r="C2531" s="2"/>
    </row>
    <row r="2532" spans="1:3" x14ac:dyDescent="0.2">
      <c r="A2532" s="1"/>
      <c r="C2532" s="2"/>
    </row>
    <row r="2533" spans="1:3" x14ac:dyDescent="0.2">
      <c r="A2533" s="1"/>
      <c r="C2533" s="2"/>
    </row>
    <row r="2534" spans="1:3" x14ac:dyDescent="0.2">
      <c r="A2534" s="1"/>
      <c r="C2534" s="2"/>
    </row>
    <row r="2535" spans="1:3" x14ac:dyDescent="0.2">
      <c r="A2535" s="1"/>
      <c r="C2535" s="2"/>
    </row>
    <row r="2536" spans="1:3" x14ac:dyDescent="0.2">
      <c r="A2536" s="1"/>
      <c r="C2536" s="2"/>
    </row>
    <row r="2537" spans="1:3" x14ac:dyDescent="0.2">
      <c r="A2537" s="1"/>
      <c r="C2537" s="2"/>
    </row>
    <row r="2538" spans="1:3" x14ac:dyDescent="0.2">
      <c r="A2538" s="1"/>
      <c r="C2538" s="2"/>
    </row>
    <row r="2539" spans="1:3" x14ac:dyDescent="0.2">
      <c r="A2539" s="1"/>
      <c r="C2539" s="2"/>
    </row>
    <row r="2540" spans="1:3" x14ac:dyDescent="0.2">
      <c r="A2540" s="1"/>
      <c r="C2540" s="2"/>
    </row>
    <row r="2541" spans="1:3" x14ac:dyDescent="0.2">
      <c r="A2541" s="1"/>
      <c r="C2541" s="2"/>
    </row>
    <row r="2542" spans="1:3" x14ac:dyDescent="0.2">
      <c r="A2542" s="1"/>
      <c r="C2542" s="2"/>
    </row>
    <row r="2543" spans="1:3" x14ac:dyDescent="0.2">
      <c r="A2543" s="1"/>
      <c r="C2543" s="2"/>
    </row>
    <row r="2544" spans="1:3" x14ac:dyDescent="0.2">
      <c r="A2544" s="1"/>
      <c r="C2544" s="2"/>
    </row>
    <row r="2545" spans="1:3" x14ac:dyDescent="0.2">
      <c r="A2545" s="1"/>
      <c r="C2545" s="2"/>
    </row>
    <row r="2546" spans="1:3" x14ac:dyDescent="0.2">
      <c r="A2546" s="1"/>
      <c r="C2546" s="2"/>
    </row>
    <row r="2547" spans="1:3" x14ac:dyDescent="0.2">
      <c r="A2547" s="1"/>
      <c r="C2547" s="2"/>
    </row>
    <row r="2548" spans="1:3" x14ac:dyDescent="0.2">
      <c r="A2548" s="1"/>
      <c r="C2548" s="2"/>
    </row>
    <row r="2549" spans="1:3" x14ac:dyDescent="0.2">
      <c r="A2549" s="1"/>
      <c r="C2549" s="2"/>
    </row>
    <row r="2550" spans="1:3" x14ac:dyDescent="0.2">
      <c r="A2550" s="1"/>
      <c r="C2550" s="2"/>
    </row>
    <row r="2551" spans="1:3" x14ac:dyDescent="0.2">
      <c r="A2551" s="1"/>
      <c r="C2551" s="2"/>
    </row>
    <row r="2552" spans="1:3" x14ac:dyDescent="0.2">
      <c r="A2552" s="1"/>
      <c r="C2552" s="2"/>
    </row>
    <row r="2553" spans="1:3" x14ac:dyDescent="0.2">
      <c r="A2553" s="1"/>
      <c r="C2553" s="2"/>
    </row>
    <row r="2554" spans="1:3" x14ac:dyDescent="0.2">
      <c r="A2554" s="1"/>
      <c r="C2554" s="2"/>
    </row>
    <row r="2555" spans="1:3" x14ac:dyDescent="0.2">
      <c r="A2555" s="1"/>
      <c r="C2555" s="2"/>
    </row>
    <row r="2556" spans="1:3" x14ac:dyDescent="0.2">
      <c r="A2556" s="1"/>
      <c r="C2556" s="2"/>
    </row>
    <row r="2557" spans="1:3" x14ac:dyDescent="0.2">
      <c r="A2557" s="1"/>
      <c r="C2557" s="2"/>
    </row>
    <row r="2558" spans="1:3" x14ac:dyDescent="0.2">
      <c r="A2558" s="1"/>
      <c r="C2558" s="2"/>
    </row>
    <row r="2559" spans="1:3" x14ac:dyDescent="0.2">
      <c r="A2559" s="1"/>
      <c r="C2559" s="2"/>
    </row>
    <row r="2560" spans="1:3" x14ac:dyDescent="0.2">
      <c r="A2560" s="1"/>
      <c r="C2560" s="2"/>
    </row>
    <row r="2561" spans="1:3" x14ac:dyDescent="0.2">
      <c r="A2561" s="1"/>
      <c r="C2561" s="2"/>
    </row>
    <row r="2562" spans="1:3" x14ac:dyDescent="0.2">
      <c r="A2562" s="1"/>
      <c r="C2562" s="2"/>
    </row>
    <row r="2563" spans="1:3" x14ac:dyDescent="0.2">
      <c r="A2563" s="1"/>
      <c r="C2563" s="2"/>
    </row>
    <row r="2564" spans="1:3" x14ac:dyDescent="0.2">
      <c r="A2564" s="1"/>
      <c r="C2564" s="2"/>
    </row>
    <row r="2565" spans="1:3" x14ac:dyDescent="0.2">
      <c r="A2565" s="1"/>
      <c r="C2565" s="2"/>
    </row>
    <row r="2566" spans="1:3" x14ac:dyDescent="0.2">
      <c r="A2566" s="1"/>
      <c r="C2566" s="2"/>
    </row>
    <row r="2567" spans="1:3" x14ac:dyDescent="0.2">
      <c r="A2567" s="1"/>
      <c r="C2567" s="2"/>
    </row>
    <row r="2568" spans="1:3" x14ac:dyDescent="0.2">
      <c r="A2568" s="1"/>
      <c r="C2568" s="2"/>
    </row>
    <row r="2569" spans="1:3" x14ac:dyDescent="0.2">
      <c r="A2569" s="1"/>
      <c r="C2569" s="2"/>
    </row>
    <row r="2570" spans="1:3" x14ac:dyDescent="0.2">
      <c r="A2570" s="1"/>
      <c r="C2570" s="2"/>
    </row>
    <row r="2571" spans="1:3" x14ac:dyDescent="0.2">
      <c r="A2571" s="1"/>
      <c r="C2571" s="2"/>
    </row>
    <row r="2572" spans="1:3" x14ac:dyDescent="0.2">
      <c r="A2572" s="1"/>
      <c r="C2572" s="2"/>
    </row>
    <row r="2573" spans="1:3" x14ac:dyDescent="0.2">
      <c r="A2573" s="1"/>
      <c r="C2573" s="2"/>
    </row>
    <row r="2574" spans="1:3" x14ac:dyDescent="0.2">
      <c r="A2574" s="1"/>
      <c r="C2574" s="2"/>
    </row>
    <row r="2575" spans="1:3" x14ac:dyDescent="0.2">
      <c r="A2575" s="1"/>
      <c r="C2575" s="2"/>
    </row>
    <row r="2576" spans="1:3" x14ac:dyDescent="0.2">
      <c r="A2576" s="1"/>
      <c r="C2576" s="2"/>
    </row>
    <row r="2577" spans="1:3" x14ac:dyDescent="0.2">
      <c r="A2577" s="1"/>
      <c r="C2577" s="2"/>
    </row>
    <row r="2578" spans="1:3" x14ac:dyDescent="0.2">
      <c r="A2578" s="1"/>
      <c r="C2578" s="2"/>
    </row>
    <row r="2579" spans="1:3" x14ac:dyDescent="0.2">
      <c r="A2579" s="1"/>
      <c r="C2579" s="2"/>
    </row>
    <row r="2580" spans="1:3" x14ac:dyDescent="0.2">
      <c r="A2580" s="1"/>
      <c r="C2580" s="2"/>
    </row>
    <row r="2581" spans="1:3" x14ac:dyDescent="0.2">
      <c r="A2581" s="1"/>
      <c r="C2581" s="2"/>
    </row>
    <row r="2582" spans="1:3" x14ac:dyDescent="0.2">
      <c r="A2582" s="1"/>
      <c r="C2582" s="2"/>
    </row>
    <row r="2583" spans="1:3" x14ac:dyDescent="0.2">
      <c r="A2583" s="1"/>
      <c r="C2583" s="2"/>
    </row>
    <row r="2584" spans="1:3" x14ac:dyDescent="0.2">
      <c r="A2584" s="1"/>
      <c r="C2584" s="2"/>
    </row>
    <row r="2585" spans="1:3" x14ac:dyDescent="0.2">
      <c r="A2585" s="1"/>
      <c r="C2585" s="2"/>
    </row>
    <row r="2586" spans="1:3" x14ac:dyDescent="0.2">
      <c r="A2586" s="1"/>
      <c r="C2586" s="2"/>
    </row>
    <row r="2587" spans="1:3" x14ac:dyDescent="0.2">
      <c r="A2587" s="1"/>
      <c r="C2587" s="2"/>
    </row>
    <row r="2588" spans="1:3" x14ac:dyDescent="0.2">
      <c r="A2588" s="1"/>
      <c r="C2588" s="2"/>
    </row>
    <row r="2589" spans="1:3" x14ac:dyDescent="0.2">
      <c r="A2589" s="1"/>
      <c r="C2589" s="2"/>
    </row>
    <row r="2590" spans="1:3" x14ac:dyDescent="0.2">
      <c r="A2590" s="1"/>
      <c r="C2590" s="2"/>
    </row>
    <row r="2591" spans="1:3" x14ac:dyDescent="0.2">
      <c r="A2591" s="1"/>
      <c r="C2591" s="2"/>
    </row>
    <row r="2592" spans="1:3" x14ac:dyDescent="0.2">
      <c r="A2592" s="1"/>
      <c r="C2592" s="2"/>
    </row>
    <row r="2593" spans="1:3" x14ac:dyDescent="0.2">
      <c r="A2593" s="1"/>
      <c r="C2593" s="2"/>
    </row>
    <row r="2594" spans="1:3" x14ac:dyDescent="0.2">
      <c r="A2594" s="1"/>
      <c r="C2594" s="2"/>
    </row>
    <row r="2595" spans="1:3" x14ac:dyDescent="0.2">
      <c r="A2595" s="1"/>
      <c r="C2595" s="2"/>
    </row>
    <row r="2596" spans="1:3" x14ac:dyDescent="0.2">
      <c r="A2596" s="1"/>
      <c r="C2596" s="2"/>
    </row>
    <row r="2597" spans="1:3" x14ac:dyDescent="0.2">
      <c r="A2597" s="1"/>
      <c r="C2597" s="2"/>
    </row>
    <row r="2598" spans="1:3" x14ac:dyDescent="0.2">
      <c r="A2598" s="1"/>
      <c r="C2598" s="2"/>
    </row>
    <row r="2599" spans="1:3" x14ac:dyDescent="0.2">
      <c r="A2599" s="1"/>
      <c r="C2599" s="2"/>
    </row>
    <row r="2600" spans="1:3" x14ac:dyDescent="0.2">
      <c r="A2600" s="1"/>
      <c r="C2600" s="2"/>
    </row>
    <row r="2601" spans="1:3" x14ac:dyDescent="0.2">
      <c r="A2601" s="1"/>
      <c r="C2601" s="2"/>
    </row>
    <row r="2602" spans="1:3" x14ac:dyDescent="0.2">
      <c r="A2602" s="1"/>
      <c r="C2602" s="2"/>
    </row>
    <row r="2603" spans="1:3" x14ac:dyDescent="0.2">
      <c r="A2603" s="1"/>
      <c r="C2603" s="2"/>
    </row>
    <row r="2604" spans="1:3" x14ac:dyDescent="0.2">
      <c r="A2604" s="1"/>
      <c r="C2604" s="2"/>
    </row>
    <row r="2605" spans="1:3" x14ac:dyDescent="0.2">
      <c r="A2605" s="1"/>
      <c r="C2605" s="2"/>
    </row>
    <row r="2606" spans="1:3" x14ac:dyDescent="0.2">
      <c r="A2606" s="1"/>
      <c r="C2606" s="2"/>
    </row>
    <row r="2607" spans="1:3" x14ac:dyDescent="0.2">
      <c r="A2607" s="1"/>
      <c r="C2607" s="2"/>
    </row>
    <row r="2608" spans="1:3" x14ac:dyDescent="0.2">
      <c r="A2608" s="1"/>
      <c r="C2608" s="2"/>
    </row>
    <row r="2609" spans="1:3" x14ac:dyDescent="0.2">
      <c r="A2609" s="1"/>
      <c r="C2609" s="2"/>
    </row>
    <row r="2610" spans="1:3" x14ac:dyDescent="0.2">
      <c r="A2610" s="1"/>
      <c r="C2610" s="2"/>
    </row>
    <row r="2611" spans="1:3" x14ac:dyDescent="0.2">
      <c r="A2611" s="1"/>
      <c r="C2611" s="2"/>
    </row>
    <row r="2612" spans="1:3" x14ac:dyDescent="0.2">
      <c r="A2612" s="1"/>
      <c r="C2612" s="2"/>
    </row>
    <row r="2613" spans="1:3" x14ac:dyDescent="0.2">
      <c r="A2613" s="1"/>
      <c r="C2613" s="2"/>
    </row>
    <row r="2614" spans="1:3" x14ac:dyDescent="0.2">
      <c r="A2614" s="1"/>
      <c r="C2614" s="2"/>
    </row>
    <row r="2615" spans="1:3" x14ac:dyDescent="0.2">
      <c r="A2615" s="1"/>
      <c r="C2615" s="2"/>
    </row>
    <row r="2616" spans="1:3" x14ac:dyDescent="0.2">
      <c r="A2616" s="1"/>
      <c r="C2616" s="2"/>
    </row>
    <row r="2617" spans="1:3" x14ac:dyDescent="0.2">
      <c r="A2617" s="1"/>
      <c r="C2617" s="2"/>
    </row>
    <row r="2618" spans="1:3" x14ac:dyDescent="0.2">
      <c r="A2618" s="1"/>
      <c r="C2618" s="2"/>
    </row>
    <row r="2619" spans="1:3" x14ac:dyDescent="0.2">
      <c r="A2619" s="1"/>
      <c r="C2619" s="2"/>
    </row>
    <row r="2620" spans="1:3" x14ac:dyDescent="0.2">
      <c r="A2620" s="1"/>
      <c r="C2620" s="2"/>
    </row>
    <row r="2621" spans="1:3" x14ac:dyDescent="0.2">
      <c r="A2621" s="1"/>
      <c r="C2621" s="2"/>
    </row>
    <row r="2622" spans="1:3" x14ac:dyDescent="0.2">
      <c r="A2622" s="1"/>
      <c r="C2622" s="2"/>
    </row>
    <row r="2623" spans="1:3" x14ac:dyDescent="0.2">
      <c r="A2623" s="1"/>
      <c r="C2623" s="2"/>
    </row>
    <row r="2624" spans="1:3" x14ac:dyDescent="0.2">
      <c r="A2624" s="1"/>
      <c r="C2624" s="2"/>
    </row>
    <row r="2625" spans="1:3" x14ac:dyDescent="0.2">
      <c r="A2625" s="1"/>
      <c r="C2625" s="2"/>
    </row>
    <row r="2626" spans="1:3" x14ac:dyDescent="0.2">
      <c r="A2626" s="1"/>
      <c r="C2626" s="2"/>
    </row>
    <row r="2627" spans="1:3" x14ac:dyDescent="0.2">
      <c r="A2627" s="1"/>
      <c r="C2627" s="2"/>
    </row>
    <row r="2628" spans="1:3" x14ac:dyDescent="0.2">
      <c r="A2628" s="1"/>
      <c r="C2628" s="2"/>
    </row>
    <row r="2629" spans="1:3" x14ac:dyDescent="0.2">
      <c r="A2629" s="1"/>
      <c r="C2629" s="2"/>
    </row>
    <row r="2630" spans="1:3" x14ac:dyDescent="0.2">
      <c r="A2630" s="1"/>
      <c r="C2630" s="2"/>
    </row>
    <row r="2631" spans="1:3" x14ac:dyDescent="0.2">
      <c r="A2631" s="1"/>
      <c r="C2631" s="2"/>
    </row>
    <row r="2632" spans="1:3" x14ac:dyDescent="0.2">
      <c r="A2632" s="1"/>
      <c r="C2632" s="2"/>
    </row>
    <row r="2633" spans="1:3" x14ac:dyDescent="0.2">
      <c r="A2633" s="1"/>
      <c r="C2633" s="2"/>
    </row>
    <row r="2634" spans="1:3" x14ac:dyDescent="0.2">
      <c r="A2634" s="1"/>
      <c r="C2634" s="2"/>
    </row>
    <row r="2635" spans="1:3" x14ac:dyDescent="0.2">
      <c r="A2635" s="1"/>
      <c r="C2635" s="2"/>
    </row>
    <row r="2636" spans="1:3" x14ac:dyDescent="0.2">
      <c r="A2636" s="1"/>
      <c r="C2636" s="2"/>
    </row>
    <row r="2637" spans="1:3" x14ac:dyDescent="0.2">
      <c r="A2637" s="1"/>
      <c r="C2637" s="2"/>
    </row>
    <row r="2638" spans="1:3" x14ac:dyDescent="0.2">
      <c r="A2638" s="1"/>
      <c r="C2638" s="2"/>
    </row>
    <row r="2639" spans="1:3" x14ac:dyDescent="0.2">
      <c r="A2639" s="1"/>
      <c r="C2639" s="2"/>
    </row>
    <row r="2640" spans="1:3" x14ac:dyDescent="0.2">
      <c r="A2640" s="1"/>
      <c r="C2640" s="2"/>
    </row>
    <row r="2641" spans="1:3" x14ac:dyDescent="0.2">
      <c r="A2641" s="1"/>
      <c r="C2641" s="2"/>
    </row>
    <row r="2642" spans="1:3" x14ac:dyDescent="0.2">
      <c r="A2642" s="1"/>
      <c r="C2642" s="2"/>
    </row>
    <row r="2643" spans="1:3" x14ac:dyDescent="0.2">
      <c r="A2643" s="1"/>
      <c r="C2643" s="2"/>
    </row>
    <row r="2644" spans="1:3" x14ac:dyDescent="0.2">
      <c r="A2644" s="1"/>
      <c r="C2644" s="2"/>
    </row>
    <row r="2645" spans="1:3" x14ac:dyDescent="0.2">
      <c r="A2645" s="1"/>
      <c r="C2645" s="2"/>
    </row>
    <row r="2646" spans="1:3" x14ac:dyDescent="0.2">
      <c r="A2646" s="1"/>
      <c r="C2646" s="2"/>
    </row>
    <row r="2647" spans="1:3" x14ac:dyDescent="0.2">
      <c r="A2647" s="1"/>
      <c r="C2647" s="2"/>
    </row>
    <row r="2648" spans="1:3" x14ac:dyDescent="0.2">
      <c r="A2648" s="1"/>
      <c r="C2648" s="2"/>
    </row>
    <row r="2649" spans="1:3" x14ac:dyDescent="0.2">
      <c r="A2649" s="1"/>
      <c r="C2649" s="2"/>
    </row>
    <row r="2650" spans="1:3" x14ac:dyDescent="0.2">
      <c r="A2650" s="1"/>
      <c r="C2650" s="2"/>
    </row>
    <row r="2651" spans="1:3" x14ac:dyDescent="0.2">
      <c r="A2651" s="1"/>
      <c r="C2651" s="2"/>
    </row>
    <row r="2652" spans="1:3" x14ac:dyDescent="0.2">
      <c r="A2652" s="1"/>
      <c r="C2652" s="2"/>
    </row>
    <row r="2653" spans="1:3" x14ac:dyDescent="0.2">
      <c r="A2653" s="1"/>
      <c r="C2653" s="2"/>
    </row>
    <row r="2654" spans="1:3" x14ac:dyDescent="0.2">
      <c r="A2654" s="1"/>
      <c r="C2654" s="2"/>
    </row>
    <row r="2655" spans="1:3" x14ac:dyDescent="0.2">
      <c r="A2655" s="1"/>
      <c r="C2655" s="2"/>
    </row>
    <row r="2656" spans="1:3" x14ac:dyDescent="0.2">
      <c r="A2656" s="1"/>
      <c r="C2656" s="2"/>
    </row>
    <row r="2657" spans="1:3" x14ac:dyDescent="0.2">
      <c r="A2657" s="1"/>
      <c r="C2657" s="2"/>
    </row>
    <row r="2658" spans="1:3" x14ac:dyDescent="0.2">
      <c r="A2658" s="1"/>
      <c r="C2658" s="2"/>
    </row>
    <row r="2659" spans="1:3" x14ac:dyDescent="0.2">
      <c r="A2659" s="1"/>
      <c r="C2659" s="2"/>
    </row>
    <row r="2660" spans="1:3" x14ac:dyDescent="0.2">
      <c r="A2660" s="1"/>
      <c r="C2660" s="2"/>
    </row>
    <row r="2661" spans="1:3" x14ac:dyDescent="0.2">
      <c r="A2661" s="1"/>
      <c r="C2661" s="2"/>
    </row>
    <row r="2662" spans="1:3" x14ac:dyDescent="0.2">
      <c r="A2662" s="1"/>
      <c r="C2662" s="2"/>
    </row>
    <row r="2663" spans="1:3" x14ac:dyDescent="0.2">
      <c r="A2663" s="1"/>
      <c r="C2663" s="2"/>
    </row>
    <row r="2664" spans="1:3" x14ac:dyDescent="0.2">
      <c r="A2664" s="1"/>
      <c r="C2664" s="2"/>
    </row>
    <row r="2665" spans="1:3" x14ac:dyDescent="0.2">
      <c r="A2665" s="1"/>
      <c r="C2665" s="2"/>
    </row>
    <row r="2666" spans="1:3" x14ac:dyDescent="0.2">
      <c r="A2666" s="1"/>
      <c r="C2666" s="2"/>
    </row>
    <row r="2667" spans="1:3" x14ac:dyDescent="0.2">
      <c r="A2667" s="1"/>
      <c r="C2667" s="2"/>
    </row>
    <row r="2668" spans="1:3" x14ac:dyDescent="0.2">
      <c r="A2668" s="1"/>
      <c r="C2668" s="2"/>
    </row>
    <row r="2669" spans="1:3" x14ac:dyDescent="0.2">
      <c r="A2669" s="1"/>
      <c r="C2669" s="2"/>
    </row>
    <row r="2670" spans="1:3" x14ac:dyDescent="0.2">
      <c r="A2670" s="1"/>
      <c r="C2670" s="2"/>
    </row>
    <row r="2671" spans="1:3" x14ac:dyDescent="0.2">
      <c r="A2671" s="1"/>
      <c r="C2671" s="2"/>
    </row>
    <row r="2672" spans="1:3" x14ac:dyDescent="0.2">
      <c r="A2672" s="1"/>
      <c r="C2672" s="2"/>
    </row>
    <row r="2673" spans="1:3" x14ac:dyDescent="0.2">
      <c r="A2673" s="1"/>
      <c r="C2673" s="2"/>
    </row>
    <row r="2674" spans="1:3" x14ac:dyDescent="0.2">
      <c r="A2674" s="1"/>
      <c r="C2674" s="2"/>
    </row>
    <row r="2675" spans="1:3" x14ac:dyDescent="0.2">
      <c r="A2675" s="1"/>
      <c r="C2675" s="2"/>
    </row>
    <row r="2676" spans="1:3" x14ac:dyDescent="0.2">
      <c r="A2676" s="1"/>
      <c r="C2676" s="2"/>
    </row>
    <row r="2677" spans="1:3" x14ac:dyDescent="0.2">
      <c r="A2677" s="1"/>
      <c r="C2677" s="2"/>
    </row>
    <row r="2678" spans="1:3" x14ac:dyDescent="0.2">
      <c r="A2678" s="1"/>
      <c r="C2678" s="2"/>
    </row>
    <row r="2679" spans="1:3" x14ac:dyDescent="0.2">
      <c r="A2679" s="1"/>
      <c r="C2679" s="2"/>
    </row>
    <row r="2680" spans="1:3" x14ac:dyDescent="0.2">
      <c r="A2680" s="1"/>
      <c r="C2680" s="2"/>
    </row>
    <row r="2681" spans="1:3" x14ac:dyDescent="0.2">
      <c r="A2681" s="1"/>
      <c r="C2681" s="2"/>
    </row>
    <row r="2682" spans="1:3" x14ac:dyDescent="0.2">
      <c r="A2682" s="1"/>
      <c r="C2682" s="2"/>
    </row>
    <row r="2683" spans="1:3" x14ac:dyDescent="0.2">
      <c r="A2683" s="1"/>
      <c r="C2683" s="2"/>
    </row>
    <row r="2684" spans="1:3" x14ac:dyDescent="0.2">
      <c r="A2684" s="1"/>
      <c r="C2684" s="2"/>
    </row>
    <row r="2685" spans="1:3" x14ac:dyDescent="0.2">
      <c r="A2685" s="1"/>
      <c r="C2685" s="2"/>
    </row>
    <row r="2686" spans="1:3" x14ac:dyDescent="0.2">
      <c r="A2686" s="1"/>
      <c r="C2686" s="2"/>
    </row>
    <row r="2687" spans="1:3" x14ac:dyDescent="0.2">
      <c r="A2687" s="1"/>
      <c r="C2687" s="2"/>
    </row>
    <row r="2688" spans="1:3" x14ac:dyDescent="0.2">
      <c r="A2688" s="1"/>
      <c r="C2688" s="2"/>
    </row>
    <row r="2689" spans="1:3" x14ac:dyDescent="0.2">
      <c r="A2689" s="1"/>
      <c r="C2689" s="2"/>
    </row>
    <row r="2690" spans="1:3" x14ac:dyDescent="0.2">
      <c r="A2690" s="1"/>
      <c r="C2690" s="2"/>
    </row>
    <row r="2691" spans="1:3" x14ac:dyDescent="0.2">
      <c r="A2691" s="1"/>
      <c r="C2691" s="2"/>
    </row>
    <row r="2692" spans="1:3" x14ac:dyDescent="0.2">
      <c r="A2692" s="1"/>
      <c r="C2692" s="2"/>
    </row>
    <row r="2693" spans="1:3" x14ac:dyDescent="0.2">
      <c r="A2693" s="1"/>
      <c r="C2693" s="2"/>
    </row>
    <row r="2694" spans="1:3" x14ac:dyDescent="0.2">
      <c r="A2694" s="1"/>
      <c r="C2694" s="2"/>
    </row>
    <row r="2695" spans="1:3" x14ac:dyDescent="0.2">
      <c r="A2695" s="1"/>
      <c r="C2695" s="2"/>
    </row>
    <row r="2696" spans="1:3" x14ac:dyDescent="0.2">
      <c r="A2696" s="1"/>
      <c r="C2696" s="2"/>
    </row>
    <row r="2697" spans="1:3" x14ac:dyDescent="0.2">
      <c r="A2697" s="1"/>
      <c r="C2697" s="2"/>
    </row>
    <row r="2698" spans="1:3" x14ac:dyDescent="0.2">
      <c r="A2698" s="1"/>
      <c r="C2698" s="2"/>
    </row>
    <row r="2699" spans="1:3" x14ac:dyDescent="0.2">
      <c r="A2699" s="1"/>
      <c r="C2699" s="2"/>
    </row>
    <row r="2700" spans="1:3" x14ac:dyDescent="0.2">
      <c r="A2700" s="1"/>
      <c r="C2700" s="2"/>
    </row>
    <row r="2701" spans="1:3" x14ac:dyDescent="0.2">
      <c r="A2701" s="1"/>
      <c r="C2701" s="2"/>
    </row>
    <row r="2702" spans="1:3" x14ac:dyDescent="0.2">
      <c r="A2702" s="1"/>
      <c r="C2702" s="2"/>
    </row>
    <row r="2703" spans="1:3" x14ac:dyDescent="0.2">
      <c r="A2703" s="1"/>
      <c r="C2703" s="2"/>
    </row>
    <row r="2704" spans="1:3" x14ac:dyDescent="0.2">
      <c r="A2704" s="1"/>
      <c r="C2704" s="2"/>
    </row>
    <row r="2705" spans="1:3" x14ac:dyDescent="0.2">
      <c r="A2705" s="1"/>
      <c r="C2705" s="2"/>
    </row>
    <row r="2706" spans="1:3" x14ac:dyDescent="0.2">
      <c r="A2706" s="1"/>
      <c r="C2706" s="2"/>
    </row>
    <row r="2707" spans="1:3" x14ac:dyDescent="0.2">
      <c r="A2707" s="1"/>
      <c r="C2707" s="2"/>
    </row>
    <row r="2708" spans="1:3" x14ac:dyDescent="0.2">
      <c r="A2708" s="1"/>
      <c r="C2708" s="2"/>
    </row>
    <row r="2709" spans="1:3" x14ac:dyDescent="0.2">
      <c r="A2709" s="1"/>
      <c r="C2709" s="2"/>
    </row>
    <row r="2710" spans="1:3" x14ac:dyDescent="0.2">
      <c r="A2710" s="1"/>
      <c r="C2710" s="2"/>
    </row>
    <row r="2711" spans="1:3" x14ac:dyDescent="0.2">
      <c r="A2711" s="1"/>
      <c r="C2711" s="2"/>
    </row>
    <row r="2712" spans="1:3" x14ac:dyDescent="0.2">
      <c r="A2712" s="1"/>
      <c r="C2712" s="2"/>
    </row>
    <row r="2713" spans="1:3" x14ac:dyDescent="0.2">
      <c r="A2713" s="1"/>
      <c r="C2713" s="2"/>
    </row>
    <row r="2714" spans="1:3" x14ac:dyDescent="0.2">
      <c r="A2714" s="1"/>
      <c r="C2714" s="2"/>
    </row>
    <row r="2715" spans="1:3" x14ac:dyDescent="0.2">
      <c r="A2715" s="1"/>
      <c r="C2715" s="2"/>
    </row>
    <row r="2716" spans="1:3" x14ac:dyDescent="0.2">
      <c r="A2716" s="1"/>
      <c r="C2716" s="2"/>
    </row>
    <row r="2717" spans="1:3" x14ac:dyDescent="0.2">
      <c r="A2717" s="1"/>
      <c r="C2717" s="2"/>
    </row>
    <row r="2718" spans="1:3" x14ac:dyDescent="0.2">
      <c r="A2718" s="1"/>
      <c r="C2718" s="2"/>
    </row>
    <row r="2719" spans="1:3" x14ac:dyDescent="0.2">
      <c r="A2719" s="1"/>
      <c r="C2719" s="2"/>
    </row>
    <row r="2720" spans="1:3" x14ac:dyDescent="0.2">
      <c r="A2720" s="1"/>
      <c r="C2720" s="2"/>
    </row>
    <row r="2721" spans="1:3" x14ac:dyDescent="0.2">
      <c r="A2721" s="1"/>
      <c r="C2721" s="2"/>
    </row>
    <row r="2722" spans="1:3" x14ac:dyDescent="0.2">
      <c r="A2722" s="1"/>
      <c r="C2722" s="2"/>
    </row>
    <row r="2723" spans="1:3" x14ac:dyDescent="0.2">
      <c r="A2723" s="1"/>
      <c r="C2723" s="2"/>
    </row>
    <row r="2724" spans="1:3" x14ac:dyDescent="0.2">
      <c r="A2724" s="1"/>
      <c r="C2724" s="2"/>
    </row>
    <row r="2725" spans="1:3" x14ac:dyDescent="0.2">
      <c r="A2725" s="1"/>
      <c r="C2725" s="2"/>
    </row>
    <row r="2726" spans="1:3" x14ac:dyDescent="0.2">
      <c r="A2726" s="1"/>
      <c r="C2726" s="2"/>
    </row>
    <row r="2727" spans="1:3" x14ac:dyDescent="0.2">
      <c r="A2727" s="1"/>
      <c r="C2727" s="2"/>
    </row>
    <row r="2728" spans="1:3" x14ac:dyDescent="0.2">
      <c r="A2728" s="1"/>
      <c r="C2728" s="2"/>
    </row>
    <row r="2729" spans="1:3" x14ac:dyDescent="0.2">
      <c r="A2729" s="1"/>
      <c r="C2729" s="2"/>
    </row>
    <row r="2730" spans="1:3" x14ac:dyDescent="0.2">
      <c r="A2730" s="1"/>
      <c r="C2730" s="2"/>
    </row>
    <row r="2731" spans="1:3" x14ac:dyDescent="0.2">
      <c r="A2731" s="1"/>
      <c r="C2731" s="2"/>
    </row>
    <row r="2732" spans="1:3" x14ac:dyDescent="0.2">
      <c r="A2732" s="1"/>
      <c r="C2732" s="2"/>
    </row>
    <row r="2733" spans="1:3" x14ac:dyDescent="0.2">
      <c r="A2733" s="1"/>
      <c r="C2733" s="2"/>
    </row>
    <row r="2734" spans="1:3" x14ac:dyDescent="0.2">
      <c r="A2734" s="1"/>
      <c r="C2734" s="2"/>
    </row>
    <row r="2735" spans="1:3" x14ac:dyDescent="0.2">
      <c r="A2735" s="1"/>
      <c r="C2735" s="2"/>
    </row>
    <row r="2736" spans="1:3" x14ac:dyDescent="0.2">
      <c r="A2736" s="1"/>
      <c r="C2736" s="2"/>
    </row>
    <row r="2737" spans="1:3" x14ac:dyDescent="0.2">
      <c r="A2737" s="1"/>
      <c r="C2737" s="2"/>
    </row>
    <row r="2738" spans="1:3" x14ac:dyDescent="0.2">
      <c r="A2738" s="1"/>
      <c r="C2738" s="2"/>
    </row>
    <row r="2739" spans="1:3" x14ac:dyDescent="0.2">
      <c r="A2739" s="1"/>
      <c r="C2739" s="2"/>
    </row>
    <row r="2740" spans="1:3" x14ac:dyDescent="0.2">
      <c r="A2740" s="1"/>
      <c r="C2740" s="2"/>
    </row>
    <row r="2741" spans="1:3" x14ac:dyDescent="0.2">
      <c r="A2741" s="1"/>
      <c r="C2741" s="2"/>
    </row>
    <row r="2742" spans="1:3" x14ac:dyDescent="0.2">
      <c r="A2742" s="1"/>
      <c r="C2742" s="2"/>
    </row>
    <row r="2743" spans="1:3" x14ac:dyDescent="0.2">
      <c r="A2743" s="1"/>
      <c r="C2743" s="2"/>
    </row>
    <row r="2744" spans="1:3" x14ac:dyDescent="0.2">
      <c r="A2744" s="1"/>
      <c r="C2744" s="2"/>
    </row>
    <row r="2745" spans="1:3" x14ac:dyDescent="0.2">
      <c r="A2745" s="1"/>
      <c r="C2745" s="2"/>
    </row>
    <row r="2746" spans="1:3" x14ac:dyDescent="0.2">
      <c r="A2746" s="1"/>
      <c r="C2746" s="2"/>
    </row>
    <row r="2747" spans="1:3" x14ac:dyDescent="0.2">
      <c r="A2747" s="1"/>
      <c r="C2747" s="2"/>
    </row>
    <row r="2748" spans="1:3" x14ac:dyDescent="0.2">
      <c r="A2748" s="1"/>
      <c r="C2748" s="2"/>
    </row>
    <row r="2749" spans="1:3" x14ac:dyDescent="0.2">
      <c r="A2749" s="1"/>
      <c r="C2749" s="2"/>
    </row>
    <row r="2750" spans="1:3" x14ac:dyDescent="0.2">
      <c r="A2750" s="1"/>
      <c r="C2750" s="2"/>
    </row>
    <row r="2751" spans="1:3" x14ac:dyDescent="0.2">
      <c r="A2751" s="1"/>
      <c r="C2751" s="2"/>
    </row>
    <row r="2752" spans="1:3" x14ac:dyDescent="0.2">
      <c r="A2752" s="1"/>
      <c r="C2752" s="2"/>
    </row>
    <row r="2753" spans="1:3" x14ac:dyDescent="0.2">
      <c r="A2753" s="1"/>
      <c r="C2753" s="2"/>
    </row>
    <row r="2754" spans="1:3" x14ac:dyDescent="0.2">
      <c r="A2754" s="1"/>
      <c r="C2754" s="2"/>
    </row>
    <row r="2755" spans="1:3" x14ac:dyDescent="0.2">
      <c r="A2755" s="1"/>
      <c r="C2755" s="2"/>
    </row>
    <row r="2756" spans="1:3" x14ac:dyDescent="0.2">
      <c r="A2756" s="1"/>
      <c r="C2756" s="2"/>
    </row>
    <row r="2757" spans="1:3" x14ac:dyDescent="0.2">
      <c r="A2757" s="1"/>
      <c r="C2757" s="2"/>
    </row>
    <row r="2758" spans="1:3" x14ac:dyDescent="0.2">
      <c r="A2758" s="1"/>
      <c r="C2758" s="2"/>
    </row>
    <row r="2759" spans="1:3" x14ac:dyDescent="0.2">
      <c r="A2759" s="1"/>
      <c r="C2759" s="2"/>
    </row>
    <row r="2760" spans="1:3" x14ac:dyDescent="0.2">
      <c r="A2760" s="1"/>
      <c r="C2760" s="2"/>
    </row>
    <row r="2761" spans="1:3" x14ac:dyDescent="0.2">
      <c r="A2761" s="1"/>
      <c r="C2761" s="2"/>
    </row>
    <row r="2762" spans="1:3" x14ac:dyDescent="0.2">
      <c r="A2762" s="1"/>
      <c r="C2762" s="2"/>
    </row>
    <row r="2763" spans="1:3" x14ac:dyDescent="0.2">
      <c r="A2763" s="1"/>
      <c r="C2763" s="2"/>
    </row>
    <row r="2764" spans="1:3" x14ac:dyDescent="0.2">
      <c r="A2764" s="1"/>
      <c r="C2764" s="2"/>
    </row>
    <row r="2765" spans="1:3" x14ac:dyDescent="0.2">
      <c r="A2765" s="1"/>
      <c r="C2765" s="2"/>
    </row>
    <row r="2766" spans="1:3" x14ac:dyDescent="0.2">
      <c r="A2766" s="1"/>
      <c r="C2766" s="2"/>
    </row>
    <row r="2767" spans="1:3" x14ac:dyDescent="0.2">
      <c r="A2767" s="1"/>
      <c r="C2767" s="2"/>
    </row>
    <row r="2768" spans="1:3" x14ac:dyDescent="0.2">
      <c r="A2768" s="1"/>
      <c r="C2768" s="2"/>
    </row>
    <row r="2769" spans="1:3" x14ac:dyDescent="0.2">
      <c r="A2769" s="1"/>
      <c r="C2769" s="2"/>
    </row>
    <row r="2770" spans="1:3" x14ac:dyDescent="0.2">
      <c r="A2770" s="1"/>
      <c r="C2770" s="2"/>
    </row>
    <row r="2771" spans="1:3" x14ac:dyDescent="0.2">
      <c r="A2771" s="1"/>
      <c r="C2771" s="2"/>
    </row>
    <row r="2772" spans="1:3" x14ac:dyDescent="0.2">
      <c r="A2772" s="1"/>
      <c r="C2772" s="2"/>
    </row>
    <row r="2773" spans="1:3" x14ac:dyDescent="0.2">
      <c r="A2773" s="1"/>
      <c r="C2773" s="2"/>
    </row>
    <row r="2774" spans="1:3" x14ac:dyDescent="0.2">
      <c r="A2774" s="1"/>
      <c r="C2774" s="2"/>
    </row>
    <row r="2775" spans="1:3" x14ac:dyDescent="0.2">
      <c r="A2775" s="1"/>
      <c r="C2775" s="2"/>
    </row>
    <row r="2776" spans="1:3" x14ac:dyDescent="0.2">
      <c r="A2776" s="1"/>
      <c r="C2776" s="2"/>
    </row>
    <row r="2777" spans="1:3" x14ac:dyDescent="0.2">
      <c r="A2777" s="1"/>
      <c r="C2777" s="2"/>
    </row>
    <row r="2778" spans="1:3" x14ac:dyDescent="0.2">
      <c r="A2778" s="1"/>
      <c r="C2778" s="2"/>
    </row>
    <row r="2779" spans="1:3" x14ac:dyDescent="0.2">
      <c r="A2779" s="1"/>
      <c r="C2779" s="2"/>
    </row>
    <row r="2780" spans="1:3" x14ac:dyDescent="0.2">
      <c r="A2780" s="1"/>
      <c r="C2780" s="2"/>
    </row>
    <row r="2781" spans="1:3" x14ac:dyDescent="0.2">
      <c r="A2781" s="1"/>
      <c r="C2781" s="2"/>
    </row>
    <row r="2782" spans="1:3" x14ac:dyDescent="0.2">
      <c r="A2782" s="1"/>
      <c r="C2782" s="2"/>
    </row>
    <row r="2783" spans="1:3" x14ac:dyDescent="0.2">
      <c r="A2783" s="1"/>
      <c r="C2783" s="2"/>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2023-03-27T16:00:48Z</dcterms:created>
  <dcterms:modified xsi:type="dcterms:W3CDTF">2023-04-03T11:15:20Z</dcterms:modified>
</cp:coreProperties>
</file>