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7F9BFCE8-0493-DC43-A684-584853D1CB60}"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3" i="1" l="1"/>
  <c r="J293" i="1"/>
  <c r="I293" i="1"/>
  <c r="H293" i="1"/>
  <c r="A293" i="1"/>
  <c r="K292" i="1"/>
  <c r="J292" i="1"/>
  <c r="I292" i="1"/>
  <c r="H292" i="1"/>
  <c r="A292" i="1"/>
  <c r="K291" i="1"/>
  <c r="J291" i="1"/>
  <c r="I291" i="1"/>
  <c r="H291" i="1"/>
  <c r="A291" i="1"/>
  <c r="I290" i="1"/>
  <c r="H290" i="1"/>
  <c r="A290" i="1"/>
  <c r="K289" i="1"/>
  <c r="J289" i="1"/>
  <c r="I289" i="1"/>
  <c r="H289" i="1"/>
  <c r="A289" i="1"/>
  <c r="K288" i="1"/>
  <c r="J288" i="1"/>
  <c r="I288" i="1"/>
  <c r="H288" i="1"/>
  <c r="A288" i="1"/>
  <c r="I287" i="1"/>
  <c r="H287" i="1"/>
  <c r="A287" i="1"/>
  <c r="H286" i="1"/>
  <c r="A286" i="1"/>
  <c r="A285" i="1"/>
  <c r="H284" i="1"/>
  <c r="A284" i="1"/>
  <c r="H283" i="1"/>
  <c r="A283" i="1"/>
  <c r="K282" i="1"/>
  <c r="J282" i="1"/>
  <c r="I282" i="1"/>
  <c r="H282" i="1"/>
  <c r="A282" i="1"/>
  <c r="H281" i="1"/>
  <c r="A281" i="1"/>
  <c r="H280" i="1"/>
  <c r="A280" i="1"/>
  <c r="H279" i="1"/>
  <c r="A279" i="1"/>
  <c r="A278" i="1"/>
  <c r="H277" i="1"/>
  <c r="A277" i="1"/>
  <c r="H276" i="1"/>
  <c r="A276" i="1"/>
  <c r="H275" i="1"/>
  <c r="A275" i="1"/>
  <c r="H274" i="1"/>
  <c r="A274" i="1"/>
  <c r="K273" i="1"/>
  <c r="J273" i="1"/>
  <c r="I273" i="1"/>
  <c r="H273" i="1"/>
  <c r="A273" i="1"/>
  <c r="H272" i="1"/>
  <c r="A272" i="1"/>
  <c r="H271" i="1"/>
  <c r="A271" i="1"/>
  <c r="H270" i="1"/>
  <c r="A270" i="1"/>
  <c r="H269" i="1"/>
  <c r="A269" i="1"/>
  <c r="H268" i="1"/>
  <c r="A268" i="1"/>
  <c r="H267" i="1"/>
  <c r="A267" i="1"/>
  <c r="K266" i="1"/>
  <c r="J266" i="1"/>
  <c r="I266" i="1"/>
  <c r="H266" i="1"/>
  <c r="A266" i="1"/>
  <c r="H265" i="1"/>
  <c r="A265" i="1"/>
  <c r="K264" i="1"/>
  <c r="J264" i="1"/>
  <c r="I264" i="1"/>
  <c r="H264" i="1"/>
  <c r="A264" i="1"/>
  <c r="K263" i="1"/>
  <c r="J263" i="1"/>
  <c r="I263" i="1"/>
  <c r="H263" i="1"/>
  <c r="A263" i="1"/>
  <c r="I262" i="1"/>
  <c r="H262" i="1"/>
  <c r="A262" i="1"/>
  <c r="J261" i="1"/>
  <c r="I261" i="1"/>
  <c r="H261" i="1"/>
  <c r="A261" i="1"/>
  <c r="H260" i="1"/>
  <c r="A260" i="1"/>
  <c r="I259" i="1"/>
  <c r="H259" i="1"/>
  <c r="A259" i="1"/>
  <c r="H258" i="1"/>
  <c r="A258" i="1"/>
  <c r="K257" i="1"/>
  <c r="J257" i="1"/>
  <c r="I257" i="1"/>
  <c r="H257" i="1"/>
  <c r="A257" i="1"/>
  <c r="K256" i="1"/>
  <c r="J256" i="1"/>
  <c r="I256" i="1"/>
  <c r="H256" i="1"/>
  <c r="A256" i="1"/>
  <c r="H255" i="1"/>
  <c r="A255" i="1"/>
  <c r="J254" i="1"/>
  <c r="I254" i="1"/>
  <c r="H254" i="1"/>
  <c r="A254" i="1"/>
  <c r="J253" i="1"/>
  <c r="I253" i="1"/>
  <c r="H253" i="1"/>
  <c r="A253" i="1"/>
  <c r="J252" i="1"/>
  <c r="I252" i="1"/>
  <c r="H252" i="1"/>
  <c r="A252" i="1"/>
  <c r="J251" i="1"/>
  <c r="I251" i="1"/>
  <c r="H251" i="1"/>
  <c r="A251" i="1"/>
  <c r="J250" i="1"/>
  <c r="I250" i="1"/>
  <c r="H250" i="1"/>
  <c r="A250" i="1"/>
  <c r="H249" i="1"/>
  <c r="A249" i="1"/>
  <c r="H248" i="1"/>
  <c r="A248" i="1"/>
  <c r="H247" i="1"/>
  <c r="A247" i="1"/>
  <c r="H246" i="1"/>
  <c r="A246" i="1"/>
  <c r="A245" i="1"/>
  <c r="H244" i="1"/>
  <c r="A244" i="1"/>
  <c r="H243" i="1"/>
  <c r="A243" i="1"/>
  <c r="H242" i="1"/>
  <c r="A242" i="1"/>
  <c r="H241" i="1"/>
  <c r="A241" i="1"/>
  <c r="H240" i="1"/>
  <c r="A240" i="1"/>
  <c r="H239" i="1"/>
  <c r="A239" i="1"/>
  <c r="H238" i="1"/>
  <c r="A238" i="1"/>
  <c r="H237" i="1"/>
  <c r="A237" i="1"/>
  <c r="H236" i="1"/>
  <c r="A236" i="1"/>
  <c r="H235" i="1"/>
  <c r="A235" i="1"/>
  <c r="H234" i="1"/>
  <c r="A234" i="1"/>
  <c r="J233" i="1"/>
  <c r="I233" i="1"/>
  <c r="H233" i="1"/>
  <c r="A233" i="1"/>
  <c r="H232" i="1"/>
  <c r="A232" i="1"/>
  <c r="H231" i="1"/>
  <c r="A231" i="1"/>
  <c r="H230" i="1"/>
  <c r="A230" i="1"/>
  <c r="H229" i="1"/>
  <c r="A229" i="1"/>
  <c r="H228" i="1"/>
  <c r="A228" i="1"/>
  <c r="H227" i="1"/>
  <c r="A227" i="1"/>
  <c r="H226" i="1"/>
  <c r="A226" i="1"/>
  <c r="A225" i="1"/>
  <c r="H224" i="1"/>
  <c r="A224" i="1"/>
  <c r="H223" i="1"/>
  <c r="A223" i="1"/>
  <c r="A222" i="1"/>
  <c r="A221" i="1"/>
  <c r="K220" i="1"/>
  <c r="J220" i="1"/>
  <c r="I220" i="1"/>
  <c r="H220" i="1"/>
  <c r="A220" i="1"/>
  <c r="H219" i="1"/>
  <c r="A219" i="1"/>
  <c r="H218" i="1"/>
  <c r="A218" i="1"/>
  <c r="H217" i="1"/>
  <c r="A217" i="1"/>
  <c r="H216" i="1"/>
  <c r="A216" i="1"/>
  <c r="H215" i="1"/>
  <c r="A215" i="1"/>
  <c r="A214" i="1"/>
  <c r="H213" i="1"/>
  <c r="A213" i="1"/>
  <c r="H212" i="1"/>
  <c r="A212" i="1"/>
  <c r="H211" i="1"/>
  <c r="A211" i="1"/>
  <c r="H210" i="1"/>
  <c r="A210" i="1"/>
  <c r="H209" i="1"/>
  <c r="A209" i="1"/>
  <c r="K208" i="1"/>
  <c r="J208" i="1"/>
  <c r="I208" i="1"/>
  <c r="H208" i="1"/>
  <c r="A208" i="1"/>
  <c r="I207" i="1"/>
  <c r="H207" i="1"/>
  <c r="A207" i="1"/>
  <c r="K206" i="1"/>
  <c r="J206" i="1"/>
  <c r="I206" i="1"/>
  <c r="H206" i="1"/>
  <c r="A206" i="1"/>
  <c r="I205" i="1"/>
  <c r="H205" i="1"/>
  <c r="A205" i="1"/>
  <c r="H204" i="1"/>
  <c r="A204" i="1"/>
  <c r="K203" i="1"/>
  <c r="J203" i="1"/>
  <c r="I203" i="1"/>
  <c r="H203" i="1"/>
  <c r="A203" i="1"/>
  <c r="K202" i="1"/>
  <c r="J202" i="1"/>
  <c r="I202" i="1"/>
  <c r="H202" i="1"/>
  <c r="A202" i="1"/>
  <c r="H201" i="1"/>
  <c r="A201" i="1"/>
  <c r="H200" i="1"/>
  <c r="A200" i="1"/>
  <c r="H199" i="1"/>
  <c r="A199" i="1"/>
  <c r="H198" i="1"/>
  <c r="A198" i="1"/>
  <c r="H197" i="1"/>
  <c r="A197" i="1"/>
  <c r="H196" i="1"/>
  <c r="A196" i="1"/>
  <c r="H195" i="1"/>
  <c r="A195" i="1"/>
  <c r="I194" i="1"/>
  <c r="H194" i="1"/>
  <c r="A194" i="1"/>
  <c r="H193" i="1"/>
  <c r="A193" i="1"/>
  <c r="H192" i="1"/>
  <c r="A192" i="1"/>
  <c r="H191" i="1"/>
  <c r="A191" i="1"/>
  <c r="K190" i="1"/>
  <c r="J190" i="1"/>
  <c r="I190" i="1"/>
  <c r="H190" i="1"/>
  <c r="A190" i="1"/>
  <c r="K189" i="1"/>
  <c r="J189" i="1"/>
  <c r="I189" i="1"/>
  <c r="H189" i="1"/>
  <c r="A189" i="1"/>
  <c r="I188" i="1"/>
  <c r="H188" i="1"/>
  <c r="A188" i="1"/>
  <c r="K187" i="1"/>
  <c r="J187" i="1"/>
  <c r="I187" i="1"/>
  <c r="H187" i="1"/>
  <c r="A187" i="1"/>
  <c r="K186" i="1"/>
  <c r="J186" i="1"/>
  <c r="I186" i="1"/>
  <c r="H186" i="1"/>
  <c r="A186" i="1"/>
  <c r="I185" i="1"/>
  <c r="H185" i="1"/>
  <c r="A185" i="1"/>
  <c r="H184" i="1"/>
  <c r="A184" i="1"/>
  <c r="K183" i="1"/>
  <c r="J183" i="1"/>
  <c r="I183" i="1"/>
  <c r="H183" i="1"/>
  <c r="A183" i="1"/>
  <c r="H182" i="1"/>
  <c r="A182" i="1"/>
  <c r="H181" i="1"/>
  <c r="A181" i="1"/>
  <c r="H180" i="1"/>
  <c r="A180" i="1"/>
  <c r="H179" i="1"/>
  <c r="A179" i="1"/>
  <c r="H178" i="1"/>
  <c r="A178" i="1"/>
  <c r="H177" i="1"/>
  <c r="A177" i="1"/>
  <c r="H176" i="1"/>
  <c r="A176" i="1"/>
  <c r="H175" i="1"/>
  <c r="A175" i="1"/>
  <c r="J174" i="1"/>
  <c r="I174" i="1"/>
  <c r="H174" i="1"/>
  <c r="A174" i="1"/>
  <c r="H173" i="1"/>
  <c r="A173" i="1"/>
  <c r="H172" i="1"/>
  <c r="A172" i="1"/>
  <c r="H171" i="1"/>
  <c r="A171" i="1"/>
  <c r="I170" i="1"/>
  <c r="H170" i="1"/>
  <c r="A170" i="1"/>
  <c r="H169" i="1"/>
  <c r="A169" i="1"/>
  <c r="K168" i="1"/>
  <c r="J168" i="1"/>
  <c r="I168" i="1"/>
  <c r="H168" i="1"/>
  <c r="A168" i="1"/>
  <c r="I167" i="1"/>
  <c r="H167" i="1"/>
  <c r="A167" i="1"/>
  <c r="K166" i="1"/>
  <c r="J166" i="1"/>
  <c r="I166" i="1"/>
  <c r="H166" i="1"/>
  <c r="A166" i="1"/>
  <c r="I165" i="1"/>
  <c r="H165" i="1"/>
  <c r="A165" i="1"/>
  <c r="I164" i="1"/>
  <c r="H164" i="1"/>
  <c r="A164" i="1"/>
  <c r="I163" i="1"/>
  <c r="H163" i="1"/>
  <c r="A163" i="1"/>
  <c r="H162" i="1"/>
  <c r="A162" i="1"/>
  <c r="K161" i="1"/>
  <c r="J161" i="1"/>
  <c r="I161" i="1"/>
  <c r="H161" i="1"/>
  <c r="A161" i="1"/>
  <c r="K160" i="1"/>
  <c r="J160" i="1"/>
  <c r="I160" i="1"/>
  <c r="H160" i="1"/>
  <c r="A160" i="1"/>
  <c r="J159" i="1"/>
  <c r="I159" i="1"/>
  <c r="H159" i="1"/>
  <c r="A159" i="1"/>
  <c r="K158" i="1"/>
  <c r="J158" i="1"/>
  <c r="I158" i="1"/>
  <c r="H158" i="1"/>
  <c r="A158" i="1"/>
  <c r="K157" i="1"/>
  <c r="J157" i="1"/>
  <c r="I157" i="1"/>
  <c r="H157" i="1"/>
  <c r="A157" i="1"/>
  <c r="J156" i="1"/>
  <c r="I156" i="1"/>
  <c r="H156" i="1"/>
  <c r="A156" i="1"/>
  <c r="K155" i="1"/>
  <c r="J155" i="1"/>
  <c r="I155" i="1"/>
  <c r="H155" i="1"/>
  <c r="A155" i="1"/>
  <c r="K154" i="1"/>
  <c r="J154" i="1"/>
  <c r="I154" i="1"/>
  <c r="H154" i="1"/>
  <c r="A154" i="1"/>
  <c r="K153" i="1"/>
  <c r="J153" i="1"/>
  <c r="I153" i="1"/>
  <c r="H153" i="1"/>
  <c r="A153" i="1"/>
  <c r="K152" i="1"/>
  <c r="J152" i="1"/>
  <c r="I152" i="1"/>
  <c r="H152" i="1"/>
  <c r="A152" i="1"/>
  <c r="K151" i="1"/>
  <c r="J151" i="1"/>
  <c r="I151" i="1"/>
  <c r="H151" i="1"/>
  <c r="A151" i="1"/>
  <c r="K150" i="1"/>
  <c r="J150" i="1"/>
  <c r="I150" i="1"/>
  <c r="H150" i="1"/>
  <c r="A150" i="1"/>
  <c r="K149" i="1"/>
  <c r="J149" i="1"/>
  <c r="I149" i="1"/>
  <c r="H149" i="1"/>
  <c r="A149" i="1"/>
  <c r="K148" i="1"/>
  <c r="J148" i="1"/>
  <c r="I148" i="1"/>
  <c r="H148" i="1"/>
  <c r="A148" i="1"/>
  <c r="K147" i="1"/>
  <c r="J147" i="1"/>
  <c r="I147" i="1"/>
  <c r="H147" i="1"/>
  <c r="A147" i="1"/>
  <c r="H146" i="1"/>
  <c r="A146" i="1"/>
  <c r="K145" i="1"/>
  <c r="J145" i="1"/>
  <c r="I145" i="1"/>
  <c r="H145" i="1"/>
  <c r="A145" i="1"/>
  <c r="H144" i="1"/>
  <c r="A144" i="1"/>
  <c r="H143" i="1"/>
  <c r="A143" i="1"/>
  <c r="K142" i="1"/>
  <c r="J142" i="1"/>
  <c r="I142" i="1"/>
  <c r="H142" i="1"/>
  <c r="A142" i="1"/>
  <c r="K141" i="1"/>
  <c r="J141" i="1"/>
  <c r="I141" i="1"/>
  <c r="H141" i="1"/>
  <c r="A141" i="1"/>
  <c r="I140" i="1"/>
  <c r="H140" i="1"/>
  <c r="A140" i="1"/>
  <c r="K139" i="1"/>
  <c r="J139" i="1"/>
  <c r="I139" i="1"/>
  <c r="H139" i="1"/>
  <c r="A139" i="1"/>
  <c r="I138" i="1"/>
  <c r="H138" i="1"/>
  <c r="A138" i="1"/>
  <c r="H137" i="1"/>
  <c r="A137" i="1"/>
  <c r="H136" i="1"/>
  <c r="A136" i="1"/>
  <c r="H135" i="1"/>
  <c r="A135" i="1"/>
  <c r="H134" i="1"/>
  <c r="A134" i="1"/>
  <c r="H133" i="1"/>
  <c r="A133" i="1"/>
  <c r="H132" i="1"/>
  <c r="A132" i="1"/>
  <c r="I131" i="1"/>
  <c r="H131" i="1"/>
  <c r="A131" i="1"/>
  <c r="K130" i="1"/>
  <c r="J130" i="1"/>
  <c r="I130" i="1"/>
  <c r="H130" i="1"/>
  <c r="A130" i="1"/>
  <c r="K129" i="1"/>
  <c r="J129" i="1"/>
  <c r="I129" i="1"/>
  <c r="H129" i="1"/>
  <c r="A129" i="1"/>
  <c r="H128" i="1"/>
  <c r="A128" i="1"/>
  <c r="H127" i="1"/>
  <c r="A127" i="1"/>
  <c r="I126" i="1"/>
  <c r="H126" i="1"/>
  <c r="A126" i="1"/>
  <c r="H125" i="1"/>
  <c r="A125" i="1"/>
  <c r="H124" i="1"/>
  <c r="A124" i="1"/>
  <c r="H123" i="1"/>
  <c r="A123" i="1"/>
  <c r="H122" i="1"/>
  <c r="A122" i="1"/>
  <c r="H121" i="1"/>
  <c r="A121" i="1"/>
  <c r="K120" i="1"/>
  <c r="J120" i="1"/>
  <c r="I120" i="1"/>
  <c r="H120" i="1"/>
  <c r="A120" i="1"/>
  <c r="H119" i="1"/>
  <c r="A119" i="1"/>
  <c r="H118" i="1"/>
  <c r="A118" i="1"/>
  <c r="H117" i="1"/>
  <c r="A117" i="1"/>
  <c r="H116" i="1"/>
  <c r="A116" i="1"/>
  <c r="H115" i="1"/>
  <c r="A115" i="1"/>
  <c r="K114" i="1"/>
  <c r="J114" i="1"/>
  <c r="I114" i="1"/>
  <c r="H114" i="1"/>
  <c r="A114" i="1"/>
  <c r="H113" i="1"/>
  <c r="A113" i="1"/>
  <c r="H112" i="1"/>
  <c r="A112" i="1"/>
  <c r="H111" i="1"/>
  <c r="A111" i="1"/>
  <c r="H110" i="1"/>
  <c r="A110" i="1"/>
  <c r="H109" i="1"/>
  <c r="A109" i="1"/>
  <c r="H108" i="1"/>
  <c r="A108" i="1"/>
  <c r="H107" i="1"/>
  <c r="A107" i="1"/>
  <c r="H106" i="1"/>
  <c r="A106" i="1"/>
  <c r="H105" i="1"/>
  <c r="A105" i="1"/>
  <c r="K104" i="1"/>
  <c r="J104" i="1"/>
  <c r="I104" i="1"/>
  <c r="H104" i="1"/>
  <c r="A104" i="1"/>
  <c r="A103" i="1"/>
  <c r="K102" i="1"/>
  <c r="J102" i="1"/>
  <c r="I102" i="1"/>
  <c r="H102" i="1"/>
  <c r="A102" i="1"/>
  <c r="H101" i="1"/>
  <c r="A101" i="1"/>
  <c r="K100" i="1"/>
  <c r="J100" i="1"/>
  <c r="I100" i="1"/>
  <c r="H100" i="1"/>
  <c r="A100" i="1"/>
  <c r="K99" i="1"/>
  <c r="J99" i="1"/>
  <c r="I99" i="1"/>
  <c r="H99" i="1"/>
  <c r="A99" i="1"/>
  <c r="A98" i="1"/>
  <c r="K97" i="1"/>
  <c r="J97" i="1"/>
  <c r="I97" i="1"/>
  <c r="H97" i="1"/>
  <c r="A97" i="1"/>
  <c r="K96" i="1"/>
  <c r="J96" i="1"/>
  <c r="I96" i="1"/>
  <c r="H96" i="1"/>
  <c r="A96" i="1"/>
  <c r="K95" i="1"/>
  <c r="J95" i="1"/>
  <c r="I95" i="1"/>
  <c r="H95" i="1"/>
  <c r="A95" i="1"/>
  <c r="H94" i="1"/>
  <c r="A94" i="1"/>
  <c r="H93" i="1"/>
  <c r="A93" i="1"/>
  <c r="H92" i="1"/>
  <c r="A92" i="1"/>
  <c r="H91" i="1"/>
  <c r="A91" i="1"/>
  <c r="H90" i="1"/>
  <c r="A90" i="1"/>
  <c r="H89" i="1"/>
  <c r="A89" i="1"/>
  <c r="H88" i="1"/>
  <c r="A88" i="1"/>
  <c r="H87" i="1"/>
  <c r="A87" i="1"/>
  <c r="H86" i="1"/>
  <c r="A86" i="1"/>
  <c r="A85" i="1"/>
  <c r="H84" i="1"/>
  <c r="A84" i="1"/>
  <c r="K83" i="1"/>
  <c r="J83" i="1"/>
  <c r="I83" i="1"/>
  <c r="H83" i="1"/>
  <c r="A83" i="1"/>
  <c r="K82" i="1"/>
  <c r="J82" i="1"/>
  <c r="I82" i="1"/>
  <c r="H82" i="1"/>
  <c r="A82" i="1"/>
  <c r="H81" i="1"/>
  <c r="A81" i="1"/>
  <c r="H80" i="1"/>
  <c r="A80" i="1"/>
  <c r="H79" i="1"/>
  <c r="A79" i="1"/>
  <c r="H78" i="1"/>
  <c r="A78" i="1"/>
  <c r="H77" i="1"/>
  <c r="A77" i="1"/>
  <c r="H76" i="1"/>
  <c r="A76" i="1"/>
  <c r="H75" i="1"/>
  <c r="A75" i="1"/>
  <c r="K74" i="1"/>
  <c r="J74" i="1"/>
  <c r="I74" i="1"/>
  <c r="H74" i="1"/>
  <c r="A74" i="1"/>
  <c r="H73" i="1"/>
  <c r="A73" i="1"/>
  <c r="H72" i="1"/>
  <c r="A72" i="1"/>
  <c r="H71" i="1"/>
  <c r="A71" i="1"/>
  <c r="K70" i="1"/>
  <c r="J70" i="1"/>
  <c r="I70" i="1"/>
  <c r="H70" i="1"/>
  <c r="A70" i="1"/>
  <c r="H69" i="1"/>
  <c r="A69" i="1"/>
  <c r="H68" i="1"/>
  <c r="A68" i="1"/>
  <c r="H67" i="1"/>
  <c r="A67" i="1"/>
  <c r="H66" i="1"/>
  <c r="A66" i="1"/>
  <c r="H65" i="1"/>
  <c r="A65" i="1"/>
  <c r="H64" i="1"/>
  <c r="A64" i="1"/>
  <c r="H63" i="1"/>
  <c r="A63" i="1"/>
  <c r="H62" i="1"/>
  <c r="A62" i="1"/>
  <c r="H61" i="1"/>
  <c r="A61" i="1"/>
  <c r="H60" i="1"/>
  <c r="A60" i="1"/>
  <c r="A59" i="1"/>
  <c r="A58" i="1"/>
  <c r="H57" i="1"/>
  <c r="A57" i="1"/>
  <c r="H56" i="1"/>
  <c r="A56" i="1"/>
  <c r="H55" i="1"/>
  <c r="A55" i="1"/>
  <c r="H54" i="1"/>
  <c r="A54" i="1"/>
  <c r="H53" i="1"/>
  <c r="A53" i="1"/>
  <c r="H52" i="1"/>
  <c r="A52" i="1"/>
  <c r="I51" i="1"/>
  <c r="H51" i="1"/>
  <c r="A51" i="1"/>
  <c r="A50" i="1"/>
  <c r="H49" i="1"/>
  <c r="A49" i="1"/>
  <c r="A48" i="1"/>
  <c r="K47" i="1"/>
  <c r="J47" i="1"/>
  <c r="I47" i="1"/>
  <c r="H47" i="1"/>
  <c r="A47" i="1"/>
  <c r="I46" i="1"/>
  <c r="H46" i="1"/>
  <c r="A46" i="1"/>
  <c r="K45" i="1"/>
  <c r="J45" i="1"/>
  <c r="I45" i="1"/>
  <c r="H45" i="1"/>
  <c r="A45" i="1"/>
  <c r="I44" i="1"/>
  <c r="H44" i="1"/>
  <c r="A44" i="1"/>
  <c r="J43" i="1"/>
  <c r="I43" i="1"/>
  <c r="H43" i="1"/>
  <c r="A43" i="1"/>
  <c r="H42" i="1"/>
  <c r="A42" i="1"/>
  <c r="H41" i="1"/>
  <c r="A41" i="1"/>
  <c r="H40" i="1"/>
  <c r="A40" i="1"/>
  <c r="H39" i="1"/>
  <c r="A39" i="1"/>
  <c r="H38" i="1"/>
  <c r="A38" i="1"/>
  <c r="H37" i="1"/>
  <c r="A37" i="1"/>
  <c r="H36" i="1"/>
  <c r="A36" i="1"/>
  <c r="H35" i="1"/>
  <c r="A35" i="1"/>
  <c r="H34" i="1"/>
  <c r="A34" i="1"/>
  <c r="H33" i="1"/>
  <c r="A33" i="1"/>
  <c r="H32" i="1"/>
  <c r="A32" i="1"/>
  <c r="H31" i="1"/>
  <c r="A31" i="1"/>
  <c r="H30" i="1"/>
  <c r="A30" i="1"/>
  <c r="H29" i="1"/>
  <c r="A29" i="1"/>
  <c r="H28" i="1"/>
  <c r="A28" i="1"/>
  <c r="H27" i="1"/>
  <c r="A27" i="1"/>
  <c r="H26" i="1"/>
  <c r="A26" i="1"/>
  <c r="K25" i="1"/>
  <c r="J25" i="1"/>
  <c r="I25" i="1"/>
  <c r="H25" i="1"/>
  <c r="A25" i="1"/>
  <c r="H24" i="1"/>
  <c r="A24" i="1"/>
  <c r="H23" i="1"/>
  <c r="A23" i="1"/>
  <c r="H22" i="1"/>
  <c r="A22" i="1"/>
  <c r="H21" i="1"/>
  <c r="A21" i="1"/>
  <c r="H20" i="1"/>
  <c r="A20" i="1"/>
  <c r="I19" i="1"/>
  <c r="H19" i="1"/>
  <c r="A19" i="1"/>
  <c r="J18" i="1"/>
  <c r="I18" i="1"/>
  <c r="H18" i="1"/>
  <c r="A18" i="1"/>
  <c r="I17" i="1"/>
  <c r="H17" i="1"/>
  <c r="A17" i="1"/>
  <c r="J16" i="1"/>
  <c r="I16" i="1"/>
  <c r="H16" i="1"/>
  <c r="A16" i="1"/>
  <c r="K15" i="1"/>
  <c r="J15" i="1"/>
  <c r="I15" i="1"/>
  <c r="H15" i="1"/>
  <c r="A15" i="1"/>
  <c r="K14" i="1"/>
  <c r="J14" i="1"/>
  <c r="I14" i="1"/>
  <c r="H14" i="1"/>
  <c r="A14" i="1"/>
  <c r="I13" i="1"/>
  <c r="H13" i="1"/>
  <c r="A13" i="1"/>
  <c r="K12" i="1"/>
  <c r="J12" i="1"/>
  <c r="I12" i="1"/>
  <c r="H12" i="1"/>
  <c r="A12" i="1"/>
  <c r="K11" i="1"/>
  <c r="J11" i="1"/>
  <c r="I11" i="1"/>
  <c r="H11" i="1"/>
  <c r="A11" i="1"/>
  <c r="J10" i="1"/>
  <c r="I10" i="1"/>
  <c r="H10" i="1"/>
  <c r="A10" i="1"/>
  <c r="H9" i="1"/>
  <c r="A9" i="1"/>
  <c r="H8" i="1"/>
  <c r="A8" i="1"/>
  <c r="H7" i="1"/>
  <c r="A7" i="1"/>
  <c r="H6" i="1"/>
  <c r="A6" i="1"/>
  <c r="H5" i="1"/>
  <c r="A5" i="1"/>
  <c r="J4" i="1"/>
  <c r="I4" i="1"/>
  <c r="H4" i="1"/>
  <c r="A4" i="1"/>
  <c r="J3" i="1"/>
  <c r="I3" i="1"/>
  <c r="H3" i="1"/>
  <c r="A3" i="1"/>
  <c r="H2" i="1"/>
  <c r="A2" i="1"/>
</calcChain>
</file>

<file path=xl/sharedStrings.xml><?xml version="1.0" encoding="utf-8"?>
<sst xmlns="http://schemas.openxmlformats.org/spreadsheetml/2006/main" count="794" uniqueCount="326">
  <si>
    <t>id</t>
  </si>
  <si>
    <t>screen_name</t>
  </si>
  <si>
    <t>created_at</t>
  </si>
  <si>
    <t>fav</t>
  </si>
  <si>
    <t>rt</t>
  </si>
  <si>
    <t>RTed</t>
  </si>
  <si>
    <t>text</t>
  </si>
  <si>
    <t>media1</t>
  </si>
  <si>
    <t>media2</t>
  </si>
  <si>
    <t>media3</t>
  </si>
  <si>
    <t>media4</t>
  </si>
  <si>
    <t>compound</t>
  </si>
  <si>
    <t>neg</t>
  </si>
  <si>
    <t>neu</t>
  </si>
  <si>
    <t>pos</t>
  </si>
  <si>
    <t>QatarEmb_Madrid</t>
  </si>
  <si>
    <t>VisitQatar</t>
  </si>
  <si>
    <t>roadto2022es</t>
  </si>
  <si>
    <t>MOFAQatar_ES</t>
  </si>
  <si>
    <t>roadto2022news</t>
  </si>
  <si>
    <t>MofaQatar_AR</t>
  </si>
  <si>
    <t>سفارة دولة قطر لدى مملكة إسبانيا، تحتفل باليوم الوطني للدولة 
#وحدتنا_مصدر_قوتنا
#اليوم_الوطني_القطري
#الخارجية_القطرية https://t.co/f6vYfGSuNv</t>
  </si>
  <si>
    <t>Su Excelencia el Embajador se reunió en la sede del Min. de Asuntos Exteriores con SE Alberto Ucelay, Dir. del Dpto. de Oriente Medio, Magreb y Países Mediterráneos. Durante la reunión, discutieron formas de mejorar las relaciones bilaterales y temas de interés común. https://t.co/Kmjg8SvhoB</t>
  </si>
  <si>
    <t>اجتمع سعادة السفير عبدالله بن ابراهيم الحمر في مقر وزارة الخارجية الاسبانية بسعادة السيد ألبيرتو أوثيلاي مدير ادارة الشرق الاوسط ودول المغرب ودول حوض المتوسط بالوزارة. 
جرى خلال الاجتماع بحث سبل تعزيز العلاقات الثنائية والقضايا ذات الاهتمام المشترك. https://t.co/q1U5SgkAxQ</t>
  </si>
  <si>
    <t>Coincidiendo con la ceremonia de clausura de Qatar 2022, un miembro de la comunidad árabe en Madrid, Mohammed Walid Bu Abdullah, expresa a SE el Embajador sus sentimientos, que reflejan el orgullo de los árabes por el éxito Qatar en la organización de la Copa del Mundo. https://t.co/e1Pnj05fYa</t>
  </si>
  <si>
    <t>تزامنا مع حفل اختتام مونديال فيفا قطر ٢٠٢٢، احد ابناء الجالية العربية في مدريد (الطفل الليبي محمد وليد بو عبدالله) يعبر لسعادة السفير عبدالله بن ابراهيم الحمر عن مشاعره الحقيقة بطريقة عفوية تعكس مدى اعتزاز العرب بنجاح دولة قطر في تنظيم المونديال. https://t.co/hZnuTVSud5</t>
  </si>
  <si>
    <t>#Our_Unity_Source_of_Our_Strength 
#Qatar_National_Day https://t.co/ZUmWFxRXzy</t>
  </si>
  <si>
    <t>QatarTelevision</t>
  </si>
  <si>
    <t>سفارة دولة قطر لدى مملكة إسبانيا تقيم حفلاً بمناسبة اليوم الوطني القطري  🇶🇦
#تلفزيون_قطر https://t.co/5jPModYqVl</t>
  </si>
  <si>
    <t>Día Nacional del Estado de Qatar
#وحدتنا_مصدر_قوتنا https://t.co/dm9ANJHgME</t>
  </si>
  <si>
    <t>https://t.co/58oJE84PtO</t>
  </si>
  <si>
    <t>https://t.co/XGkMpP55Hv</t>
  </si>
  <si>
    <t>La Embajada realizó una celebración con motivo del Día Nacional de Qatar.
A la celebración asistieron diversas personalidades políticas y gubernamentales de alto nivel, Cuerpo Diplomático, así como representantes del sector privado español. https://t.co/O4nIU8kXjc</t>
  </si>
  <si>
    <t>https://t.co/gem7UVbn6e</t>
  </si>
  <si>
    <t>https://t.co/D2yrVWk9m5</t>
  </si>
  <si>
    <t>اقامت السفارة احتفالا بمناسبة اليوم الوطني لدولة قطر. 
حضر الاحتفال عدد من كبار الشخصيات السياسية والحكومية واصحاب السعادة سفراء الدول العربية والاجنبية المعتمدين لدى مملكة اسبانيا وكذلك ممثلين عن القطاع الخاص الاسباني.
وحدتنا_مصدر_قوتنا# https://t.co/Prvqh1IH32</t>
  </si>
  <si>
    <t>Su Excelencia pronunció un discurso en el taller "Espacio de Encuentro para la Movilidad y el Deporte", en el que destacó la experiencia del Estado de Qatar en albergar la Copa del Mundo y convertirlo en un referente para potenciar la comunicación entre culturas. https://t.co/kcJstGRpp0</t>
  </si>
  <si>
    <t>Su Excelencia el Embajador Abdalla Al-Hamar participó en el acto realizado por Casa Árabe en la ciudad de Córdoba bajo el título “Cultura, Movilidad y Deporte" https://t.co/VvarYmCD22</t>
  </si>
  <si>
    <t>دلى سعادته بكلمة في ورشة العمل "مساحة اجتماعات للتنقل والرياضة" سلط فيها الضوء على تجربة دولة قطر باستضافة المونديال وتحويله الى مرجعية لتعزيز التواصل بين الثقافات. https://t.co/XOta1yaXFh</t>
  </si>
  <si>
    <t>شارك سعادة السفير عبدالله بن ابراهيم الحمر في الفعالية التي اقامتها مؤسسة البيت العربي في مدينة قرطبة تحت عنوان "انشاء تحالفات ونقاط تواصل من اسبانيا الى الخليج". https://t.co/iaJ1lngXMz</t>
  </si>
  <si>
    <t>La final de #Qatar2022 está cerca y los fans en las calles se atrevieron a hacer su pronóstico. 🔮😨
¡Comenta el tuyo! ✍️💬 https://t.co/GC078QhwQz</t>
  </si>
  <si>
    <t>#Qatar2022 no tiene solo fútbol, también tiene mucha fiesta 🙌🤩 https://t.co/OpYZAzdzjg</t>
  </si>
  <si>
    <t>El Mundo ya tiene a sus 4 mejores selecciones de fútbol 👊
Ya llegan las semifinales de #Qatar2022 🤩 https://t.co/YKgD444AmZ</t>
  </si>
  <si>
    <t>Experience the thrills during the last week of @FIFAWorldCup with amazing events, festivals and things to do in #Qatar 🤩
Here's your events calendar for Qatar 2022™️ 🇶🇦
👉 Qatar Live Concerts
👉 Daydream Music Festival 
👉 @MDLBEAST Presents: Aravia
👉 Arcadia Music Festival https://t.co/YtA8JMI2rW</t>
  </si>
  <si>
    <t>Metro? This way 👉
Hop on and off from 35+ stations and enjoy smooth connectivity within #Qatar!
With your Hayya Card, you can access Doha's iconic locations, fan zones, entertainment destinations and exciting events for FREE using the @metrotram_qa 🤩🚇 https://t.co/4EvibPD8jJ</t>
  </si>
  <si>
    <t>Viceprimer Ministro y Ministro de Relaciones Exteriores participa en el evento "El poder de la innovación en un mundo post-COVID-19"
#MOFAQatar https://t.co/iqiWvPm5BL</t>
  </si>
  <si>
    <t>En un discurso ante la Conferencia Internacional para la Educación de las Mujeres Afganas
Asistente del Ministro de Relaciones Exteriores @Lolwah_Alkhater : El Estado de Qatar está comprometido con el desarrollo y la prosperidad en Afganistán
#MOFAQatar https://t.co/183yFPH3rJ</t>
  </si>
  <si>
    <t>Al-Kuwari: La experiencia acumulada de los equipos anfitriones de los huéspedes del Estado  es motivo de orgullo para el Ministerio de Relaciones Exteriores 
#MOFAQatar 
#Qatar2022 https://t.co/QyT3SP4n86</t>
  </si>
  <si>
    <t>Discurso del H.E. Dr. Turki Abdulla Zaid Al-Mahmoud Director del Departamento de Derechos Humanos por la ocasión del Día Internacional de los Derechos Humanos
#HumanRightsDay
#MOFAQatar https://t.co/6gdQ3aRAJe</t>
  </si>
  <si>
    <t>Asistente del Ministro de Relaciones Exteriores se reúne con varios funcionarios al margen de la Conferencia Internacional sobre la Educación de las Mujeres Afganas
#MOFAQatar https://t.co/dIspx2BWDg</t>
  </si>
  <si>
    <t>Estado de Qatar condena el intento de asesinato del embajador de Pakistán en Kabul
#MOFAQatar https://t.co/aofg1JaESH</t>
  </si>
  <si>
    <t>Travelling to 🇶🇦 for the @FIFAWorldCup?
Here are 10 bucket-list adventures you must experience in #Qatar!
Plan your trip now on https://t.co/aRLphOpfG3 📲
For more info on the tickets &amp;amp; Hayya card, please visit ➡️ https://t.co/cOX0J2sfaj
#VisitQatar #Doha https://t.co/WMnaKdTvoN</t>
  </si>
  <si>
    <t>Looking to visit Qatar's desert landscape during your @FIFAWorldCup trip? Here's the ideal adventure itinerary for you👇😎✨
#VisitQatar #Qatar #Doha https://t.co/Ds5GMAI6NR</t>
  </si>
  <si>
    <t>ℹ️ ¡Información importante para los aficionados sin entradas! ℹ️
#Qatar2022 https://t.co/NO9gSIxEbS</t>
  </si>
  <si>
    <t>UNA EXPERIENCIA ÚNICA 
🇲🇽 Alonso, ganador de nuestro sorteo por un viaje a #Qatar2022, compartió algunos de los momentos mágicos que vivió en la Copa del Mundo 😜
¡Sigamos todos disfrutando de esta gran fiesta! 🇶🇦🏆 https://t.co/sBjpowVBU3</t>
  </si>
  <si>
    <t>¡Así quedaron los cruces de 𝟒𝐭𝐨𝐬 𝐝𝐞 𝐟𝐢𝐧𝐚𝐥 tras la fecha de hoy! 🥵🏆
#Qatar2022 https://t.co/yNanHfZ4P5</t>
  </si>
  <si>
    <t>El apoyo de los aficionados de #SEN en esta Copa del Mundo ha sido😍🎊 #Qatar2022 #FIFAWorldCup https://t.co/fDObnUdjtf</t>
  </si>
  <si>
    <t>🇫🇷 Otra Copa del Mundo con esta dupla intratable 🔥
Mbappe 🤝 Giroud
#Qatar2022 https://t.co/S6feqDoc99</t>
  </si>
  <si>
    <t>La Perla en Doha es un lugar perfecto para dar un paseo, relajarse y disfrutar en familia del ambiente que se vive en #Qatar2022. 🇶🇦🕶️
¿Ya viniste a conocerla? https://t.co/9px6KNFjYp</t>
  </si>
  <si>
    <t>El Estadio Ahmed Bin Ali se despidió de la Copa del Mundo, pero acá quedan algunos de sus mejores momentos. 🏟️🥰
¿Cuál fue tu favorito? 💬 #Qatar2022 https://t.co/OO56soZqiG</t>
  </si>
  <si>
    <t>Lo que se ha vivido en el FIFA Fan Festival estos días ha sido sin dudas increíble 🤩
¿Ya pasaron por ahí?
#Qatar2022 https://t.co/WpoRNkcZo2</t>
  </si>
  <si>
    <t>Buenas noches desde el Corniche 🌃👋
#Qatar2022 https://t.co/d19j4lOZGI</t>
  </si>
  <si>
    <t>¡Así quedaron los cruces de 𝟒𝐭𝐨𝐬 𝐝𝐞 𝐟𝐢𝐧𝐚𝐥 tras la fecha de hoy! 🥵🏆
#Qatar2022 #FIFAWorldCup https://t.co/v6zgqa5qKE</t>
  </si>
  <si>
    <t>UN_OCT</t>
  </si>
  <si>
    <t>USG @UN_OCT Voronkov, @SpainMFA, @QatarEmb_Madrid &amp;amp; 200+ intl experts launched an innovative project on protecting vulnerable targets by using BI to strengthen law enforcement capacity.
Hosted by #Spain 🇪🇸 @maecgob
Funded by #Qatar 🇶🇦
INFO 👉 https://t.co/Rs5myKOobC https://t.co/hs8SHTWKPb</t>
  </si>
  <si>
    <t>La conferencia celebró el Día Mundial del Olivo y dedicó una parte a la relación del aceite de oliva con la salud. https://t.co/u47cdAqRZ1</t>
  </si>
  <si>
    <t>Qatar participó en las reuniones del Consejo Oleícola Internacional. SE el Embajador Abdalla Al-Hamar representó al país como observador con la presencia del Min.Agricultura de España,y representantes de los estados miembros. Se celebró la adhesión de Arabia Saudí y Uzbekistán https://t.co/XHQkLsE7h9</t>
  </si>
  <si>
    <t>تزامنت اجتماعات المجلس مع اليوم العالمي للزيتون كما تم اطلاق مبادرات تعنى بعلاقة زيت الزيتون بالصحة العامة. https://t.co/EjPoZobKyL</t>
  </si>
  <si>
    <t>شاركت دولة قطر في اجتماعات المجلس الدولي للزيتون حيث مثل الدولة في الاجتماعات التي تشارك فيها بصفة مراقب سعادة السفير عبدالله بن ابراهيم الحمر. 
شارك في الاجتماعات وزير الزراعة الاسباني بالاضافة الى ممثلين عن الدول الاعضاء وتم الاحتفاء بانضمام المملكة العربية السعودية واوزباكستان https://t.co/xTFYcJCnZx</t>
  </si>
  <si>
    <t>SE Abdalla Al-Hamar, Embajador del Estado de Qatar en España: Los logros alcanzados por Qatar serán la mejor respuesta a quienes cuestionan sus capacidades
 #Catar 2022 |  #World_Cup_Qatar_2022 https://t.co/n9N210s7uU</t>
  </si>
  <si>
    <t>beINSPORTS</t>
  </si>
  <si>
    <t>عبد الله بن إبراهيم الحمر سفير دولة قطر  لدى إسبانيا: إن الإنجازات التي حققتها قطر ستكون خير رد على الذين يقودون حملات معادية لها والمشككين في قدراتها
#قطر2022 | #كأس_العالم_قطر_2022 https://t.co/JavBcXdWNo</t>
  </si>
  <si>
    <t>👉 Dune bashing 🚗
👉 Sip on Arabic coffee in a traditional majlis ☕
👉 Ride camels 🐪
👉 Hold a falcon 🪶
👉 Kayak in the Inland Sea 🛶
👉 Watch the golden sunset 🌆
👉 Delicious dinner around a campfire 🪵🔥
Book now on:
📲 @dohabus 
💻 https://t.co/Mwgi9G9cV8</t>
  </si>
  <si>
    <t>Visit an authentic Qatari farm to find the cutest animals 🦙
Located an hour away from Doha, North Sedra Farm is a fun experience to visit with your friends and family!
🗓 Every Friday &amp;amp; Saturday
⏰ 12:30pm to 8pm
📞 66650388 
#VisitQatar #Qatar #Doha https://t.co/y3aPkYuNcj</t>
  </si>
  <si>
    <t>Portavoz del Ministerio de Relaciones Exteriores @majedalansari : La decisión de la Comisión de Libertades del Parlamento Europeo elimina los obstáculos para completar los procedimientos para eximir a los ciudadanos de Qatar del visado "Schengen".
#MOFAQatar https://t.co/aQTRbyvJoM</t>
  </si>
  <si>
    <t>discurso de Su Excelencia el embajador/Mohammed Ismail Al-Emadi, Presidente del Comité de Qatar para la Reconstrucción de Gaza, en #SolidarityWithPalestinianPeople
#MOFAQatar https://t.co/Gy5atx14Mm</t>
  </si>
  <si>
    <t>El proyecto del Estado de Qatar, “La Ciudad de Rawabi”, donde viven más de 20 mil personas, es un proyecto integrado que brinda a los residentes y visitantes de la ciudad todas sus necesidades.
#SolidarityWithPalestinianPeople
#MOFAQatar https://t.co/txYmNJpOFR</t>
  </si>
  <si>
    <t>A lo largo de los años, el Estado de Qatar ha apoyado la resistencia del hermano pueblo palestino, frente a la ocupación israelí,en diverse sectores, con el fin de reducir el agravamiento de la situación humanitaria y las difíciles condiciones de vida en los territorios ocupados. https://t.co/YdkzP8ztNX</t>
  </si>
  <si>
    <t>Estado de Qatar y UNRWA...Cooperación continua
#SolidarityWithPalestinianPeople
#MOFAQatar https://t.co/C952zpib98</t>
  </si>
  <si>
    <t>Lolwah_Alkhater</t>
  </si>
  <si>
    <t>Esto es lo que #Qatar 2022 se trata en #humanidad común, entrenador de Brasil viendo un video que muestra a un extraño, sosteniendo la bandera Palestina🤍.
Disculpen ideólogos, la #Copa Mundial de Qatar 2022 no se trata de su política, sino del fútbol, ​​así #Hola hinchas⚽️😃 https://t.co/gJRqfKxYVS https://t.co/YdxylrCJOe</t>
  </si>
  <si>
    <t>¡Solo faltan 2! Estos son los choques de 8vos de final confirmados hasta ahora:
1️⃣ #NED vs #USA
2️⃣ #ARG vs #AUS
3️⃣ #JPN vs #HRV 
4️⃣ #ENG vs #SEN 
5⃣ #FRA vs #POL 
6⃣ #MAR vs #ESP</t>
  </si>
  <si>
    <t>Clasificados a 8vos de final en #Qatar2022 hasta ahora:
✅ #FRA 
✅ #BRA  
✅ #POR  
✅ #NED  
✅ #SEN  
✅ #ENG  
✅ #USA  
✅ #AUS 
✅ #ARG 
✅ #POL
✅ #MAR
✅ #HRV 
✅ #JPN 
✅ #ESP 
¿Qué selecciones se quedarán con los cupos que faltan? 😱</t>
  </si>
  <si>
    <t>¡Estos son los partidos del día! ⚽🤩
#Qatar2022
#FIFAWorldCup https://t.co/8uUR9ixi2a</t>
  </si>
  <si>
    <t>¡Inglaterra 🏴󠁧󠁢󠁥󠁮󠁧󠁿 y Estados Unidos 🇺🇸 a octavos de final! 
Con sus victorias ante Gales e Irán por la jornada 3, ambos seleccionados terminaron primeros en el 𝐆𝐑𝐔𝐏𝐎 𝐁.  
#Qatar2022 https://t.co/gQBNlSsEag</t>
  </si>
  <si>
    <t>Cuando tu selección supera la fase de grupos de la Copa del Mundo por segunda vez en toda su historia 🥹
¡Felicitaciones, Senegal! 🇸🇳 
#Qatar2022 https://t.co/PoTaxfzRPb</t>
  </si>
  <si>
    <t>¡Así finalizó la tabla de posiciones del 𝐆𝐑𝐔𝐏𝐎 𝐀! 
#Qatar2022 https://t.co/hsDZux6Xom</t>
  </si>
  <si>
    <t>"Creo que es muy bueno que la cultura árabe se dé a conocer" 🇶🇦🏆
Xavi, quien vivió 6 años en Qatar, compartió su testimonio sobre la Copa del Mundo 🙂
#Qatar2022 https://t.co/kY4QwxEisg</t>
  </si>
  <si>
    <t>Estado de Qatar anuncia su contribución de  20 millones de dólares en apoyo a un programa humanitario para ayudar a los países africanos
#MOFAQatar https://t.co/gHBnSmE8TP</t>
  </si>
  <si>
    <t>Explore Qatar's most-loved cultural district - Katara Cultural Village 🇶🇦
👉 Katara Masjid &amp;amp; Golden Masjid - gorgeous mosques 🕌
👉 Katara Amphitheatre - classical Greek style amphitheatre 😍
👉 Public art installations and murals 🎨
#VisitQatar #Qatar #Doha https://t.co/OQGZIKWc10</t>
  </si>
  <si>
    <t>From crystal clear waters to windy desert dunes, #Qatar is a treasure trove of new experiences 🇶🇦✨
Take a guided tour with @hamadalamari to explore the country ✈️🤩
Check out the full ‘All About Qatar’ playlist on https://t.co/0UOBfQ8Kri 🎥
#VisitQatar #Doha https://t.co/zV6UAkhdjd</t>
  </si>
  <si>
    <t>Energy 🤩 excitement 🥳 enthusiasm 😁
Describe the @FIFAWorldCup opening ceremony in one word 💬👇
The night was filled with vibrant performances, cheerful fans and a dynamic match between Qatar &amp;amp; Ecuador🔥 
#VisitQatar #Qatar #Doha https://t.co/7X7kpQ2wSc</t>
  </si>
  <si>
    <t>Una sede. TODO EL MUNDO. 
Bienvenidos a #Qatar2022 🇶🇦🥹 https://t.co/7HLcDS8P5V</t>
  </si>
  <si>
    <t>¡Súmate con nosotros a la Copa de Aficionados! 🙌 32 selecciones de fans compiten, durante 4 días, para ser campeones del mundo ⚽️🏆 
#Qatar2022 https://t.co/Suf7JbPKUk</t>
  </si>
  <si>
    <t>📍 FIFA Fan Festival
🗓 29 nov - 2 dic
#FIFAWorldCup https://t.co/Ma12PDCHFJ</t>
  </si>
  <si>
    <t>Meeetro? Thiiis waaaaay 🤪
El famoso #MetroMan estuvo en el Estadio Al Bayt y fue toda una estrella 😂
#Qatar2022 https://t.co/ejtLj287CB</t>
  </si>
  <si>
    <t>¡Esto es Qatar! 🇶🇦
¿Qué tal la Copa del Mundo hasta ahora? 🏆🌍
#Qatar2022 https://t.co/RlPuGN1YLW</t>
  </si>
  <si>
    <t>📸 Fotos del disputado empate 1-1 entre España 🇪🇸 y Alemania 🇩🇪 en el Estadio Al Bayt por la segunda jornada del Grupo E. 
#Qatar2022 #ESP #GER https://t.co/CHGokKaaRX</t>
  </si>
  <si>
    <t>¡Así quedó la tabla de posiciones del 𝐆𝐑𝐔𝐏𝐎 𝐄 tras la jornada de hoy! 🔢🏆
#Qatar2022 https://t.co/BuiTmLqlBB</t>
  </si>
  <si>
    <t>¡Se acabó el tiempo en el Estadio Al Bayt! #GER logró rescatar un empate en los minutos finales ante #ESP y sigue con vida en el Grupo E. https://t.co/x5gb2ofsfU</t>
  </si>
  <si>
    <t>¡Así gritaron el gol de Morata los aficionados españoles en el Estadio Al Bayt!
#Qatar2022 #ESP #GER https://t.co/GluX7RrFfa</t>
  </si>
  <si>
    <t>jmalbares</t>
  </si>
  <si>
    <t>Conversación con mi homólogo catarí @MBA_AlThani_ para abordar las relaciones 🇪🇸🇶🇦 y la situación en la región. Deseo que este Mundial de Fútbol, el primero en un país árabe, mantenga los valores del deporte y sea puente entre culturas.¡Hoy 🇪🇸 @SEFutbol volverá a hacernos vibrar! https://t.co/f7HnqOaDv2</t>
  </si>
  <si>
    <t>¡Momento histórico! El partido entre #ARG vs #MEX en el Estadio Lusail se convirtió en el partido con el mayor número asistentes en la historia de Qatar. 🏟️🤯 https://t.co/upLCTQcr8j</t>
  </si>
  <si>
    <t>¡Empate sin goles en el Estadio Ciudad de la Educación! Después de un partido muy luchado, #URU y #KOR no pudieron mover el marcador y se repartieron los puntos. ➕1️⃣
#Qatar2022 https://t.co/Ib9XUVsQ7B</t>
  </si>
  <si>
    <t>CasaReal</t>
  </si>
  <si>
    <t>El Rey ha mantenido un encuentro con el emir del Estado de Catar, el jeque Tamim bin Hamad Al Thani, tras su reunión con una representación de empresas españolas en Doha.
➡️https://t.co/sMwmdbZxKc https://t.co/Iu9zg6NnYz</t>
  </si>
  <si>
    <t>El Rey ha mantenido un encuentro con una representación de empresas españolas en Catar.
➡️https://t.co/sMwmdbYZUE https://t.co/opw1AeRFRV</t>
  </si>
  <si>
    <t>El Rey celebra con la Selección Española de Fútbol el resultado de su primer partido en la #CopaMundialFIFA #Catar2022.
➡️https://t.co/5NcS4KCRAt #VamosEspaña https://t.co/ppzbACxJKa</t>
  </si>
  <si>
    <t>El Rey ha felicitado a los jugadores de la @SEFutbol por su victoria en su primer partido de la #CopaMundialFIFA #Catar2022.
➡️https://t.co/5NcS4KDpq1 #VamosEspaña https://t.co/YxGQ4ep8rq</t>
  </si>
  <si>
    <t>Su Alteza el Emir se reúne con Su Majestad el Rey Felipe VI de España, quien visita el país para asistir a parte de los partidos de la Copa Mundial de la FIFA Qatar 2022, en el Hotel Ritz-Carlton, Doha.  https://t.co/9uC8fkLgjP https://t.co/iSNpeED2ah</t>
  </si>
  <si>
    <t>Looking for picturesque spots during your @fifaworldcup trip to #Qatar?
Here are 11 insta-worthy spaces you can visit at @QF 📸
#VisitQatar #Doha https://t.co/VuCW6fB1xm</t>
  </si>
  <si>
    <t>El Estadio Lusail recibirá el primer partido de Brasil, una selección que busca ampliar su leyenda y sumar la 6ta estrella. 🇧🇷 6️⃣ ⭐
¿Será esta versión de @neymarjr la que los devuelva a la cima? 💬 https://t.co/5lZPnw4qee</t>
  </si>
  <si>
    <t>😤 @cristiano va con todo en su 5ta Copa del Mundo y quiere guiar a Portugal a su primera estrella ⭐🇵🇹
 ¿Podrá cumplir su sueño? 🤔💭 https://t.co/scCNeklBci</t>
  </si>
  <si>
    <t>¡Así quedó la tabla de posiciones del 𝐆𝐑𝐔𝐏𝐎 𝐅 tras la jornada de hoy! 🔢🏆
#Qatar2022 https://t.co/cQUEACBTVy</t>
  </si>
  <si>
    <t>¡Victoria de #BEL en el Estadio Ahmed Bin Ali! En un partido frenético, los diablos rojos vencieron 1-0 a #CAN por el Grupo F. 🥵❤️‍🔥
#Qatar2022 https://t.co/ITtGGOOlvU</t>
  </si>
  <si>
    <t>El deporte más hermoso del mundo ⚽️😍  
#Qatar2022 https://t.co/vXslQdc1iq</t>
  </si>
  <si>
    <t>⚽️ Con solo 18 años y 110 días de edad, Pablo Gavi 🇪🇸 se convirtió en el futbolista más joven en marcar en una Copa del Mundo desde 1958. 
¿Quién tiene el récord desde entonces? PELÉ 🇧🇷👑 con solo 17 años y 249 días. 
#Qatar2022 https://t.co/dWLgVRIdAz</t>
  </si>
  <si>
    <t>¡Así quedó la tabla de posiciones del 𝐆𝐑𝐔𝐏𝐎 𝐄 tras la jornada de hoy! 🔢🏆
#Qatar2022 https://t.co/zmpvRWHQc6</t>
  </si>
  <si>
    <t>1, 2, 3, 4, 5, 6, 7… 🥵
El partido entre #LaRoja y #LaSele en #Qatar2022 se ha sumado a lista de goleadas históricas en la Copa del Mundo 🏆✅
¿Cuáles otras recuerdas? 👀 https://t.co/yb750WmT2i</t>
  </si>
  <si>
    <t>El Rey asiste, en Doha, al primer partido de la Selección Española de Fútbol en la #CopaMundialFIFA #Catar2022.
➡️https://t.co/5NcS4KCRAt #VamosEspaña https://t.co/fPmXr5ssVX</t>
  </si>
  <si>
    <t>https://t.co/yt4XaZtuDn</t>
  </si>
  <si>
    <t>https://t.co/m9HptbdaNg</t>
  </si>
  <si>
    <t>Recepción del SE el Embajador Abdalla Al-Hamar por la inauguración del Mundial de Qatar 2022
Al acto asistieron los embajadores acreditados ante España y un grupo de empresarios, políticos y personalidades de los medios de comunicación de España
https://t.co/ZrHZQs9xw6</t>
  </si>
  <si>
    <t>https://t.co/9NDkIHAcBr</t>
  </si>
  <si>
    <t>اقام سعادة السفير عبدالله بن ابراهيم الحمر حفل استقبال بمناسبة افتتاح مونديال قطر ٢٠٢٢ 
حضر الحفل اصحاب السعادة السفراء المعتمدين لدى مملكة اسبانيا بالاضافة الى نخبة من رجال الاعمال والسياسيين والاعلاميين في مملكة اسبانيا.
https://t.co/ZrHZQs8ZGy https://t.co/cG9XfmKvOu</t>
  </si>
  <si>
    <t>Así es el Estadio Internacional Khalifa, el escenario del partido entre Inglaterra e Irán 🇮🇷.
#Qatar2022 https://t.co/QjcCb1rerK</t>
  </si>
  <si>
    <t>Su Excelencia el Embajador Abdalla Al-Hamar inaugura desde la Residencia del jefe de misión en Madrid el saque inicial de la Copa Mundial de la FIFA Qatar 2022 https://t.co/ynZjChYTvt</t>
  </si>
  <si>
    <t>¡Oficialmente inició la Copa del Mundo! 🥹😭
#Qatar2022
#FIFAWorldCup</t>
  </si>
  <si>
    <t>سعادة السفير عبدالله بن ابراهيم الحمر يركل من مقر سكن رئيس البعثة بمدريد ركلة انطلاق مونديال قطر فيفا٢٠٢٢ https://t.co/r78ziXnSbp</t>
  </si>
  <si>
    <t>0 days to go for the #FIFAWorldCupQatar2022 ™️! 😍 the ball has landed at Al Bayt Stadium 😎 ⚽️
Plan your trip now on https://t.co/aRLphOHoUb 📲
Never miss an event https://t.co/32sXlQYb1T 📲
#VisitQatar #In_Qatar #InQatar #Doha #QatarEvents #QatarConcerts https://t.co/LTwgUJnLRR</t>
  </si>
  <si>
    <t>It's time to explore #Qatar during the @FIFAWorldCup with your family and friends🤩🇶🇦⚽
Tag your favourite people below 👬
Plan your trip now on https://t.co/aRLphOGR4D 📲
For more info on the tickets &amp;amp; Hayya card, please visit ➡️ https://t.co/cOX0J2aEiL
#VisitQatar #Doha https://t.co/Hm0ZiGXRfc</t>
  </si>
  <si>
    <t>🇶🇦 ¡BIENVENIDOS A QATAR 2022! 🇶🇦 https://t.co/bAwUQVpweZ</t>
  </si>
  <si>
    <t>La última noche antes de que todo empiece. 😱🎊
¡Ya casi! ¡Ya casi! ¡Ya casi! 🇶🇦🏆
#Qatar2022 https://t.co/anaij8QhmU</t>
  </si>
  <si>
    <t>El día más esperado llegó: HOY COMIENZA LA COPA DEL MUNDO 🏆🤩
#Qatar2022 
#FIFAWorldCup https://t.co/YT6xuuZhLt</t>
  </si>
  <si>
    <t>Gran apoyo árabe a Qatar por organizar el Mundial y condena de las campañas maliciosas
#MOFAQatar 
#Qatar2022 https://t.co/nvXTgfbFav</t>
  </si>
  <si>
    <t>qatarairways</t>
  </si>
  <si>
    <t>Feel the rhythm as #QatarAirways proudly presents our official FIFA World Cup™ song, ‘C.H.A.M.P.I.O.N.S’, featuring DJ Rodge and Cheb Khaled. 
#WeWillRoQ #QatarAirways https://t.co/fM45f0b5sr</t>
  </si>
  <si>
    <t>¡Hola, España! 🇪🇸👋
Bienvenidos a Qatar 🇶🇦😎
📹 @beINSPORTS https://t.co/RzkucE5vnZ</t>
  </si>
  <si>
    <t>Con capacidad para 40.000 personas, el Estadio 974 es uno de los mejores recintos de #Qatar2022.
¿Sabías que es el primer estadio FIFA en la historia que puede ser totalmente desarmado y rearmado luego del evento?😱🏟️ https://t.co/Yz8LKhpWYN</t>
  </si>
  <si>
    <t>El color y la fiesta en el FIFA Fan Festival en pleno Doha 🤩🥳
#Qatar2022 https://t.co/ZGOsObp0FT</t>
  </si>
  <si>
    <t>dohanews</t>
  </si>
  <si>
    <t>🇶🇦 Is Qatar one of the safest countries in the world?
Content creator BANDAGE tested the theory to see if Qatar is in fact as safe as people say it is.
🎬 Watch the full video for more! https://t.co/jEH0Hgw6kx</t>
  </si>
  <si>
    <t>Qatar celebra la extensión del trato de exportación de granos a través del Mar Negro
#MOFAQatar https://t.co/Gijdqf29FF</t>
  </si>
  <si>
    <t>Su Excelencia el Jeque Meshal bin Hamad Al Thani, 
Embajador del Estado de Qatar en los Estados Unidos de América escribe a CNN:
La Copa Mundial es una gran oportunidad para mitigar las ideas erróneas y los prejuicios contra Qatar y la cultura árabe e islámica
#MOFAQatar https://t.co/PKlpZNOkL2</t>
  </si>
  <si>
    <t>Transporte público gratuito ✅ 
Con tu Hayya Card, en #Qatar2022 vas a poder usar el metro y todos los servicios de buses sin gastar nada 👌 https://t.co/hQ5hu0WSA9</t>
  </si>
  <si>
    <t>Competition alert 🚨 Want to win prizes worth up to $100,000? 🤩
Showcase your trip &amp;amp; create amazing content for a chance to win and fly to Qatar ✈️
Design your #UltimateQatarExperience, post it &amp;amp; tag @visitqatar 🇶🇦 https://t.co/48nXvrwv2g</t>
  </si>
  <si>
    <t>📲 El paso a paso para obtener tu Hayya Card luego de su aprobación. 
#Qatar2022 https://t.co/pWsZztPcIO</t>
  </si>
  <si>
    <t>La fiesta ya está en Qatar 🇶🇦😎
#Qatar2022 https://t.co/BkInpdTWfL</t>
  </si>
  <si>
    <t>📲 El paso a paso para obtener tu Hayya Card luego de su aprobación. 
Recuerda que la Hayya Card será el permiso para ingresar al Estado de Qatar, a los partidos de #Qatar2022 y para usar gratuitamente el transporte público. https://t.co/wJTpMdURhj</t>
  </si>
  <si>
    <t>El Grupo H está: 🫣
🇵🇹Portugal
🇬🇭Ghana
🇺🇾Uruguay
🇰🇷Corea del Sur
¿A qué equipo apoyarás? Deja tu bandera en los comentarios #Qatar2022 ⤵️ https://t.co/KIa7HzIZpR</t>
  </si>
  <si>
    <t>ℹ️ ¿Es necesario un certificado de vacunación o una prueba PCR para entrar en Qatar? 
Nosotros respondemos tus preguntas frecuentes. 👨‍💻 https://t.co/UR1qnTa45x</t>
  </si>
  <si>
    <t>5 palabras en Árabe que nuestros amigos Brasileros 🇧🇷 deben saber antes de llegar a #Qatar2022.
📲@tjalbader ft. @ludtravels_ https://t.co/vN0ZB5zVC2</t>
  </si>
  <si>
    <t>💾  𝐈𝐍𝐅𝐎 𝐏𝐀𝐑𝐀 𝐆𝐔𝐀𝐑𝐃𝐀𝐑 💾  Estos son los recorridos de los buses especiales alrededor de Doha. 
El servicio de 𝘴𝘩𝘶𝘵𝘵𝘭𝘦 funcionará con horarios extensos y gran frecuencia. Opción ideal para andar por el Corniche, Souq Waqif y alrededores. 🚌
#Qatar2022 https://t.co/UzodFm28W8</t>
  </si>
  <si>
    <t>¡La Copa del Mundo ya está en Qatar! 🇶🇦😍
¿Qué capitán la alzará el 18 de diciembre en el Estadio Lusail? 🔜🏆 https://t.co/qsEWbT4HzL</t>
  </si>
  <si>
    <t>كلمة لسعادة السيد عبدالله بن إبراهيم عبدالرحمن الحمر، سفير دولة قطر لدى المملكة الإسبانية
برنامج #أهلاً_بالعالم
#تلفزيون_قطر https://t.co/rzMQSHcFOe</t>
  </si>
  <si>
    <t>Posts of Qatar 🥅🇶🇦 
All goalposts are designed by artists from nations that previously won the @FIFAWorldCup tournament, reflecting elements of each country 🌏 
#VisitQatar #Doha #Qatar https://t.co/jGAzGryVhQ</t>
  </si>
  <si>
    <t>Visitors can capture memories with perfectly-framed backdrops and share their #PostsofQatar 📸🤳 https://t.co/37KXCgNwHn</t>
  </si>
  <si>
    <t>To find out more about the installations, check out https://t.co/aRLphOHoUb 📲 https://t.co/sOIevsHr9z</t>
  </si>
  <si>
    <t>El Grupo G está: 😤
🇧🇷Brasil
🇷🇸Serbia
🇨🇭Suiza
🇨🇲Camerún
¿A qué equipo apoyarás? Deja tu bandera en los comentarios #Qatar2022 ⤵️ https://t.co/FHOzbzZrbf</t>
  </si>
  <si>
    <t>Sin duda, lo más hermoso que verán el día de hoy. 🤩🏆
#Qatar2022
🎥: @beINSPORTS https://t.co/96d2dN35bG</t>
  </si>
  <si>
    <t>Los @dohabibis ya se encuentran con los aficionados en #Qatar2022 que apoyarán a España y Argentina. 🇪🇸🇦🇷
¡Estamos a nada de empezar la fiesta del Mundial! 🎉🎊 https://t.co/1ThFjYcuAc</t>
  </si>
  <si>
    <t>If you’re coming to #Qatar for the @FIFAWorldCup, @MsheirebDoha is a must-visit district 🤩 
#VisitQatar #Doha https://t.co/GQJiAlQeCI</t>
  </si>
  <si>
    <t>El Grupo Árabe de la " UNESCO" elogia los esfuerzos de Qatar para albergar la Copa Mundial
@QatarAtUNESCO
#MOFAQatar
#Qatar2022 https://t.co/UGZMhALPd7</t>
  </si>
  <si>
    <t>Qatar condena enérgicamente la explosión en Estambul
#MOFAQatar https://t.co/HrDZQgafIH</t>
  </si>
  <si>
    <t>https://t.co/7yUxu4i4eX</t>
  </si>
  <si>
    <t>Qatar afirma su apoyo al Programa Global de la ONU para Combatir las Amenazas Terroristas contra Objetivos Vulnerables: https://t.co/SGSPfkhOj9 https://t.co/RgatiPuJla</t>
  </si>
  <si>
    <t>https://t.co/rmWWyvsnBH</t>
  </si>
  <si>
    <t>قطر تؤكد دعمها لبرنامج الأمم المتحدة العالمي لمكافحة التهديدات الإرهابية ضد الأهداف الضعيفة
🔗 لقراءة المزيد : https://t.co/Y5VHBiuosi https://t.co/zMG0OvgwPt</t>
  </si>
  <si>
    <t>Qatar afirma su apoyo al Programa Global de la ONU para Combatir las Amenazas Terroristas contra Objetivos Vulnerables
#MOFAQatar https://t.co/k3QUS2eJug</t>
  </si>
  <si>
    <t>MOI_QatarEn</t>
  </si>
  <si>
    <t>Acaba de llegar al Estado de Qatar, el punto de encuentro de los eventos deportivos internacionales. Está en uno de los países más seguros según los indicadores de paz a nivel mundial. 
Bienvenido a Qatar: protección y seguridad.
#MOIQatar #Qatar2022 https://t.co/LmSv5Qs85f</t>
  </si>
  <si>
    <t>https://t.co/x2JKjk8Oj7</t>
  </si>
  <si>
    <t>SE el Embajador Abdalla Al-Hamar ha visitado la sede del Diario As donde le ha recibido su director, D. Vicente Jiménez. Durante la reunión, han hablado del Mundial de FIFA-Qatar 2022 y la cobertura mediática de este gran evento, así como otros temas de interés común. https://t.co/MjWzA4KAyQ</t>
  </si>
  <si>
    <t>https://t.co/WMm8Rd8kOM</t>
  </si>
  <si>
    <t>قام سعادة السفير عبدالله بن ابراهيم الحمر بزيارة الى مقر صحيفة آس الرياضية حيث استقبله مدير الصحيفة السيد فيثينتي خيمينيث. 
جرى خلال اللقاء مناقشة مونديال قطر فيفا ٢٠٢٢ واستعدادات الصحيفة لتغطية هذا الحدث الكبير، بالاضافة الى المواضيع ذات الاهتمام المشترك. https://t.co/VObwo8y33X</t>
  </si>
  <si>
    <t>SE el Embajador Abdalla Al-Hamar se ha reunido hoy en la sede del Partido Popular, con D. Gabriel Mato, Secretario de Internacional del Partido. 
Durante el encuentro, han abordado vías de colaboración, así como temas de interés común. https://t.co/ltB4FPajLu</t>
  </si>
  <si>
    <t>قام سعادة السفير عبدالله بن ابراهيم الحمر بزيارة الى مقر الحزب الشعبي حيث التقى بالسيد غابرييل ماتو، مسؤول السياسة الدولية بالحزب. 
جرى خلال اللقاء بحث اوجه التعاون والقضايا ذات الاهتمام المشترك. https://t.co/nVWBLvYExx</t>
  </si>
  <si>
    <t>https://t.co/4KVmhpuI7B</t>
  </si>
  <si>
    <t>https://t.co/md7TzM3snd</t>
  </si>
  <si>
    <t>Asistió así mismo al amistoso con el equipo panameño, con 2-1 a favor de Qatar. 
Su Excelencia también les deseó éxito a los jugadores, instándolos a esforzarse por sus aficionados qataríes y árabes. https://t.co/X57PO79Azm</t>
  </si>
  <si>
    <t>SE el Embajador Abdalla Al-Hamar ha visitado la Selección Nacional Qatarí de Fútbol, que está realizando entrenamientos en la ciudad de Marbella, donde ha podido ver la excelente preparación que está llevando a cabo el equipo para el Mundial FIFA-Qatar 2022. https://t.co/8EN9mD6G6B</t>
  </si>
  <si>
    <t>كما القى سعادته كلمة تشجيعية للاعبين حثهم فيها على بذل جهودهم وإسعاد الجماهير القطرية والعربية متمنيا لهم التوفيق والنجاح في البطولة https://t.co/4RrfzHEuKH</t>
  </si>
  <si>
    <t>زار سعادة السفير عبدالله بن ابراهيم الحمر بعثة منتخب قطر الوطني لكرة القدم والتي تقيم معسكرا تدريبيا في مدينة ماربيا، حيث اطلع على الاستعدادات الممتازة للمنتخب لبطولة مونديال قطر فيفا ٢٠٢٢ وحضر المباراة الودية التي تغلب فيها منتخبنا الوطني على نظيره البنمي بنتيجة ٢-١. https://t.co/jq9n8kUiE6</t>
  </si>
  <si>
    <t>https://t.co/VVex610Ed9</t>
  </si>
  <si>
    <t>https://t.co/O7mXU9sKQC</t>
  </si>
  <si>
    <t>SE el Embajador Abdalla Al-Hamar ha visitado la sede del Diario Marca donde le ha recibido su director, D. Juan Ignacio Gallardo. Durante la reunión, han hablado del Mundial de FIFA-Qatar 2022 y la cobertura mediática de este gran evento, así como otros temas de interés común. https://t.co/vC87Qh9wyL</t>
  </si>
  <si>
    <t>https://t.co/nTGwlWZrPA</t>
  </si>
  <si>
    <t>https://t.co/FFyuEeUdW4</t>
  </si>
  <si>
    <t>قام سعادة السفير عبدالله بن ابراهيم الحمر بزيارة الى مقر صحيفة ماركا الرياضية حيث استقبله مدير الصحيفة السيد خوان اغناثيو غاياردو. 
جرى خلال اللقاء مناقشة مونديال قطر فيفا ٢٠٢٢ واستعدادات الصحيفة لتغطية هذا الحدث الكبير، بالاضافة الى المواضيع ذات الاهتمام المشترك. https://t.co/yfhS2qoyhi</t>
  </si>
  <si>
    <t>En una entrevista con el periódico francés "Le Monde"
Viceprimer Ministro y Ministro de Relaciones Exteriores @MBA_AlThani_ : El pueblo qatarí es hospitalario... y el mundo entero es bienvenido en nuestro país
#MOFAQatar
#Qatar2022
@lemondefr https://t.co/NgaaZnoLBZ</t>
  </si>
  <si>
    <t>SE el Embajador Abdalla Al-Hamar se ha reunido con SE el Director General para el Maghreb, Mediterráneo y Oriente Próximo, D. Alberto Ucelay. 
Durante el encuentro se han abordado temas de interés mutuo y vías para fortalecer las relaciones bilaterales. https://t.co/10fHpS0784</t>
  </si>
  <si>
    <t>اجتمع سعادة السفير عبدالله بن ابراهيم الحمر مع سعادة السيد ألبيرتو أوثيلاي، مدير ادارة الشرق الاوسط ودول المغرب ودول حوض المتوسط. 
جرى خلال الاجتماع بحث سبل تعزيز العلاقات الثنائية بين البلدين والقضايا ذات الاهتمام المشترك. https://t.co/E7KNH4RSx9</t>
  </si>
  <si>
    <t>https://t.co/863WxHV54j</t>
  </si>
  <si>
    <t>شارك سعادة السفير عبدالله بن ابراهيم الحمر في حفل تقديم كتاب "اسبانيا بعيون العرب" والذي أقيم في مقر البيت العربي بمدريد وذلك بدعوة من سعادة السفير بشار ياغي،  الرئيس الفخري لمنصة صدى اسبانيا. https://t.co/7qjkDwGH3w</t>
  </si>
  <si>
    <t>https://t.co/x6bJveUVSG</t>
  </si>
  <si>
    <t>SE el Embajador Abdalla Al-Hamar ha participado en la presentación en Casa Árabe del libro “España vista por árabes”, invitado por SE el Embajador Bachar Yaghi, Presidente Honorario de la plataforma “Eco de España en árabe”. https://t.co/qbI8NQXmQd</t>
  </si>
  <si>
    <t>Touchdown in #Qatar &amp;amp; experience memorable moments ✈️🇶🇦
From stunning beaches, adventurous cityscapes, exclusive shopping &amp;amp; diverse food options ✨
Locations:
👉 Fuwairit Beach
👉 Corniche
👉 @ThePearlQatar 
👉 @MsheirebDoha 
👉 Al Ruwais Mosque
👉 Place Vendôme Qatar https://t.co/4zb3y8KiZa</t>
  </si>
  <si>
    <t>Ministerio de Relaciones Exteriores convoca al embajador alemán y entrega una nota de protesta sobre los declaraciones de la ministra del Interior sobre la organización de la Copa Mundial por parte de Qatar
#MOFAQatar https://t.co/6ZU0xPEiat</t>
  </si>
  <si>
    <t>Qatar condena enérgicamente la Explosión en Mogadiscio
#MOFAQatar https://t.co/6fV1S0UHTr</t>
  </si>
  <si>
    <t>Un recorrido por el Estadio Internacional Khalifa 🚁🤩
Será uno de los 8 escenarios de #Qatar2022 🏟️ https://t.co/2N9CgtjMOA</t>
  </si>
  <si>
    <t>Si vas a viajar a #Qatar2022, es importante que ya hayas registrado tu Hayya Card 🪪 https://t.co/ozfL2jSyfl</t>
  </si>
  <si>
    <t>🏟 Estos son los partidos que se jugarán en el Estadio Ahmed Bin Ali.
¿En cuál te gustaría estar presente? 👀
#Qatar2022 https://t.co/h2oyHf6H5e</t>
  </si>
  <si>
    <t>Los colores en Qanat Quartier, la “pequeña Venecia” de Qatar 🇶🇦 😍
#Qatar2022 https://t.co/dqMQ7fVWrH</t>
  </si>
  <si>
    <t>Falta cada vez menos... 🏆🤩
#Qatar2022 https://t.co/X6In1KNmTD</t>
  </si>
  <si>
    <t>¿Cómo finalizarán las posiciones del 𝐆𝐑𝐔𝐏𝐎 𝐂 de #Qatar2022? 👀
Comenta 👇 https://t.co/PFQtLy4RJh</t>
  </si>
  <si>
    <t>Inauguración de la nueva sede de la Misión del Estado de Qatar ante UE y (OTAN) en Bruselas
#MOFAQatar https://t.co/peRV6ARieA</t>
  </si>
  <si>
    <t>La intervención del Excelentísimo Embajador Abdalla Al-Hamar durante el evento que la embajada coorganizó con la Agencia EFE bajo el título “Sport Business Days” y la entrega de souvenirs a los participantes del evento
https://t.co/4XxchJe9Ug https://t.co/aP6YmHhD48</t>
  </si>
  <si>
    <t>مداخلة سعادة السفير عبدالله بن ابراهيم الحمر خلال ورشة العمل التي شاركت السفارة في تنظيمها مع وكالة الانباء الاسبانية ايفي تحت عنوان "منتدى الاعمال الرياضي" وتسليم سعادته هدايا تذكارية للمشاركين في الورشة.
https://t.co/4XxchIW0G8 https://t.co/JLJbmJMtmu</t>
  </si>
  <si>
    <t>En declaraciones a “QNA”Portavoz oficial del Ministerio de Relaciones Exteriores @majedalansari: El discurso del Emir ante el Consejo de la Shura es un plan de acción integrado para continuar la marcha de los logros
 #discurso_SuAlteza_Consejo_de_Shura
#Shura_Council
#MOFAQatar https://t.co/vR7fv1IuSf</t>
  </si>
  <si>
    <t>Here are places you can explore in and around Souq Waqif 🇶🇦
👉 Find unique jewellery at the Gold Souq 💎
👉 Learn about pearling at Pahlwan Saad Ismail Al Jassim's Pearl Shop🦪
👉 Buy local spices and aromatics 🌶️
👉 Shop in the alleyways of the Souq 🫰
#VisitQatar #Qatar #Doha https://t.co/v4xXukaCcV</t>
  </si>
  <si>
    <t>✨ Parques y más parques en Qatar ✨
#Qatar2022 https://t.co/bU1QuK7QeF</t>
  </si>
  <si>
    <t>6 palabras que deberías saber antes de viajar a #Qatar2022 🗣️ https://t.co/gOXGoJotWL</t>
  </si>
  <si>
    <t>https://t.co/qpgMTVCWsI</t>
  </si>
  <si>
    <t>https://t.co/kLHUkug88r</t>
  </si>
  <si>
    <t>La embajada participó en el evento organizado por la Agencia EFE para presentar Qatar 2022 bajo el título “Sports Business Forum”,donde SE el Embajador Abdalla Al Hamar participó con una intervención en la que arrojó luz sobre los preparativos para albergar la Copa del Mundo https://t.co/hlmPqDYaou</t>
  </si>
  <si>
    <t>https://t.co/lHrynd2r12</t>
  </si>
  <si>
    <t>https://t.co/JLVxmJmHJt</t>
  </si>
  <si>
    <t>شاركت السفارة في تنظيم ورشة العمل التي اقامتها وكالة الانباء الاسبانية ايفي لتقديم مونديال قطر فيفا ٢٠٢٢ تحت عنوان "منتدى الاعمال الرياضي" حيث شارك سعادة السفير عبدالله بن ابراهيم الحمر بمداخلة سلط فيها الضوء على استعدادات دولة قطر لاستضافة المونديال. https://t.co/qIBMbCDRf7</t>
  </si>
  <si>
    <t>EFEdeportes</t>
  </si>
  <si>
    <t>🇶🇦 Abdulla bin Ibrahim Abdulrahman Sultan Al Hamar, embajador de Qatar en España ⤵️
🗣️ "Queremos mostrar al mundo lo que somos capaces de hacer"
🌐 Todas las claves y el mejor análisis de #Qatar2022 en el foro #EFESportBusinessDays.
#EFEsbdQatar https://t.co/x0zvQpSnlx</t>
  </si>
  <si>
    <t>Have you been to Fuwairit Beach? 🏝️
It is a pristine natural treasure, with powdery white sand and crystal clear blue waters 😍
#VisitQatar #Qatar #Doha https://t.co/k9uiHZbQJk</t>
  </si>
  <si>
    <t>❗ Aviso importante sobre el servicio 𝗙𝗮𝗺𝗶𝗹𝘆 &amp;amp; 𝗙𝗿𝗶𝗲𝗻𝗱𝘀 ❗
#Qatar2022 https://t.co/6PwVncZn5N</t>
  </si>
  <si>
    <t>¡Buenas tardes desde Lusail! 👋
¿Ansiosos por el Mundial? 🤩 https://t.co/ckkEXCEpiW</t>
  </si>
  <si>
    <t>Msheireb, uno de los barrios más atractivos de Doha... 🚋🤩 
#Qatar2022 https://t.co/EMuUC5PDI9</t>
  </si>
  <si>
    <t>⏰ ¡No olvides de registrar tu Hayya Card para viajar a #Qatar2022! ⏰
🪪 Será tu permiso para ingresar al país, a los partidos y para viajar gratis en el transporte público. https://t.co/9NP9kSwCMU</t>
  </si>
  <si>
    <t>Qatar y las Naciones Unidas
#MOFAQatar
#UNDay https://t.co/fqNi0zcWMR</t>
  </si>
  <si>
    <t>En discurso de Su Alteza ante el Consejo de la Shura
Su Alteza El Emir @TamimBinHamad: Qatar es un socio confiable en el apoyo  a la paz y la estabilidad
 #discurso_SuAlteza_Consejo_de_Shura
#Shura_Council
#MOFAQatar https://t.co/XOYIZva9Pz</t>
  </si>
  <si>
    <t>Did you know?
The 'Fanar Centre' is called the Sheikh Abdulla Bin Zaid Al Mahmoud Islamic Cultural Centre - in honour of the famous Qatari Islamic scholar and founder of Qatar’s judicial system ✨
📸 by Felgra Photography 
#VisitQatar #Qatar #Doha https://t.co/K0I98rcSNH</t>
  </si>
  <si>
    <t>¿Cómo finalizarán las posiciones del 𝐆𝐑𝐔𝐏𝐎 𝐁 de #Qatar2022? 👀
Comenta 👇 https://t.co/Po66ANWLXb</t>
  </si>
  <si>
    <t>En septiembre pasado, Qatar lanzó el evento "Scoring for the goals" para el desarrollo sostenible a través de @QatarAtUN, en marco de sus preparativos para albergar una versión sostenible de la Copa Mundial de la FIFA Qatar 2022.
#MOFAQatar
#UNDay https://t.co/yMBZ2AS8oH</t>
  </si>
  <si>
    <t>El Estado de Qatar y el Reino de España firmaron un acuerdo para el traslado de personas condenadas.El acto tuvo lugar en la sede del Min. Justicia,donde SE el Embajador Abdalla Al Hamar firmó el acuerdo por parte de Qatar, y SE Pilar Job, Ministra de Justicia,por parte de España https://t.co/RNZwXQQFYy</t>
  </si>
  <si>
    <t>وقعت دولة قطر ومملكة اسبانيا اتفاقية نقل المحكوم عليهم بعقوبة سالبة للحرية. 
جرت مراسم التوقيع بمقر وزارة العدل الاسبانية حيث قام سعادة السفير عبدالله بن ابراهيم الحمر بالتوقيع على الاتفاقية نيابة عن الجانب القطري، وسعادة بيلار جوب، وزيرة العدل، نيابة عن الجانب الاسباني. https://t.co/quqXnrhJqH</t>
  </si>
  <si>
    <t>QatarEmb_Athens</t>
  </si>
  <si>
    <t>استاد 974 - Stadium 974 https://t.co/8kwbl5eCYd</t>
  </si>
  <si>
    <t>https://t.co/7igLKqSpsK</t>
  </si>
  <si>
    <t>SE el Embajador Abdalla Al Hamar participó junto a sus Excelencias los Embajadores de los países árabes acreditados ante el Reino de España en la reunión convocada por el Ministro de Asuntos Exteriores del Reino de España, que se celebró en la sede de la Casa Árabe en Córdoba. https://t.co/DOCEuV1DNw</t>
  </si>
  <si>
    <t>https://t.co/zUoQTpyw9u</t>
  </si>
  <si>
    <t>شارك سعادة السفير عبدالله بن ابراهيم الحمر مع اصحاب السعادة سفراء الدول العربية المعتمدين لدى مملكة اسبانيا في الاجتماع الذي دعا له سعادة وزير الشؤون الخارجية والاتحاد الاوروبي والتعاون بمملكة اسبانيا، والذي عقد في مقر "البيت العربي" بمدينة قرطبة الاسبانية. https://t.co/H3t4U5tzUQ</t>
  </si>
  <si>
    <t>¡FALTAN SOLO 30 DÍAS! 😱
#Qatar2022 está cada vez más cerca... 🏆 https://t.co/jrMKR8UCMP</t>
  </si>
  <si>
    <t>¿Cómo finalizarán las posiciones del 𝐆𝐑𝐔𝐏𝐎 𝐀 de #Qatar2022? 👀
Comenta 👇 https://t.co/aZIeOCQj3p</t>
  </si>
  <si>
    <t>¡5️⃣ actividades para hacer en Qatar! 🇶🇦
#Qatar2022 https://t.co/GmoSXzCPJu</t>
  </si>
  <si>
    <t>¡FALTA SOLO 𝗨𝗡 𝗠𝗘𝗦 PARA EL MUNDIAL! 🏆
#Qatar2022 🔜 https://t.co/vk4ec47Wuu</t>
  </si>
  <si>
    <t>¿Vas a #Qatar2022 pero te hospedas en otro país como Emiratos Árabes? ✈️ Este es el paso a paso para que reigistres tu Hayya Card 📲 https://t.co/AJoZerkNPS</t>
  </si>
  <si>
    <t>¿Qué selección será la revelación de #Qatar2022? 👀</t>
  </si>
  <si>
    <t>Qatar acoge con beneplácito que Australia da marcha atrás el reconocimiento de Jerusalén como capital de Israel
#MOFA_QATAR https://t.co/mh10OggvaW</t>
  </si>
  <si>
    <t>Did you know?
Souq Waqif offers an array of Qatar's best cultural souvenirs ✨🇶🇦
It's the perfect spot for budget-finds and street shopping 🛍️ 
To know more about Souq Waqif's hidden gems, check out https://t.co/aRLphOHoUb 😁📲
#VisitQatar #Qatar #Doha https://t.co/DXRBYJE1Le</t>
  </si>
  <si>
    <t>32 selecciones. 
32 días para #Qatar2022. 
𝗕𝗜𝗘𝗡𝗩𝗘𝗡𝗜𝗗𝗢𝗦. https://t.co/lEhhEusOdm</t>
  </si>
  <si>
    <t>¿Todavía no tienes tu lugar para #Qatar2022? 🏡👀
📲 Reserva ahora mismo en la agencia oficial de alojamiento en https://t.co/gCCeYizw0J https://t.co/yinYXeblxC</t>
  </si>
  <si>
    <t>¡Fiesta en Buenos Aires! 🇦🇷 Los hinchas argentinos se reunieron con la organización de #Qatar2022 en la previa de la Copa del Mundo. https://t.co/8D4i7xA6PF</t>
  </si>
  <si>
    <t>Solo te voy a decir una cosa: no te pierdas el desierto de Qatar 🤩
#Qatar2022 https://t.co/jjW6Fakhdv</t>
  </si>
  <si>
    <t>Por iniciativa de Su Excelencia el Embajador Abdalla Al-Hamar, y en coordinación con el @jpedrerol , presentador del programa, los estadios del Mundial de Qatar 2022 se presentaron en el famoso programa deportivo @elchiringuitotv .
https://t.co/DMJLzGgPF8</t>
  </si>
  <si>
    <t>بمبادرة من سعادة السفير عبدالله بن ابراهيم الحمر، وبالتنسيق مع السيد جوزيب بيدريرول، مقدم البرنامج، تم عرض ملاعب مونديال قطر ٢٠٢٢ في البرنامج الرياضي الشهير التشيرينغيتو.
 https://t.co/DMJLzGgPF8</t>
  </si>
  <si>
    <t>¡El BALÓN DE ORO es para @Benzema! ⚽️🥇
El delantero de @equipedefrance y @realmadrid se quedó con el galardón más importante que entrega @francefootball. 
Y llega a #Qatar2022 con un altísimo nivel… 🔥 https://t.co/FMZAPsHyi2</t>
  </si>
  <si>
    <t>¡Así están decorando Doha para celebrar #Qatar2022! 🏆
📲 @Dohabibis https://t.co/V5deddQyQr</t>
  </si>
  <si>
    <t>🏆 A falta de un mes para #Qatar2022, la organización de la @FIFAWorldCup_es realiza una conferencia de prensa para compartir las últimas actualizaciones sobre el torneo. 
#NowIsAll https://t.co/TXHR5LCVOC</t>
  </si>
  <si>
    <t>También puedes seguir la conferencia de prensa de la organización de la Copa Mundial de la FIFA Qatar 2022 en nuestro canal de YouTube 👇
https://t.co/2Zw0QFyP2E https://t.co/y8CLWZe5eN</t>
  </si>
  <si>
    <t>اكتشف جزيرة اللؤلؤة، واحدة من أشهر المناطق الجذابة في #قطر ✨
تابعنا لمعرفة المزيد عن مناطق قطر الرائعة 🏢
خطط لرحلتك على: https://t.co/aRLphOHoUb 📲
📍 جزيرة اللؤلؤة
📞 8006222 https://t.co/mmeX6HqHNG</t>
  </si>
  <si>
    <t>Surf's up 🌊 Blue Skies ☁️ Good Vibes 😎
We are rolling back time with the opening of the #FuwairitKiteBeach Resort ⛵️
Qatar's new home for water-sports and venue for the #GKAKiteWorldTour in January 2023
#DiscoverQatar @VisitQatar @GKATour @moecc_qatar https://t.co/7ZXHISyAKE</t>
  </si>
  <si>
    <t>¿Quién se acordaba que @Laeeb2022 estuvo presente el histórico gol de Van Persie? 😂
#Qatar2022 https://t.co/xIttSMRbtF</t>
  </si>
  <si>
    <t>Dos mujeres que inspiran y comparten la pasión por el deporte. 
Hadeel Reyad 🤝 @morenabeltran10
#Qatar2022 https://t.co/cRQNIMGLiM</t>
  </si>
  <si>
    <t>Nueva política 𝟭+𝟯 sobre la Hayya Card 👇
#Qatar2022 https://t.co/fuIPFzf3vB</t>
  </si>
  <si>
    <t>Qatar condena enérgicamente el asalto de los colonos a la mezquita de Al-Aqsa
#MOFAQatar https://t.co/3k64iwkHlt</t>
  </si>
  <si>
    <t>🏟 Estos son los partidos que se jugarán en el Estadio Al Janoub.
¿En cuál te gustaría estar presente? 👀
#Qatar2022 https://t.co/eBmKTBaHYf</t>
  </si>
  <si>
    <t>https://t.co/RxEC6sZiCP</t>
  </si>
  <si>
    <t>Su Excelencia el Embajador Abdalla Al-Hamar participó en la recepción ofrecida por Su Majestad el Rey Felipe VI y su esposa la Reina Letizia en el Palacio Real de Madrid, con motivo de la Fiesta Nacional del Reino de España. https://t.co/7v0dJzggQD</t>
  </si>
  <si>
    <t>https://t.co/o98pttFTBX</t>
  </si>
  <si>
    <t>شارك سعادة السفير عبدالله بن ابراهيم الحمر في حفل الاستقبال الذي اقامه جلالة الملك فيليب السادس وعقيلته الملكة ليتيثيا في القصر الملكي بمدريد وذلك بمناسبة اليوم الوطني لمملكة اسبانيا. https://t.co/qO4lheU5IU</t>
  </si>
  <si>
    <t>Take a stroll along the capital’s fabled 7km crescent - the Doha Corniche ✨
From @Sheratondoha at the northern end, to @MIAQatar at the south, you can discover so much in between this palm-fringed boulevard 🌴
📸 Saadi Qtr
#VisitQatar #Qatar #Doha https://t.co/8WGr97YBUQ</t>
  </si>
  <si>
    <t>Only 40 DAYS TO GO for the World's Biggest Sporting Event - @FIFAWorldCup 🤩
Qatar will be hosting the FIFA World Cup Qatar 2022™️ for the first time in the Middle East 🇶🇦⚽🏟
What's your favourite stadium? Comment below! 👇💬😁
#VisitQatar #Qatar #Doha https://t.co/C8Mo7Nfj3U</t>
  </si>
  <si>
    <t>Un paseo por el Museo Nacional de Qatar en Doha 🤩
#Qatar2022 https://t.co/1GfLaf2MPj</t>
  </si>
  <si>
    <t>¿Todavía no tienes tu lugar para #Qatar2022? 🏡👀
📲 Reserva ahora la agencia oficial de alojamiento en https://t.co/gCCeYiyYbb https://t.co/VSehVPibcR</t>
  </si>
  <si>
    <t>Del 1️⃣ al 🔟, ¿cuánto te gustaría conocer los manglares de Al Dhakira? 🤩  https://t.co/ZFSR75NJ3u</t>
  </si>
  <si>
    <t>👇 Los datos más importantes del Estadio Lusail, el escenario de la final de #Qatar2022 🏟️ https://t.co/D4YtA9RbDG</t>
  </si>
  <si>
    <t>🚨 ¡No olvides de registrar tu Hayya Card para viajar a #Qatar2022! 
🔸 Será tu permiso para ingresar al país, a los partidos y para viajar gratis en el transporte público. https://t.co/yoOgbTBtkf</t>
  </si>
  <si>
    <t>MBA_AlThani_</t>
  </si>
  <si>
    <t>Felicito al Reino de #España por el día de la Hispanidad, deseándole futura prosperidad y progreso. Esperamos continuar reforzando nuestra distinguida relación para servir a los intereses de nuestros pueblos.</t>
  </si>
  <si>
    <t>https://t.co/ut6b4gcRba</t>
  </si>
  <si>
    <t>https://t.co/GyukbLDAFg</t>
  </si>
  <si>
    <t>When exploring Qatar, you must visit these art galleries to find everything, from local paintings to international shows ✨ 
To find more hidden gems in Qatar's art scene, please check out https://t.co/aRLphOHoUb 📲
#VisitQatar #Doha #Qatar https://t.co/ShP3QFKzED</t>
  </si>
  <si>
    <t>📲 ¿Cómo obtener la Hayya Card obligatoria para viajar a #Qatar2022? 
@Dohabibis https://t.co/kEe2RgMNzC</t>
  </si>
  <si>
    <t>🔸 Cambios en el sistema de registro de la Hayya Card: ahora podrás aprobarla con reservas de alojamiento hechas en otros lugares. 
#Qatar2022 https://t.co/CZ4ooLpbVX</t>
  </si>
  <si>
    <t>https://t.co/4IxP5Lr8E9</t>
  </si>
  <si>
    <t>SE el Embajador Abdalla Al-Hamar visitó @atresmediacom Se reunió con @jpedrerol , presentador de uno de los programas deportivos más famosos y exitosos, @elchiringuitotv 
Durante el encuentro se discutió el Mundial de Qatar 2022 y vías de cooperación en este y otras áreas afines https://t.co/uHzI0G45D6</t>
  </si>
  <si>
    <t>https://t.co/R79BDqVYxR</t>
  </si>
  <si>
    <t>قام سعادة السفير عبدالله بن ابراهيم الحمر بزيارة الى مجموعة (أتريس ميديا) الاعلامية والتقى خلالها بـ جوزيب بيدريرول مقدم احد اشهر وانجح البرامج الرياضية (التشيرينغيتو) 
تم خلال اللقاء التطرق الى مونديال قطر ٢٠٢٢ وبحث سبل التعاون في هذا المجال والمجالات الاخرى ذات الصلة. https://t.co/TFKGE81u6F</t>
  </si>
  <si>
    <t>https://t.co/HYlJxvlHuY</t>
  </si>
  <si>
    <t>Por invitación de la directora general de la Casa Árabe, Su Excelencia el Embajador Abdalla Al Hamar participó en el acto organizado por la Casa Árabe bajo el título de ‘Fútbol para la Esperanza’ https://t.co/7jGHHx3eHc</t>
  </si>
  <si>
    <t>بدعوة من رئيسة البيت العربي بمدريد، شارك سعادة السفير عبدالله بن ابراهيم الحمر في الفعالية التي نظمها البيت العربي تحت عنوان "كرة القدم من اجل الامل" https://t.co/r4EATddxwz</t>
  </si>
  <si>
    <t>@MIAQatar is open for visitors! ✨
Designed by Pritzker Prize winning architect I.M. Pei, the Museum of Islamic Art includes exclusive pieces of Islamic heritage from three continents over a period of 1400 years 😲👏
#VisitQatar #Qatar #Doha https://t.co/JEd8aVJUhZ</t>
  </si>
  <si>
    <t>¿Qué prefieres? 👀
🌞 Doha de día
🌜 Doha de noche 
#Qatar2022 https://t.co/Ws6xUZj2RV</t>
  </si>
  <si>
    <t>Qatar condena enérgicamente el ataques contra una mezquita en Afganistán
#MOFAQatar https://t.co/cVOLKt7KVp</t>
  </si>
  <si>
    <t>#Qatar2022 https://t.co/ApbiA3Xv5k</t>
  </si>
  <si>
    <t>https://t.co/tD0tsHSM7j</t>
  </si>
  <si>
    <t>https://t.co/87wRqIar4e</t>
  </si>
  <si>
    <t>قام سعادة السفير عبدالله بن ابراهيم الحمر باستقبال بعثة المنتخب القطري الذي اختار مدينة ماربيا للتحضير لمشاركته في مونديال قطر2022. دولتان لهما تقاليد عريقة ، قطر وإسبانيا ، يجمعهما شغفهما بكرة القدم. https://t.co/1BU0JEMUvQ</t>
  </si>
  <si>
    <t>Si vas a viajar a #Qatar2022, es importante que ya registres tu Hayya Card 🪪
▪️ Será tu permiso para ingresar a Qatar. 
▪️ Debes llevarla para ir a los partidos.
▪️ Te permitirá usar gratis el transporte público. 
Visita https://t.co/tkkA9Drxyx o descarga la app. 📲 https://t.co/NO9GRVqWE9</t>
  </si>
  <si>
    <t>El Embajador de Qatar en España da la bienvenida a la selección nacional Qatari, que ha elegido Marbella (Málaga) para entrenarse para el Mundial de Fútbol 2022. Dos países de larga tradición, Qatar y España, unidos por la pasión por el fútbol . ¡Ya queda menos! https://t.co/nu4RSBW4Sr</t>
  </si>
  <si>
    <t>Education City Stadium - From design to completion - FIFA 2022 https://t.co/nKmA69bCBN</t>
  </si>
  <si>
    <t>Qatar's Amazing 8 Stadiums - #FIFA_2022 https://t.co/xEzcLr7koF</t>
  </si>
  <si>
    <t>Happy #WorldAnimalDay ✨
Today, we celebrate the special creatures that contribute to the diverse and indigenous wildlife. 
Radiant, powerful and vibrant in nature - the Arabian Oryx is the national animal of Qatar 😍
#VisitQatar #Doha #Qatar https://t.co/ttYhcoXVqI</t>
  </si>
  <si>
    <t>Una nueva canción de la Copa Mundial de la FIFA #Qatar2022 está llegando... 🔜
"Light The Sky", con @BalqeesFathi, Nora Fatehi, Manal, @RahmaRiad y @RedOne_Official ✨ https://t.co/w60g4ip5vq</t>
  </si>
  <si>
    <t>¡Un día en el entrenamiento de la Selección de Qatar! 🇶🇦⚽
📲 @Dohabibis https://t.co/OgEqRx1Feo</t>
  </si>
  <si>
    <t>⏰ ¡No olvides de registrar tu Hayya Card para viajar a #Qatar2022! ⏰
🪪 Será tu permiso para ingresar al país, a los partidos y para viajar gratis en el transporte público. https://t.co/lrBjRqSLDi</t>
  </si>
  <si>
    <t>¿Quién más se suma a hacer kitesurf en Qatar? 🏄‍♀️🙋 https://t.co/s2CVao5FRC</t>
  </si>
  <si>
    <t>Un viaje por el Estadio Ciudad de la Educación 🏟️🚁
Uno de los 8 escenarios de #Qatar2022. https://t.co/YcEELpB0nU</t>
  </si>
  <si>
    <t>Save the date! See one of the world’s biggest stars, Enrique Iglesias, performing live in Qatar on 21 October, courtesy of #QatarAirways and @VisitQatar. #QatarLive
Book your tickets now:
👉 https://t.co/VbUygPQG0t
👉 https://t.co/zJf6CgKx9G
👉 https://t.co/zoOeRHVY7H https://t.co/0NDmQQizOD</t>
  </si>
  <si>
    <t>Qatar acoge con beneplácito los progreso positivos en la demarcación de la frontera marítima libanesa
#MOFAQatar https://t.co/E88KGm1GhE</t>
  </si>
  <si>
    <t>¡No olvides de obtener tu Hayya Card para viajar a #Qatar2022! 🪪
Te sirve tanto la versión física como la digital. Visita https://t.co/tkkA9D9W9X o descarga la app. 📲 https://t.co/0XAMMBjh1f</t>
  </si>
  <si>
    <t>El Secretario General del Comité Supremo @HAlThawadi recibió un premio de reconocimiento especial de @LeadersBiz, que fue presentado por la leyenda del fútbol Xavi Hernández durante los Leaders Sports Awards de este año.
 #LSA2022 #SemanaDeLíderes https://t.co/9FDQcWqW9p</t>
  </si>
  <si>
    <t>During the summit, Al Suwaidi was joined by the Qatari Ambassador to Spain, H.E. Abdulla Al Hamar. https://t.co/bXSWgRHzK2</t>
  </si>
  <si>
    <t>50 DAYS TO GO! 🤩
We are beyond excited for the FIFA World Cup Qatar 2022™️ ⚽🏟
Qatar will be hosting the world's biggest sporting event for the first time in the Middle East 🇶🇦
A world of excitement awaits - see you there! 😁 https://t.co/e52rlb07yu</t>
  </si>
  <si>
    <t>Travelling here for the @fifaworldcup? 😏⚽🏟️
Here’s your bucket list for unique events &amp;amp; activities👇
👉 World’s tallest indoor roller coaster at #DohaQuest 🎢 
👉 The world’s biggest sporting event - FIFA World Cup Qatar 2022™️ ⚽ https://t.co/rmrXxnFyzc</t>
  </si>
  <si>
    <t>Si vas a viajar a #Qatar2022, es importante que ya registres tu Hayya Card 🪪
Visita https://t.co/tkkA9Ds5o5 o descarga la app. 📲 https://t.co/HICUMVrFQK</t>
  </si>
  <si>
    <t>¡Hola, @Laeeb2022! 👋🥰 https://t.co/ugCPFsGj8a</t>
  </si>
  <si>
    <t>📍 El Museo Nacional de Qatar, una obra de arte impactante por dentro como por fuera. 
Diseñado por Ateliers Jean Nouvel, representa la herencia de Qatar y su futuro 🇶🇦 https://t.co/wzkWARioEq</t>
  </si>
  <si>
    <t>El Museo de Arte Islámico, en colaboración con @MofaQatar_EN presentarán “Safar” una exposición que destaca las experiencias de los refugiados afganos en Qatar después de su evacuación en 2021.
Desde el 6 de octubre de 2022 al 31 de diciembre de 2022 en el Parque. https://t.co/U9PdnSeAIX</t>
  </si>
  <si>
    <t>fersch_4</t>
  </si>
  <si>
    <t>Faltan 50 dias para Qatar @FOXSportsMX https://t.co/0ulWFMHV25</t>
  </si>
  <si>
    <t>https://t.co/VaV4tRA7w8</t>
  </si>
  <si>
    <t>https://t.co/uqBZGlE0JG</t>
  </si>
  <si>
    <t>SE Abdalla Al-Hamar participó en las reuniones del @WFSummit y los actos que lo acompañaron, en Sevilla
Los eventos contaron con el patrocinio y participación del Comité Supremo,encargado de organizar Qatar 2022. Se exhibieron maquetas de los estadios que albergarán los partidos https://t.co/ttZ1t92poj</t>
  </si>
  <si>
    <t>https://t.co/id3iXdybwf</t>
  </si>
  <si>
    <t>https://t.co/FpuhxIvumE</t>
  </si>
  <si>
    <t>https://t.co/yuva7XnL3g</t>
  </si>
  <si>
    <t>شارك سعادة السفير عبدالله بن ابراهيم الحمر في اجتماعات (قمة كرة القدم) والفعاليات المصاحبة والتي اقيمت بمدينة اشبيلية. 
شهدت الفعاليات رعاية ومشاركة اللجنة العليا للمشاريع والارث والمسؤولة عن تنظيم مونديال قطر ٢٠٢٢، كما تم عرض مجسمات الملاعب التي ستستضيف مباريات البطولة. https://t.co/WPDGQMAixG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</si>
</sst>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3"/>
  <sheetViews>
    <sheetView tabSelected="1" topLeftCell="A273" workbookViewId="0">
      <selection activeCell="A294" sqref="A294:XFD3142"/>
    </sheetView>
  </sheetViews>
  <sheetFormatPr baseColWidth="10" defaultColWidth="8.83203125" defaultRowHeight="15" x14ac:dyDescent="0.2"/>
  <cols>
    <col min="3" max="3" width="34.3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HYPERLINK("http://www.twitter.com/banuakdenizli/status/1605508032107986944", "1605508032107986944")</f>
        <v>1605508032107986944</v>
      </c>
      <c r="B2" t="s">
        <v>15</v>
      </c>
      <c r="C2" s="2">
        <v>44916.429606481477</v>
      </c>
      <c r="D2">
        <v>0</v>
      </c>
      <c r="E2">
        <v>4</v>
      </c>
      <c r="F2" t="s">
        <v>20</v>
      </c>
      <c r="G2" t="s">
        <v>21</v>
      </c>
      <c r="H2" t="str">
        <f>HYPERLINK("https://video.twimg.com/amplify_video/1605210246343200777/vid/1920x1080/sIlUifjFpkazT3jR.mp4?tag=16", "https://video.twimg.com/amplify_video/1605210246343200777/vid/1920x1080/sIlUifjFpkazT3jR.mp4?tag=16")</f>
        <v>https://video.twimg.com/amplify_video/1605210246343200777/vid/1920x1080/sIlUifjFpkazT3jR.mp4?tag=16</v>
      </c>
      <c r="L2">
        <v>0</v>
      </c>
      <c r="M2">
        <v>0</v>
      </c>
      <c r="N2">
        <v>1</v>
      </c>
      <c r="O2">
        <v>0</v>
      </c>
    </row>
    <row r="3" spans="1:15" x14ac:dyDescent="0.2">
      <c r="A3" s="1" t="str">
        <f>HYPERLINK("http://www.twitter.com/banuakdenizli/status/1604893698617380864", "1604893698617380864")</f>
        <v>1604893698617380864</v>
      </c>
      <c r="B3" t="s">
        <v>15</v>
      </c>
      <c r="C3" s="2">
        <v>44914.734363425923</v>
      </c>
      <c r="D3">
        <v>3</v>
      </c>
      <c r="E3">
        <v>0</v>
      </c>
      <c r="G3" t="s">
        <v>22</v>
      </c>
      <c r="H3" t="str">
        <f>HYPERLINK("http://pbs.twimg.com/media/FkW6T9_WAAE-Fgy.jpg", "http://pbs.twimg.com/media/FkW6T9_WAAE-Fgy.jpg")</f>
        <v>http://pbs.twimg.com/media/FkW6T9_WAAE-Fgy.jpg</v>
      </c>
      <c r="I3" t="str">
        <f>HYPERLINK("http://pbs.twimg.com/media/FkW6T99WQAEOyNs.jpg", "http://pbs.twimg.com/media/FkW6T99WQAEOyNs.jpg")</f>
        <v>http://pbs.twimg.com/media/FkW6T99WQAEOyNs.jpg</v>
      </c>
      <c r="J3" t="str">
        <f>HYPERLINK("http://pbs.twimg.com/media/FkW6T93XgAAs9v6.jpg", "http://pbs.twimg.com/media/FkW6T93XgAAs9v6.jpg")</f>
        <v>http://pbs.twimg.com/media/FkW6T93XgAAs9v6.jpg</v>
      </c>
      <c r="L3">
        <v>0</v>
      </c>
      <c r="M3">
        <v>0</v>
      </c>
      <c r="N3">
        <v>1</v>
      </c>
      <c r="O3">
        <v>0</v>
      </c>
    </row>
    <row r="4" spans="1:15" x14ac:dyDescent="0.2">
      <c r="A4" s="1" t="str">
        <f>HYPERLINK("http://www.twitter.com/banuakdenizli/status/1604893641931194368", "1604893641931194368")</f>
        <v>1604893641931194368</v>
      </c>
      <c r="B4" t="s">
        <v>15</v>
      </c>
      <c r="C4" s="2">
        <v>44914.734212962961</v>
      </c>
      <c r="D4">
        <v>4</v>
      </c>
      <c r="E4">
        <v>1</v>
      </c>
      <c r="G4" t="s">
        <v>23</v>
      </c>
      <c r="H4" t="str">
        <f>HYPERLINK("http://pbs.twimg.com/media/FkW6Qq7WAAAxJHQ.jpg", "http://pbs.twimg.com/media/FkW6Qq7WAAAxJHQ.jpg")</f>
        <v>http://pbs.twimg.com/media/FkW6Qq7WAAAxJHQ.jpg</v>
      </c>
      <c r="I4" t="str">
        <f>HYPERLINK("http://pbs.twimg.com/media/FkW6Qq9XEAMrCe2.jpg", "http://pbs.twimg.com/media/FkW6Qq9XEAMrCe2.jpg")</f>
        <v>http://pbs.twimg.com/media/FkW6Qq9XEAMrCe2.jpg</v>
      </c>
      <c r="J4" t="str">
        <f>HYPERLINK("http://pbs.twimg.com/media/FkW6Qq8XwAA6dhu.jpg", "http://pbs.twimg.com/media/FkW6Qq8XwAA6dhu.jpg")</f>
        <v>http://pbs.twimg.com/media/FkW6Qq8XwAA6dhu.jpg</v>
      </c>
      <c r="L4">
        <v>0</v>
      </c>
      <c r="M4">
        <v>0</v>
      </c>
      <c r="N4">
        <v>1</v>
      </c>
      <c r="O4">
        <v>0</v>
      </c>
    </row>
    <row r="5" spans="1:15" x14ac:dyDescent="0.2">
      <c r="A5" s="1" t="str">
        <f>HYPERLINK("http://www.twitter.com/banuakdenizli/status/1604782138720542722", "1604782138720542722")</f>
        <v>1604782138720542722</v>
      </c>
      <c r="B5" t="s">
        <v>15</v>
      </c>
      <c r="C5" s="2">
        <v>44914.426516203697</v>
      </c>
      <c r="D5">
        <v>8</v>
      </c>
      <c r="E5">
        <v>0</v>
      </c>
      <c r="G5" t="s">
        <v>24</v>
      </c>
      <c r="H5" t="str">
        <f>HYPERLINK("https://video.twimg.com/ext_tw_video/1604782099743051778/pu/vid/480x848/5zkcTHezqFSskkoZ.mp4?tag=12", "https://video.twimg.com/ext_tw_video/1604782099743051778/pu/vid/480x848/5zkcTHezqFSskkoZ.mp4?tag=12")</f>
        <v>https://video.twimg.com/ext_tw_video/1604782099743051778/pu/vid/480x848/5zkcTHezqFSskkoZ.mp4?tag=12</v>
      </c>
      <c r="L5">
        <v>0</v>
      </c>
      <c r="M5">
        <v>0</v>
      </c>
      <c r="N5">
        <v>1</v>
      </c>
      <c r="O5">
        <v>0</v>
      </c>
    </row>
    <row r="6" spans="1:15" x14ac:dyDescent="0.2">
      <c r="A6" s="1" t="str">
        <f>HYPERLINK("http://www.twitter.com/banuakdenizli/status/1604782065874001920", "1604782065874001920")</f>
        <v>1604782065874001920</v>
      </c>
      <c r="B6" t="s">
        <v>15</v>
      </c>
      <c r="C6" s="2">
        <v>44914.426319444443</v>
      </c>
      <c r="D6">
        <v>1</v>
      </c>
      <c r="E6">
        <v>0</v>
      </c>
      <c r="G6" t="s">
        <v>25</v>
      </c>
      <c r="H6" t="str">
        <f>HYPERLINK("https://video.twimg.com/ext_tw_video/1604782028343459841/pu/vid/480x848/CBbyQ-Erf-Ael_1J.mp4?tag=12", "https://video.twimg.com/ext_tw_video/1604782028343459841/pu/vid/480x848/CBbyQ-Erf-Ael_1J.mp4?tag=12")</f>
        <v>https://video.twimg.com/ext_tw_video/1604782028343459841/pu/vid/480x848/CBbyQ-Erf-Ael_1J.mp4?tag=12</v>
      </c>
      <c r="L6">
        <v>0</v>
      </c>
      <c r="M6">
        <v>0</v>
      </c>
      <c r="N6">
        <v>1</v>
      </c>
      <c r="O6">
        <v>0</v>
      </c>
    </row>
    <row r="7" spans="1:15" x14ac:dyDescent="0.2">
      <c r="A7" s="1" t="str">
        <f>HYPERLINK("http://www.twitter.com/banuakdenizli/status/1604414398906466305", "1604414398906466305")</f>
        <v>1604414398906466305</v>
      </c>
      <c r="B7" t="s">
        <v>15</v>
      </c>
      <c r="C7" s="2">
        <v>44913.411747685182</v>
      </c>
      <c r="D7">
        <v>0</v>
      </c>
      <c r="E7">
        <v>5</v>
      </c>
      <c r="F7" t="s">
        <v>18</v>
      </c>
      <c r="G7" t="s">
        <v>26</v>
      </c>
      <c r="H7" t="str">
        <f>HYPERLINK("http://pbs.twimg.com/media/FkPimUrWYAI1mkv.jpg", "http://pbs.twimg.com/media/FkPimUrWYAI1mkv.jpg")</f>
        <v>http://pbs.twimg.com/media/FkPimUrWYAI1mkv.jpg</v>
      </c>
      <c r="L7">
        <v>0</v>
      </c>
      <c r="M7">
        <v>0</v>
      </c>
      <c r="N7">
        <v>1</v>
      </c>
      <c r="O7">
        <v>0</v>
      </c>
    </row>
    <row r="8" spans="1:15" x14ac:dyDescent="0.2">
      <c r="A8" s="1" t="str">
        <f>HYPERLINK("http://www.twitter.com/banuakdenizli/status/1604394048453677056", "1604394048453677056")</f>
        <v>1604394048453677056</v>
      </c>
      <c r="B8" t="s">
        <v>15</v>
      </c>
      <c r="C8" s="2">
        <v>44913.35560185185</v>
      </c>
      <c r="D8">
        <v>0</v>
      </c>
      <c r="E8">
        <v>1</v>
      </c>
      <c r="F8" t="s">
        <v>27</v>
      </c>
      <c r="G8" t="s">
        <v>28</v>
      </c>
      <c r="H8" t="str">
        <f>HYPERLINK("https://video.twimg.com/amplify_video/1604238786023522304/vid/1280x720/lW1pgI88ihFMf-vR.mp4?tag=16", "https://video.twimg.com/amplify_video/1604238786023522304/vid/1280x720/lW1pgI88ihFMf-vR.mp4?tag=16")</f>
        <v>https://video.twimg.com/amplify_video/1604238786023522304/vid/1280x720/lW1pgI88ihFMf-vR.mp4?tag=16</v>
      </c>
      <c r="L8">
        <v>0</v>
      </c>
      <c r="M8">
        <v>0</v>
      </c>
      <c r="N8">
        <v>1</v>
      </c>
      <c r="O8">
        <v>0</v>
      </c>
    </row>
    <row r="9" spans="1:15" x14ac:dyDescent="0.2">
      <c r="A9" s="1" t="str">
        <f>HYPERLINK("http://www.twitter.com/banuakdenizli/status/1604179881419497473", "1604179881419497473")</f>
        <v>1604179881419497473</v>
      </c>
      <c r="B9" t="s">
        <v>15</v>
      </c>
      <c r="C9" s="2">
        <v>44912.764606481483</v>
      </c>
      <c r="D9">
        <v>3</v>
      </c>
      <c r="E9">
        <v>0</v>
      </c>
      <c r="G9" t="s">
        <v>29</v>
      </c>
      <c r="H9" t="str">
        <f>HYPERLINK("https://video.twimg.com/ext_tw_video/1604179557246029824/pu/vid/1280x720/XGpfuOKCRXWSTNGv.mp4?tag=12", "https://video.twimg.com/ext_tw_video/1604179557246029824/pu/vid/1280x720/XGpfuOKCRXWSTNGv.mp4?tag=12")</f>
        <v>https://video.twimg.com/ext_tw_video/1604179557246029824/pu/vid/1280x720/XGpfuOKCRXWSTNGv.mp4?tag=12</v>
      </c>
      <c r="L9">
        <v>0</v>
      </c>
      <c r="M9">
        <v>0</v>
      </c>
      <c r="N9">
        <v>1</v>
      </c>
      <c r="O9">
        <v>0</v>
      </c>
    </row>
    <row r="10" spans="1:15" x14ac:dyDescent="0.2">
      <c r="A10" s="1" t="str">
        <f>HYPERLINK("http://www.twitter.com/banuakdenizli/status/1604178146533642241", "1604178146533642241")</f>
        <v>1604178146533642241</v>
      </c>
      <c r="B10" t="s">
        <v>15</v>
      </c>
      <c r="C10" s="2">
        <v>44912.759814814817</v>
      </c>
      <c r="D10">
        <v>1</v>
      </c>
      <c r="E10">
        <v>0</v>
      </c>
      <c r="G10" t="s">
        <v>30</v>
      </c>
      <c r="H10" t="str">
        <f>HYPERLINK("http://pbs.twimg.com/media/FkMvhWOX0AETko9.jpg", "http://pbs.twimg.com/media/FkMvhWOX0AETko9.jpg")</f>
        <v>http://pbs.twimg.com/media/FkMvhWOX0AETko9.jpg</v>
      </c>
      <c r="I10" t="str">
        <f>HYPERLINK("http://pbs.twimg.com/media/FkMvhWGWAAEn5Fp.jpg", "http://pbs.twimg.com/media/FkMvhWGWAAEn5Fp.jpg")</f>
        <v>http://pbs.twimg.com/media/FkMvhWGWAAEn5Fp.jpg</v>
      </c>
      <c r="J10" t="str">
        <f>HYPERLINK("http://pbs.twimg.com/media/FkMvhWPWQAEQo-b.jpg", "http://pbs.twimg.com/media/FkMvhWPWQAEQo-b.jpg")</f>
        <v>http://pbs.twimg.com/media/FkMvhWPWQAEQo-b.jpg</v>
      </c>
      <c r="L10">
        <v>0</v>
      </c>
      <c r="M10">
        <v>0</v>
      </c>
      <c r="N10">
        <v>1</v>
      </c>
      <c r="O10">
        <v>0</v>
      </c>
    </row>
    <row r="11" spans="1:15" x14ac:dyDescent="0.2">
      <c r="A11" s="1" t="str">
        <f>HYPERLINK("http://www.twitter.com/banuakdenizli/status/1604178137482420230", "1604178137482420230")</f>
        <v>1604178137482420230</v>
      </c>
      <c r="B11" t="s">
        <v>15</v>
      </c>
      <c r="C11" s="2">
        <v>44912.759791666656</v>
      </c>
      <c r="D11">
        <v>1</v>
      </c>
      <c r="E11">
        <v>0</v>
      </c>
      <c r="G11" t="s">
        <v>31</v>
      </c>
      <c r="H11" t="str">
        <f>HYPERLINK("http://pbs.twimg.com/media/FkMvg2vX0AEFq__.jpg", "http://pbs.twimg.com/media/FkMvg2vX0AEFq__.jpg")</f>
        <v>http://pbs.twimg.com/media/FkMvg2vX0AEFq__.jpg</v>
      </c>
      <c r="I11" t="str">
        <f>HYPERLINK("http://pbs.twimg.com/media/FkMvg2xXoAEOwMK.jpg", "http://pbs.twimg.com/media/FkMvg2xXoAEOwMK.jpg")</f>
        <v>http://pbs.twimg.com/media/FkMvg2xXoAEOwMK.jpg</v>
      </c>
      <c r="J11" t="str">
        <f>HYPERLINK("http://pbs.twimg.com/media/FkMvg2pXwAMPtxs.jpg", "http://pbs.twimg.com/media/FkMvg2pXwAMPtxs.jpg")</f>
        <v>http://pbs.twimg.com/media/FkMvg2pXwAMPtxs.jpg</v>
      </c>
      <c r="K11" t="str">
        <f>HYPERLINK("http://pbs.twimg.com/media/FkMvg2qWYAEPU6n.jpg", "http://pbs.twimg.com/media/FkMvg2qWYAEPU6n.jpg")</f>
        <v>http://pbs.twimg.com/media/FkMvg2qWYAEPU6n.jpg</v>
      </c>
      <c r="L11">
        <v>0</v>
      </c>
      <c r="M11">
        <v>0</v>
      </c>
      <c r="N11">
        <v>1</v>
      </c>
      <c r="O11">
        <v>0</v>
      </c>
    </row>
    <row r="12" spans="1:15" x14ac:dyDescent="0.2">
      <c r="A12" s="1" t="str">
        <f>HYPERLINK("http://www.twitter.com/banuakdenizli/status/1604178130075353089", "1604178130075353089")</f>
        <v>1604178130075353089</v>
      </c>
      <c r="B12" t="s">
        <v>15</v>
      </c>
      <c r="C12" s="2">
        <v>44912.759780092587</v>
      </c>
      <c r="D12">
        <v>6</v>
      </c>
      <c r="E12">
        <v>1</v>
      </c>
      <c r="G12" t="s">
        <v>32</v>
      </c>
      <c r="H12" t="str">
        <f>HYPERLINK("http://pbs.twimg.com/media/FkMvgYdXEAIZwci.jpg", "http://pbs.twimg.com/media/FkMvgYdXEAIZwci.jpg")</f>
        <v>http://pbs.twimg.com/media/FkMvgYdXEAIZwci.jpg</v>
      </c>
      <c r="I12" t="str">
        <f>HYPERLINK("http://pbs.twimg.com/media/FkMvgYWX0AMn6Se.jpg", "http://pbs.twimg.com/media/FkMvgYWX0AMn6Se.jpg")</f>
        <v>http://pbs.twimg.com/media/FkMvgYWX0AMn6Se.jpg</v>
      </c>
      <c r="J12" t="str">
        <f>HYPERLINK("http://pbs.twimg.com/media/FkMvgYYXwAEJ2XH.jpg", "http://pbs.twimg.com/media/FkMvgYYXwAEJ2XH.jpg")</f>
        <v>http://pbs.twimg.com/media/FkMvgYYXwAEJ2XH.jpg</v>
      </c>
      <c r="K12" t="str">
        <f>HYPERLINK("http://pbs.twimg.com/media/FkMvgYXWYAIDGbQ.jpg", "http://pbs.twimg.com/media/FkMvgYXWYAIDGbQ.jpg")</f>
        <v>http://pbs.twimg.com/media/FkMvgYXWYAIDGbQ.jpg</v>
      </c>
      <c r="L12">
        <v>0</v>
      </c>
      <c r="M12">
        <v>0</v>
      </c>
      <c r="N12">
        <v>1</v>
      </c>
      <c r="O12">
        <v>0</v>
      </c>
    </row>
    <row r="13" spans="1:15" x14ac:dyDescent="0.2">
      <c r="A13" s="1" t="str">
        <f>HYPERLINK("http://www.twitter.com/banuakdenizli/status/1604177927750418433", "1604177927750418433")</f>
        <v>1604177927750418433</v>
      </c>
      <c r="B13" t="s">
        <v>15</v>
      </c>
      <c r="C13" s="2">
        <v>44912.759212962963</v>
      </c>
      <c r="D13">
        <v>1</v>
      </c>
      <c r="E13">
        <v>0</v>
      </c>
      <c r="G13" t="s">
        <v>33</v>
      </c>
      <c r="H13" t="str">
        <f>HYPERLINK("http://pbs.twimg.com/media/FkMvUlyWYAQUEZx.jpg", "http://pbs.twimg.com/media/FkMvUlyWYAQUEZx.jpg")</f>
        <v>http://pbs.twimg.com/media/FkMvUlyWYAQUEZx.jpg</v>
      </c>
      <c r="I13" t="str">
        <f>HYPERLINK("http://pbs.twimg.com/media/FkMvUlyWQAItrMC.jpg", "http://pbs.twimg.com/media/FkMvUlyWQAItrMC.jpg")</f>
        <v>http://pbs.twimg.com/media/FkMvUlyWQAItrMC.jpg</v>
      </c>
      <c r="L13">
        <v>0</v>
      </c>
      <c r="M13">
        <v>0</v>
      </c>
      <c r="N13">
        <v>1</v>
      </c>
      <c r="O13">
        <v>0</v>
      </c>
    </row>
    <row r="14" spans="1:15" x14ac:dyDescent="0.2">
      <c r="A14" s="1" t="str">
        <f>HYPERLINK("http://www.twitter.com/banuakdenizli/status/1604177916568698880", "1604177916568698880")</f>
        <v>1604177916568698880</v>
      </c>
      <c r="B14" t="s">
        <v>15</v>
      </c>
      <c r="C14" s="2">
        <v>44912.759189814817</v>
      </c>
      <c r="D14">
        <v>1</v>
      </c>
      <c r="E14">
        <v>0</v>
      </c>
      <c r="G14" t="s">
        <v>34</v>
      </c>
      <c r="H14" t="str">
        <f>HYPERLINK("http://pbs.twimg.com/media/FkMvT9mWIAEmy5w.jpg", "http://pbs.twimg.com/media/FkMvT9mWIAEmy5w.jpg")</f>
        <v>http://pbs.twimg.com/media/FkMvT9mWIAEmy5w.jpg</v>
      </c>
      <c r="I14" t="str">
        <f>HYPERLINK("http://pbs.twimg.com/media/FkMvT9kWIAceU4e.jpg", "http://pbs.twimg.com/media/FkMvT9kWIAceU4e.jpg")</f>
        <v>http://pbs.twimg.com/media/FkMvT9kWIAceU4e.jpg</v>
      </c>
      <c r="J14" t="str">
        <f>HYPERLINK("http://pbs.twimg.com/media/FkMvT9hWIAkhRjm.jpg", "http://pbs.twimg.com/media/FkMvT9hWIAkhRjm.jpg")</f>
        <v>http://pbs.twimg.com/media/FkMvT9hWIAkhRjm.jpg</v>
      </c>
      <c r="K14" t="str">
        <f>HYPERLINK("http://pbs.twimg.com/media/FkMvT9sXwAE1U3x.jpg", "http://pbs.twimg.com/media/FkMvT9sXwAE1U3x.jpg")</f>
        <v>http://pbs.twimg.com/media/FkMvT9sXwAE1U3x.jpg</v>
      </c>
      <c r="L14">
        <v>0</v>
      </c>
      <c r="M14">
        <v>0</v>
      </c>
      <c r="N14">
        <v>1</v>
      </c>
      <c r="O14">
        <v>0</v>
      </c>
    </row>
    <row r="15" spans="1:15" x14ac:dyDescent="0.2">
      <c r="A15" s="1" t="str">
        <f>HYPERLINK("http://www.twitter.com/banuakdenizli/status/1604177908532187136", "1604177908532187136")</f>
        <v>1604177908532187136</v>
      </c>
      <c r="B15" t="s">
        <v>15</v>
      </c>
      <c r="C15" s="2">
        <v>44912.759166666663</v>
      </c>
      <c r="D15">
        <v>2</v>
      </c>
      <c r="E15">
        <v>0</v>
      </c>
      <c r="G15" t="s">
        <v>35</v>
      </c>
      <c r="H15" t="str">
        <f>HYPERLINK("http://pbs.twimg.com/media/FkMvTexXwAUc_HK.jpg", "http://pbs.twimg.com/media/FkMvTexXwAUc_HK.jpg")</f>
        <v>http://pbs.twimg.com/media/FkMvTexXwAUc_HK.jpg</v>
      </c>
      <c r="I15" t="str">
        <f>HYPERLINK("http://pbs.twimg.com/media/FkMvTerWAAUB28s.jpg", "http://pbs.twimg.com/media/FkMvTerWAAUB28s.jpg")</f>
        <v>http://pbs.twimg.com/media/FkMvTerWAAUB28s.jpg</v>
      </c>
      <c r="J15" t="str">
        <f>HYPERLINK("http://pbs.twimg.com/media/FkMvTewWQAEVZbW.jpg", "http://pbs.twimg.com/media/FkMvTewWQAEVZbW.jpg")</f>
        <v>http://pbs.twimg.com/media/FkMvTewWQAEVZbW.jpg</v>
      </c>
      <c r="K15" t="str">
        <f>HYPERLINK("http://pbs.twimg.com/media/FkMvTe0XwAAB2N0.jpg", "http://pbs.twimg.com/media/FkMvTe0XwAAB2N0.jpg")</f>
        <v>http://pbs.twimg.com/media/FkMvTe0XwAAB2N0.jpg</v>
      </c>
      <c r="L15">
        <v>0</v>
      </c>
      <c r="M15">
        <v>0</v>
      </c>
      <c r="N15">
        <v>1</v>
      </c>
      <c r="O15">
        <v>0</v>
      </c>
    </row>
    <row r="16" spans="1:15" x14ac:dyDescent="0.2">
      <c r="A16" s="1" t="str">
        <f>HYPERLINK("http://www.twitter.com/banuakdenizli/status/1602981310997626880", "1602981310997626880")</f>
        <v>1602981310997626880</v>
      </c>
      <c r="B16" t="s">
        <v>15</v>
      </c>
      <c r="C16" s="2">
        <v>44909.457187499997</v>
      </c>
      <c r="D16">
        <v>1</v>
      </c>
      <c r="E16">
        <v>0</v>
      </c>
      <c r="G16" t="s">
        <v>36</v>
      </c>
      <c r="H16" t="str">
        <f>HYPERLINK("http://pbs.twimg.com/media/Fj7u-35XEAADtif.jpg", "http://pbs.twimg.com/media/Fj7u-35XEAADtif.jpg")</f>
        <v>http://pbs.twimg.com/media/Fj7u-35XEAADtif.jpg</v>
      </c>
      <c r="I16" t="str">
        <f>HYPERLINK("http://pbs.twimg.com/media/Fj7u_SxXEAklhJ9.jpg", "http://pbs.twimg.com/media/Fj7u_SxXEAklhJ9.jpg")</f>
        <v>http://pbs.twimg.com/media/Fj7u_SxXEAklhJ9.jpg</v>
      </c>
      <c r="J16" t="str">
        <f>HYPERLINK("http://pbs.twimg.com/media/Fj7u_uBWYAMjlJv.jpg", "http://pbs.twimg.com/media/Fj7u_uBWYAMjlJv.jpg")</f>
        <v>http://pbs.twimg.com/media/Fj7u_uBWYAMjlJv.jpg</v>
      </c>
      <c r="L16">
        <v>0</v>
      </c>
      <c r="M16">
        <v>0</v>
      </c>
      <c r="N16">
        <v>1</v>
      </c>
      <c r="O16">
        <v>0</v>
      </c>
    </row>
    <row r="17" spans="1:15" x14ac:dyDescent="0.2">
      <c r="A17" s="1" t="str">
        <f>HYPERLINK("http://www.twitter.com/banuakdenizli/status/1602980252581789696", "1602980252581789696")</f>
        <v>1602980252581789696</v>
      </c>
      <c r="B17" t="s">
        <v>15</v>
      </c>
      <c r="C17" s="2">
        <v>44909.454259259262</v>
      </c>
      <c r="D17">
        <v>2</v>
      </c>
      <c r="E17">
        <v>0</v>
      </c>
      <c r="G17" t="s">
        <v>37</v>
      </c>
      <c r="H17" t="str">
        <f>HYPERLINK("http://pbs.twimg.com/media/Fj7uB-eXgAIm9Gn.jpg", "http://pbs.twimg.com/media/Fj7uB-eXgAIm9Gn.jpg")</f>
        <v>http://pbs.twimg.com/media/Fj7uB-eXgAIm9Gn.jpg</v>
      </c>
      <c r="I17" t="str">
        <f>HYPERLINK("http://pbs.twimg.com/media/Fj7uCUJWIAARKg2.jpg", "http://pbs.twimg.com/media/Fj7uCUJWIAARKg2.jpg")</f>
        <v>http://pbs.twimg.com/media/Fj7uCUJWIAARKg2.jpg</v>
      </c>
      <c r="L17">
        <v>0</v>
      </c>
      <c r="M17">
        <v>0</v>
      </c>
      <c r="N17">
        <v>1</v>
      </c>
      <c r="O17">
        <v>0</v>
      </c>
    </row>
    <row r="18" spans="1:15" x14ac:dyDescent="0.2">
      <c r="A18" s="1" t="str">
        <f>HYPERLINK("http://www.twitter.com/banuakdenizli/status/1602978848035201025", "1602978848035201025")</f>
        <v>1602978848035201025</v>
      </c>
      <c r="B18" t="s">
        <v>15</v>
      </c>
      <c r="C18" s="2">
        <v>44909.450381944444</v>
      </c>
      <c r="D18">
        <v>1</v>
      </c>
      <c r="E18">
        <v>0</v>
      </c>
      <c r="G18" t="s">
        <v>38</v>
      </c>
      <c r="H18" t="str">
        <f>HYPERLINK("http://pbs.twimg.com/media/Fj7sa1iXkAEqUcd.jpg", "http://pbs.twimg.com/media/Fj7sa1iXkAEqUcd.jpg")</f>
        <v>http://pbs.twimg.com/media/Fj7sa1iXkAEqUcd.jpg</v>
      </c>
      <c r="I18" t="str">
        <f>HYPERLINK("http://pbs.twimg.com/media/Fj7sbSoXwAAlzxq.jpg", "http://pbs.twimg.com/media/Fj7sbSoXwAAlzxq.jpg")</f>
        <v>http://pbs.twimg.com/media/Fj7sbSoXwAAlzxq.jpg</v>
      </c>
      <c r="J18" t="str">
        <f>HYPERLINK("http://pbs.twimg.com/media/Fj7sbr1XoAA0KAO.jpg", "http://pbs.twimg.com/media/Fj7sbr1XoAA0KAO.jpg")</f>
        <v>http://pbs.twimg.com/media/Fj7sbr1XoAA0KAO.jpg</v>
      </c>
      <c r="L18">
        <v>0</v>
      </c>
      <c r="M18">
        <v>0</v>
      </c>
      <c r="N18">
        <v>1</v>
      </c>
      <c r="O18">
        <v>0</v>
      </c>
    </row>
    <row r="19" spans="1:15" x14ac:dyDescent="0.2">
      <c r="A19" s="1" t="str">
        <f>HYPERLINK("http://www.twitter.com/banuakdenizli/status/1602978387701956610", "1602978387701956610")</f>
        <v>1602978387701956610</v>
      </c>
      <c r="B19" t="s">
        <v>15</v>
      </c>
      <c r="C19" s="2">
        <v>44909.449120370373</v>
      </c>
      <c r="D19">
        <v>1</v>
      </c>
      <c r="E19">
        <v>0</v>
      </c>
      <c r="G19" t="s">
        <v>39</v>
      </c>
      <c r="H19" t="str">
        <f>HYPERLINK("http://pbs.twimg.com/media/Fj7sTz0WYAA9ohj.jpg", "http://pbs.twimg.com/media/Fj7sTz0WYAA9ohj.jpg")</f>
        <v>http://pbs.twimg.com/media/Fj7sTz0WYAA9ohj.jpg</v>
      </c>
      <c r="I19" t="str">
        <f>HYPERLINK("http://pbs.twimg.com/media/Fj7sUJWX0AM98b7.jpg", "http://pbs.twimg.com/media/Fj7sUJWX0AM98b7.jpg")</f>
        <v>http://pbs.twimg.com/media/Fj7sUJWX0AM98b7.jpg</v>
      </c>
      <c r="L19">
        <v>0</v>
      </c>
      <c r="M19">
        <v>0</v>
      </c>
      <c r="N19">
        <v>1</v>
      </c>
      <c r="O19">
        <v>0</v>
      </c>
    </row>
    <row r="20" spans="1:15" x14ac:dyDescent="0.2">
      <c r="A20" s="1" t="str">
        <f>HYPERLINK("http://www.twitter.com/banuakdenizli/status/1602386945665269760", "1602386945665269760")</f>
        <v>1602386945665269760</v>
      </c>
      <c r="B20" t="s">
        <v>15</v>
      </c>
      <c r="C20" s="2">
        <v>44907.817048611112</v>
      </c>
      <c r="D20">
        <v>0</v>
      </c>
      <c r="E20">
        <v>25</v>
      </c>
      <c r="F20" t="s">
        <v>17</v>
      </c>
      <c r="G20" t="s">
        <v>40</v>
      </c>
      <c r="H20" t="str">
        <f>HYPERLINK("https://video.twimg.com/ext_tw_video/1602355648972324864/pu/vid/720x1280/vLreyeyci247yRxT.mp4?tag=12", "https://video.twimg.com/ext_tw_video/1602355648972324864/pu/vid/720x1280/vLreyeyci247yRxT.mp4?tag=12")</f>
        <v>https://video.twimg.com/ext_tw_video/1602355648972324864/pu/vid/720x1280/vLreyeyci247yRxT.mp4?tag=12</v>
      </c>
      <c r="L20">
        <v>0</v>
      </c>
      <c r="M20">
        <v>0</v>
      </c>
      <c r="N20">
        <v>1</v>
      </c>
      <c r="O20">
        <v>0</v>
      </c>
    </row>
    <row r="21" spans="1:15" x14ac:dyDescent="0.2">
      <c r="A21" s="1" t="str">
        <f>HYPERLINK("http://www.twitter.com/banuakdenizli/status/1602386864475865101", "1602386864475865101")</f>
        <v>1602386864475865101</v>
      </c>
      <c r="B21" t="s">
        <v>15</v>
      </c>
      <c r="C21" s="2">
        <v>44907.816828703697</v>
      </c>
      <c r="D21">
        <v>0</v>
      </c>
      <c r="E21">
        <v>5</v>
      </c>
      <c r="F21" t="s">
        <v>17</v>
      </c>
      <c r="G21" t="s">
        <v>41</v>
      </c>
      <c r="H21" t="str">
        <f>HYPERLINK("https://video.twimg.com/ext_tw_video/1602275516614074370/pu/vid/720x1280/_bqCuIwTpWEoZn25.mp4?tag=12", "https://video.twimg.com/ext_tw_video/1602275516614074370/pu/vid/720x1280/_bqCuIwTpWEoZn25.mp4?tag=12")</f>
        <v>https://video.twimg.com/ext_tw_video/1602275516614074370/pu/vid/720x1280/_bqCuIwTpWEoZn25.mp4?tag=12</v>
      </c>
      <c r="L21">
        <v>0.2263</v>
      </c>
      <c r="M21">
        <v>0.154</v>
      </c>
      <c r="N21">
        <v>0.629</v>
      </c>
      <c r="O21">
        <v>0.217</v>
      </c>
    </row>
    <row r="22" spans="1:15" x14ac:dyDescent="0.2">
      <c r="A22" s="1" t="str">
        <f>HYPERLINK("http://www.twitter.com/banuakdenizli/status/1602386840299896836", "1602386840299896836")</f>
        <v>1602386840299896836</v>
      </c>
      <c r="B22" t="s">
        <v>15</v>
      </c>
      <c r="C22" s="2">
        <v>44907.816759259258</v>
      </c>
      <c r="D22">
        <v>0</v>
      </c>
      <c r="E22">
        <v>479</v>
      </c>
      <c r="F22" t="s">
        <v>17</v>
      </c>
      <c r="G22" t="s">
        <v>42</v>
      </c>
      <c r="H22" t="str">
        <f>HYPERLINK("http://pbs.twimg.com/media/FjtFyF-WQAERV5P.jpg", "http://pbs.twimg.com/media/FjtFyF-WQAERV5P.jpg")</f>
        <v>http://pbs.twimg.com/media/FjtFyF-WQAERV5P.jpg</v>
      </c>
      <c r="L22">
        <v>0</v>
      </c>
      <c r="M22">
        <v>0</v>
      </c>
      <c r="N22">
        <v>1</v>
      </c>
      <c r="O22">
        <v>0</v>
      </c>
    </row>
    <row r="23" spans="1:15" x14ac:dyDescent="0.2">
      <c r="A23" s="1" t="str">
        <f>HYPERLINK("http://www.twitter.com/banuakdenizli/status/1602386782011654156", "1602386782011654156")</f>
        <v>1602386782011654156</v>
      </c>
      <c r="B23" t="s">
        <v>15</v>
      </c>
      <c r="C23" s="2">
        <v>44907.81659722222</v>
      </c>
      <c r="D23">
        <v>0</v>
      </c>
      <c r="E23">
        <v>5</v>
      </c>
      <c r="F23" t="s">
        <v>16</v>
      </c>
      <c r="G23" t="s">
        <v>43</v>
      </c>
      <c r="H23" t="str">
        <f>HYPERLINK("https://video.twimg.com/ext_tw_video/1602352944464240643/pu/vid/720x1280/TFKGL1caprRW9qBb.mp4?tag=12", "https://video.twimg.com/ext_tw_video/1602352944464240643/pu/vid/720x1280/TFKGL1caprRW9qBb.mp4?tag=12")</f>
        <v>https://video.twimg.com/ext_tw_video/1602352944464240643/pu/vid/720x1280/TFKGL1caprRW9qBb.mp4?tag=12</v>
      </c>
      <c r="L23">
        <v>0.93489999999999995</v>
      </c>
      <c r="M23">
        <v>0</v>
      </c>
      <c r="N23">
        <v>0.69699999999999995</v>
      </c>
      <c r="O23">
        <v>0.30299999999999999</v>
      </c>
    </row>
    <row r="24" spans="1:15" x14ac:dyDescent="0.2">
      <c r="A24" s="1" t="str">
        <f>HYPERLINK("http://www.twitter.com/banuakdenizli/status/1602386655364714497", "1602386655364714497")</f>
        <v>1602386655364714497</v>
      </c>
      <c r="B24" t="s">
        <v>15</v>
      </c>
      <c r="C24" s="2">
        <v>44907.816250000003</v>
      </c>
      <c r="D24">
        <v>0</v>
      </c>
      <c r="E24">
        <v>6</v>
      </c>
      <c r="F24" t="s">
        <v>16</v>
      </c>
      <c r="G24" t="s">
        <v>44</v>
      </c>
      <c r="H24" t="str">
        <f>HYPERLINK("https://video.twimg.com/ext_tw_video/1601263543340367876/pu/vid/720x900/vrRf55SUM8Xx5UPe.mp4?tag=12", "https://video.twimg.com/ext_tw_video/1601263543340367876/pu/vid/720x900/vrRf55SUM8Xx5UPe.mp4?tag=12")</f>
        <v>https://video.twimg.com/ext_tw_video/1601263543340367876/pu/vid/720x900/vrRf55SUM8Xx5UPe.mp4?tag=12</v>
      </c>
      <c r="L24">
        <v>0.94159999999999999</v>
      </c>
      <c r="M24">
        <v>0</v>
      </c>
      <c r="N24">
        <v>0.68899999999999995</v>
      </c>
      <c r="O24">
        <v>0.311</v>
      </c>
    </row>
    <row r="25" spans="1:15" x14ac:dyDescent="0.2">
      <c r="A25" s="1" t="str">
        <f>HYPERLINK("http://www.twitter.com/banuakdenizli/status/1602386529019633664", "1602386529019633664")</f>
        <v>1602386529019633664</v>
      </c>
      <c r="B25" t="s">
        <v>15</v>
      </c>
      <c r="C25" s="2">
        <v>44907.81590277778</v>
      </c>
      <c r="D25">
        <v>0</v>
      </c>
      <c r="E25">
        <v>4</v>
      </c>
      <c r="F25" t="s">
        <v>18</v>
      </c>
      <c r="G25" t="s">
        <v>45</v>
      </c>
      <c r="H25" t="str">
        <f>HYPERLINK("http://pbs.twimg.com/media/FjytefzWQAINO6f.jpg", "http://pbs.twimg.com/media/FjytefzWQAINO6f.jpg")</f>
        <v>http://pbs.twimg.com/media/FjytefzWQAINO6f.jpg</v>
      </c>
      <c r="I25" t="str">
        <f>HYPERLINK("http://pbs.twimg.com/media/FjytfYpWQAA5LXi.jpg", "http://pbs.twimg.com/media/FjytfYpWQAA5LXi.jpg")</f>
        <v>http://pbs.twimg.com/media/FjytfYpWQAA5LXi.jpg</v>
      </c>
      <c r="J25" t="str">
        <f>HYPERLINK("http://pbs.twimg.com/media/FjythdQXoAI0WQM.jpg", "http://pbs.twimg.com/media/FjythdQXoAI0WQM.jpg")</f>
        <v>http://pbs.twimg.com/media/FjythdQXoAI0WQM.jpg</v>
      </c>
      <c r="K25" t="str">
        <f>HYPERLINK("http://pbs.twimg.com/media/FjythdpXkAAfLFh.jpg", "http://pbs.twimg.com/media/FjythdpXkAAfLFh.jpg")</f>
        <v>http://pbs.twimg.com/media/FjythdpXkAAfLFh.jpg</v>
      </c>
      <c r="L25">
        <v>0</v>
      </c>
      <c r="M25">
        <v>0</v>
      </c>
      <c r="N25">
        <v>1</v>
      </c>
      <c r="O25">
        <v>0</v>
      </c>
    </row>
    <row r="26" spans="1:15" x14ac:dyDescent="0.2">
      <c r="A26" s="1" t="str">
        <f>HYPERLINK("http://www.twitter.com/banuakdenizli/status/1602386495616294912", "1602386495616294912")</f>
        <v>1602386495616294912</v>
      </c>
      <c r="B26" t="s">
        <v>15</v>
      </c>
      <c r="C26" s="2">
        <v>44907.815810185188</v>
      </c>
      <c r="D26">
        <v>0</v>
      </c>
      <c r="E26">
        <v>4</v>
      </c>
      <c r="F26" t="s">
        <v>18</v>
      </c>
      <c r="G26" t="s">
        <v>46</v>
      </c>
      <c r="H26" t="str">
        <f>HYPERLINK("http://pbs.twimg.com/media/FjsZTTWWQAEJN8x.jpg", "http://pbs.twimg.com/media/FjsZTTWWQAEJN8x.jpg")</f>
        <v>http://pbs.twimg.com/media/FjsZTTWWQAEJN8x.jpg</v>
      </c>
      <c r="L26">
        <v>0</v>
      </c>
      <c r="M26">
        <v>0</v>
      </c>
      <c r="N26">
        <v>1</v>
      </c>
      <c r="O26">
        <v>0</v>
      </c>
    </row>
    <row r="27" spans="1:15" x14ac:dyDescent="0.2">
      <c r="A27" s="1" t="str">
        <f>HYPERLINK("http://www.twitter.com/banuakdenizli/status/1602386478511816709", "1602386478511816709")</f>
        <v>1602386478511816709</v>
      </c>
      <c r="B27" t="s">
        <v>15</v>
      </c>
      <c r="C27" s="2">
        <v>44907.815763888888</v>
      </c>
      <c r="D27">
        <v>0</v>
      </c>
      <c r="E27">
        <v>3</v>
      </c>
      <c r="F27" t="s">
        <v>18</v>
      </c>
      <c r="G27" t="s">
        <v>47</v>
      </c>
      <c r="H27" t="str">
        <f>HYPERLINK("http://pbs.twimg.com/media/Fjoue4EXgAElljJ.jpg", "http://pbs.twimg.com/media/Fjoue4EXgAElljJ.jpg")</f>
        <v>http://pbs.twimg.com/media/Fjoue4EXgAElljJ.jpg</v>
      </c>
      <c r="L27">
        <v>0</v>
      </c>
      <c r="M27">
        <v>0</v>
      </c>
      <c r="N27">
        <v>1</v>
      </c>
      <c r="O27">
        <v>0</v>
      </c>
    </row>
    <row r="28" spans="1:15" x14ac:dyDescent="0.2">
      <c r="A28" s="1" t="str">
        <f>HYPERLINK("http://www.twitter.com/banuakdenizli/status/1602386466453192708", "1602386466453192708")</f>
        <v>1602386466453192708</v>
      </c>
      <c r="B28" t="s">
        <v>15</v>
      </c>
      <c r="C28" s="2">
        <v>44907.815729166658</v>
      </c>
      <c r="D28">
        <v>0</v>
      </c>
      <c r="E28">
        <v>3</v>
      </c>
      <c r="F28" t="s">
        <v>18</v>
      </c>
      <c r="G28" t="s">
        <v>48</v>
      </c>
      <c r="H28" t="str">
        <f>HYPERLINK("http://pbs.twimg.com/media/FjnDjcPXgAIbZUE.jpg", "http://pbs.twimg.com/media/FjnDjcPXgAIbZUE.jpg")</f>
        <v>http://pbs.twimg.com/media/FjnDjcPXgAIbZUE.jpg</v>
      </c>
      <c r="L28">
        <v>0</v>
      </c>
      <c r="M28">
        <v>0</v>
      </c>
      <c r="N28">
        <v>1</v>
      </c>
      <c r="O28">
        <v>0</v>
      </c>
    </row>
    <row r="29" spans="1:15" x14ac:dyDescent="0.2">
      <c r="A29" s="1" t="str">
        <f>HYPERLINK("http://www.twitter.com/banuakdenizli/status/1602386440519929858", "1602386440519929858")</f>
        <v>1602386440519929858</v>
      </c>
      <c r="B29" t="s">
        <v>15</v>
      </c>
      <c r="C29" s="2">
        <v>44907.815648148149</v>
      </c>
      <c r="D29">
        <v>0</v>
      </c>
      <c r="E29">
        <v>1</v>
      </c>
      <c r="F29" t="s">
        <v>18</v>
      </c>
      <c r="G29" t="s">
        <v>49</v>
      </c>
      <c r="H29" t="str">
        <f>HYPERLINK("http://pbs.twimg.com/media/FjkEHPvXkAIOFAs.jpg", "http://pbs.twimg.com/media/FjkEHPvXkAIOFAs.jpg")</f>
        <v>http://pbs.twimg.com/media/FjkEHPvXkAIOFAs.jpg</v>
      </c>
      <c r="L29">
        <v>0</v>
      </c>
      <c r="M29">
        <v>0</v>
      </c>
      <c r="N29">
        <v>1</v>
      </c>
      <c r="O29">
        <v>0</v>
      </c>
    </row>
    <row r="30" spans="1:15" x14ac:dyDescent="0.2">
      <c r="A30" s="1" t="str">
        <f>HYPERLINK("http://www.twitter.com/banuakdenizli/status/1599631143237582848", "1599631143237582848")</f>
        <v>1599631143237582848</v>
      </c>
      <c r="B30" t="s">
        <v>15</v>
      </c>
      <c r="C30" s="2">
        <v>44900.212476851862</v>
      </c>
      <c r="D30">
        <v>0</v>
      </c>
      <c r="E30">
        <v>4</v>
      </c>
      <c r="F30" t="s">
        <v>18</v>
      </c>
      <c r="G30" t="s">
        <v>50</v>
      </c>
      <c r="H30" t="str">
        <f>HYPERLINK("http://pbs.twimg.com/media/FjDILmiWAAEj_FW.jpg", "http://pbs.twimg.com/media/FjDILmiWAAEj_FW.jpg")</f>
        <v>http://pbs.twimg.com/media/FjDILmiWAAEj_FW.jpg</v>
      </c>
      <c r="L30">
        <v>0</v>
      </c>
      <c r="M30">
        <v>0</v>
      </c>
      <c r="N30">
        <v>1</v>
      </c>
      <c r="O30">
        <v>0</v>
      </c>
    </row>
    <row r="31" spans="1:15" x14ac:dyDescent="0.2">
      <c r="A31" s="1" t="str">
        <f>HYPERLINK("http://www.twitter.com/banuakdenizli/status/1599631057300557826", "1599631057300557826")</f>
        <v>1599631057300557826</v>
      </c>
      <c r="B31" t="s">
        <v>15</v>
      </c>
      <c r="C31" s="2">
        <v>44900.212245370371</v>
      </c>
      <c r="D31">
        <v>0</v>
      </c>
      <c r="E31">
        <v>4</v>
      </c>
      <c r="F31" t="s">
        <v>16</v>
      </c>
      <c r="G31" t="s">
        <v>51</v>
      </c>
      <c r="H31" t="str">
        <f>HYPERLINK("https://video.twimg.com/ext_tw_video/1598727168120573953/pu/vid/720x900/VdxoUng37uiEgN7G.mp4?tag=12", "https://video.twimg.com/ext_tw_video/1598727168120573953/pu/vid/720x900/VdxoUng37uiEgN7G.mp4?tag=12")</f>
        <v>https://video.twimg.com/ext_tw_video/1598727168120573953/pu/vid/720x900/VdxoUng37uiEgN7G.mp4?tag=12</v>
      </c>
      <c r="L31">
        <v>0.61140000000000005</v>
      </c>
      <c r="M31">
        <v>0</v>
      </c>
      <c r="N31">
        <v>0.878</v>
      </c>
      <c r="O31">
        <v>0.122</v>
      </c>
    </row>
    <row r="32" spans="1:15" x14ac:dyDescent="0.2">
      <c r="A32" s="1" t="str">
        <f>HYPERLINK("http://www.twitter.com/banuakdenizli/status/1599631036358438912", "1599631036358438912")</f>
        <v>1599631036358438912</v>
      </c>
      <c r="B32" t="s">
        <v>15</v>
      </c>
      <c r="C32" s="2">
        <v>44900.212187500001</v>
      </c>
      <c r="D32">
        <v>0</v>
      </c>
      <c r="E32">
        <v>2</v>
      </c>
      <c r="F32" t="s">
        <v>16</v>
      </c>
      <c r="G32" t="s">
        <v>52</v>
      </c>
      <c r="H32" t="str">
        <f>HYPERLINK("http://pbs.twimg.com/media/Fi6IdewXEAImOcO.jpg", "http://pbs.twimg.com/media/Fi6IdewXEAImOcO.jpg")</f>
        <v>http://pbs.twimg.com/media/Fi6IdewXEAImOcO.jpg</v>
      </c>
      <c r="L32">
        <v>0.69079999999999997</v>
      </c>
      <c r="M32">
        <v>0</v>
      </c>
      <c r="N32">
        <v>0.76900000000000002</v>
      </c>
      <c r="O32">
        <v>0.23100000000000001</v>
      </c>
    </row>
    <row r="33" spans="1:15" x14ac:dyDescent="0.2">
      <c r="A33" s="1" t="str">
        <f>HYPERLINK("http://www.twitter.com/banuakdenizli/status/1599630652215037952", "1599630652215037952")</f>
        <v>1599630652215037952</v>
      </c>
      <c r="B33" t="s">
        <v>15</v>
      </c>
      <c r="C33" s="2">
        <v>44900.211122685178</v>
      </c>
      <c r="D33">
        <v>0</v>
      </c>
      <c r="E33">
        <v>9</v>
      </c>
      <c r="F33" t="s">
        <v>17</v>
      </c>
      <c r="G33" t="s">
        <v>53</v>
      </c>
      <c r="H33" t="str">
        <f>HYPERLINK("http://pbs.twimg.com/media/Fi_kK9cUAAAn2RQ.jpg", "http://pbs.twimg.com/media/Fi_kK9cUAAAn2RQ.jpg")</f>
        <v>http://pbs.twimg.com/media/Fi_kK9cUAAAn2RQ.jpg</v>
      </c>
      <c r="L33">
        <v>-0.59830000000000005</v>
      </c>
      <c r="M33">
        <v>0.28000000000000003</v>
      </c>
      <c r="N33">
        <v>0.72</v>
      </c>
      <c r="O33">
        <v>0</v>
      </c>
    </row>
    <row r="34" spans="1:15" x14ac:dyDescent="0.2">
      <c r="A34" s="1" t="str">
        <f>HYPERLINK("http://www.twitter.com/banuakdenizli/status/1599630633831084032", "1599630633831084032")</f>
        <v>1599630633831084032</v>
      </c>
      <c r="B34" t="s">
        <v>15</v>
      </c>
      <c r="C34" s="2">
        <v>44900.211076388892</v>
      </c>
      <c r="D34">
        <v>0</v>
      </c>
      <c r="E34">
        <v>4</v>
      </c>
      <c r="F34" t="s">
        <v>17</v>
      </c>
      <c r="G34" t="s">
        <v>54</v>
      </c>
      <c r="H34" t="str">
        <f>HYPERLINK("https://video.twimg.com/ext_tw_video/1599547197443407873/pu/vid/720x1280/1cz4KVibdjvJLbM7.mp4?tag=12", "https://video.twimg.com/ext_tw_video/1599547197443407873/pu/vid/720x1280/1cz4KVibdjvJLbM7.mp4?tag=12")</f>
        <v>https://video.twimg.com/ext_tw_video/1599547197443407873/pu/vid/720x1280/1cz4KVibdjvJLbM7.mp4?tag=12</v>
      </c>
      <c r="L34">
        <v>0.52549999999999997</v>
      </c>
      <c r="M34">
        <v>0</v>
      </c>
      <c r="N34">
        <v>0.90900000000000003</v>
      </c>
      <c r="O34">
        <v>9.0999999999999998E-2</v>
      </c>
    </row>
    <row r="35" spans="1:15" x14ac:dyDescent="0.2">
      <c r="A35" s="1" t="str">
        <f>HYPERLINK("http://www.twitter.com/banuakdenizli/status/1599630597005377537", "1599630597005377537")</f>
        <v>1599630597005377537</v>
      </c>
      <c r="B35" t="s">
        <v>15</v>
      </c>
      <c r="C35" s="2">
        <v>44900.210972222223</v>
      </c>
      <c r="D35">
        <v>0</v>
      </c>
      <c r="E35">
        <v>90</v>
      </c>
      <c r="F35" t="s">
        <v>17</v>
      </c>
      <c r="G35" t="s">
        <v>55</v>
      </c>
      <c r="H35" t="str">
        <f>HYPERLINK("http://pbs.twimg.com/media/FjKYQLjXkAElGLd.jpg", "http://pbs.twimg.com/media/FjKYQLjXkAElGLd.jpg")</f>
        <v>http://pbs.twimg.com/media/FjKYQLjXkAElGLd.jpg</v>
      </c>
      <c r="L35">
        <v>0</v>
      </c>
      <c r="M35">
        <v>0</v>
      </c>
      <c r="N35">
        <v>1</v>
      </c>
      <c r="O35">
        <v>0</v>
      </c>
    </row>
    <row r="36" spans="1:15" x14ac:dyDescent="0.2">
      <c r="A36" s="1" t="str">
        <f>HYPERLINK("http://www.twitter.com/banuakdenizli/status/1599630558052900866", "1599630558052900866")</f>
        <v>1599630558052900866</v>
      </c>
      <c r="B36" t="s">
        <v>15</v>
      </c>
      <c r="C36" s="2">
        <v>44900.210868055547</v>
      </c>
      <c r="D36">
        <v>0</v>
      </c>
      <c r="E36">
        <v>14</v>
      </c>
      <c r="F36" t="s">
        <v>17</v>
      </c>
      <c r="G36" t="s">
        <v>56</v>
      </c>
      <c r="H36" t="str">
        <f>HYPERLINK("https://video.twimg.com/ext_tw_video/1599503189044330497/pu/vid/720x1280/VgLw5-tuK6w_J98J.mp4?tag=12", "https://video.twimg.com/ext_tw_video/1599503189044330497/pu/vid/720x1280/VgLw5-tuK6w_J98J.mp4?tag=12")</f>
        <v>https://video.twimg.com/ext_tw_video/1599503189044330497/pu/vid/720x1280/VgLw5-tuK6w_J98J.mp4?tag=12</v>
      </c>
      <c r="L36">
        <v>0.34</v>
      </c>
      <c r="M36">
        <v>0</v>
      </c>
      <c r="N36">
        <v>0.87</v>
      </c>
      <c r="O36">
        <v>0.13</v>
      </c>
    </row>
    <row r="37" spans="1:15" x14ac:dyDescent="0.2">
      <c r="A37" s="1" t="str">
        <f>HYPERLINK("http://www.twitter.com/banuakdenizli/status/1599630527887130625", "1599630527887130625")</f>
        <v>1599630527887130625</v>
      </c>
      <c r="B37" t="s">
        <v>15</v>
      </c>
      <c r="C37" s="2">
        <v>44900.210787037038</v>
      </c>
      <c r="D37">
        <v>0</v>
      </c>
      <c r="E37">
        <v>9</v>
      </c>
      <c r="F37" t="s">
        <v>17</v>
      </c>
      <c r="G37" t="s">
        <v>57</v>
      </c>
      <c r="H37" t="str">
        <f>HYPERLINK("http://pbs.twimg.com/media/FjJy-Q1WIAYejCt.jpg", "http://pbs.twimg.com/media/FjJy-Q1WIAYejCt.jpg")</f>
        <v>http://pbs.twimg.com/media/FjJy-Q1WIAYejCt.jpg</v>
      </c>
      <c r="L37">
        <v>0</v>
      </c>
      <c r="M37">
        <v>0</v>
      </c>
      <c r="N37">
        <v>1</v>
      </c>
      <c r="O37">
        <v>0</v>
      </c>
    </row>
    <row r="38" spans="1:15" x14ac:dyDescent="0.2">
      <c r="A38" s="1" t="str">
        <f>HYPERLINK("http://www.twitter.com/banuakdenizli/status/1599630480944398338", "1599630480944398338")</f>
        <v>1599630480944398338</v>
      </c>
      <c r="B38" t="s">
        <v>15</v>
      </c>
      <c r="C38" s="2">
        <v>44900.210659722223</v>
      </c>
      <c r="D38">
        <v>0</v>
      </c>
      <c r="E38">
        <v>9</v>
      </c>
      <c r="F38" t="s">
        <v>17</v>
      </c>
      <c r="G38" t="s">
        <v>58</v>
      </c>
      <c r="H38" t="str">
        <f>HYPERLINK("https://video.twimg.com/ext_tw_video/1599434250234781696/pu/vid/720x1280/FPu1LcNYcP6tgjPS.mp4?tag=12", "https://video.twimg.com/ext_tw_video/1599434250234781696/pu/vid/720x1280/FPu1LcNYcP6tgjPS.mp4?tag=12")</f>
        <v>https://video.twimg.com/ext_tw_video/1599434250234781696/pu/vid/720x1280/FPu1LcNYcP6tgjPS.mp4?tag=12</v>
      </c>
      <c r="L38">
        <v>0.31819999999999998</v>
      </c>
      <c r="M38">
        <v>0</v>
      </c>
      <c r="N38">
        <v>0.92200000000000004</v>
      </c>
      <c r="O38">
        <v>7.8E-2</v>
      </c>
    </row>
    <row r="39" spans="1:15" x14ac:dyDescent="0.2">
      <c r="A39" s="1" t="str">
        <f>HYPERLINK("http://www.twitter.com/banuakdenizli/status/1599630460203634689", "1599630460203634689")</f>
        <v>1599630460203634689</v>
      </c>
      <c r="B39" t="s">
        <v>15</v>
      </c>
      <c r="C39" s="2">
        <v>44900.210601851853</v>
      </c>
      <c r="D39">
        <v>0</v>
      </c>
      <c r="E39">
        <v>22</v>
      </c>
      <c r="F39" t="s">
        <v>17</v>
      </c>
      <c r="G39" t="s">
        <v>59</v>
      </c>
      <c r="H39" t="str">
        <f>HYPERLINK("https://video.twimg.com/ext_tw_video/1599410127559434240/pu/vid/720x1280/sM4WDyJq1Ks40SVP.mp4?tag=12", "https://video.twimg.com/ext_tw_video/1599410127559434240/pu/vid/720x1280/sM4WDyJq1Ks40SVP.mp4?tag=12")</f>
        <v>https://video.twimg.com/ext_tw_video/1599410127559434240/pu/vid/720x1280/sM4WDyJq1Ks40SVP.mp4?tag=12</v>
      </c>
      <c r="L39">
        <v>0</v>
      </c>
      <c r="M39">
        <v>0</v>
      </c>
      <c r="N39">
        <v>1</v>
      </c>
      <c r="O39">
        <v>0</v>
      </c>
    </row>
    <row r="40" spans="1:15" x14ac:dyDescent="0.2">
      <c r="A40" s="1" t="str">
        <f>HYPERLINK("http://www.twitter.com/banuakdenizli/status/1599630343619121152", "1599630343619121152")</f>
        <v>1599630343619121152</v>
      </c>
      <c r="B40" t="s">
        <v>15</v>
      </c>
      <c r="C40" s="2">
        <v>44900.210277777784</v>
      </c>
      <c r="D40">
        <v>0</v>
      </c>
      <c r="E40">
        <v>15</v>
      </c>
      <c r="F40" t="s">
        <v>17</v>
      </c>
      <c r="G40" t="s">
        <v>60</v>
      </c>
      <c r="H40" t="str">
        <f>HYPERLINK("https://video.twimg.com/amplify_video/1599374422321729536/vid/1080x1920/igPDsrBNf0lt-F7x.mp4?tag=16", "https://video.twimg.com/amplify_video/1599374422321729536/vid/1080x1920/igPDsrBNf0lt-F7x.mp4?tag=16")</f>
        <v>https://video.twimg.com/amplify_video/1599374422321729536/vid/1080x1920/igPDsrBNf0lt-F7x.mp4?tag=16</v>
      </c>
      <c r="L40">
        <v>0.69079999999999997</v>
      </c>
      <c r="M40">
        <v>0.113</v>
      </c>
      <c r="N40">
        <v>0.56399999999999995</v>
      </c>
      <c r="O40">
        <v>0.32300000000000001</v>
      </c>
    </row>
    <row r="41" spans="1:15" x14ac:dyDescent="0.2">
      <c r="A41" s="1" t="str">
        <f>HYPERLINK("http://www.twitter.com/banuakdenizli/status/1599630328192458752", "1599630328192458752")</f>
        <v>1599630328192458752</v>
      </c>
      <c r="B41" t="s">
        <v>15</v>
      </c>
      <c r="C41" s="2">
        <v>44900.210231481477</v>
      </c>
      <c r="D41">
        <v>0</v>
      </c>
      <c r="E41">
        <v>15</v>
      </c>
      <c r="F41" t="s">
        <v>17</v>
      </c>
      <c r="G41" t="s">
        <v>61</v>
      </c>
      <c r="H41" t="str">
        <f>HYPERLINK("https://video.twimg.com/ext_tw_video/1599356650095362049/pu/vid/720x1280/SJqk_gIliVu_8DZO.mp4?tag=12", "https://video.twimg.com/ext_tw_video/1599356650095362049/pu/vid/720x1280/SJqk_gIliVu_8DZO.mp4?tag=12")</f>
        <v>https://video.twimg.com/ext_tw_video/1599356650095362049/pu/vid/720x1280/SJqk_gIliVu_8DZO.mp4?tag=12</v>
      </c>
      <c r="L41">
        <v>0</v>
      </c>
      <c r="M41">
        <v>0</v>
      </c>
      <c r="N41">
        <v>1</v>
      </c>
      <c r="O41">
        <v>0</v>
      </c>
    </row>
    <row r="42" spans="1:15" x14ac:dyDescent="0.2">
      <c r="A42" s="1" t="str">
        <f>HYPERLINK("http://www.twitter.com/banuakdenizli/status/1599630316922372096", "1599630316922372096")</f>
        <v>1599630316922372096</v>
      </c>
      <c r="B42" t="s">
        <v>15</v>
      </c>
      <c r="C42" s="2">
        <v>44900.210196759261</v>
      </c>
      <c r="D42">
        <v>0</v>
      </c>
      <c r="E42">
        <v>60</v>
      </c>
      <c r="F42" t="s">
        <v>17</v>
      </c>
      <c r="G42" t="s">
        <v>62</v>
      </c>
      <c r="H42" t="str">
        <f>HYPERLINK("http://pbs.twimg.com/media/FjFT_72X0AAa8Fs.jpg", "http://pbs.twimg.com/media/FjFT_72X0AAa8Fs.jpg")</f>
        <v>http://pbs.twimg.com/media/FjFT_72X0AAa8Fs.jpg</v>
      </c>
      <c r="L42">
        <v>0</v>
      </c>
      <c r="M42">
        <v>0</v>
      </c>
      <c r="N42">
        <v>1</v>
      </c>
      <c r="O42">
        <v>0</v>
      </c>
    </row>
    <row r="43" spans="1:15" x14ac:dyDescent="0.2">
      <c r="A43" s="1" t="str">
        <f>HYPERLINK("http://www.twitter.com/banuakdenizli/status/1599333944842821632", "1599333944842821632")</f>
        <v>1599333944842821632</v>
      </c>
      <c r="B43" t="s">
        <v>15</v>
      </c>
      <c r="C43" s="2">
        <v>44899.392372685194</v>
      </c>
      <c r="D43">
        <v>0</v>
      </c>
      <c r="E43">
        <v>2</v>
      </c>
      <c r="F43" t="s">
        <v>63</v>
      </c>
      <c r="G43" t="s">
        <v>64</v>
      </c>
      <c r="H43" t="str">
        <f>HYPERLINK("http://pbs.twimg.com/media/FhO-bDeWIAIA7q2.jpg", "http://pbs.twimg.com/media/FhO-bDeWIAIA7q2.jpg")</f>
        <v>http://pbs.twimg.com/media/FhO-bDeWIAIA7q2.jpg</v>
      </c>
      <c r="I43" t="str">
        <f>HYPERLINK("http://pbs.twimg.com/media/FhO-ez1X0AACW7H.jpg", "http://pbs.twimg.com/media/FhO-ez1X0AACW7H.jpg")</f>
        <v>http://pbs.twimg.com/media/FhO-ez1X0AACW7H.jpg</v>
      </c>
      <c r="J43" t="str">
        <f>HYPERLINK("http://pbs.twimg.com/media/FhO-f5MXoA0rL8g.jpg", "http://pbs.twimg.com/media/FhO-f5MXoA0rL8g.jpg")</f>
        <v>http://pbs.twimg.com/media/FhO-f5MXoA0rL8g.jpg</v>
      </c>
      <c r="L43">
        <v>0.58589999999999998</v>
      </c>
      <c r="M43">
        <v>4.5999999999999999E-2</v>
      </c>
      <c r="N43">
        <v>0.79300000000000004</v>
      </c>
      <c r="O43">
        <v>0.161</v>
      </c>
    </row>
    <row r="44" spans="1:15" x14ac:dyDescent="0.2">
      <c r="A44" s="1" t="str">
        <f>HYPERLINK("http://www.twitter.com/banuakdenizli/status/1599138664579092480", "1599138664579092480")</f>
        <v>1599138664579092480</v>
      </c>
      <c r="B44" t="s">
        <v>15</v>
      </c>
      <c r="C44" s="2">
        <v>44898.853495370371</v>
      </c>
      <c r="D44">
        <v>1</v>
      </c>
      <c r="E44">
        <v>0</v>
      </c>
      <c r="G44" t="s">
        <v>65</v>
      </c>
      <c r="H44" t="str">
        <f>HYPERLINK("http://pbs.twimg.com/media/FjFII3QXwAAiVLG.jpg", "http://pbs.twimg.com/media/FjFII3QXwAAiVLG.jpg")</f>
        <v>http://pbs.twimg.com/media/FjFII3QXwAAiVLG.jpg</v>
      </c>
      <c r="I44" t="str">
        <f>HYPERLINK("http://pbs.twimg.com/media/FjFII3KWQAI5sUd.jpg", "http://pbs.twimg.com/media/FjFII3KWQAI5sUd.jpg")</f>
        <v>http://pbs.twimg.com/media/FjFII3KWQAI5sUd.jpg</v>
      </c>
      <c r="L44">
        <v>0</v>
      </c>
      <c r="M44">
        <v>0</v>
      </c>
      <c r="N44">
        <v>1</v>
      </c>
      <c r="O44">
        <v>0</v>
      </c>
    </row>
    <row r="45" spans="1:15" x14ac:dyDescent="0.2">
      <c r="A45" s="1" t="str">
        <f>HYPERLINK("http://www.twitter.com/banuakdenizli/status/1599138656404484096", "1599138656404484096")</f>
        <v>1599138656404484096</v>
      </c>
      <c r="B45" t="s">
        <v>15</v>
      </c>
      <c r="C45" s="2">
        <v>44898.853472222218</v>
      </c>
      <c r="D45">
        <v>3</v>
      </c>
      <c r="E45">
        <v>0</v>
      </c>
      <c r="G45" t="s">
        <v>66</v>
      </c>
      <c r="H45" t="str">
        <f>HYPERLINK("http://pbs.twimg.com/media/FjFIIaXXkAACwIu.jpg", "http://pbs.twimg.com/media/FjFIIaXXkAACwIu.jpg")</f>
        <v>http://pbs.twimg.com/media/FjFIIaXXkAACwIu.jpg</v>
      </c>
      <c r="I45" t="str">
        <f>HYPERLINK("http://pbs.twimg.com/media/FjFIIaWXkAEzlUc.jpg", "http://pbs.twimg.com/media/FjFIIaWXkAEzlUc.jpg")</f>
        <v>http://pbs.twimg.com/media/FjFIIaWXkAEzlUc.jpg</v>
      </c>
      <c r="J45" t="str">
        <f>HYPERLINK("http://pbs.twimg.com/media/FjFIIaRWQBcLdbl.jpg", "http://pbs.twimg.com/media/FjFIIaRWQBcLdbl.jpg")</f>
        <v>http://pbs.twimg.com/media/FjFIIaRWQBcLdbl.jpg</v>
      </c>
      <c r="K45" t="str">
        <f>HYPERLINK("http://pbs.twimg.com/media/FjFIIaMWIAgQeZ_.jpg", "http://pbs.twimg.com/media/FjFIIaMWIAgQeZ_.jpg")</f>
        <v>http://pbs.twimg.com/media/FjFIIaMWIAgQeZ_.jpg</v>
      </c>
      <c r="L45">
        <v>0</v>
      </c>
      <c r="M45">
        <v>0</v>
      </c>
      <c r="N45">
        <v>1</v>
      </c>
      <c r="O45">
        <v>0</v>
      </c>
    </row>
    <row r="46" spans="1:15" x14ac:dyDescent="0.2">
      <c r="A46" s="1" t="str">
        <f>HYPERLINK("http://www.twitter.com/banuakdenizli/status/1599138611798020096", "1599138611798020096")</f>
        <v>1599138611798020096</v>
      </c>
      <c r="B46" t="s">
        <v>15</v>
      </c>
      <c r="C46" s="2">
        <v>44898.853356481479</v>
      </c>
      <c r="D46">
        <v>1</v>
      </c>
      <c r="E46">
        <v>0</v>
      </c>
      <c r="G46" t="s">
        <v>67</v>
      </c>
      <c r="H46" t="str">
        <f>HYPERLINK("http://pbs.twimg.com/media/FjFIF2KXoAAx0Q-.jpg", "http://pbs.twimg.com/media/FjFIF2KXoAAx0Q-.jpg")</f>
        <v>http://pbs.twimg.com/media/FjFIF2KXoAAx0Q-.jpg</v>
      </c>
      <c r="I46" t="str">
        <f>HYPERLINK("http://pbs.twimg.com/media/FjFIF2OXEAI6DZ4.jpg", "http://pbs.twimg.com/media/FjFIF2OXEAI6DZ4.jpg")</f>
        <v>http://pbs.twimg.com/media/FjFIF2OXEAI6DZ4.jpg</v>
      </c>
      <c r="L46">
        <v>0</v>
      </c>
      <c r="M46">
        <v>0</v>
      </c>
      <c r="N46">
        <v>1</v>
      </c>
      <c r="O46">
        <v>0</v>
      </c>
    </row>
    <row r="47" spans="1:15" x14ac:dyDescent="0.2">
      <c r="A47" s="1" t="str">
        <f>HYPERLINK("http://www.twitter.com/banuakdenizli/status/1599138604907126784", "1599138604907126784")</f>
        <v>1599138604907126784</v>
      </c>
      <c r="B47" t="s">
        <v>15</v>
      </c>
      <c r="C47" s="2">
        <v>44898.853333333333</v>
      </c>
      <c r="D47">
        <v>1</v>
      </c>
      <c r="E47">
        <v>0</v>
      </c>
      <c r="G47" t="s">
        <v>68</v>
      </c>
      <c r="H47" t="str">
        <f>HYPERLINK("http://pbs.twimg.com/media/FjFIFZYWAAEPRLl.jpg", "http://pbs.twimg.com/media/FjFIFZYWAAEPRLl.jpg")</f>
        <v>http://pbs.twimg.com/media/FjFIFZYWAAEPRLl.jpg</v>
      </c>
      <c r="I47" t="str">
        <f>HYPERLINK("http://pbs.twimg.com/media/FjFIFZXXoAICyWb.jpg", "http://pbs.twimg.com/media/FjFIFZXXoAICyWb.jpg")</f>
        <v>http://pbs.twimg.com/media/FjFIFZXXoAICyWb.jpg</v>
      </c>
      <c r="J47" t="str">
        <f>HYPERLINK("http://pbs.twimg.com/media/FjFIFZeWIAEJd3Y.jpg", "http://pbs.twimg.com/media/FjFIFZeWIAEJd3Y.jpg")</f>
        <v>http://pbs.twimg.com/media/FjFIFZeWIAEJd3Y.jpg</v>
      </c>
      <c r="K47" t="str">
        <f>HYPERLINK("http://pbs.twimg.com/media/FjFIFZUWAAEEKQl.jpg", "http://pbs.twimg.com/media/FjFIFZUWAAEEKQl.jpg")</f>
        <v>http://pbs.twimg.com/media/FjFIFZUWAAEEKQl.jpg</v>
      </c>
      <c r="L47">
        <v>0</v>
      </c>
      <c r="M47">
        <v>0</v>
      </c>
      <c r="N47">
        <v>1</v>
      </c>
      <c r="O47">
        <v>0</v>
      </c>
    </row>
    <row r="48" spans="1:15" x14ac:dyDescent="0.2">
      <c r="A48" s="1" t="str">
        <f>HYPERLINK("http://www.twitter.com/banuakdenizli/status/1598605461049131008", "1598605461049131008")</f>
        <v>1598605461049131008</v>
      </c>
      <c r="B48" t="s">
        <v>15</v>
      </c>
      <c r="C48" s="2">
        <v>44897.382141203707</v>
      </c>
      <c r="D48">
        <v>3</v>
      </c>
      <c r="E48">
        <v>0</v>
      </c>
      <c r="G48" t="s">
        <v>69</v>
      </c>
      <c r="L48">
        <v>0</v>
      </c>
      <c r="M48">
        <v>0</v>
      </c>
      <c r="N48">
        <v>1</v>
      </c>
      <c r="O48">
        <v>0</v>
      </c>
    </row>
    <row r="49" spans="1:15" x14ac:dyDescent="0.2">
      <c r="A49" s="1" t="str">
        <f>HYPERLINK("http://www.twitter.com/banuakdenizli/status/1598604969938239489", "1598604969938239489")</f>
        <v>1598604969938239489</v>
      </c>
      <c r="B49" t="s">
        <v>15</v>
      </c>
      <c r="C49" s="2">
        <v>44897.380787037036</v>
      </c>
      <c r="D49">
        <v>0</v>
      </c>
      <c r="E49">
        <v>5</v>
      </c>
      <c r="F49" t="s">
        <v>70</v>
      </c>
      <c r="G49" t="s">
        <v>71</v>
      </c>
      <c r="H49" t="str">
        <f>HYPERLINK("https://video.twimg.com/amplify_video/1594600596018962433/vid/1280x720/FM1c0wzy_3YwW-FI.mp4?tag=14", "https://video.twimg.com/amplify_video/1594600596018962433/vid/1280x720/FM1c0wzy_3YwW-FI.mp4?tag=14")</f>
        <v>https://video.twimg.com/amplify_video/1594600596018962433/vid/1280x720/FM1c0wzy_3YwW-FI.mp4?tag=14</v>
      </c>
      <c r="L49">
        <v>0</v>
      </c>
      <c r="M49">
        <v>0</v>
      </c>
      <c r="N49">
        <v>1</v>
      </c>
      <c r="O49">
        <v>0</v>
      </c>
    </row>
    <row r="50" spans="1:15" x14ac:dyDescent="0.2">
      <c r="A50" s="1" t="str">
        <f>HYPERLINK("http://www.twitter.com/banuakdenizli/status/1598597833241657345", "1598597833241657345")</f>
        <v>1598597833241657345</v>
      </c>
      <c r="B50" t="s">
        <v>15</v>
      </c>
      <c r="C50" s="2">
        <v>44897.361087962963</v>
      </c>
      <c r="D50">
        <v>0</v>
      </c>
      <c r="E50">
        <v>1</v>
      </c>
      <c r="F50" t="s">
        <v>16</v>
      </c>
      <c r="G50" t="s">
        <v>72</v>
      </c>
      <c r="L50">
        <v>0.57189999999999996</v>
      </c>
      <c r="M50">
        <v>0</v>
      </c>
      <c r="N50">
        <v>0.89300000000000002</v>
      </c>
      <c r="O50">
        <v>0.107</v>
      </c>
    </row>
    <row r="51" spans="1:15" x14ac:dyDescent="0.2">
      <c r="A51" s="1" t="str">
        <f>HYPERLINK("http://www.twitter.com/banuakdenizli/status/1598597819711070209", "1598597819711070209")</f>
        <v>1598597819711070209</v>
      </c>
      <c r="B51" t="s">
        <v>15</v>
      </c>
      <c r="C51" s="2">
        <v>44897.36105324074</v>
      </c>
      <c r="D51">
        <v>0</v>
      </c>
      <c r="E51">
        <v>3</v>
      </c>
      <c r="F51" t="s">
        <v>16</v>
      </c>
      <c r="G51" t="s">
        <v>73</v>
      </c>
      <c r="H51" t="str">
        <f>HYPERLINK("http://pbs.twimg.com/media/Fiv1u5XWAAUyiKw.jpg", "http://pbs.twimg.com/media/Fiv1u5XWAAUyiKw.jpg")</f>
        <v>http://pbs.twimg.com/media/Fiv1u5XWAAUyiKw.jpg</v>
      </c>
      <c r="I51" t="str">
        <f>HYPERLINK("http://pbs.twimg.com/media/Fiv1u5KX0AAadZo.jpg", "http://pbs.twimg.com/media/Fiv1u5KX0AAadZo.jpg")</f>
        <v>http://pbs.twimg.com/media/Fiv1u5KX0AAadZo.jpg</v>
      </c>
      <c r="L51">
        <v>0.88829999999999998</v>
      </c>
      <c r="M51">
        <v>0</v>
      </c>
      <c r="N51">
        <v>0.78400000000000003</v>
      </c>
      <c r="O51">
        <v>0.216</v>
      </c>
    </row>
    <row r="52" spans="1:15" x14ac:dyDescent="0.2">
      <c r="A52" s="1" t="str">
        <f>HYPERLINK("http://www.twitter.com/banuakdenizli/status/1598597751658381312", "1598597751658381312")</f>
        <v>1598597751658381312</v>
      </c>
      <c r="B52" t="s">
        <v>15</v>
      </c>
      <c r="C52" s="2">
        <v>44897.360868055563</v>
      </c>
      <c r="D52">
        <v>0</v>
      </c>
      <c r="E52">
        <v>4</v>
      </c>
      <c r="F52" t="s">
        <v>18</v>
      </c>
      <c r="G52" t="s">
        <v>74</v>
      </c>
      <c r="H52" t="str">
        <f>HYPERLINK("http://pbs.twimg.com/media/Fi6avjCXgAoUAoW.jpg", "http://pbs.twimg.com/media/Fi6avjCXgAoUAoW.jpg")</f>
        <v>http://pbs.twimg.com/media/Fi6avjCXgAoUAoW.jpg</v>
      </c>
      <c r="L52">
        <v>0</v>
      </c>
      <c r="M52">
        <v>0</v>
      </c>
      <c r="N52">
        <v>1</v>
      </c>
      <c r="O52">
        <v>0</v>
      </c>
    </row>
    <row r="53" spans="1:15" x14ac:dyDescent="0.2">
      <c r="A53" s="1" t="str">
        <f>HYPERLINK("http://www.twitter.com/banuakdenizli/status/1598597743324401671", "1598597743324401671")</f>
        <v>1598597743324401671</v>
      </c>
      <c r="B53" t="s">
        <v>15</v>
      </c>
      <c r="C53" s="2">
        <v>44897.360844907409</v>
      </c>
      <c r="D53">
        <v>0</v>
      </c>
      <c r="E53">
        <v>2</v>
      </c>
      <c r="F53" t="s">
        <v>18</v>
      </c>
      <c r="G53" t="s">
        <v>75</v>
      </c>
      <c r="H53" t="str">
        <f>HYPERLINK("http://pbs.twimg.com/media/FizQY-lWQAA06YN.jpg", "http://pbs.twimg.com/media/FizQY-lWQAA06YN.jpg")</f>
        <v>http://pbs.twimg.com/media/FizQY-lWQAA06YN.jpg</v>
      </c>
      <c r="L53">
        <v>0</v>
      </c>
      <c r="M53">
        <v>0</v>
      </c>
      <c r="N53">
        <v>1</v>
      </c>
      <c r="O53">
        <v>0</v>
      </c>
    </row>
    <row r="54" spans="1:15" x14ac:dyDescent="0.2">
      <c r="A54" s="1" t="str">
        <f>HYPERLINK("http://www.twitter.com/banuakdenizli/status/1598597732465201153", "1598597732465201153")</f>
        <v>1598597732465201153</v>
      </c>
      <c r="B54" t="s">
        <v>15</v>
      </c>
      <c r="C54" s="2">
        <v>44897.360810185193</v>
      </c>
      <c r="D54">
        <v>0</v>
      </c>
      <c r="E54">
        <v>4</v>
      </c>
      <c r="F54" t="s">
        <v>18</v>
      </c>
      <c r="G54" t="s">
        <v>76</v>
      </c>
      <c r="H54" t="str">
        <f>HYPERLINK("http://pbs.twimg.com/media/FizPI5JWQAEQOFW.jpg", "http://pbs.twimg.com/media/FizPI5JWQAEQOFW.jpg")</f>
        <v>http://pbs.twimg.com/media/FizPI5JWQAEQOFW.jpg</v>
      </c>
      <c r="L54">
        <v>0</v>
      </c>
      <c r="M54">
        <v>0</v>
      </c>
      <c r="N54">
        <v>1</v>
      </c>
      <c r="O54">
        <v>0</v>
      </c>
    </row>
    <row r="55" spans="1:15" x14ac:dyDescent="0.2">
      <c r="A55" s="1" t="str">
        <f>HYPERLINK("http://www.twitter.com/banuakdenizli/status/1598597723418112002", "1598597723418112002")</f>
        <v>1598597723418112002</v>
      </c>
      <c r="B55" t="s">
        <v>15</v>
      </c>
      <c r="C55" s="2">
        <v>44897.36078703704</v>
      </c>
      <c r="D55">
        <v>0</v>
      </c>
      <c r="E55">
        <v>5</v>
      </c>
      <c r="F55" t="s">
        <v>18</v>
      </c>
      <c r="G55" t="s">
        <v>77</v>
      </c>
      <c r="H55" t="str">
        <f>HYPERLINK("http://pbs.twimg.com/media/FizNvHCWQAAy7Is.jpg", "http://pbs.twimg.com/media/FizNvHCWQAAy7Is.jpg")</f>
        <v>http://pbs.twimg.com/media/FizNvHCWQAAy7Is.jpg</v>
      </c>
      <c r="L55">
        <v>0.34</v>
      </c>
      <c r="M55">
        <v>0</v>
      </c>
      <c r="N55">
        <v>0.94699999999999995</v>
      </c>
      <c r="O55">
        <v>5.2999999999999999E-2</v>
      </c>
    </row>
    <row r="56" spans="1:15" x14ac:dyDescent="0.2">
      <c r="A56" s="1" t="str">
        <f>HYPERLINK("http://www.twitter.com/banuakdenizli/status/1598597715214356480", "1598597715214356480")</f>
        <v>1598597715214356480</v>
      </c>
      <c r="B56" t="s">
        <v>15</v>
      </c>
      <c r="C56" s="2">
        <v>44897.360763888893</v>
      </c>
      <c r="D56">
        <v>0</v>
      </c>
      <c r="E56">
        <v>3</v>
      </c>
      <c r="F56" t="s">
        <v>18</v>
      </c>
      <c r="G56" t="s">
        <v>78</v>
      </c>
      <c r="H56" t="str">
        <f>HYPERLINK("http://pbs.twimg.com/media/FizMh1qXgAAFJ5M.jpg", "http://pbs.twimg.com/media/FizMh1qXgAAFJ5M.jpg")</f>
        <v>http://pbs.twimg.com/media/FizMh1qXgAAFJ5M.jpg</v>
      </c>
      <c r="L56">
        <v>0</v>
      </c>
      <c r="M56">
        <v>0</v>
      </c>
      <c r="N56">
        <v>1</v>
      </c>
      <c r="O56">
        <v>0</v>
      </c>
    </row>
    <row r="57" spans="1:15" x14ac:dyDescent="0.2">
      <c r="A57" s="1" t="str">
        <f>HYPERLINK("http://www.twitter.com/banuakdenizli/status/1598597705919496192", "1598597705919496192")</f>
        <v>1598597705919496192</v>
      </c>
      <c r="B57" t="s">
        <v>15</v>
      </c>
      <c r="C57" s="2">
        <v>44897.36074074074</v>
      </c>
      <c r="D57">
        <v>0</v>
      </c>
      <c r="E57">
        <v>17</v>
      </c>
      <c r="F57" t="s">
        <v>79</v>
      </c>
      <c r="G57" t="s">
        <v>80</v>
      </c>
      <c r="H57" t="str">
        <f>HYPERLINK("https://video.twimg.com/ext_tw_video/1597568121761632258/pu/vid/720x1280/s16Na4N09MSKtmiO.mp4?tag=12", "https://video.twimg.com/ext_tw_video/1597568121761632258/pu/vid/720x1280/s16Na4N09MSKtmiO.mp4?tag=12")</f>
        <v>https://video.twimg.com/ext_tw_video/1597568121761632258/pu/vid/720x1280/s16Na4N09MSKtmiO.mp4?tag=12</v>
      </c>
      <c r="L57">
        <v>-0.29599999999999999</v>
      </c>
      <c r="M57">
        <v>4.5999999999999999E-2</v>
      </c>
      <c r="N57">
        <v>0.95399999999999996</v>
      </c>
      <c r="O57">
        <v>0</v>
      </c>
    </row>
    <row r="58" spans="1:15" x14ac:dyDescent="0.2">
      <c r="A58" s="1" t="str">
        <f>HYPERLINK("http://www.twitter.com/banuakdenizli/status/1598597560054140928", "1598597560054140928")</f>
        <v>1598597560054140928</v>
      </c>
      <c r="B58" t="s">
        <v>15</v>
      </c>
      <c r="C58" s="2">
        <v>44897.360335648147</v>
      </c>
      <c r="D58">
        <v>0</v>
      </c>
      <c r="E58">
        <v>28</v>
      </c>
      <c r="F58" t="s">
        <v>17</v>
      </c>
      <c r="G58" t="s">
        <v>81</v>
      </c>
      <c r="L58">
        <v>0</v>
      </c>
      <c r="M58">
        <v>0</v>
      </c>
      <c r="N58">
        <v>1</v>
      </c>
      <c r="O58">
        <v>0</v>
      </c>
    </row>
    <row r="59" spans="1:15" x14ac:dyDescent="0.2">
      <c r="A59" s="1" t="str">
        <f>HYPERLINK("http://www.twitter.com/banuakdenizli/status/1598597543167868928", "1598597543167868928")</f>
        <v>1598597543167868928</v>
      </c>
      <c r="B59" t="s">
        <v>15</v>
      </c>
      <c r="C59" s="2">
        <v>44897.360289351847</v>
      </c>
      <c r="D59">
        <v>0</v>
      </c>
      <c r="E59">
        <v>43</v>
      </c>
      <c r="F59" t="s">
        <v>17</v>
      </c>
      <c r="G59" t="s">
        <v>82</v>
      </c>
      <c r="L59">
        <v>0</v>
      </c>
      <c r="M59">
        <v>0</v>
      </c>
      <c r="N59">
        <v>1</v>
      </c>
      <c r="O59">
        <v>0</v>
      </c>
    </row>
    <row r="60" spans="1:15" x14ac:dyDescent="0.2">
      <c r="A60" s="1" t="str">
        <f>HYPERLINK("http://www.twitter.com/banuakdenizli/status/1598320641798803456", "1598320641798803456")</f>
        <v>1598320641798803456</v>
      </c>
      <c r="B60" t="s">
        <v>15</v>
      </c>
      <c r="C60" s="2">
        <v>44896.596192129633</v>
      </c>
      <c r="D60">
        <v>0</v>
      </c>
      <c r="E60">
        <v>15</v>
      </c>
      <c r="F60" t="s">
        <v>17</v>
      </c>
      <c r="G60" t="s">
        <v>83</v>
      </c>
      <c r="H60" t="str">
        <f>HYPERLINK("http://pbs.twimg.com/media/Fi5d1MWWAAAOQPt.jpg", "http://pbs.twimg.com/media/Fi5d1MWWAAAOQPt.jpg")</f>
        <v>http://pbs.twimg.com/media/Fi5d1MWWAAAOQPt.jpg</v>
      </c>
      <c r="L60">
        <v>0</v>
      </c>
      <c r="M60">
        <v>0</v>
      </c>
      <c r="N60">
        <v>1</v>
      </c>
      <c r="O60">
        <v>0</v>
      </c>
    </row>
    <row r="61" spans="1:15" x14ac:dyDescent="0.2">
      <c r="A61" s="1" t="str">
        <f>HYPERLINK("http://www.twitter.com/banuakdenizli/status/1597844363002150912", "1597844363002150912")</f>
        <v>1597844363002150912</v>
      </c>
      <c r="B61" t="s">
        <v>15</v>
      </c>
      <c r="C61" s="2">
        <v>44895.281909722216</v>
      </c>
      <c r="D61">
        <v>0</v>
      </c>
      <c r="E61">
        <v>26</v>
      </c>
      <c r="F61" t="s">
        <v>17</v>
      </c>
      <c r="G61" t="s">
        <v>84</v>
      </c>
      <c r="H61" t="str">
        <f>HYPERLINK("http://pbs.twimg.com/media/FiwqGTZX0AMgI_Q.jpg", "http://pbs.twimg.com/media/FiwqGTZX0AMgI_Q.jpg")</f>
        <v>http://pbs.twimg.com/media/FiwqGTZX0AMgI_Q.jpg</v>
      </c>
      <c r="L61">
        <v>0</v>
      </c>
      <c r="M61">
        <v>0</v>
      </c>
      <c r="N61">
        <v>1</v>
      </c>
      <c r="O61">
        <v>0</v>
      </c>
    </row>
    <row r="62" spans="1:15" x14ac:dyDescent="0.2">
      <c r="A62" s="1" t="str">
        <f>HYPERLINK("http://www.twitter.com/banuakdenizli/status/1597844312225501185", "1597844312225501185")</f>
        <v>1597844312225501185</v>
      </c>
      <c r="B62" t="s">
        <v>15</v>
      </c>
      <c r="C62" s="2">
        <v>44895.281770833331</v>
      </c>
      <c r="D62">
        <v>0</v>
      </c>
      <c r="E62">
        <v>29</v>
      </c>
      <c r="F62" t="s">
        <v>17</v>
      </c>
      <c r="G62" t="s">
        <v>85</v>
      </c>
      <c r="H62" t="str">
        <f>HYPERLINK("https://video.twimg.com/ext_tw_video/1597665299947556866/pu/vid/720x1280/c_fApjNYNtGVqCJL.mp4?tag=12", "https://video.twimg.com/ext_tw_video/1597665299947556866/pu/vid/720x1280/c_fApjNYNtGVqCJL.mp4?tag=12")</f>
        <v>https://video.twimg.com/ext_tw_video/1597665299947556866/pu/vid/720x1280/c_fApjNYNtGVqCJL.mp4?tag=12</v>
      </c>
      <c r="L62">
        <v>0</v>
      </c>
      <c r="M62">
        <v>0</v>
      </c>
      <c r="N62">
        <v>1</v>
      </c>
      <c r="O62">
        <v>0</v>
      </c>
    </row>
    <row r="63" spans="1:15" x14ac:dyDescent="0.2">
      <c r="A63" s="1" t="str">
        <f>HYPERLINK("http://www.twitter.com/banuakdenizli/status/1597844290063200256", "1597844290063200256")</f>
        <v>1597844290063200256</v>
      </c>
      <c r="B63" t="s">
        <v>15</v>
      </c>
      <c r="C63" s="2">
        <v>44895.281701388893</v>
      </c>
      <c r="D63">
        <v>0</v>
      </c>
      <c r="E63">
        <v>66</v>
      </c>
      <c r="F63" t="s">
        <v>17</v>
      </c>
      <c r="G63" t="s">
        <v>86</v>
      </c>
      <c r="H63" t="str">
        <f>HYPERLINK("http://pbs.twimg.com/media/Fiv2el3WIAMAH_p.jpg", "http://pbs.twimg.com/media/Fiv2el3WIAMAH_p.jpg")</f>
        <v>http://pbs.twimg.com/media/Fiv2el3WIAMAH_p.jpg</v>
      </c>
      <c r="L63">
        <v>0</v>
      </c>
      <c r="M63">
        <v>0</v>
      </c>
      <c r="N63">
        <v>1</v>
      </c>
      <c r="O63">
        <v>0</v>
      </c>
    </row>
    <row r="64" spans="1:15" x14ac:dyDescent="0.2">
      <c r="A64" s="1" t="str">
        <f>HYPERLINK("http://www.twitter.com/banuakdenizli/status/1597844251609812992", "1597844251609812992")</f>
        <v>1597844251609812992</v>
      </c>
      <c r="B64" t="s">
        <v>15</v>
      </c>
      <c r="C64" s="2">
        <v>44895.281597222223</v>
      </c>
      <c r="D64">
        <v>0</v>
      </c>
      <c r="E64">
        <v>9</v>
      </c>
      <c r="F64" t="s">
        <v>17</v>
      </c>
      <c r="G64" t="s">
        <v>87</v>
      </c>
      <c r="H64" t="str">
        <f>HYPERLINK("https://video.twimg.com/amplify_video/1597591288668631040/vid/720x1280/wAPKBkz-3dmi1c0N.mp4?tag=14", "https://video.twimg.com/amplify_video/1597591288668631040/vid/720x1280/wAPKBkz-3dmi1c0N.mp4?tag=14")</f>
        <v>https://video.twimg.com/amplify_video/1597591288668631040/vid/720x1280/wAPKBkz-3dmi1c0N.mp4?tag=14</v>
      </c>
      <c r="L64">
        <v>0</v>
      </c>
      <c r="M64">
        <v>0</v>
      </c>
      <c r="N64">
        <v>1</v>
      </c>
      <c r="O64">
        <v>0</v>
      </c>
    </row>
    <row r="65" spans="1:15" x14ac:dyDescent="0.2">
      <c r="A65" s="1" t="str">
        <f>HYPERLINK("http://www.twitter.com/banuakdenizli/status/1597167357260333056", "1597167357260333056")</f>
        <v>1597167357260333056</v>
      </c>
      <c r="B65" t="s">
        <v>15</v>
      </c>
      <c r="C65" s="2">
        <v>44893.413726851853</v>
      </c>
      <c r="D65">
        <v>0</v>
      </c>
      <c r="E65">
        <v>5</v>
      </c>
      <c r="F65" t="s">
        <v>18</v>
      </c>
      <c r="G65" t="s">
        <v>88</v>
      </c>
      <c r="H65" t="str">
        <f>HYPERLINK("http://pbs.twimg.com/media/FikQ0p9XgAcLspk.jpg", "http://pbs.twimg.com/media/FikQ0p9XgAcLspk.jpg")</f>
        <v>http://pbs.twimg.com/media/FikQ0p9XgAcLspk.jpg</v>
      </c>
      <c r="L65">
        <v>0</v>
      </c>
      <c r="M65">
        <v>0</v>
      </c>
      <c r="N65">
        <v>1</v>
      </c>
      <c r="O65">
        <v>0</v>
      </c>
    </row>
    <row r="66" spans="1:15" x14ac:dyDescent="0.2">
      <c r="A66" s="1" t="str">
        <f>HYPERLINK("http://www.twitter.com/banuakdenizli/status/1597167317082730497", "1597167317082730497")</f>
        <v>1597167317082730497</v>
      </c>
      <c r="B66" t="s">
        <v>15</v>
      </c>
      <c r="C66" s="2">
        <v>44893.413611111107</v>
      </c>
      <c r="D66">
        <v>0</v>
      </c>
      <c r="E66">
        <v>9</v>
      </c>
      <c r="F66" t="s">
        <v>16</v>
      </c>
      <c r="G66" t="s">
        <v>89</v>
      </c>
      <c r="H66" t="str">
        <f>HYPERLINK("https://video.twimg.com/ext_tw_video/1596192176664444928/pu/vid/720x900/iKZGqWiK-V-YUa7L.mp4?tag=12", "https://video.twimg.com/ext_tw_video/1596192176664444928/pu/vid/720x900/iKZGqWiK-V-YUa7L.mp4?tag=12")</f>
        <v>https://video.twimg.com/ext_tw_video/1596192176664444928/pu/vid/720x900/iKZGqWiK-V-YUa7L.mp4?tag=12</v>
      </c>
      <c r="L66">
        <v>0.61240000000000006</v>
      </c>
      <c r="M66">
        <v>0</v>
      </c>
      <c r="N66">
        <v>0.88200000000000001</v>
      </c>
      <c r="O66">
        <v>0.11799999999999999</v>
      </c>
    </row>
    <row r="67" spans="1:15" x14ac:dyDescent="0.2">
      <c r="A67" s="1" t="str">
        <f>HYPERLINK("http://www.twitter.com/banuakdenizli/status/1597167270287273984", "1597167270287273984")</f>
        <v>1597167270287273984</v>
      </c>
      <c r="B67" t="s">
        <v>15</v>
      </c>
      <c r="C67" s="2">
        <v>44893.413483796299</v>
      </c>
      <c r="D67">
        <v>0</v>
      </c>
      <c r="E67">
        <v>5</v>
      </c>
      <c r="F67" t="s">
        <v>16</v>
      </c>
      <c r="G67" t="s">
        <v>90</v>
      </c>
      <c r="H67" t="str">
        <f>HYPERLINK("https://video.twimg.com/ext_tw_video/1594743387000815617/pu/vid/606x1080/wi7MOaF_aCAGaQOO.mp4?tag=12", "https://video.twimg.com/ext_tw_video/1594743387000815617/pu/vid/606x1080/wi7MOaF_aCAGaQOO.mp4?tag=12")</f>
        <v>https://video.twimg.com/ext_tw_video/1594743387000815617/pu/vid/606x1080/wi7MOaF_aCAGaQOO.mp4?tag=12</v>
      </c>
      <c r="L67">
        <v>0.58589999999999998</v>
      </c>
      <c r="M67">
        <v>0</v>
      </c>
      <c r="N67">
        <v>0.88500000000000001</v>
      </c>
      <c r="O67">
        <v>0.115</v>
      </c>
    </row>
    <row r="68" spans="1:15" x14ac:dyDescent="0.2">
      <c r="A68" s="1" t="str">
        <f>HYPERLINK("http://www.twitter.com/banuakdenizli/status/1597167248996978688", "1597167248996978688")</f>
        <v>1597167248996978688</v>
      </c>
      <c r="B68" t="s">
        <v>15</v>
      </c>
      <c r="C68" s="2">
        <v>44893.413425925923</v>
      </c>
      <c r="D68">
        <v>0</v>
      </c>
      <c r="E68">
        <v>9</v>
      </c>
      <c r="F68" t="s">
        <v>16</v>
      </c>
      <c r="G68" t="s">
        <v>91</v>
      </c>
      <c r="H68" t="str">
        <f>HYPERLINK("https://video.twimg.com/ext_tw_video/1594577183619665920/pu/vid/720x900/Ny-y25zTtdr1Ib-m.mp4?tag=12", "https://video.twimg.com/ext_tw_video/1594577183619665920/pu/vid/720x900/Ny-y25zTtdr1Ib-m.mp4?tag=12")</f>
        <v>https://video.twimg.com/ext_tw_video/1594577183619665920/pu/vid/720x900/Ny-y25zTtdr1Ib-m.mp4?tag=12</v>
      </c>
      <c r="L68">
        <v>0.94930000000000003</v>
      </c>
      <c r="M68">
        <v>0</v>
      </c>
      <c r="N68">
        <v>0.59499999999999997</v>
      </c>
      <c r="O68">
        <v>0.40500000000000003</v>
      </c>
    </row>
    <row r="69" spans="1:15" x14ac:dyDescent="0.2">
      <c r="A69" s="1" t="str">
        <f>HYPERLINK("http://www.twitter.com/banuakdenizli/status/1597167162728517632", "1597167162728517632")</f>
        <v>1597167162728517632</v>
      </c>
      <c r="B69" t="s">
        <v>15</v>
      </c>
      <c r="C69" s="2">
        <v>44893.413194444453</v>
      </c>
      <c r="D69">
        <v>0</v>
      </c>
      <c r="E69">
        <v>15</v>
      </c>
      <c r="F69" t="s">
        <v>17</v>
      </c>
      <c r="G69" t="s">
        <v>92</v>
      </c>
      <c r="H69" t="str">
        <f>HYPERLINK("https://video.twimg.com/amplify_video/1597162088798904321/vid/720x1280/JkUlLaIyDa7r-SB7.mp4?tag=14", "https://video.twimg.com/amplify_video/1597162088798904321/vid/720x1280/JkUlLaIyDa7r-SB7.mp4?tag=14")</f>
        <v>https://video.twimg.com/amplify_video/1597162088798904321/vid/720x1280/JkUlLaIyDa7r-SB7.mp4?tag=14</v>
      </c>
      <c r="L69">
        <v>0</v>
      </c>
      <c r="M69">
        <v>0</v>
      </c>
      <c r="N69">
        <v>1</v>
      </c>
      <c r="O69">
        <v>0</v>
      </c>
    </row>
    <row r="70" spans="1:15" x14ac:dyDescent="0.2">
      <c r="A70" s="1" t="str">
        <f>HYPERLINK("http://www.twitter.com/banuakdenizli/status/1597167151512969217", "1597167151512969217")</f>
        <v>1597167151512969217</v>
      </c>
      <c r="B70" t="s">
        <v>15</v>
      </c>
      <c r="C70" s="2">
        <v>44893.413159722222</v>
      </c>
      <c r="D70">
        <v>0</v>
      </c>
      <c r="E70">
        <v>12</v>
      </c>
      <c r="F70" t="s">
        <v>17</v>
      </c>
      <c r="G70" t="s">
        <v>93</v>
      </c>
      <c r="H70" t="str">
        <f>HYPERLINK("http://pbs.twimg.com/media/Fio2EiPXEAAXrYu.jpg", "http://pbs.twimg.com/media/Fio2EiPXEAAXrYu.jpg")</f>
        <v>http://pbs.twimg.com/media/Fio2EiPXEAAXrYu.jpg</v>
      </c>
      <c r="I70" t="str">
        <f>HYPERLINK("http://pbs.twimg.com/media/Fio2EiKXkAA1_Iw.jpg", "http://pbs.twimg.com/media/Fio2EiKXkAA1_Iw.jpg")</f>
        <v>http://pbs.twimg.com/media/Fio2EiKXkAA1_Iw.jpg</v>
      </c>
      <c r="J70" t="str">
        <f>HYPERLINK("http://pbs.twimg.com/media/Fio2EiRWAAAV5oi.jpg", "http://pbs.twimg.com/media/Fio2EiRWAAAV5oi.jpg")</f>
        <v>http://pbs.twimg.com/media/Fio2EiRWAAAV5oi.jpg</v>
      </c>
      <c r="K70" t="str">
        <f>HYPERLINK("http://pbs.twimg.com/media/Fio2EiLXEAA9Aa1.jpg", "http://pbs.twimg.com/media/Fio2EiLXEAA9Aa1.jpg")</f>
        <v>http://pbs.twimg.com/media/Fio2EiLXEAA9Aa1.jpg</v>
      </c>
      <c r="L70">
        <v>0</v>
      </c>
      <c r="M70">
        <v>0</v>
      </c>
      <c r="N70">
        <v>1</v>
      </c>
      <c r="O70">
        <v>0</v>
      </c>
    </row>
    <row r="71" spans="1:15" x14ac:dyDescent="0.2">
      <c r="A71" s="1" t="str">
        <f>HYPERLINK("http://www.twitter.com/banuakdenizli/status/1597167140968181760", "1597167140968181760")</f>
        <v>1597167140968181760</v>
      </c>
      <c r="B71" t="s">
        <v>15</v>
      </c>
      <c r="C71" s="2">
        <v>44893.413124999999</v>
      </c>
      <c r="D71">
        <v>0</v>
      </c>
      <c r="E71">
        <v>5</v>
      </c>
      <c r="F71" t="s">
        <v>17</v>
      </c>
      <c r="G71" t="s">
        <v>94</v>
      </c>
      <c r="H71" t="str">
        <f>HYPERLINK("http://pbs.twimg.com/media/Fio2KyQUAAECnHG.jpg", "http://pbs.twimg.com/media/Fio2KyQUAAECnHG.jpg")</f>
        <v>http://pbs.twimg.com/media/Fio2KyQUAAECnHG.jpg</v>
      </c>
      <c r="L71">
        <v>0.67049999999999998</v>
      </c>
      <c r="M71">
        <v>0</v>
      </c>
      <c r="N71">
        <v>0.52200000000000002</v>
      </c>
      <c r="O71">
        <v>0.47799999999999998</v>
      </c>
    </row>
    <row r="72" spans="1:15" x14ac:dyDescent="0.2">
      <c r="A72" s="1" t="str">
        <f>HYPERLINK("http://www.twitter.com/banuakdenizli/status/1597167129287020544", "1597167129287020544")</f>
        <v>1597167129287020544</v>
      </c>
      <c r="B72" t="s">
        <v>15</v>
      </c>
      <c r="C72" s="2">
        <v>44893.413101851853</v>
      </c>
      <c r="D72">
        <v>0</v>
      </c>
      <c r="E72">
        <v>10</v>
      </c>
      <c r="F72" t="s">
        <v>17</v>
      </c>
      <c r="G72" t="s">
        <v>95</v>
      </c>
      <c r="H72" t="str">
        <f>HYPERLINK("https://video.twimg.com/ext_tw_video/1597040925259321345/pu/vid/720x1280/iPfuntw3YRLhlDFN.mp4?tag=12", "https://video.twimg.com/ext_tw_video/1597040925259321345/pu/vid/720x1280/iPfuntw3YRLhlDFN.mp4?tag=12")</f>
        <v>https://video.twimg.com/ext_tw_video/1597040925259321345/pu/vid/720x1280/iPfuntw3YRLhlDFN.mp4?tag=12</v>
      </c>
      <c r="L72">
        <v>0</v>
      </c>
      <c r="M72">
        <v>0</v>
      </c>
      <c r="N72">
        <v>1</v>
      </c>
      <c r="O72">
        <v>0</v>
      </c>
    </row>
    <row r="73" spans="1:15" x14ac:dyDescent="0.2">
      <c r="A73" s="1" t="str">
        <f>HYPERLINK("http://www.twitter.com/banuakdenizli/status/1597167115705778178", "1597167115705778178")</f>
        <v>1597167115705778178</v>
      </c>
      <c r="B73" t="s">
        <v>15</v>
      </c>
      <c r="C73" s="2">
        <v>44893.413055555553</v>
      </c>
      <c r="D73">
        <v>0</v>
      </c>
      <c r="E73">
        <v>15</v>
      </c>
      <c r="F73" t="s">
        <v>17</v>
      </c>
      <c r="G73" t="s">
        <v>96</v>
      </c>
      <c r="H73" t="str">
        <f>HYPERLINK("https://video.twimg.com/ext_tw_video/1596995418092625920/pu/vid/720x1280/qnnDhoTPQDTLkC7o.mp4?tag=12", "https://video.twimg.com/ext_tw_video/1596995418092625920/pu/vid/720x1280/qnnDhoTPQDTLkC7o.mp4?tag=12")</f>
        <v>https://video.twimg.com/ext_tw_video/1596995418092625920/pu/vid/720x1280/qnnDhoTPQDTLkC7o.mp4?tag=12</v>
      </c>
      <c r="L73">
        <v>0</v>
      </c>
      <c r="M73">
        <v>0</v>
      </c>
      <c r="N73">
        <v>1</v>
      </c>
      <c r="O73">
        <v>0</v>
      </c>
    </row>
    <row r="74" spans="1:15" x14ac:dyDescent="0.2">
      <c r="A74" s="1" t="str">
        <f>HYPERLINK("http://www.twitter.com/banuakdenizli/status/1597167107887988736", "1597167107887988736")</f>
        <v>1597167107887988736</v>
      </c>
      <c r="B74" t="s">
        <v>15</v>
      </c>
      <c r="C74" s="2">
        <v>44893.413043981483</v>
      </c>
      <c r="D74">
        <v>0</v>
      </c>
      <c r="E74">
        <v>13</v>
      </c>
      <c r="F74" t="s">
        <v>17</v>
      </c>
      <c r="G74" t="s">
        <v>97</v>
      </c>
      <c r="H74" t="str">
        <f>HYPERLINK("http://pbs.twimg.com/media/FimZrTvXEAEF2Qo.jpg", "http://pbs.twimg.com/media/FimZrTvXEAEF2Qo.jpg")</f>
        <v>http://pbs.twimg.com/media/FimZrTvXEAEF2Qo.jpg</v>
      </c>
      <c r="I74" t="str">
        <f>HYPERLINK("http://pbs.twimg.com/media/FimZrTwXkAMjqWZ.jpg", "http://pbs.twimg.com/media/FimZrTwXkAMjqWZ.jpg")</f>
        <v>http://pbs.twimg.com/media/FimZrTwXkAMjqWZ.jpg</v>
      </c>
      <c r="J74" t="str">
        <f>HYPERLINK("http://pbs.twimg.com/media/FimZrTtXgAATTkL.jpg", "http://pbs.twimg.com/media/FimZrTtXgAATTkL.jpg")</f>
        <v>http://pbs.twimg.com/media/FimZrTtXgAATTkL.jpg</v>
      </c>
      <c r="K74" t="str">
        <f>HYPERLINK("http://pbs.twimg.com/media/FimZrTxWYAg6Mop.jpg", "http://pbs.twimg.com/media/FimZrTxWYAg6Mop.jpg")</f>
        <v>http://pbs.twimg.com/media/FimZrTxWYAg6Mop.jpg</v>
      </c>
      <c r="L74">
        <v>0</v>
      </c>
      <c r="M74">
        <v>0</v>
      </c>
      <c r="N74">
        <v>1</v>
      </c>
      <c r="O74">
        <v>0</v>
      </c>
    </row>
    <row r="75" spans="1:15" x14ac:dyDescent="0.2">
      <c r="A75" s="1" t="str">
        <f>HYPERLINK("http://www.twitter.com/banuakdenizli/status/1597167098580455426", "1597167098580455426")</f>
        <v>1597167098580455426</v>
      </c>
      <c r="B75" t="s">
        <v>15</v>
      </c>
      <c r="C75" s="2">
        <v>44893.41300925926</v>
      </c>
      <c r="D75">
        <v>0</v>
      </c>
      <c r="E75">
        <v>60</v>
      </c>
      <c r="F75" t="s">
        <v>17</v>
      </c>
      <c r="G75" t="s">
        <v>98</v>
      </c>
      <c r="H75" t="str">
        <f>HYPERLINK("http://pbs.twimg.com/media/FimT8HjUAAEWagr.jpg", "http://pbs.twimg.com/media/FimT8HjUAAEWagr.jpg")</f>
        <v>http://pbs.twimg.com/media/FimT8HjUAAEWagr.jpg</v>
      </c>
      <c r="L75">
        <v>0</v>
      </c>
      <c r="M75">
        <v>0</v>
      </c>
      <c r="N75">
        <v>1</v>
      </c>
      <c r="O75">
        <v>0</v>
      </c>
    </row>
    <row r="76" spans="1:15" x14ac:dyDescent="0.2">
      <c r="A76" s="1" t="str">
        <f>HYPERLINK("http://www.twitter.com/banuakdenizli/status/1597167087499165696", "1597167087499165696")</f>
        <v>1597167087499165696</v>
      </c>
      <c r="B76" t="s">
        <v>15</v>
      </c>
      <c r="C76" s="2">
        <v>44893.412986111107</v>
      </c>
      <c r="D76">
        <v>0</v>
      </c>
      <c r="E76">
        <v>33</v>
      </c>
      <c r="F76" t="s">
        <v>17</v>
      </c>
      <c r="G76" t="s">
        <v>99</v>
      </c>
      <c r="H76" t="str">
        <f>HYPERLINK("http://pbs.twimg.com/media/FimT8HkUoAEYR9z.jpg", "http://pbs.twimg.com/media/FimT8HkUoAEYR9z.jpg")</f>
        <v>http://pbs.twimg.com/media/FimT8HkUoAEYR9z.jpg</v>
      </c>
      <c r="L76">
        <v>0</v>
      </c>
      <c r="M76">
        <v>0</v>
      </c>
      <c r="N76">
        <v>1</v>
      </c>
      <c r="O76">
        <v>0</v>
      </c>
    </row>
    <row r="77" spans="1:15" x14ac:dyDescent="0.2">
      <c r="A77" s="1" t="str">
        <f>HYPERLINK("http://www.twitter.com/banuakdenizli/status/1597167073255641088", "1597167073255641088")</f>
        <v>1597167073255641088</v>
      </c>
      <c r="B77" t="s">
        <v>15</v>
      </c>
      <c r="C77" s="2">
        <v>44893.412939814807</v>
      </c>
      <c r="D77">
        <v>0</v>
      </c>
      <c r="E77">
        <v>9</v>
      </c>
      <c r="F77" t="s">
        <v>17</v>
      </c>
      <c r="G77" t="s">
        <v>100</v>
      </c>
      <c r="H77" t="str">
        <f>HYPERLINK("https://video.twimg.com/amplify_video/1596968065702371330/vid/720x1280/ZOqOLRoQRgyrAGYy.mp4?tag=14", "https://video.twimg.com/amplify_video/1596968065702371330/vid/720x1280/ZOqOLRoQRgyrAGYy.mp4?tag=14")</f>
        <v>https://video.twimg.com/amplify_video/1596968065702371330/vid/720x1280/ZOqOLRoQRgyrAGYy.mp4?tag=14</v>
      </c>
      <c r="L77">
        <v>0</v>
      </c>
      <c r="M77">
        <v>0</v>
      </c>
      <c r="N77">
        <v>1</v>
      </c>
      <c r="O77">
        <v>0</v>
      </c>
    </row>
    <row r="78" spans="1:15" x14ac:dyDescent="0.2">
      <c r="A78" s="1" t="str">
        <f>HYPERLINK("http://www.twitter.com/banuakdenizli/status/1596935247211692032", "1596935247211692032")</f>
        <v>1596935247211692032</v>
      </c>
      <c r="B78" t="s">
        <v>15</v>
      </c>
      <c r="C78" s="2">
        <v>44892.773229166669</v>
      </c>
      <c r="D78">
        <v>0</v>
      </c>
      <c r="E78">
        <v>16</v>
      </c>
      <c r="F78" t="s">
        <v>101</v>
      </c>
      <c r="G78" t="s">
        <v>102</v>
      </c>
      <c r="H78" t="str">
        <f>HYPERLINK("http://pbs.twimg.com/media/FilLsKOWYAQsiqs.jpg", "http://pbs.twimg.com/media/FilLsKOWYAQsiqs.jpg")</f>
        <v>http://pbs.twimg.com/media/FilLsKOWYAQsiqs.jpg</v>
      </c>
      <c r="L78">
        <v>0</v>
      </c>
      <c r="M78">
        <v>0</v>
      </c>
      <c r="N78">
        <v>1</v>
      </c>
      <c r="O78">
        <v>0</v>
      </c>
    </row>
    <row r="79" spans="1:15" x14ac:dyDescent="0.2">
      <c r="A79" s="1" t="str">
        <f>HYPERLINK("http://www.twitter.com/banuakdenizli/status/1596629548304588801", "1596629548304588801")</f>
        <v>1596629548304588801</v>
      </c>
      <c r="B79" t="s">
        <v>15</v>
      </c>
      <c r="C79" s="2">
        <v>44891.929652777777</v>
      </c>
      <c r="D79">
        <v>0</v>
      </c>
      <c r="E79">
        <v>167</v>
      </c>
      <c r="F79" t="s">
        <v>17</v>
      </c>
      <c r="G79" t="s">
        <v>103</v>
      </c>
      <c r="H79" t="str">
        <f>HYPERLINK("http://pbs.twimg.com/media/FihQdkwXwAAto_a.jpg", "http://pbs.twimg.com/media/FihQdkwXwAAto_a.jpg")</f>
        <v>http://pbs.twimg.com/media/FihQdkwXwAAto_a.jpg</v>
      </c>
      <c r="L79">
        <v>0</v>
      </c>
      <c r="M79">
        <v>0</v>
      </c>
      <c r="N79">
        <v>1</v>
      </c>
      <c r="O79">
        <v>0</v>
      </c>
    </row>
    <row r="80" spans="1:15" x14ac:dyDescent="0.2">
      <c r="A80" s="1" t="str">
        <f>HYPERLINK("http://www.twitter.com/banuakdenizli/status/1595793250853523456", "1595793250853523456")</f>
        <v>1595793250853523456</v>
      </c>
      <c r="B80" t="s">
        <v>15</v>
      </c>
      <c r="C80" s="2">
        <v>44889.621921296297</v>
      </c>
      <c r="D80">
        <v>0</v>
      </c>
      <c r="E80">
        <v>31</v>
      </c>
      <c r="F80" t="s">
        <v>17</v>
      </c>
      <c r="G80" t="s">
        <v>104</v>
      </c>
      <c r="H80" t="str">
        <f>HYPERLINK("http://pbs.twimg.com/media/FiVj6UrUcAEi2lX.jpg", "http://pbs.twimg.com/media/FiVj6UrUcAEi2lX.jpg")</f>
        <v>http://pbs.twimg.com/media/FiVj6UrUcAEi2lX.jpg</v>
      </c>
      <c r="L80">
        <v>-0.72629999999999995</v>
      </c>
      <c r="M80">
        <v>0.17899999999999999</v>
      </c>
      <c r="N80">
        <v>0.82099999999999995</v>
      </c>
      <c r="O80">
        <v>0</v>
      </c>
    </row>
    <row r="81" spans="1:15" x14ac:dyDescent="0.2">
      <c r="A81" s="1" t="str">
        <f>HYPERLINK("http://www.twitter.com/banuakdenizli/status/1595757985103765505", "1595757985103765505")</f>
        <v>1595757985103765505</v>
      </c>
      <c r="B81" t="s">
        <v>15</v>
      </c>
      <c r="C81" s="2">
        <v>44889.524606481478</v>
      </c>
      <c r="D81">
        <v>0</v>
      </c>
      <c r="E81">
        <v>174</v>
      </c>
      <c r="F81" t="s">
        <v>105</v>
      </c>
      <c r="G81" t="s">
        <v>106</v>
      </c>
      <c r="H81" t="str">
        <f>HYPERLINK("http://pbs.twimg.com/media/FiUrlayXkAEsyeM.jpg", "http://pbs.twimg.com/media/FiUrlayXkAEsyeM.jpg")</f>
        <v>http://pbs.twimg.com/media/FiUrlayXkAEsyeM.jpg</v>
      </c>
      <c r="L81">
        <v>0.34</v>
      </c>
      <c r="M81">
        <v>0</v>
      </c>
      <c r="N81">
        <v>0.93</v>
      </c>
      <c r="O81">
        <v>7.0000000000000007E-2</v>
      </c>
    </row>
    <row r="82" spans="1:15" x14ac:dyDescent="0.2">
      <c r="A82" s="1" t="str">
        <f>HYPERLINK("http://www.twitter.com/banuakdenizli/status/1595757975871823879", "1595757975871823879")</f>
        <v>1595757975871823879</v>
      </c>
      <c r="B82" t="s">
        <v>15</v>
      </c>
      <c r="C82" s="2">
        <v>44889.524571759262</v>
      </c>
      <c r="D82">
        <v>0</v>
      </c>
      <c r="E82">
        <v>121</v>
      </c>
      <c r="F82" t="s">
        <v>105</v>
      </c>
      <c r="G82" t="s">
        <v>107</v>
      </c>
      <c r="H82" t="str">
        <f>HYPERLINK("http://pbs.twimg.com/media/FiUcITEVUAA79DS.jpg", "http://pbs.twimg.com/media/FiUcITEVUAA79DS.jpg")</f>
        <v>http://pbs.twimg.com/media/FiUcITEVUAA79DS.jpg</v>
      </c>
      <c r="I82" t="str">
        <f>HYPERLINK("http://pbs.twimg.com/media/FiUcO9AXgAA2tkI.jpg", "http://pbs.twimg.com/media/FiUcO9AXgAA2tkI.jpg")</f>
        <v>http://pbs.twimg.com/media/FiUcO9AXgAA2tkI.jpg</v>
      </c>
      <c r="J82" t="str">
        <f>HYPERLINK("http://pbs.twimg.com/media/FiUcQfzXkAIvZ-V.jpg", "http://pbs.twimg.com/media/FiUcQfzXkAIvZ-V.jpg")</f>
        <v>http://pbs.twimg.com/media/FiUcQfzXkAIvZ-V.jpg</v>
      </c>
      <c r="K82" t="str">
        <f>HYPERLINK("http://pbs.twimg.com/media/FiUcSWVXoAErFmG.jpg", "http://pbs.twimg.com/media/FiUcSWVXoAErFmG.jpg")</f>
        <v>http://pbs.twimg.com/media/FiUcSWVXoAErFmG.jpg</v>
      </c>
      <c r="L82">
        <v>0.34</v>
      </c>
      <c r="M82">
        <v>0</v>
      </c>
      <c r="N82">
        <v>0.86199999999999999</v>
      </c>
      <c r="O82">
        <v>0.13800000000000001</v>
      </c>
    </row>
    <row r="83" spans="1:15" x14ac:dyDescent="0.2">
      <c r="A83" s="1" t="str">
        <f>HYPERLINK("http://www.twitter.com/banuakdenizli/status/1595757953877151745", "1595757953877151745")</f>
        <v>1595757953877151745</v>
      </c>
      <c r="B83" t="s">
        <v>15</v>
      </c>
      <c r="C83" s="2">
        <v>44889.524513888893</v>
      </c>
      <c r="D83">
        <v>0</v>
      </c>
      <c r="E83">
        <v>332</v>
      </c>
      <c r="F83" t="s">
        <v>105</v>
      </c>
      <c r="G83" t="s">
        <v>108</v>
      </c>
      <c r="H83" t="str">
        <f>HYPERLINK("http://pbs.twimg.com/media/FiRVQipXEAsKxjv.jpg", "http://pbs.twimg.com/media/FiRVQipXEAsKxjv.jpg")</f>
        <v>http://pbs.twimg.com/media/FiRVQipXEAsKxjv.jpg</v>
      </c>
      <c r="I83" t="str">
        <f>HYPERLINK("http://pbs.twimg.com/media/FiRVQiqXkAAILLT.jpg", "http://pbs.twimg.com/media/FiRVQiqXkAAILLT.jpg")</f>
        <v>http://pbs.twimg.com/media/FiRVQiqXkAAILLT.jpg</v>
      </c>
      <c r="J83" t="str">
        <f>HYPERLINK("http://pbs.twimg.com/media/FiRVQiwXkAEbc3W.jpg", "http://pbs.twimg.com/media/FiRVQiwXkAEbc3W.jpg")</f>
        <v>http://pbs.twimg.com/media/FiRVQiwXkAEbc3W.jpg</v>
      </c>
      <c r="K83" t="str">
        <f>HYPERLINK("http://pbs.twimg.com/media/FiRVQiOXEAo7SXX.jpg", "http://pbs.twimg.com/media/FiRVQiOXEAo7SXX.jpg")</f>
        <v>http://pbs.twimg.com/media/FiRVQiOXEAo7SXX.jpg</v>
      </c>
      <c r="L83">
        <v>0</v>
      </c>
      <c r="M83">
        <v>0</v>
      </c>
      <c r="N83">
        <v>1</v>
      </c>
      <c r="O83">
        <v>0</v>
      </c>
    </row>
    <row r="84" spans="1:15" x14ac:dyDescent="0.2">
      <c r="A84" s="1" t="str">
        <f>HYPERLINK("http://www.twitter.com/banuakdenizli/status/1595757943471108098", "1595757943471108098")</f>
        <v>1595757943471108098</v>
      </c>
      <c r="B84" t="s">
        <v>15</v>
      </c>
      <c r="C84" s="2">
        <v>44889.52449074074</v>
      </c>
      <c r="D84">
        <v>0</v>
      </c>
      <c r="E84">
        <v>420</v>
      </c>
      <c r="F84" t="s">
        <v>105</v>
      </c>
      <c r="G84" t="s">
        <v>109</v>
      </c>
      <c r="H84" t="str">
        <f>HYPERLINK("https://video.twimg.com/amplify_video/1595487058008555520/vid/720x1280/6FMJ8xewZBOrPwLB.mp4?tag=14", "https://video.twimg.com/amplify_video/1595487058008555520/vid/720x1280/6FMJ8xewZBOrPwLB.mp4?tag=14")</f>
        <v>https://video.twimg.com/amplify_video/1595487058008555520/vid/720x1280/6FMJ8xewZBOrPwLB.mp4?tag=14</v>
      </c>
      <c r="L84">
        <v>0.34</v>
      </c>
      <c r="M84">
        <v>0</v>
      </c>
      <c r="N84">
        <v>0.90200000000000002</v>
      </c>
      <c r="O84">
        <v>9.8000000000000004E-2</v>
      </c>
    </row>
    <row r="85" spans="1:15" x14ac:dyDescent="0.2">
      <c r="A85" s="1" t="str">
        <f>HYPERLINK("http://www.twitter.com/banuakdenizli/status/1595752374131376128", "1595752374131376128")</f>
        <v>1595752374131376128</v>
      </c>
      <c r="B85" t="s">
        <v>15</v>
      </c>
      <c r="C85" s="2">
        <v>44889.509120370371</v>
      </c>
      <c r="D85">
        <v>4</v>
      </c>
      <c r="E85">
        <v>1</v>
      </c>
      <c r="G85" t="s">
        <v>110</v>
      </c>
      <c r="L85">
        <v>0</v>
      </c>
      <c r="M85">
        <v>0</v>
      </c>
      <c r="N85">
        <v>1</v>
      </c>
      <c r="O85">
        <v>0</v>
      </c>
    </row>
    <row r="86" spans="1:15" x14ac:dyDescent="0.2">
      <c r="A86" s="1" t="str">
        <f>HYPERLINK("http://www.twitter.com/banuakdenizli/status/1595704438723084288", "1595704438723084288")</f>
        <v>1595704438723084288</v>
      </c>
      <c r="B86" t="s">
        <v>15</v>
      </c>
      <c r="C86" s="2">
        <v>44889.376840277779</v>
      </c>
      <c r="D86">
        <v>0</v>
      </c>
      <c r="E86">
        <v>6</v>
      </c>
      <c r="F86" t="s">
        <v>16</v>
      </c>
      <c r="G86" t="s">
        <v>111</v>
      </c>
      <c r="H86" t="str">
        <f>HYPERLINK("https://video.twimg.com/ext_tw_video/1595464312814014467/pu/vid/720x900/YYKmYw4KIsKJlMiI.mp4?tag=12", "https://video.twimg.com/ext_tw_video/1595464312814014467/pu/vid/720x900/YYKmYw4KIsKJlMiI.mp4?tag=12")</f>
        <v>https://video.twimg.com/ext_tw_video/1595464312814014467/pu/vid/720x900/YYKmYw4KIsKJlMiI.mp4?tag=12</v>
      </c>
      <c r="L86">
        <v>0.38179999999999997</v>
      </c>
      <c r="M86">
        <v>0</v>
      </c>
      <c r="N86">
        <v>0.89400000000000002</v>
      </c>
      <c r="O86">
        <v>0.106</v>
      </c>
    </row>
    <row r="87" spans="1:15" x14ac:dyDescent="0.2">
      <c r="A87" s="1" t="str">
        <f>HYPERLINK("http://www.twitter.com/banuakdenizli/status/1595704375132946432", "1595704375132946432")</f>
        <v>1595704375132946432</v>
      </c>
      <c r="B87" t="s">
        <v>15</v>
      </c>
      <c r="C87" s="2">
        <v>44889.376666666663</v>
      </c>
      <c r="D87">
        <v>0</v>
      </c>
      <c r="E87">
        <v>149</v>
      </c>
      <c r="F87" t="s">
        <v>17</v>
      </c>
      <c r="G87" t="s">
        <v>112</v>
      </c>
      <c r="H87" t="str">
        <f>HYPERLINK("http://pbs.twimg.com/media/FiRcSOMakAAvHDz.jpg", "http://pbs.twimg.com/media/FiRcSOMakAAvHDz.jpg")</f>
        <v>http://pbs.twimg.com/media/FiRcSOMakAAvHDz.jpg</v>
      </c>
      <c r="L87">
        <v>0</v>
      </c>
      <c r="M87">
        <v>0</v>
      </c>
      <c r="N87">
        <v>1</v>
      </c>
      <c r="O87">
        <v>0</v>
      </c>
    </row>
    <row r="88" spans="1:15" x14ac:dyDescent="0.2">
      <c r="A88" s="1" t="str">
        <f>HYPERLINK("http://www.twitter.com/banuakdenizli/status/1595704365406629888", "1595704365406629888")</f>
        <v>1595704365406629888</v>
      </c>
      <c r="B88" t="s">
        <v>15</v>
      </c>
      <c r="C88" s="2">
        <v>44889.376643518517</v>
      </c>
      <c r="D88">
        <v>0</v>
      </c>
      <c r="E88">
        <v>53</v>
      </c>
      <c r="F88" t="s">
        <v>17</v>
      </c>
      <c r="G88" t="s">
        <v>113</v>
      </c>
      <c r="H88" t="str">
        <f>HYPERLINK("http://pbs.twimg.com/media/FiRbgHIVIAANI2P.jpg", "http://pbs.twimg.com/media/FiRbgHIVIAANI2P.jpg")</f>
        <v>http://pbs.twimg.com/media/FiRbgHIVIAANI2P.jpg</v>
      </c>
      <c r="L88">
        <v>0</v>
      </c>
      <c r="M88">
        <v>0</v>
      </c>
      <c r="N88">
        <v>1</v>
      </c>
      <c r="O88">
        <v>0</v>
      </c>
    </row>
    <row r="89" spans="1:15" x14ac:dyDescent="0.2">
      <c r="A89" s="1" t="str">
        <f>HYPERLINK("http://www.twitter.com/banuakdenizli/status/1595704355960852480", "1595704355960852480")</f>
        <v>1595704355960852480</v>
      </c>
      <c r="B89" t="s">
        <v>15</v>
      </c>
      <c r="C89" s="2">
        <v>44889.376608796287</v>
      </c>
      <c r="D89">
        <v>0</v>
      </c>
      <c r="E89">
        <v>34</v>
      </c>
      <c r="F89" t="s">
        <v>17</v>
      </c>
      <c r="G89" t="s">
        <v>114</v>
      </c>
      <c r="H89" t="str">
        <f>HYPERLINK("http://pbs.twimg.com/media/FiRuWHcUoAA2pQr.jpg", "http://pbs.twimg.com/media/FiRuWHcUoAA2pQr.jpg")</f>
        <v>http://pbs.twimg.com/media/FiRuWHcUoAA2pQr.jpg</v>
      </c>
      <c r="L89">
        <v>0</v>
      </c>
      <c r="M89">
        <v>0</v>
      </c>
      <c r="N89">
        <v>1</v>
      </c>
      <c r="O89">
        <v>0</v>
      </c>
    </row>
    <row r="90" spans="1:15" x14ac:dyDescent="0.2">
      <c r="A90" s="1" t="str">
        <f>HYPERLINK("http://www.twitter.com/banuakdenizli/status/1595704342786588673", "1595704342786588673")</f>
        <v>1595704342786588673</v>
      </c>
      <c r="B90" t="s">
        <v>15</v>
      </c>
      <c r="C90" s="2">
        <v>44889.376574074071</v>
      </c>
      <c r="D90">
        <v>0</v>
      </c>
      <c r="E90">
        <v>21</v>
      </c>
      <c r="F90" t="s">
        <v>17</v>
      </c>
      <c r="G90" t="s">
        <v>115</v>
      </c>
      <c r="H90" t="str">
        <f>HYPERLINK("http://pbs.twimg.com/media/FiRuLkDUAAAZZft.jpg", "http://pbs.twimg.com/media/FiRuLkDUAAAZZft.jpg")</f>
        <v>http://pbs.twimg.com/media/FiRuLkDUAAAZZft.jpg</v>
      </c>
      <c r="L90">
        <v>0</v>
      </c>
      <c r="M90">
        <v>0</v>
      </c>
      <c r="N90">
        <v>1</v>
      </c>
      <c r="O90">
        <v>0</v>
      </c>
    </row>
    <row r="91" spans="1:15" x14ac:dyDescent="0.2">
      <c r="A91" s="1" t="str">
        <f>HYPERLINK("http://www.twitter.com/banuakdenizli/status/1595704329247358976", "1595704329247358976")</f>
        <v>1595704329247358976</v>
      </c>
      <c r="B91" t="s">
        <v>15</v>
      </c>
      <c r="C91" s="2">
        <v>44889.376539351862</v>
      </c>
      <c r="D91">
        <v>0</v>
      </c>
      <c r="E91">
        <v>59</v>
      </c>
      <c r="F91" t="s">
        <v>17</v>
      </c>
      <c r="G91" t="s">
        <v>116</v>
      </c>
      <c r="H91" t="str">
        <f>HYPERLINK("https://video.twimg.com/ext_tw_video/1595508786608934943/pu/vid/720x1280/vi0JvG0AclUsgNp9.mp4?tag=12", "https://video.twimg.com/ext_tw_video/1595508786608934943/pu/vid/720x1280/vi0JvG0AclUsgNp9.mp4?tag=12")</f>
        <v>https://video.twimg.com/ext_tw_video/1595508786608934943/pu/vid/720x1280/vi0JvG0AclUsgNp9.mp4?tag=12</v>
      </c>
      <c r="L91">
        <v>0</v>
      </c>
      <c r="M91">
        <v>0</v>
      </c>
      <c r="N91">
        <v>1</v>
      </c>
      <c r="O91">
        <v>0</v>
      </c>
    </row>
    <row r="92" spans="1:15" x14ac:dyDescent="0.2">
      <c r="A92" s="1" t="str">
        <f>HYPERLINK("http://www.twitter.com/banuakdenizli/status/1595704315901104129", "1595704315901104129")</f>
        <v>1595704315901104129</v>
      </c>
      <c r="B92" t="s">
        <v>15</v>
      </c>
      <c r="C92" s="2">
        <v>44889.376504629632</v>
      </c>
      <c r="D92">
        <v>0</v>
      </c>
      <c r="E92">
        <v>35</v>
      </c>
      <c r="F92" t="s">
        <v>17</v>
      </c>
      <c r="G92" t="s">
        <v>117</v>
      </c>
      <c r="H92" t="str">
        <f>HYPERLINK("http://pbs.twimg.com/media/FiRcHp1X0AIqB9u.jpg", "http://pbs.twimg.com/media/FiRcHp1X0AIqB9u.jpg")</f>
        <v>http://pbs.twimg.com/media/FiRcHp1X0AIqB9u.jpg</v>
      </c>
      <c r="L92">
        <v>0</v>
      </c>
      <c r="M92">
        <v>0</v>
      </c>
      <c r="N92">
        <v>1</v>
      </c>
      <c r="O92">
        <v>0</v>
      </c>
    </row>
    <row r="93" spans="1:15" x14ac:dyDescent="0.2">
      <c r="A93" s="1" t="str">
        <f>HYPERLINK("http://www.twitter.com/banuakdenizli/status/1595488966911967252", "1595488966911967252")</f>
        <v>1595488966911967252</v>
      </c>
      <c r="B93" t="s">
        <v>15</v>
      </c>
      <c r="C93" s="2">
        <v>44888.782256944447</v>
      </c>
      <c r="D93">
        <v>0</v>
      </c>
      <c r="E93">
        <v>51</v>
      </c>
      <c r="F93" t="s">
        <v>17</v>
      </c>
      <c r="G93" t="s">
        <v>118</v>
      </c>
      <c r="H93" t="str">
        <f>HYPERLINK("http://pbs.twimg.com/media/FiQ0xs6UcAk6G_K.jpg", "http://pbs.twimg.com/media/FiQ0xs6UcAk6G_K.jpg")</f>
        <v>http://pbs.twimg.com/media/FiQ0xs6UcAk6G_K.jpg</v>
      </c>
      <c r="L93">
        <v>0</v>
      </c>
      <c r="M93">
        <v>0</v>
      </c>
      <c r="N93">
        <v>1</v>
      </c>
      <c r="O93">
        <v>0</v>
      </c>
    </row>
    <row r="94" spans="1:15" x14ac:dyDescent="0.2">
      <c r="A94" s="1" t="str">
        <f>HYPERLINK("http://www.twitter.com/banuakdenizli/status/1595488847441412097", "1595488847441412097")</f>
        <v>1595488847441412097</v>
      </c>
      <c r="B94" t="s">
        <v>15</v>
      </c>
      <c r="C94" s="2">
        <v>44888.781921296293</v>
      </c>
      <c r="D94">
        <v>0</v>
      </c>
      <c r="E94">
        <v>78</v>
      </c>
      <c r="F94" t="s">
        <v>17</v>
      </c>
      <c r="G94" t="s">
        <v>119</v>
      </c>
      <c r="H94" t="str">
        <f>HYPERLINK("http://pbs.twimg.com/media/FiROGH5XwBouaGT.jpg", "http://pbs.twimg.com/media/FiROGH5XwBouaGT.jpg")</f>
        <v>http://pbs.twimg.com/media/FiROGH5XwBouaGT.jpg</v>
      </c>
      <c r="L94">
        <v>0.34</v>
      </c>
      <c r="M94">
        <v>0</v>
      </c>
      <c r="N94">
        <v>0.92600000000000005</v>
      </c>
      <c r="O94">
        <v>7.3999999999999996E-2</v>
      </c>
    </row>
    <row r="95" spans="1:15" x14ac:dyDescent="0.2">
      <c r="A95" s="1" t="str">
        <f>HYPERLINK("http://www.twitter.com/banuakdenizli/status/1595479096049692673", "1595479096049692673")</f>
        <v>1595479096049692673</v>
      </c>
      <c r="B95" t="s">
        <v>15</v>
      </c>
      <c r="C95" s="2">
        <v>44888.755011574067</v>
      </c>
      <c r="D95">
        <v>0</v>
      </c>
      <c r="E95">
        <v>181</v>
      </c>
      <c r="F95" t="s">
        <v>105</v>
      </c>
      <c r="G95" t="s">
        <v>120</v>
      </c>
      <c r="H95" t="str">
        <f>HYPERLINK("http://pbs.twimg.com/media/FiQy8jLXkAgaboy.jpg", "http://pbs.twimg.com/media/FiQy8jLXkAgaboy.jpg")</f>
        <v>http://pbs.twimg.com/media/FiQy8jLXkAgaboy.jpg</v>
      </c>
      <c r="I95" t="str">
        <f>HYPERLINK("http://pbs.twimg.com/media/FiQy8jKXgAEZ79K.jpg", "http://pbs.twimg.com/media/FiQy8jKXgAEZ79K.jpg")</f>
        <v>http://pbs.twimg.com/media/FiQy8jKXgAEZ79K.jpg</v>
      </c>
      <c r="J95" t="str">
        <f>HYPERLINK("http://pbs.twimg.com/media/FiQy8isWQAMQNPm.jpg", "http://pbs.twimg.com/media/FiQy8isWQAMQNPm.jpg")</f>
        <v>http://pbs.twimg.com/media/FiQy8isWQAMQNPm.jpg</v>
      </c>
      <c r="K95" t="str">
        <f>HYPERLINK("http://pbs.twimg.com/media/FiQy8jOWQAA1IfM.jpg", "http://pbs.twimg.com/media/FiQy8jOWQAA1IfM.jpg")</f>
        <v>http://pbs.twimg.com/media/FiQy8jOWQAA1IfM.jpg</v>
      </c>
      <c r="L95">
        <v>0</v>
      </c>
      <c r="M95">
        <v>0</v>
      </c>
      <c r="N95">
        <v>1</v>
      </c>
      <c r="O95">
        <v>0</v>
      </c>
    </row>
    <row r="96" spans="1:15" x14ac:dyDescent="0.2">
      <c r="A96" s="1" t="str">
        <f>HYPERLINK("http://www.twitter.com/banuakdenizli/status/1595033349168693249", "1595033349168693249")</f>
        <v>1595033349168693249</v>
      </c>
      <c r="B96" t="s">
        <v>15</v>
      </c>
      <c r="C96" s="2">
        <v>44887.524988425917</v>
      </c>
      <c r="D96">
        <v>1</v>
      </c>
      <c r="E96">
        <v>0</v>
      </c>
      <c r="G96" t="s">
        <v>121</v>
      </c>
      <c r="H96" t="str">
        <f>HYPERLINK("http://pbs.twimg.com/media/FiKyX_AX0AEJ_xx.jpg", "http://pbs.twimg.com/media/FiKyX_AX0AEJ_xx.jpg")</f>
        <v>http://pbs.twimg.com/media/FiKyX_AX0AEJ_xx.jpg</v>
      </c>
      <c r="I96" t="str">
        <f>HYPERLINK("http://pbs.twimg.com/media/FiKyX_EXgAEOhs_.jpg", "http://pbs.twimg.com/media/FiKyX_EXgAEOhs_.jpg")</f>
        <v>http://pbs.twimg.com/media/FiKyX_EXgAEOhs_.jpg</v>
      </c>
      <c r="J96" t="str">
        <f>HYPERLINK("http://pbs.twimg.com/media/FiKyX_HX0AEPtJk.jpg", "http://pbs.twimg.com/media/FiKyX_HX0AEPtJk.jpg")</f>
        <v>http://pbs.twimg.com/media/FiKyX_HX0AEPtJk.jpg</v>
      </c>
      <c r="K96" t="str">
        <f>HYPERLINK("http://pbs.twimg.com/media/FiKyX-_XkAEz-58.jpg", "http://pbs.twimg.com/media/FiKyX-_XkAEz-58.jpg")</f>
        <v>http://pbs.twimg.com/media/FiKyX-_XkAEz-58.jpg</v>
      </c>
      <c r="L96">
        <v>0</v>
      </c>
      <c r="M96">
        <v>0</v>
      </c>
      <c r="N96">
        <v>1</v>
      </c>
      <c r="O96">
        <v>0</v>
      </c>
    </row>
    <row r="97" spans="1:15" x14ac:dyDescent="0.2">
      <c r="A97" s="1" t="str">
        <f>HYPERLINK("http://www.twitter.com/banuakdenizli/status/1595033321968467968", "1595033321968467968")</f>
        <v>1595033321968467968</v>
      </c>
      <c r="B97" t="s">
        <v>15</v>
      </c>
      <c r="C97" s="2">
        <v>44887.524907407409</v>
      </c>
      <c r="D97">
        <v>3</v>
      </c>
      <c r="E97">
        <v>0</v>
      </c>
      <c r="G97" t="s">
        <v>122</v>
      </c>
      <c r="H97" t="str">
        <f>HYPERLINK("http://pbs.twimg.com/media/FiKyWeIXkAEbDIj.jpg", "http://pbs.twimg.com/media/FiKyWeIXkAEbDIj.jpg")</f>
        <v>http://pbs.twimg.com/media/FiKyWeIXkAEbDIj.jpg</v>
      </c>
      <c r="I97" t="str">
        <f>HYPERLINK("http://pbs.twimg.com/media/FiKyWeNWQAEeG2E.jpg", "http://pbs.twimg.com/media/FiKyWeNWQAEeG2E.jpg")</f>
        <v>http://pbs.twimg.com/media/FiKyWeNWQAEeG2E.jpg</v>
      </c>
      <c r="J97" t="str">
        <f>HYPERLINK("http://pbs.twimg.com/media/FiKyWeNWYAwae0O.jpg", "http://pbs.twimg.com/media/FiKyWeNWYAwae0O.jpg")</f>
        <v>http://pbs.twimg.com/media/FiKyWeNWYAwae0O.jpg</v>
      </c>
      <c r="K97" t="str">
        <f>HYPERLINK("http://pbs.twimg.com/media/FiKyWeNXkAIuNCJ.jpg", "http://pbs.twimg.com/media/FiKyWeNXkAIuNCJ.jpg")</f>
        <v>http://pbs.twimg.com/media/FiKyWeNXkAIuNCJ.jpg</v>
      </c>
      <c r="L97">
        <v>0</v>
      </c>
      <c r="M97">
        <v>0</v>
      </c>
      <c r="N97">
        <v>1</v>
      </c>
      <c r="O97">
        <v>0</v>
      </c>
    </row>
    <row r="98" spans="1:15" x14ac:dyDescent="0.2">
      <c r="A98" s="1" t="str">
        <f>HYPERLINK("http://www.twitter.com/banuakdenizli/status/1595033313777192960", "1595033313777192960")</f>
        <v>1595033313777192960</v>
      </c>
      <c r="B98" t="s">
        <v>15</v>
      </c>
      <c r="C98" s="2">
        <v>44887.524884259263</v>
      </c>
      <c r="D98">
        <v>4</v>
      </c>
      <c r="E98">
        <v>0</v>
      </c>
      <c r="G98" t="s">
        <v>123</v>
      </c>
      <c r="L98">
        <v>0</v>
      </c>
      <c r="M98">
        <v>0</v>
      </c>
      <c r="N98">
        <v>1</v>
      </c>
      <c r="O98">
        <v>0</v>
      </c>
    </row>
    <row r="99" spans="1:15" x14ac:dyDescent="0.2">
      <c r="A99" s="1" t="str">
        <f>HYPERLINK("http://www.twitter.com/banuakdenizli/status/1595031388788559872", "1595031388788559872")</f>
        <v>1595031388788559872</v>
      </c>
      <c r="B99" t="s">
        <v>15</v>
      </c>
      <c r="C99" s="2">
        <v>44887.519571759258</v>
      </c>
      <c r="D99">
        <v>1</v>
      </c>
      <c r="E99">
        <v>0</v>
      </c>
      <c r="G99" t="s">
        <v>124</v>
      </c>
      <c r="H99" t="str">
        <f>HYPERLINK("http://pbs.twimg.com/media/FiKwl-YX0AAjvsy.jpg", "http://pbs.twimg.com/media/FiKwl-YX0AAjvsy.jpg")</f>
        <v>http://pbs.twimg.com/media/FiKwl-YX0AAjvsy.jpg</v>
      </c>
      <c r="I99" t="str">
        <f>HYPERLINK("http://pbs.twimg.com/media/FiKwl-XWAAEJBp9.jpg", "http://pbs.twimg.com/media/FiKwl-XWAAEJBp9.jpg")</f>
        <v>http://pbs.twimg.com/media/FiKwl-XWAAEJBp9.jpg</v>
      </c>
      <c r="J99" t="str">
        <f>HYPERLINK("http://pbs.twimg.com/media/FiKwl-gXEAArm3O.jpg", "http://pbs.twimg.com/media/FiKwl-gXEAArm3O.jpg")</f>
        <v>http://pbs.twimg.com/media/FiKwl-gXEAArm3O.jpg</v>
      </c>
      <c r="K99" t="str">
        <f>HYPERLINK("http://pbs.twimg.com/media/FiKwl-aWYAE98SB.jpg", "http://pbs.twimg.com/media/FiKwl-aWYAE98SB.jpg")</f>
        <v>http://pbs.twimg.com/media/FiKwl-aWYAE98SB.jpg</v>
      </c>
      <c r="L99">
        <v>0</v>
      </c>
      <c r="M99">
        <v>0</v>
      </c>
      <c r="N99">
        <v>1</v>
      </c>
      <c r="O99">
        <v>0</v>
      </c>
    </row>
    <row r="100" spans="1:15" x14ac:dyDescent="0.2">
      <c r="A100" s="1" t="str">
        <f>HYPERLINK("http://www.twitter.com/banuakdenizli/status/1595031381003980804", "1595031381003980804")</f>
        <v>1595031381003980804</v>
      </c>
      <c r="B100" t="s">
        <v>15</v>
      </c>
      <c r="C100" s="2">
        <v>44887.519560185188</v>
      </c>
      <c r="D100">
        <v>2</v>
      </c>
      <c r="E100">
        <v>0</v>
      </c>
      <c r="G100" t="s">
        <v>125</v>
      </c>
      <c r="H100" t="str">
        <f>HYPERLINK("http://pbs.twimg.com/media/FiKwleYXoAIf5Cg.jpg", "http://pbs.twimg.com/media/FiKwleYXoAIf5Cg.jpg")</f>
        <v>http://pbs.twimg.com/media/FiKwleYXoAIf5Cg.jpg</v>
      </c>
      <c r="I100" t="str">
        <f>HYPERLINK("http://pbs.twimg.com/media/FiKwleiWYAgDv8O.jpg", "http://pbs.twimg.com/media/FiKwleiWYAgDv8O.jpg")</f>
        <v>http://pbs.twimg.com/media/FiKwleiWYAgDv8O.jpg</v>
      </c>
      <c r="J100" t="str">
        <f>HYPERLINK("http://pbs.twimg.com/media/FiKwlecXkAI0ZGe.jpg", "http://pbs.twimg.com/media/FiKwlecXkAI0ZGe.jpg")</f>
        <v>http://pbs.twimg.com/media/FiKwlecXkAI0ZGe.jpg</v>
      </c>
      <c r="K100" t="str">
        <f>HYPERLINK("http://pbs.twimg.com/media/FiKwleZWYAAUF0U.jpg", "http://pbs.twimg.com/media/FiKwleZWYAAUF0U.jpg")</f>
        <v>http://pbs.twimg.com/media/FiKwleZWYAAUF0U.jpg</v>
      </c>
      <c r="L100">
        <v>0</v>
      </c>
      <c r="M100">
        <v>0</v>
      </c>
      <c r="N100">
        <v>1</v>
      </c>
      <c r="O100">
        <v>0</v>
      </c>
    </row>
    <row r="101" spans="1:15" x14ac:dyDescent="0.2">
      <c r="A101" s="1" t="str">
        <f>HYPERLINK("http://www.twitter.com/banuakdenizli/status/1594680848674070530", "1594680848674070530")</f>
        <v>1594680848674070530</v>
      </c>
      <c r="B101" t="s">
        <v>15</v>
      </c>
      <c r="C101" s="2">
        <v>44886.552268518521</v>
      </c>
      <c r="D101">
        <v>0</v>
      </c>
      <c r="E101">
        <v>32</v>
      </c>
      <c r="F101" t="s">
        <v>17</v>
      </c>
      <c r="G101" t="s">
        <v>126</v>
      </c>
      <c r="H101" t="str">
        <f>HYPERLINK("https://video.twimg.com/amplify_video/1586456249985830913/vid/720x720/1gqBD8lk6uZohvo2.mp4?tag=14", "https://video.twimg.com/amplify_video/1586456249985830913/vid/720x720/1gqBD8lk6uZohvo2.mp4?tag=14")</f>
        <v>https://video.twimg.com/amplify_video/1586456249985830913/vid/720x720/1gqBD8lk6uZohvo2.mp4?tag=14</v>
      </c>
      <c r="L101">
        <v>0</v>
      </c>
      <c r="M101">
        <v>0</v>
      </c>
      <c r="N101">
        <v>1</v>
      </c>
      <c r="O101">
        <v>0</v>
      </c>
    </row>
    <row r="102" spans="1:15" x14ac:dyDescent="0.2">
      <c r="A102" s="1" t="str">
        <f>HYPERLINK("http://www.twitter.com/banuakdenizli/status/1594360925045526528", "1594360925045526528")</f>
        <v>1594360925045526528</v>
      </c>
      <c r="B102" t="s">
        <v>15</v>
      </c>
      <c r="C102" s="2">
        <v>44885.669444444437</v>
      </c>
      <c r="D102">
        <v>4</v>
      </c>
      <c r="E102">
        <v>0</v>
      </c>
      <c r="G102" t="s">
        <v>127</v>
      </c>
      <c r="H102" t="str">
        <f>HYPERLINK("http://pbs.twimg.com/media/FiBOzsiWQAMEiTk.jpg", "http://pbs.twimg.com/media/FiBOzsiWQAMEiTk.jpg")</f>
        <v>http://pbs.twimg.com/media/FiBOzsiWQAMEiTk.jpg</v>
      </c>
      <c r="I102" t="str">
        <f>HYPERLINK("http://pbs.twimg.com/media/FiBOzsmWIAEzOtd.jpg", "http://pbs.twimg.com/media/FiBOzsmWIAEzOtd.jpg")</f>
        <v>http://pbs.twimg.com/media/FiBOzsmWIAEzOtd.jpg</v>
      </c>
      <c r="J102" t="str">
        <f>HYPERLINK("http://pbs.twimg.com/media/FiBOzs4WYAMosR2.jpg", "http://pbs.twimg.com/media/FiBOzs4WYAMosR2.jpg")</f>
        <v>http://pbs.twimg.com/media/FiBOzs4WYAMosR2.jpg</v>
      </c>
      <c r="K102" t="str">
        <f>HYPERLINK("http://pbs.twimg.com/media/FiBOzs8XkAMrCo8.jpg", "http://pbs.twimg.com/media/FiBOzs8XkAMrCo8.jpg")</f>
        <v>http://pbs.twimg.com/media/FiBOzs8XkAMrCo8.jpg</v>
      </c>
      <c r="L102">
        <v>0</v>
      </c>
      <c r="M102">
        <v>0</v>
      </c>
      <c r="N102">
        <v>1</v>
      </c>
      <c r="O102">
        <v>0</v>
      </c>
    </row>
    <row r="103" spans="1:15" x14ac:dyDescent="0.2">
      <c r="A103" s="1" t="str">
        <f>HYPERLINK("http://www.twitter.com/banuakdenizli/status/1594360916791169024", "1594360916791169024")</f>
        <v>1594360916791169024</v>
      </c>
      <c r="B103" t="s">
        <v>15</v>
      </c>
      <c r="C103" s="2">
        <v>44885.669432870367</v>
      </c>
      <c r="D103">
        <v>0</v>
      </c>
      <c r="E103">
        <v>65</v>
      </c>
      <c r="F103" t="s">
        <v>17</v>
      </c>
      <c r="G103" t="s">
        <v>128</v>
      </c>
      <c r="L103">
        <v>0</v>
      </c>
      <c r="M103">
        <v>0</v>
      </c>
      <c r="N103">
        <v>1</v>
      </c>
      <c r="O103">
        <v>0</v>
      </c>
    </row>
    <row r="104" spans="1:15" x14ac:dyDescent="0.2">
      <c r="A104" s="1" t="str">
        <f>HYPERLINK("http://www.twitter.com/banuakdenizli/status/1594360910763524097", "1594360910763524097")</f>
        <v>1594360910763524097</v>
      </c>
      <c r="B104" t="s">
        <v>15</v>
      </c>
      <c r="C104" s="2">
        <v>44885.669409722221</v>
      </c>
      <c r="D104">
        <v>3</v>
      </c>
      <c r="E104">
        <v>0</v>
      </c>
      <c r="G104" t="s">
        <v>129</v>
      </c>
      <c r="H104" t="str">
        <f>HYPERLINK("http://pbs.twimg.com/media/FiBOywFXoAcWn8j.jpg", "http://pbs.twimg.com/media/FiBOywFXoAcWn8j.jpg")</f>
        <v>http://pbs.twimg.com/media/FiBOywFXoAcWn8j.jpg</v>
      </c>
      <c r="I104" t="str">
        <f>HYPERLINK("http://pbs.twimg.com/media/FiBOyzOXoAEEamN.jpg", "http://pbs.twimg.com/media/FiBOyzOXoAEEamN.jpg")</f>
        <v>http://pbs.twimg.com/media/FiBOyzOXoAEEamN.jpg</v>
      </c>
      <c r="J104" t="str">
        <f>HYPERLINK("http://pbs.twimg.com/media/FiBOyzZXwAU8sIz.jpg", "http://pbs.twimg.com/media/FiBOyzZXwAU8sIz.jpg")</f>
        <v>http://pbs.twimg.com/media/FiBOyzZXwAU8sIz.jpg</v>
      </c>
      <c r="K104" t="str">
        <f>HYPERLINK("http://pbs.twimg.com/media/FiBOyzcWIAQiBH0.jpg", "http://pbs.twimg.com/media/FiBOyzcWIAQiBH0.jpg")</f>
        <v>http://pbs.twimg.com/media/FiBOyzcWIAQiBH0.jpg</v>
      </c>
      <c r="L104">
        <v>0</v>
      </c>
      <c r="M104">
        <v>0</v>
      </c>
      <c r="N104">
        <v>1</v>
      </c>
      <c r="O104">
        <v>0</v>
      </c>
    </row>
    <row r="105" spans="1:15" x14ac:dyDescent="0.2">
      <c r="A105" s="1" t="str">
        <f>HYPERLINK("http://www.twitter.com/banuakdenizli/status/1594306001540358145", "1594306001540358145")</f>
        <v>1594306001540358145</v>
      </c>
      <c r="B105" t="s">
        <v>15</v>
      </c>
      <c r="C105" s="2">
        <v>44885.517893518518</v>
      </c>
      <c r="D105">
        <v>0</v>
      </c>
      <c r="E105">
        <v>7</v>
      </c>
      <c r="F105" t="s">
        <v>16</v>
      </c>
      <c r="G105" t="s">
        <v>130</v>
      </c>
      <c r="H105" t="str">
        <f>HYPERLINK("https://video.twimg.com/ext_tw_video/1594217487268282368/pu/vid/720x900/46ifiNoGixKZjrp0.mp4?tag=12", "https://video.twimg.com/ext_tw_video/1594217487268282368/pu/vid/720x900/46ifiNoGixKZjrp0.mp4?tag=12")</f>
        <v>https://video.twimg.com/ext_tw_video/1594217487268282368/pu/vid/720x900/46ifiNoGixKZjrp0.mp4?tag=12</v>
      </c>
      <c r="L105">
        <v>-0.22439999999999999</v>
      </c>
      <c r="M105">
        <v>5.3999999999999999E-2</v>
      </c>
      <c r="N105">
        <v>0.94599999999999995</v>
      </c>
      <c r="O105">
        <v>0</v>
      </c>
    </row>
    <row r="106" spans="1:15" x14ac:dyDescent="0.2">
      <c r="A106" s="1" t="str">
        <f>HYPERLINK("http://www.twitter.com/banuakdenizli/status/1594305960553635842", "1594305960553635842")</f>
        <v>1594305960553635842</v>
      </c>
      <c r="B106" t="s">
        <v>15</v>
      </c>
      <c r="C106" s="2">
        <v>44885.517777777779</v>
      </c>
      <c r="D106">
        <v>0</v>
      </c>
      <c r="E106">
        <v>14</v>
      </c>
      <c r="F106" t="s">
        <v>16</v>
      </c>
      <c r="G106" t="s">
        <v>131</v>
      </c>
      <c r="H106" t="str">
        <f>HYPERLINK("https://video.twimg.com/ext_tw_video/1593654665060696065/pu/vid/720x900/F8KKKrMOyOaAB9Yo.mp4?tag=12", "https://video.twimg.com/ext_tw_video/1593654665060696065/pu/vid/720x900/F8KKKrMOyOaAB9Yo.mp4?tag=12")</f>
        <v>https://video.twimg.com/ext_tw_video/1593654665060696065/pu/vid/720x900/F8KKKrMOyOaAB9Yo.mp4?tag=12</v>
      </c>
      <c r="L106">
        <v>0.31819999999999998</v>
      </c>
      <c r="M106">
        <v>0</v>
      </c>
      <c r="N106">
        <v>0.94399999999999995</v>
      </c>
      <c r="O106">
        <v>5.6000000000000001E-2</v>
      </c>
    </row>
    <row r="107" spans="1:15" x14ac:dyDescent="0.2">
      <c r="A107" s="1" t="str">
        <f>HYPERLINK("http://www.twitter.com/banuakdenizli/status/1594305590209253376", "1594305590209253376")</f>
        <v>1594305590209253376</v>
      </c>
      <c r="B107" t="s">
        <v>15</v>
      </c>
      <c r="C107" s="2">
        <v>44885.516759259262</v>
      </c>
      <c r="D107">
        <v>0</v>
      </c>
      <c r="E107">
        <v>340</v>
      </c>
      <c r="F107" t="s">
        <v>17</v>
      </c>
      <c r="G107" t="s">
        <v>132</v>
      </c>
      <c r="H107" t="str">
        <f>HYPERLINK("https://video.twimg.com/amplify_video/1594098322826203136/vid/720x1280/137GrtFksA3LKCfD.mp4?tag=14", "https://video.twimg.com/amplify_video/1594098322826203136/vid/720x1280/137GrtFksA3LKCfD.mp4?tag=14")</f>
        <v>https://video.twimg.com/amplify_video/1594098322826203136/vid/720x1280/137GrtFksA3LKCfD.mp4?tag=14</v>
      </c>
      <c r="L107">
        <v>0</v>
      </c>
      <c r="M107">
        <v>0</v>
      </c>
      <c r="N107">
        <v>1</v>
      </c>
      <c r="O107">
        <v>0</v>
      </c>
    </row>
    <row r="108" spans="1:15" x14ac:dyDescent="0.2">
      <c r="A108" s="1" t="str">
        <f>HYPERLINK("http://www.twitter.com/banuakdenizli/status/1594305572945465345", "1594305572945465345")</f>
        <v>1594305572945465345</v>
      </c>
      <c r="B108" t="s">
        <v>15</v>
      </c>
      <c r="C108" s="2">
        <v>44885.516712962963</v>
      </c>
      <c r="D108">
        <v>0</v>
      </c>
      <c r="E108">
        <v>40</v>
      </c>
      <c r="F108" t="s">
        <v>17</v>
      </c>
      <c r="G108" t="s">
        <v>133</v>
      </c>
      <c r="H108" t="str">
        <f>HYPERLINK("https://video.twimg.com/amplify_video/1594096644831825922/vid/720x1280/xXWSec8RQrK0MtUY.mp4?tag=14", "https://video.twimg.com/amplify_video/1594096644831825922/vid/720x1280/xXWSec8RQrK0MtUY.mp4?tag=14")</f>
        <v>https://video.twimg.com/amplify_video/1594096644831825922/vid/720x1280/xXWSec8RQrK0MtUY.mp4?tag=14</v>
      </c>
      <c r="L108">
        <v>0</v>
      </c>
      <c r="M108">
        <v>0</v>
      </c>
      <c r="N108">
        <v>1</v>
      </c>
      <c r="O108">
        <v>0</v>
      </c>
    </row>
    <row r="109" spans="1:15" x14ac:dyDescent="0.2">
      <c r="A109" s="1" t="str">
        <f>HYPERLINK("http://www.twitter.com/banuakdenizli/status/1594305561989816320", "1594305561989816320")</f>
        <v>1594305561989816320</v>
      </c>
      <c r="B109" t="s">
        <v>15</v>
      </c>
      <c r="C109" s="2">
        <v>44885.51667824074</v>
      </c>
      <c r="D109">
        <v>0</v>
      </c>
      <c r="E109">
        <v>504</v>
      </c>
      <c r="F109" t="s">
        <v>17</v>
      </c>
      <c r="G109" t="s">
        <v>134</v>
      </c>
      <c r="H109" t="str">
        <f>HYPERLINK("http://pbs.twimg.com/media/Fh9cQGSWIAA90cw.jpg", "http://pbs.twimg.com/media/Fh9cQGSWIAA90cw.jpg")</f>
        <v>http://pbs.twimg.com/media/Fh9cQGSWIAA90cw.jpg</v>
      </c>
      <c r="L109">
        <v>0</v>
      </c>
      <c r="M109">
        <v>0</v>
      </c>
      <c r="N109">
        <v>1</v>
      </c>
      <c r="O109">
        <v>0</v>
      </c>
    </row>
    <row r="110" spans="1:15" x14ac:dyDescent="0.2">
      <c r="A110" s="1" t="str">
        <f>HYPERLINK("http://www.twitter.com/banuakdenizli/status/1594095921830285312", "1594095921830285312")</f>
        <v>1594095921830285312</v>
      </c>
      <c r="B110" t="s">
        <v>15</v>
      </c>
      <c r="C110" s="2">
        <v>44884.93818287037</v>
      </c>
      <c r="D110">
        <v>0</v>
      </c>
      <c r="E110">
        <v>7</v>
      </c>
      <c r="F110" t="s">
        <v>18</v>
      </c>
      <c r="G110" t="s">
        <v>135</v>
      </c>
      <c r="H110" t="str">
        <f>HYPERLINK("http://pbs.twimg.com/media/Fh72K9CXgAA347R.jpg", "http://pbs.twimg.com/media/Fh72K9CXgAA347R.jpg")</f>
        <v>http://pbs.twimg.com/media/Fh72K9CXgAA347R.jpg</v>
      </c>
      <c r="L110">
        <v>0</v>
      </c>
      <c r="M110">
        <v>0</v>
      </c>
      <c r="N110">
        <v>1</v>
      </c>
      <c r="O110">
        <v>0</v>
      </c>
    </row>
    <row r="111" spans="1:15" x14ac:dyDescent="0.2">
      <c r="A111" s="1" t="str">
        <f>HYPERLINK("http://www.twitter.com/banuakdenizli/status/1593538071324131333", "1593538071324131333")</f>
        <v>1593538071324131333</v>
      </c>
      <c r="B111" t="s">
        <v>15</v>
      </c>
      <c r="C111" s="2">
        <v>44883.39880787037</v>
      </c>
      <c r="D111">
        <v>0</v>
      </c>
      <c r="E111">
        <v>162</v>
      </c>
      <c r="F111" t="s">
        <v>136</v>
      </c>
      <c r="G111" t="s">
        <v>137</v>
      </c>
      <c r="H111" t="str">
        <f>HYPERLINK("https://video.twimg.com/amplify_video/1593275031865401345/vid/1280x720/adE5uEoTjwvR5DxS.mp4?tag=14", "https://video.twimg.com/amplify_video/1593275031865401345/vid/1280x720/adE5uEoTjwvR5DxS.mp4?tag=14")</f>
        <v>https://video.twimg.com/amplify_video/1593275031865401345/vid/1280x720/adE5uEoTjwvR5DxS.mp4?tag=14</v>
      </c>
      <c r="L111">
        <v>0.55740000000000001</v>
      </c>
      <c r="M111">
        <v>0</v>
      </c>
      <c r="N111">
        <v>0.85899999999999999</v>
      </c>
      <c r="O111">
        <v>0.14099999999999999</v>
      </c>
    </row>
    <row r="112" spans="1:15" x14ac:dyDescent="0.2">
      <c r="A112" s="1" t="str">
        <f>HYPERLINK("http://www.twitter.com/banuakdenizli/status/1593537679249100802", "1593537679249100802")</f>
        <v>1593537679249100802</v>
      </c>
      <c r="B112" t="s">
        <v>15</v>
      </c>
      <c r="C112" s="2">
        <v>44883.397719907407</v>
      </c>
      <c r="D112">
        <v>0</v>
      </c>
      <c r="E112">
        <v>13</v>
      </c>
      <c r="F112" t="s">
        <v>17</v>
      </c>
      <c r="G112" t="s">
        <v>138</v>
      </c>
      <c r="H112" t="str">
        <f>HYPERLINK("https://video.twimg.com/ext_tw_video/1593524998957842432/pu/vid/720x1280/ajrbFnlXufNaq1uj.mp4?tag=12", "https://video.twimg.com/ext_tw_video/1593524998957842432/pu/vid/720x1280/ajrbFnlXufNaq1uj.mp4?tag=12")</f>
        <v>https://video.twimg.com/ext_tw_video/1593524998957842432/pu/vid/720x1280/ajrbFnlXufNaq1uj.mp4?tag=12</v>
      </c>
      <c r="L112">
        <v>0</v>
      </c>
      <c r="M112">
        <v>0</v>
      </c>
      <c r="N112">
        <v>1</v>
      </c>
      <c r="O112">
        <v>0</v>
      </c>
    </row>
    <row r="113" spans="1:15" x14ac:dyDescent="0.2">
      <c r="A113" s="1" t="str">
        <f>HYPERLINK("http://www.twitter.com/banuakdenizli/status/1593537647363952642", "1593537647363952642")</f>
        <v>1593537647363952642</v>
      </c>
      <c r="B113" t="s">
        <v>15</v>
      </c>
      <c r="C113" s="2">
        <v>44883.397638888891</v>
      </c>
      <c r="D113">
        <v>0</v>
      </c>
      <c r="E113">
        <v>119</v>
      </c>
      <c r="F113" t="s">
        <v>17</v>
      </c>
      <c r="G113" t="s">
        <v>139</v>
      </c>
      <c r="H113" t="str">
        <f>HYPERLINK("https://video.twimg.com/amplify_video/1593269715505405954/vid/720x720/dZXgSkKbJ46FflD3.mp4?tag=14", "https://video.twimg.com/amplify_video/1593269715505405954/vid/720x720/dZXgSkKbJ46FflD3.mp4?tag=14")</f>
        <v>https://video.twimg.com/amplify_video/1593269715505405954/vid/720x720/dZXgSkKbJ46FflD3.mp4?tag=14</v>
      </c>
      <c r="L113">
        <v>0</v>
      </c>
      <c r="M113">
        <v>0</v>
      </c>
      <c r="N113">
        <v>1</v>
      </c>
      <c r="O113">
        <v>0</v>
      </c>
    </row>
    <row r="114" spans="1:15" x14ac:dyDescent="0.2">
      <c r="A114" s="1" t="str">
        <f>HYPERLINK("http://www.twitter.com/banuakdenizli/status/1593537635137593345", "1593537635137593345")</f>
        <v>1593537635137593345</v>
      </c>
      <c r="B114" t="s">
        <v>15</v>
      </c>
      <c r="C114" s="2">
        <v>44883.397604166668</v>
      </c>
      <c r="D114">
        <v>0</v>
      </c>
      <c r="E114">
        <v>20</v>
      </c>
      <c r="F114" t="s">
        <v>17</v>
      </c>
      <c r="G114" t="s">
        <v>140</v>
      </c>
      <c r="H114" t="str">
        <f>HYPERLINK("http://pbs.twimg.com/media/Fhx40jJXoAAde5T.jpg", "http://pbs.twimg.com/media/Fhx40jJXoAAde5T.jpg")</f>
        <v>http://pbs.twimg.com/media/Fhx40jJXoAAde5T.jpg</v>
      </c>
      <c r="I114" t="str">
        <f>HYPERLINK("http://pbs.twimg.com/media/Fhx40jJXoAEuP1i.jpg", "http://pbs.twimg.com/media/Fhx40jJXoAEuP1i.jpg")</f>
        <v>http://pbs.twimg.com/media/Fhx40jJXoAEuP1i.jpg</v>
      </c>
      <c r="J114" t="str">
        <f>HYPERLINK("http://pbs.twimg.com/media/Fhx43ZaWIAAieRt.jpg", "http://pbs.twimg.com/media/Fhx43ZaWIAAieRt.jpg")</f>
        <v>http://pbs.twimg.com/media/Fhx43ZaWIAAieRt.jpg</v>
      </c>
      <c r="K114" t="str">
        <f>HYPERLINK("http://pbs.twimg.com/media/Fhx43ahXgAgCHbw.jpg", "http://pbs.twimg.com/media/Fhx43ahXgAgCHbw.jpg")</f>
        <v>http://pbs.twimg.com/media/Fhx43ahXgAgCHbw.jpg</v>
      </c>
      <c r="L114">
        <v>0.82250000000000001</v>
      </c>
      <c r="M114">
        <v>0</v>
      </c>
      <c r="N114">
        <v>0.58299999999999996</v>
      </c>
      <c r="O114">
        <v>0.41699999999999998</v>
      </c>
    </row>
    <row r="115" spans="1:15" x14ac:dyDescent="0.2">
      <c r="A115" s="1" t="str">
        <f>HYPERLINK("http://www.twitter.com/banuakdenizli/status/1593537136015380482", "1593537136015380482")</f>
        <v>1593537136015380482</v>
      </c>
      <c r="B115" t="s">
        <v>15</v>
      </c>
      <c r="C115" s="2">
        <v>44883.396226851852</v>
      </c>
      <c r="D115">
        <v>0</v>
      </c>
      <c r="E115">
        <v>29</v>
      </c>
      <c r="F115" t="s">
        <v>141</v>
      </c>
      <c r="G115" t="s">
        <v>142</v>
      </c>
      <c r="H115" t="str">
        <f>HYPERLINK("https://video.twimg.com/ext_tw_video/1593229555556388865/pu/vid/720x900/s4lMjCvmUOIDVhS4.mp4?tag=12", "https://video.twimg.com/ext_tw_video/1593229555556388865/pu/vid/720x900/s4lMjCvmUOIDVhS4.mp4?tag=12")</f>
        <v>https://video.twimg.com/ext_tw_video/1593229555556388865/pu/vid/720x900/s4lMjCvmUOIDVhS4.mp4?tag=12</v>
      </c>
      <c r="L115">
        <v>0.70879999999999999</v>
      </c>
      <c r="M115">
        <v>0</v>
      </c>
      <c r="N115">
        <v>0.85899999999999999</v>
      </c>
      <c r="O115">
        <v>0.14099999999999999</v>
      </c>
    </row>
    <row r="116" spans="1:15" x14ac:dyDescent="0.2">
      <c r="A116" s="1" t="str">
        <f>HYPERLINK("http://www.twitter.com/banuakdenizli/status/1593537076137320449", "1593537076137320449")</f>
        <v>1593537076137320449</v>
      </c>
      <c r="B116" t="s">
        <v>15</v>
      </c>
      <c r="C116" s="2">
        <v>44883.396064814813</v>
      </c>
      <c r="D116">
        <v>0</v>
      </c>
      <c r="E116">
        <v>5</v>
      </c>
      <c r="F116" t="s">
        <v>18</v>
      </c>
      <c r="G116" t="s">
        <v>143</v>
      </c>
      <c r="H116" t="str">
        <f>HYPERLINK("http://pbs.twimg.com/media/FhyzjmQX0AAMnz_.jpg", "http://pbs.twimg.com/media/FhyzjmQX0AAMnz_.jpg")</f>
        <v>http://pbs.twimg.com/media/FhyzjmQX0AAMnz_.jpg</v>
      </c>
      <c r="L116">
        <v>0</v>
      </c>
      <c r="M116">
        <v>0</v>
      </c>
      <c r="N116">
        <v>1</v>
      </c>
      <c r="O116">
        <v>0</v>
      </c>
    </row>
    <row r="117" spans="1:15" x14ac:dyDescent="0.2">
      <c r="A117" s="1" t="str">
        <f>HYPERLINK("http://www.twitter.com/banuakdenizli/status/1593537036375523329", "1593537036375523329")</f>
        <v>1593537036375523329</v>
      </c>
      <c r="B117" t="s">
        <v>15</v>
      </c>
      <c r="C117" s="2">
        <v>44883.395949074067</v>
      </c>
      <c r="D117">
        <v>0</v>
      </c>
      <c r="E117">
        <v>7</v>
      </c>
      <c r="F117" t="s">
        <v>18</v>
      </c>
      <c r="G117" t="s">
        <v>144</v>
      </c>
      <c r="H117" t="str">
        <f>HYPERLINK("http://pbs.twimg.com/media/FhyzawMWQAAtIy6.jpg", "http://pbs.twimg.com/media/FhyzawMWQAAtIy6.jpg")</f>
        <v>http://pbs.twimg.com/media/FhyzawMWQAAtIy6.jpg</v>
      </c>
      <c r="L117">
        <v>0</v>
      </c>
      <c r="M117">
        <v>0</v>
      </c>
      <c r="N117">
        <v>1</v>
      </c>
      <c r="O117">
        <v>0</v>
      </c>
    </row>
    <row r="118" spans="1:15" x14ac:dyDescent="0.2">
      <c r="A118" s="1" t="str">
        <f>HYPERLINK("http://www.twitter.com/banuakdenizli/status/1593238923492265984", "1593238923492265984")</f>
        <v>1593238923492265984</v>
      </c>
      <c r="B118" t="s">
        <v>15</v>
      </c>
      <c r="C118" s="2">
        <v>44882.573310185187</v>
      </c>
      <c r="D118">
        <v>0</v>
      </c>
      <c r="E118">
        <v>14</v>
      </c>
      <c r="F118" t="s">
        <v>17</v>
      </c>
      <c r="G118" t="s">
        <v>145</v>
      </c>
      <c r="H118" t="str">
        <f>HYPERLINK("http://pbs.twimg.com/media/FhxRoyuVsAIjNf5.jpg", "http://pbs.twimg.com/media/FhxRoyuVsAIjNf5.jpg")</f>
        <v>http://pbs.twimg.com/media/FhxRoyuVsAIjNf5.jpg</v>
      </c>
      <c r="L118">
        <v>-0.55740000000000001</v>
      </c>
      <c r="M118">
        <v>0.14099999999999999</v>
      </c>
      <c r="N118">
        <v>0.85899999999999999</v>
      </c>
      <c r="O118">
        <v>0</v>
      </c>
    </row>
    <row r="119" spans="1:15" x14ac:dyDescent="0.2">
      <c r="A119" s="1" t="str">
        <f>HYPERLINK("http://www.twitter.com/banuakdenizli/status/1593185136832843778", "1593185136832843778")</f>
        <v>1593185136832843778</v>
      </c>
      <c r="B119" t="s">
        <v>15</v>
      </c>
      <c r="C119" s="2">
        <v>44882.424895833326</v>
      </c>
      <c r="D119">
        <v>0</v>
      </c>
      <c r="E119">
        <v>7</v>
      </c>
      <c r="F119" t="s">
        <v>16</v>
      </c>
      <c r="G119" t="s">
        <v>146</v>
      </c>
      <c r="H119" t="str">
        <f>HYPERLINK("https://video.twimg.com/ext_tw_video/1591745562944077824/pu/vid/720x900/ZZ1r7BqrRA-Lvyrg.mp4?tag=12", "https://video.twimg.com/ext_tw_video/1591745562944077824/pu/vid/720x900/ZZ1r7BqrRA-Lvyrg.mp4?tag=12")</f>
        <v>https://video.twimg.com/ext_tw_video/1591745562944077824/pu/vid/720x900/ZZ1r7BqrRA-Lvyrg.mp4?tag=12</v>
      </c>
      <c r="L119">
        <v>0.96779999999999999</v>
      </c>
      <c r="M119">
        <v>0</v>
      </c>
      <c r="N119">
        <v>0.53</v>
      </c>
      <c r="O119">
        <v>0.47</v>
      </c>
    </row>
    <row r="120" spans="1:15" x14ac:dyDescent="0.2">
      <c r="A120" s="1" t="str">
        <f>HYPERLINK("http://www.twitter.com/banuakdenizli/status/1593181660681756673", "1593181660681756673")</f>
        <v>1593181660681756673</v>
      </c>
      <c r="B120" t="s">
        <v>15</v>
      </c>
      <c r="C120" s="2">
        <v>44882.415300925917</v>
      </c>
      <c r="D120">
        <v>0</v>
      </c>
      <c r="E120">
        <v>10</v>
      </c>
      <c r="F120" t="s">
        <v>17</v>
      </c>
      <c r="G120" t="s">
        <v>147</v>
      </c>
      <c r="H120" t="str">
        <f>HYPERLINK("http://pbs.twimg.com/media/Fhus0mVXkAEovGx.jpg", "http://pbs.twimg.com/media/Fhus0mVXkAEovGx.jpg")</f>
        <v>http://pbs.twimg.com/media/Fhus0mVXkAEovGx.jpg</v>
      </c>
      <c r="I120" t="str">
        <f>HYPERLINK("http://pbs.twimg.com/media/Fhus0mUWIAA7KE9.jpg", "http://pbs.twimg.com/media/Fhus0mUWIAA7KE9.jpg")</f>
        <v>http://pbs.twimg.com/media/Fhus0mUWIAA7KE9.jpg</v>
      </c>
      <c r="J120" t="str">
        <f>HYPERLINK("http://pbs.twimg.com/media/Fhus0mUX0AEqxVd.jpg", "http://pbs.twimg.com/media/Fhus0mUX0AEqxVd.jpg")</f>
        <v>http://pbs.twimg.com/media/Fhus0mUX0AEqxVd.jpg</v>
      </c>
      <c r="K120" t="str">
        <f>HYPERLINK("http://pbs.twimg.com/media/Fhus0mPWYAEL2FJ.jpg", "http://pbs.twimg.com/media/Fhus0mPWYAEL2FJ.jpg")</f>
        <v>http://pbs.twimg.com/media/Fhus0mPWYAEL2FJ.jpg</v>
      </c>
      <c r="L120">
        <v>0</v>
      </c>
      <c r="M120">
        <v>0</v>
      </c>
      <c r="N120">
        <v>1</v>
      </c>
      <c r="O120">
        <v>0</v>
      </c>
    </row>
    <row r="121" spans="1:15" x14ac:dyDescent="0.2">
      <c r="A121" s="1" t="str">
        <f>HYPERLINK("http://www.twitter.com/banuakdenizli/status/1593181648098832385", "1593181648098832385")</f>
        <v>1593181648098832385</v>
      </c>
      <c r="B121" t="s">
        <v>15</v>
      </c>
      <c r="C121" s="2">
        <v>44882.415266203701</v>
      </c>
      <c r="D121">
        <v>0</v>
      </c>
      <c r="E121">
        <v>53</v>
      </c>
      <c r="F121" t="s">
        <v>17</v>
      </c>
      <c r="G121" t="s">
        <v>148</v>
      </c>
      <c r="H121" t="str">
        <f>HYPERLINK("https://video.twimg.com/ext_tw_video/1592974612266205186/pu/vid/720x1280/S4Fuv-j8NYRx38Yk.mp4?tag=12", "https://video.twimg.com/ext_tw_video/1592974612266205186/pu/vid/720x1280/S4Fuv-j8NYRx38Yk.mp4?tag=12")</f>
        <v>https://video.twimg.com/ext_tw_video/1592974612266205186/pu/vid/720x1280/S4Fuv-j8NYRx38Yk.mp4?tag=12</v>
      </c>
      <c r="L121">
        <v>0.47670000000000001</v>
      </c>
      <c r="M121">
        <v>0</v>
      </c>
      <c r="N121">
        <v>0.72099999999999997</v>
      </c>
      <c r="O121">
        <v>0.27900000000000003</v>
      </c>
    </row>
    <row r="122" spans="1:15" x14ac:dyDescent="0.2">
      <c r="A122" s="1" t="str">
        <f>HYPERLINK("http://www.twitter.com/banuakdenizli/status/1593181627836162048", "1593181627836162048")</f>
        <v>1593181627836162048</v>
      </c>
      <c r="B122" t="s">
        <v>15</v>
      </c>
      <c r="C122" s="2">
        <v>44882.415208333332</v>
      </c>
      <c r="D122">
        <v>0</v>
      </c>
      <c r="E122">
        <v>10</v>
      </c>
      <c r="F122" t="s">
        <v>17</v>
      </c>
      <c r="G122" t="s">
        <v>149</v>
      </c>
      <c r="H122" t="str">
        <f>HYPERLINK("https://video.twimg.com/amplify_video/1592895542731808768/vid/1280x720/mfVqGehNv9p6J-zt.mp4?tag=14", "https://video.twimg.com/amplify_video/1592895542731808768/vid/1280x720/mfVqGehNv9p6J-zt.mp4?tag=14")</f>
        <v>https://video.twimg.com/amplify_video/1592895542731808768/vid/1280x720/mfVqGehNv9p6J-zt.mp4?tag=14</v>
      </c>
      <c r="L122">
        <v>0</v>
      </c>
      <c r="M122">
        <v>0</v>
      </c>
      <c r="N122">
        <v>1</v>
      </c>
      <c r="O122">
        <v>0</v>
      </c>
    </row>
    <row r="123" spans="1:15" x14ac:dyDescent="0.2">
      <c r="A123" s="1" t="str">
        <f>HYPERLINK("http://www.twitter.com/banuakdenizli/status/1593181596433190915", "1593181596433190915")</f>
        <v>1593181596433190915</v>
      </c>
      <c r="B123" t="s">
        <v>15</v>
      </c>
      <c r="C123" s="2">
        <v>44882.415127314824</v>
      </c>
      <c r="D123">
        <v>0</v>
      </c>
      <c r="E123">
        <v>63</v>
      </c>
      <c r="F123" t="s">
        <v>17</v>
      </c>
      <c r="G123" t="s">
        <v>150</v>
      </c>
      <c r="H123" t="str">
        <f>HYPERLINK("https://video.twimg.com/amplify_video/1592682243633213441/vid/720x720/Ok7arloqC4Ryex7k.mp4?tag=14", "https://video.twimg.com/amplify_video/1592682243633213441/vid/720x720/Ok7arloqC4Ryex7k.mp4?tag=14")</f>
        <v>https://video.twimg.com/amplify_video/1592682243633213441/vid/720x720/Ok7arloqC4Ryex7k.mp4?tag=14</v>
      </c>
      <c r="L123">
        <v>0</v>
      </c>
      <c r="M123">
        <v>0</v>
      </c>
      <c r="N123">
        <v>1</v>
      </c>
      <c r="O123">
        <v>0</v>
      </c>
    </row>
    <row r="124" spans="1:15" x14ac:dyDescent="0.2">
      <c r="A124" s="1" t="str">
        <f>HYPERLINK("http://www.twitter.com/banuakdenizli/status/1593181580704747521", "1593181580704747521")</f>
        <v>1593181580704747521</v>
      </c>
      <c r="B124" t="s">
        <v>15</v>
      </c>
      <c r="C124" s="2">
        <v>44882.415081018517</v>
      </c>
      <c r="D124">
        <v>0</v>
      </c>
      <c r="E124">
        <v>15</v>
      </c>
      <c r="F124" t="s">
        <v>17</v>
      </c>
      <c r="G124" t="s">
        <v>151</v>
      </c>
      <c r="H124" t="str">
        <f>HYPERLINK("http://pbs.twimg.com/media/Fhoq8SdacAIN9EL.jpg", "http://pbs.twimg.com/media/Fhoq8SdacAIN9EL.jpg")</f>
        <v>http://pbs.twimg.com/media/Fhoq8SdacAIN9EL.jpg</v>
      </c>
      <c r="L124">
        <v>0</v>
      </c>
      <c r="M124">
        <v>0</v>
      </c>
      <c r="N124">
        <v>1</v>
      </c>
      <c r="O124">
        <v>0</v>
      </c>
    </row>
    <row r="125" spans="1:15" x14ac:dyDescent="0.2">
      <c r="A125" s="1" t="str">
        <f>HYPERLINK("http://www.twitter.com/banuakdenizli/status/1593181568675512320", "1593181568675512320")</f>
        <v>1593181568675512320</v>
      </c>
      <c r="B125" t="s">
        <v>15</v>
      </c>
      <c r="C125" s="2">
        <v>44882.415046296293</v>
      </c>
      <c r="D125">
        <v>0</v>
      </c>
      <c r="E125">
        <v>21</v>
      </c>
      <c r="F125" t="s">
        <v>17</v>
      </c>
      <c r="G125" t="s">
        <v>152</v>
      </c>
      <c r="H125" t="str">
        <f>HYPERLINK("https://video.twimg.com/amplify_video/1592561610899345408/vid/720x1280/1e4QWT0aVqsoJLTC.mp4?tag=14", "https://video.twimg.com/amplify_video/1592561610899345408/vid/720x1280/1e4QWT0aVqsoJLTC.mp4?tag=14")</f>
        <v>https://video.twimg.com/amplify_video/1592561610899345408/vid/720x1280/1e4QWT0aVqsoJLTC.mp4?tag=14</v>
      </c>
      <c r="L125">
        <v>0</v>
      </c>
      <c r="M125">
        <v>0</v>
      </c>
      <c r="N125">
        <v>1</v>
      </c>
      <c r="O125">
        <v>0</v>
      </c>
    </row>
    <row r="126" spans="1:15" x14ac:dyDescent="0.2">
      <c r="A126" s="1" t="str">
        <f>HYPERLINK("http://www.twitter.com/banuakdenizli/status/1592868788663619584", "1592868788663619584")</f>
        <v>1592868788663619584</v>
      </c>
      <c r="B126" t="s">
        <v>15</v>
      </c>
      <c r="C126" s="2">
        <v>44881.551932870367</v>
      </c>
      <c r="D126">
        <v>0</v>
      </c>
      <c r="E126">
        <v>25</v>
      </c>
      <c r="F126" t="s">
        <v>17</v>
      </c>
      <c r="G126" t="s">
        <v>153</v>
      </c>
      <c r="H126" t="str">
        <f>HYPERLINK("http://pbs.twimg.com/media/FhrS98oXkAEmdGV.jpg", "http://pbs.twimg.com/media/FhrS98oXkAEmdGV.jpg")</f>
        <v>http://pbs.twimg.com/media/FhrS98oXkAEmdGV.jpg</v>
      </c>
      <c r="I126" t="str">
        <f>HYPERLINK("http://pbs.twimg.com/media/FhrS98mX0AEJP8o.jpg", "http://pbs.twimg.com/media/FhrS98mX0AEJP8o.jpg")</f>
        <v>http://pbs.twimg.com/media/FhrS98mX0AEJP8o.jpg</v>
      </c>
      <c r="L126">
        <v>0.52669999999999995</v>
      </c>
      <c r="M126">
        <v>0</v>
      </c>
      <c r="N126">
        <v>0.91100000000000003</v>
      </c>
      <c r="O126">
        <v>8.8999999999999996E-2</v>
      </c>
    </row>
    <row r="127" spans="1:15" x14ac:dyDescent="0.2">
      <c r="A127" s="1" t="str">
        <f>HYPERLINK("http://www.twitter.com/banuakdenizli/status/1592654113418153986", "1592654113418153986")</f>
        <v>1592654113418153986</v>
      </c>
      <c r="B127" t="s">
        <v>15</v>
      </c>
      <c r="C127" s="2">
        <v>44880.959548611107</v>
      </c>
      <c r="D127">
        <v>0</v>
      </c>
      <c r="E127">
        <v>163</v>
      </c>
      <c r="F127" t="s">
        <v>17</v>
      </c>
      <c r="G127" t="s">
        <v>154</v>
      </c>
      <c r="H127" t="str">
        <f>HYPERLINK("http://pbs.twimg.com/media/FhoyR9LXwAQxaKa.jpg", "http://pbs.twimg.com/media/FhoyR9LXwAQxaKa.jpg")</f>
        <v>http://pbs.twimg.com/media/FhoyR9LXwAQxaKa.jpg</v>
      </c>
      <c r="L127">
        <v>0</v>
      </c>
      <c r="M127">
        <v>0</v>
      </c>
      <c r="N127">
        <v>1</v>
      </c>
      <c r="O127">
        <v>0</v>
      </c>
    </row>
    <row r="128" spans="1:15" x14ac:dyDescent="0.2">
      <c r="A128" s="1" t="str">
        <f>HYPERLINK("http://www.twitter.com/banuakdenizli/status/1592473895336312832", "1592473895336312832")</f>
        <v>1592473895336312832</v>
      </c>
      <c r="B128" t="s">
        <v>15</v>
      </c>
      <c r="C128" s="2">
        <v>44880.462245370371</v>
      </c>
      <c r="D128">
        <v>0</v>
      </c>
      <c r="E128">
        <v>3</v>
      </c>
      <c r="F128" t="s">
        <v>27</v>
      </c>
      <c r="G128" t="s">
        <v>155</v>
      </c>
      <c r="H128" t="str">
        <f>HYPERLINK("https://video.twimg.com/ext_tw_video/1591470285533970434/pu/vid/1280x720/xU24y4aHaLljeXDa.mp4?tag=12", "https://video.twimg.com/ext_tw_video/1591470285533970434/pu/vid/1280x720/xU24y4aHaLljeXDa.mp4?tag=12")</f>
        <v>https://video.twimg.com/ext_tw_video/1591470285533970434/pu/vid/1280x720/xU24y4aHaLljeXDa.mp4?tag=12</v>
      </c>
      <c r="L128">
        <v>0</v>
      </c>
      <c r="M128">
        <v>0</v>
      </c>
      <c r="N128">
        <v>1</v>
      </c>
      <c r="O128">
        <v>0</v>
      </c>
    </row>
    <row r="129" spans="1:15" x14ac:dyDescent="0.2">
      <c r="A129" s="1" t="str">
        <f>HYPERLINK("http://www.twitter.com/banuakdenizli/status/1592439528798973953", "1592439528798973953")</f>
        <v>1592439528798973953</v>
      </c>
      <c r="B129" t="s">
        <v>15</v>
      </c>
      <c r="C129" s="2">
        <v>44880.367407407408</v>
      </c>
      <c r="D129">
        <v>0</v>
      </c>
      <c r="E129">
        <v>3</v>
      </c>
      <c r="F129" t="s">
        <v>16</v>
      </c>
      <c r="G129" t="s">
        <v>156</v>
      </c>
      <c r="H129" t="str">
        <f>HYPERLINK("http://pbs.twimg.com/media/Fhi09LjWYAA5617.jpg", "http://pbs.twimg.com/media/Fhi09LjWYAA5617.jpg")</f>
        <v>http://pbs.twimg.com/media/Fhi09LjWYAA5617.jpg</v>
      </c>
      <c r="I129" t="str">
        <f>HYPERLINK("http://pbs.twimg.com/media/Fhi09LiXEAM-u1M.jpg", "http://pbs.twimg.com/media/Fhi09LiXEAM-u1M.jpg")</f>
        <v>http://pbs.twimg.com/media/Fhi09LiXEAM-u1M.jpg</v>
      </c>
      <c r="J129" t="str">
        <f>HYPERLINK("http://pbs.twimg.com/media/Fhi09LjXoAIRJxf.jpg", "http://pbs.twimg.com/media/Fhi09LjXoAIRJxf.jpg")</f>
        <v>http://pbs.twimg.com/media/Fhi09LjXoAIRJxf.jpg</v>
      </c>
      <c r="K129" t="str">
        <f>HYPERLINK("http://pbs.twimg.com/media/Fhi09LsX0AEB5Bo.jpg", "http://pbs.twimg.com/media/Fhi09LsX0AEB5Bo.jpg")</f>
        <v>http://pbs.twimg.com/media/Fhi09LsX0AEB5Bo.jpg</v>
      </c>
      <c r="L129">
        <v>0.57189999999999996</v>
      </c>
      <c r="M129">
        <v>0</v>
      </c>
      <c r="N129">
        <v>0.875</v>
      </c>
      <c r="O129">
        <v>0.125</v>
      </c>
    </row>
    <row r="130" spans="1:15" x14ac:dyDescent="0.2">
      <c r="A130" s="1" t="str">
        <f>HYPERLINK("http://www.twitter.com/banuakdenizli/status/1592439515758854146", "1592439515758854146")</f>
        <v>1592439515758854146</v>
      </c>
      <c r="B130" t="s">
        <v>15</v>
      </c>
      <c r="C130" s="2">
        <v>44880.367372685178</v>
      </c>
      <c r="D130">
        <v>0</v>
      </c>
      <c r="E130">
        <v>3</v>
      </c>
      <c r="F130" t="s">
        <v>16</v>
      </c>
      <c r="G130" t="s">
        <v>157</v>
      </c>
      <c r="H130" t="str">
        <f>HYPERLINK("http://pbs.twimg.com/media/Fhi1D38XkAAIuCu.jpg", "http://pbs.twimg.com/media/Fhi1D38XkAAIuCu.jpg")</f>
        <v>http://pbs.twimg.com/media/Fhi1D38XkAAIuCu.jpg</v>
      </c>
      <c r="I130" t="str">
        <f>HYPERLINK("http://pbs.twimg.com/media/Fhi1D39XkAAIwCG.jpg", "http://pbs.twimg.com/media/Fhi1D39XkAAIwCG.jpg")</f>
        <v>http://pbs.twimg.com/media/Fhi1D39XkAAIwCG.jpg</v>
      </c>
      <c r="J130" t="str">
        <f>HYPERLINK("http://pbs.twimg.com/media/Fhi1D3-WAAEhD8-.jpg", "http://pbs.twimg.com/media/Fhi1D3-WAAEhD8-.jpg")</f>
        <v>http://pbs.twimg.com/media/Fhi1D3-WAAEhD8-.jpg</v>
      </c>
      <c r="K130" t="str">
        <f>HYPERLINK("http://pbs.twimg.com/media/Fhi1D36WAAIhDWh.jpg", "http://pbs.twimg.com/media/Fhi1D36WAAIhDWh.jpg")</f>
        <v>http://pbs.twimg.com/media/Fhi1D36WAAIhDWh.jpg</v>
      </c>
      <c r="L130">
        <v>0.29599999999999999</v>
      </c>
      <c r="M130">
        <v>0</v>
      </c>
      <c r="N130">
        <v>0.84499999999999997</v>
      </c>
      <c r="O130">
        <v>0.155</v>
      </c>
    </row>
    <row r="131" spans="1:15" x14ac:dyDescent="0.2">
      <c r="A131" s="1" t="str">
        <f>HYPERLINK("http://www.twitter.com/banuakdenizli/status/1592439507378671616", "1592439507378671616")</f>
        <v>1592439507378671616</v>
      </c>
      <c r="B131" t="s">
        <v>15</v>
      </c>
      <c r="C131" s="2">
        <v>44880.367349537039</v>
      </c>
      <c r="D131">
        <v>0</v>
      </c>
      <c r="E131">
        <v>2</v>
      </c>
      <c r="F131" t="s">
        <v>16</v>
      </c>
      <c r="G131" t="s">
        <v>158</v>
      </c>
      <c r="H131" t="str">
        <f>HYPERLINK("http://pbs.twimg.com/media/Fhi1J4lXEAEm0oa.jpg", "http://pbs.twimg.com/media/Fhi1J4lXEAEm0oa.jpg")</f>
        <v>http://pbs.twimg.com/media/Fhi1J4lXEAEm0oa.jpg</v>
      </c>
      <c r="I131" t="str">
        <f>HYPERLINK("http://pbs.twimg.com/media/Fhi1J4nWIAQtdnJ.jpg", "http://pbs.twimg.com/media/Fhi1J4nWIAQtdnJ.jpg")</f>
        <v>http://pbs.twimg.com/media/Fhi1J4nWIAQtdnJ.jpg</v>
      </c>
      <c r="L131">
        <v>0</v>
      </c>
      <c r="M131">
        <v>0</v>
      </c>
      <c r="N131">
        <v>1</v>
      </c>
      <c r="O131">
        <v>0</v>
      </c>
    </row>
    <row r="132" spans="1:15" x14ac:dyDescent="0.2">
      <c r="A132" s="1" t="str">
        <f>HYPERLINK("http://www.twitter.com/banuakdenizli/status/1592439409085140992", "1592439409085140992")</f>
        <v>1592439409085140992</v>
      </c>
      <c r="B132" t="s">
        <v>15</v>
      </c>
      <c r="C132" s="2">
        <v>44880.367071759261</v>
      </c>
      <c r="D132">
        <v>0</v>
      </c>
      <c r="E132">
        <v>46</v>
      </c>
      <c r="F132" t="s">
        <v>17</v>
      </c>
      <c r="G132" t="s">
        <v>159</v>
      </c>
      <c r="H132" t="str">
        <f>HYPERLINK("https://video.twimg.com/ext_tw_video/1592279167747366918/pu/vid/720x720/VP02QFfTCzDdLs_9.mp4?tag=12", "https://video.twimg.com/ext_tw_video/1592279167747366918/pu/vid/720x720/VP02QFfTCzDdLs_9.mp4?tag=12")</f>
        <v>https://video.twimg.com/ext_tw_video/1592279167747366918/pu/vid/720x720/VP02QFfTCzDdLs_9.mp4?tag=12</v>
      </c>
      <c r="L132">
        <v>0</v>
      </c>
      <c r="M132">
        <v>0</v>
      </c>
      <c r="N132">
        <v>1</v>
      </c>
      <c r="O132">
        <v>0</v>
      </c>
    </row>
    <row r="133" spans="1:15" x14ac:dyDescent="0.2">
      <c r="A133" s="1" t="str">
        <f>HYPERLINK("http://www.twitter.com/banuakdenizli/status/1592084682367434754", "1592084682367434754")</f>
        <v>1592084682367434754</v>
      </c>
      <c r="B133" t="s">
        <v>15</v>
      </c>
      <c r="C133" s="2">
        <v>44879.38821759259</v>
      </c>
      <c r="D133">
        <v>0</v>
      </c>
      <c r="E133">
        <v>148</v>
      </c>
      <c r="F133" t="s">
        <v>17</v>
      </c>
      <c r="G133" t="s">
        <v>160</v>
      </c>
      <c r="H133" t="str">
        <f>HYPERLINK("https://video.twimg.com/amplify_video/1591843478232670208/vid/720x1280/_6M14dIQvFSUzji_.mp4?tag=14", "https://video.twimg.com/amplify_video/1591843478232670208/vid/720x1280/_6M14dIQvFSUzji_.mp4?tag=14")</f>
        <v>https://video.twimg.com/amplify_video/1591843478232670208/vid/720x1280/_6M14dIQvFSUzji_.mp4?tag=14</v>
      </c>
      <c r="L133">
        <v>-0.55740000000000001</v>
      </c>
      <c r="M133">
        <v>0.19400000000000001</v>
      </c>
      <c r="N133">
        <v>0.80600000000000005</v>
      </c>
      <c r="O133">
        <v>0</v>
      </c>
    </row>
    <row r="134" spans="1:15" x14ac:dyDescent="0.2">
      <c r="A134" s="1" t="str">
        <f>HYPERLINK("http://www.twitter.com/banuakdenizli/status/1592084547449282560", "1592084547449282560")</f>
        <v>1592084547449282560</v>
      </c>
      <c r="B134" t="s">
        <v>15</v>
      </c>
      <c r="C134" s="2">
        <v>44879.38784722222</v>
      </c>
      <c r="D134">
        <v>0</v>
      </c>
      <c r="E134">
        <v>52</v>
      </c>
      <c r="F134" t="s">
        <v>17</v>
      </c>
      <c r="G134" t="s">
        <v>161</v>
      </c>
      <c r="H134" t="str">
        <f>HYPERLINK("https://video.twimg.com/amplify_video/1591869646936104960/vid/720x1280/kSQOQjdsZR7Bd1y5.mp4?tag=14", "https://video.twimg.com/amplify_video/1591869646936104960/vid/720x1280/kSQOQjdsZR7Bd1y5.mp4?tag=14")</f>
        <v>https://video.twimg.com/amplify_video/1591869646936104960/vid/720x1280/kSQOQjdsZR7Bd1y5.mp4?tag=14</v>
      </c>
      <c r="L134">
        <v>0.52549999999999997</v>
      </c>
      <c r="M134">
        <v>0</v>
      </c>
      <c r="N134">
        <v>0.876</v>
      </c>
      <c r="O134">
        <v>0.124</v>
      </c>
    </row>
    <row r="135" spans="1:15" x14ac:dyDescent="0.2">
      <c r="A135" s="1" t="str">
        <f>HYPERLINK("http://www.twitter.com/banuakdenizli/status/1592084460417478656", "1592084460417478656")</f>
        <v>1592084460417478656</v>
      </c>
      <c r="B135" t="s">
        <v>15</v>
      </c>
      <c r="C135" s="2">
        <v>44879.387604166674</v>
      </c>
      <c r="D135">
        <v>0</v>
      </c>
      <c r="E135">
        <v>3</v>
      </c>
      <c r="F135" t="s">
        <v>16</v>
      </c>
      <c r="G135" t="s">
        <v>162</v>
      </c>
      <c r="H135" t="str">
        <f>HYPERLINK("https://video.twimg.com/ext_tw_video/1591842138609811457/pu/vid/720x900/oAmdUvBOCJ3Bb-DA.mp4?tag=12", "https://video.twimg.com/ext_tw_video/1591842138609811457/pu/vid/720x900/oAmdUvBOCJ3Bb-DA.mp4?tag=12")</f>
        <v>https://video.twimg.com/ext_tw_video/1591842138609811457/pu/vid/720x900/oAmdUvBOCJ3Bb-DA.mp4?tag=12</v>
      </c>
      <c r="L135">
        <v>0</v>
      </c>
      <c r="M135">
        <v>0</v>
      </c>
      <c r="N135">
        <v>1</v>
      </c>
      <c r="O135">
        <v>0</v>
      </c>
    </row>
    <row r="136" spans="1:15" x14ac:dyDescent="0.2">
      <c r="A136" s="1" t="str">
        <f>HYPERLINK("http://www.twitter.com/banuakdenizli/status/1592084375759380480", "1592084375759380480")</f>
        <v>1592084375759380480</v>
      </c>
      <c r="B136" t="s">
        <v>15</v>
      </c>
      <c r="C136" s="2">
        <v>44879.387372685182</v>
      </c>
      <c r="D136">
        <v>0</v>
      </c>
      <c r="E136">
        <v>6</v>
      </c>
      <c r="F136" t="s">
        <v>18</v>
      </c>
      <c r="G136" t="s">
        <v>163</v>
      </c>
      <c r="H136" t="str">
        <f>HYPERLINK("http://pbs.twimg.com/media/FhJl4XSWQAICJ20.jpg", "http://pbs.twimg.com/media/FhJl4XSWQAICJ20.jpg")</f>
        <v>http://pbs.twimg.com/media/FhJl4XSWQAICJ20.jpg</v>
      </c>
      <c r="L136">
        <v>0</v>
      </c>
      <c r="M136">
        <v>0</v>
      </c>
      <c r="N136">
        <v>1</v>
      </c>
      <c r="O136">
        <v>0</v>
      </c>
    </row>
    <row r="137" spans="1:15" x14ac:dyDescent="0.2">
      <c r="A137" s="1" t="str">
        <f>HYPERLINK("http://www.twitter.com/banuakdenizli/status/1592084321888002048", "1592084321888002048")</f>
        <v>1592084321888002048</v>
      </c>
      <c r="B137" t="s">
        <v>15</v>
      </c>
      <c r="C137" s="2">
        <v>44879.38722222222</v>
      </c>
      <c r="D137">
        <v>0</v>
      </c>
      <c r="E137">
        <v>4</v>
      </c>
      <c r="F137" t="s">
        <v>18</v>
      </c>
      <c r="G137" t="s">
        <v>164</v>
      </c>
      <c r="H137" t="str">
        <f>HYPERLINK("http://pbs.twimg.com/media/FhdqthpWQAksSBI.jpg", "http://pbs.twimg.com/media/FhdqthpWQAksSBI.jpg")</f>
        <v>http://pbs.twimg.com/media/FhdqthpWQAksSBI.jpg</v>
      </c>
      <c r="L137">
        <v>0</v>
      </c>
      <c r="M137">
        <v>0</v>
      </c>
      <c r="N137">
        <v>1</v>
      </c>
      <c r="O137">
        <v>0</v>
      </c>
    </row>
    <row r="138" spans="1:15" x14ac:dyDescent="0.2">
      <c r="A138" s="1" t="str">
        <f>HYPERLINK("http://www.twitter.com/banuakdenizli/status/1591914241350860800", "1591914241350860800")</f>
        <v>1591914241350860800</v>
      </c>
      <c r="B138" t="s">
        <v>15</v>
      </c>
      <c r="C138" s="2">
        <v>44878.917893518519</v>
      </c>
      <c r="D138">
        <v>1</v>
      </c>
      <c r="E138">
        <v>0</v>
      </c>
      <c r="G138" t="s">
        <v>165</v>
      </c>
      <c r="H138" t="str">
        <f>HYPERLINK("http://pbs.twimg.com/media/FhedkHgXEAUwrKl.jpg", "http://pbs.twimg.com/media/FhedkHgXEAUwrKl.jpg")</f>
        <v>http://pbs.twimg.com/media/FhedkHgXEAUwrKl.jpg</v>
      </c>
      <c r="I138" t="str">
        <f>HYPERLINK("http://pbs.twimg.com/media/FhedkHhWQAAxFRp.jpg", "http://pbs.twimg.com/media/FhedkHhWQAAxFRp.jpg")</f>
        <v>http://pbs.twimg.com/media/FhedkHhWQAAxFRp.jpg</v>
      </c>
      <c r="L138">
        <v>0</v>
      </c>
      <c r="M138">
        <v>0</v>
      </c>
      <c r="N138">
        <v>1</v>
      </c>
      <c r="O138">
        <v>0</v>
      </c>
    </row>
    <row r="139" spans="1:15" x14ac:dyDescent="0.2">
      <c r="A139" s="1" t="str">
        <f>HYPERLINK("http://www.twitter.com/banuakdenizli/status/1591914234350546944", "1591914234350546944")</f>
        <v>1591914234350546944</v>
      </c>
      <c r="B139" t="s">
        <v>15</v>
      </c>
      <c r="C139" s="2">
        <v>44878.917870370373</v>
      </c>
      <c r="D139">
        <v>4</v>
      </c>
      <c r="E139">
        <v>0</v>
      </c>
      <c r="G139" t="s">
        <v>166</v>
      </c>
      <c r="H139" t="str">
        <f>HYPERLINK("http://pbs.twimg.com/media/FhedjtmWIAIIZOO.jpg", "http://pbs.twimg.com/media/FhedjtmWIAIIZOO.jpg")</f>
        <v>http://pbs.twimg.com/media/FhedjtmWIAIIZOO.jpg</v>
      </c>
      <c r="I139" t="str">
        <f>HYPERLINK("http://pbs.twimg.com/media/FhedjtqXkAAZkIp.jpg", "http://pbs.twimg.com/media/FhedjtqXkAAZkIp.jpg")</f>
        <v>http://pbs.twimg.com/media/FhedjtqXkAAZkIp.jpg</v>
      </c>
      <c r="J139" t="str">
        <f>HYPERLINK("http://pbs.twimg.com/media/FhedjtzXEAAELpX.jpg", "http://pbs.twimg.com/media/FhedjtzXEAAELpX.jpg")</f>
        <v>http://pbs.twimg.com/media/FhedjtzXEAAELpX.jpg</v>
      </c>
      <c r="K139" t="str">
        <f>HYPERLINK("http://pbs.twimg.com/media/FhedjthXwAI9f6e.jpg", "http://pbs.twimg.com/media/FhedjthXwAI9f6e.jpg")</f>
        <v>http://pbs.twimg.com/media/FhedjthXwAI9f6e.jpg</v>
      </c>
      <c r="L139">
        <v>0</v>
      </c>
      <c r="M139">
        <v>0</v>
      </c>
      <c r="N139">
        <v>1</v>
      </c>
      <c r="O139">
        <v>0</v>
      </c>
    </row>
    <row r="140" spans="1:15" x14ac:dyDescent="0.2">
      <c r="A140" s="1" t="str">
        <f>HYPERLINK("http://www.twitter.com/banuakdenizli/status/1591913727766446081", "1591913727766446081")</f>
        <v>1591913727766446081</v>
      </c>
      <c r="B140" t="s">
        <v>15</v>
      </c>
      <c r="C140" s="2">
        <v>44878.91646990741</v>
      </c>
      <c r="D140">
        <v>1</v>
      </c>
      <c r="E140">
        <v>0</v>
      </c>
      <c r="G140" t="s">
        <v>167</v>
      </c>
      <c r="H140" t="str">
        <f>HYPERLINK("http://pbs.twimg.com/media/FhedGPsWIAQtu-h.jpg", "http://pbs.twimg.com/media/FhedGPsWIAQtu-h.jpg")</f>
        <v>http://pbs.twimg.com/media/FhedGPsWIAQtu-h.jpg</v>
      </c>
      <c r="I140" t="str">
        <f>HYPERLINK("http://pbs.twimg.com/media/FhedGPtXgAAvhHe.jpg", "http://pbs.twimg.com/media/FhedGPtXgAAvhHe.jpg")</f>
        <v>http://pbs.twimg.com/media/FhedGPtXgAAvhHe.jpg</v>
      </c>
      <c r="L140">
        <v>0</v>
      </c>
      <c r="M140">
        <v>0</v>
      </c>
      <c r="N140">
        <v>1</v>
      </c>
      <c r="O140">
        <v>0</v>
      </c>
    </row>
    <row r="141" spans="1:15" x14ac:dyDescent="0.2">
      <c r="A141" s="1" t="str">
        <f>HYPERLINK("http://www.twitter.com/banuakdenizli/status/1591913720992636928", "1591913720992636928")</f>
        <v>1591913720992636928</v>
      </c>
      <c r="B141" t="s">
        <v>15</v>
      </c>
      <c r="C141" s="2">
        <v>44878.916458333333</v>
      </c>
      <c r="D141">
        <v>1</v>
      </c>
      <c r="E141">
        <v>0</v>
      </c>
      <c r="G141" t="s">
        <v>168</v>
      </c>
      <c r="H141" t="str">
        <f>HYPERLINK("http://pbs.twimg.com/media/FhedF0LX0AAmqBJ.jpg", "http://pbs.twimg.com/media/FhedF0LX0AAmqBJ.jpg")</f>
        <v>http://pbs.twimg.com/media/FhedF0LX0AAmqBJ.jpg</v>
      </c>
      <c r="I141" t="str">
        <f>HYPERLINK("http://pbs.twimg.com/media/FhedF0KXkAE7doX.jpg", "http://pbs.twimg.com/media/FhedF0KXkAE7doX.jpg")</f>
        <v>http://pbs.twimg.com/media/FhedF0KXkAE7doX.jpg</v>
      </c>
      <c r="J141" t="str">
        <f>HYPERLINK("http://pbs.twimg.com/media/FhedF0IXoAUiw6j.jpg", "http://pbs.twimg.com/media/FhedF0IXoAUiw6j.jpg")</f>
        <v>http://pbs.twimg.com/media/FhedF0IXoAUiw6j.jpg</v>
      </c>
      <c r="K141" t="str">
        <f>HYPERLINK("http://pbs.twimg.com/media/FhedF0MXkAAOZQX.jpg", "http://pbs.twimg.com/media/FhedF0MXkAAOZQX.jpg")</f>
        <v>http://pbs.twimg.com/media/FhedF0MXkAAOZQX.jpg</v>
      </c>
      <c r="L141">
        <v>0</v>
      </c>
      <c r="M141">
        <v>0</v>
      </c>
      <c r="N141">
        <v>1</v>
      </c>
      <c r="O141">
        <v>0</v>
      </c>
    </row>
    <row r="142" spans="1:15" x14ac:dyDescent="0.2">
      <c r="A142" s="1" t="str">
        <f>HYPERLINK("http://www.twitter.com/banuakdenizli/status/1591528143730393094", "1591528143730393094")</f>
        <v>1591528143730393094</v>
      </c>
      <c r="B142" t="s">
        <v>15</v>
      </c>
      <c r="C142" s="2">
        <v>44877.852465277778</v>
      </c>
      <c r="D142">
        <v>0</v>
      </c>
      <c r="E142">
        <v>4</v>
      </c>
      <c r="F142" t="s">
        <v>18</v>
      </c>
      <c r="G142" t="s">
        <v>169</v>
      </c>
      <c r="H142" t="str">
        <f>HYPERLINK("http://pbs.twimg.com/media/FhX2shqXgAAdB-A.jpg", "http://pbs.twimg.com/media/FhX2shqXgAAdB-A.jpg")</f>
        <v>http://pbs.twimg.com/media/FhX2shqXgAAdB-A.jpg</v>
      </c>
      <c r="I142" t="str">
        <f>HYPERLINK("http://pbs.twimg.com/media/FhX2shjXkAICD1-.jpg", "http://pbs.twimg.com/media/FhX2shjXkAICD1-.jpg")</f>
        <v>http://pbs.twimg.com/media/FhX2shjXkAICD1-.jpg</v>
      </c>
      <c r="J142" t="str">
        <f>HYPERLINK("http://pbs.twimg.com/media/FhX2shkWYAACvwl.jpg", "http://pbs.twimg.com/media/FhX2shkWYAACvwl.jpg")</f>
        <v>http://pbs.twimg.com/media/FhX2shkWYAACvwl.jpg</v>
      </c>
      <c r="K142" t="str">
        <f>HYPERLINK("http://pbs.twimg.com/media/FhX2shoXkAARD8R.jpg", "http://pbs.twimg.com/media/FhX2shoXkAARD8R.jpg")</f>
        <v>http://pbs.twimg.com/media/FhX2shoXkAARD8R.jpg</v>
      </c>
      <c r="L142">
        <v>0</v>
      </c>
      <c r="M142">
        <v>0</v>
      </c>
      <c r="N142">
        <v>1</v>
      </c>
      <c r="O142">
        <v>0</v>
      </c>
    </row>
    <row r="143" spans="1:15" x14ac:dyDescent="0.2">
      <c r="A143" s="1" t="str">
        <f>HYPERLINK("http://www.twitter.com/banuakdenizli/status/1590702605449441281", "1590702605449441281")</f>
        <v>1590702605449441281</v>
      </c>
      <c r="B143" t="s">
        <v>15</v>
      </c>
      <c r="C143" s="2">
        <v>44875.57440972222</v>
      </c>
      <c r="D143">
        <v>0</v>
      </c>
      <c r="E143">
        <v>48</v>
      </c>
      <c r="F143" t="s">
        <v>170</v>
      </c>
      <c r="G143" t="s">
        <v>171</v>
      </c>
      <c r="H143" t="str">
        <f>HYPERLINK("https://video.twimg.com/amplify_video/1590689718202572800/vid/1280x720/t3pYT2k1PKbGcDxC.mp4?tag=14", "https://video.twimg.com/amplify_video/1590689718202572800/vid/1280x720/t3pYT2k1PKbGcDxC.mp4?tag=14")</f>
        <v>https://video.twimg.com/amplify_video/1590689718202572800/vid/1280x720/t3pYT2k1PKbGcDxC.mp4?tag=14</v>
      </c>
      <c r="L143">
        <v>0</v>
      </c>
      <c r="M143">
        <v>0</v>
      </c>
      <c r="N143">
        <v>1</v>
      </c>
      <c r="O143">
        <v>0</v>
      </c>
    </row>
    <row r="144" spans="1:15" x14ac:dyDescent="0.2">
      <c r="A144" s="1" t="str">
        <f>HYPERLINK("http://www.twitter.com/banuakdenizli/status/1590078922565488640", "1590078922565488640")</f>
        <v>1590078922565488640</v>
      </c>
      <c r="B144" t="s">
        <v>15</v>
      </c>
      <c r="C144" s="2">
        <v>44873.853379629632</v>
      </c>
      <c r="D144">
        <v>4</v>
      </c>
      <c r="E144">
        <v>0</v>
      </c>
      <c r="G144" t="s">
        <v>172</v>
      </c>
      <c r="H144" t="str">
        <f>HYPERLINK("http://pbs.twimg.com/media/FhEYWhUWQAE3SwD.jpg", "http://pbs.twimg.com/media/FhEYWhUWQAE3SwD.jpg")</f>
        <v>http://pbs.twimg.com/media/FhEYWhUWQAE3SwD.jpg</v>
      </c>
      <c r="L144">
        <v>0</v>
      </c>
      <c r="M144">
        <v>0</v>
      </c>
      <c r="N144">
        <v>1</v>
      </c>
      <c r="O144">
        <v>0</v>
      </c>
    </row>
    <row r="145" spans="1:15" x14ac:dyDescent="0.2">
      <c r="A145" s="1" t="str">
        <f>HYPERLINK("http://www.twitter.com/banuakdenizli/status/1590078915795877888", "1590078915795877888")</f>
        <v>1590078915795877888</v>
      </c>
      <c r="B145" t="s">
        <v>15</v>
      </c>
      <c r="C145" s="2">
        <v>44873.853356481479</v>
      </c>
      <c r="D145">
        <v>8</v>
      </c>
      <c r="E145">
        <v>0</v>
      </c>
      <c r="G145" t="s">
        <v>173</v>
      </c>
      <c r="H145" t="str">
        <f>HYPERLINK("http://pbs.twimg.com/media/FhEYWHWXwAEPb1K.jpg", "http://pbs.twimg.com/media/FhEYWHWXwAEPb1K.jpg")</f>
        <v>http://pbs.twimg.com/media/FhEYWHWXwAEPb1K.jpg</v>
      </c>
      <c r="I145" t="str">
        <f>HYPERLINK("http://pbs.twimg.com/media/FhEYWHXXkAEUVXc.jpg", "http://pbs.twimg.com/media/FhEYWHXXkAEUVXc.jpg")</f>
        <v>http://pbs.twimg.com/media/FhEYWHXXkAEUVXc.jpg</v>
      </c>
      <c r="J145" t="str">
        <f>HYPERLINK("http://pbs.twimg.com/media/FhEYWHZWYAEsu-Z.jpg", "http://pbs.twimg.com/media/FhEYWHZWYAEsu-Z.jpg")</f>
        <v>http://pbs.twimg.com/media/FhEYWHZWYAEsu-Z.jpg</v>
      </c>
      <c r="K145" t="str">
        <f>HYPERLINK("http://pbs.twimg.com/media/FhEYWHXX0AI-Xmi.jpg", "http://pbs.twimg.com/media/FhEYWHXX0AI-Xmi.jpg")</f>
        <v>http://pbs.twimg.com/media/FhEYWHXX0AI-Xmi.jpg</v>
      </c>
      <c r="L145">
        <v>0.58589999999999998</v>
      </c>
      <c r="M145">
        <v>0</v>
      </c>
      <c r="N145">
        <v>0.90200000000000002</v>
      </c>
      <c r="O145">
        <v>9.8000000000000004E-2</v>
      </c>
    </row>
    <row r="146" spans="1:15" x14ac:dyDescent="0.2">
      <c r="A146" s="1" t="str">
        <f>HYPERLINK("http://www.twitter.com/banuakdenizli/status/1590078640326574081", "1590078640326574081")</f>
        <v>1590078640326574081</v>
      </c>
      <c r="B146" t="s">
        <v>15</v>
      </c>
      <c r="C146" s="2">
        <v>44873.852592592593</v>
      </c>
      <c r="D146">
        <v>5</v>
      </c>
      <c r="E146">
        <v>0</v>
      </c>
      <c r="G146" t="s">
        <v>174</v>
      </c>
      <c r="H146" t="str">
        <f>HYPERLINK("http://pbs.twimg.com/media/FhEYGGmXgAEvYVA.jpg", "http://pbs.twimg.com/media/FhEYGGmXgAEvYVA.jpg")</f>
        <v>http://pbs.twimg.com/media/FhEYGGmXgAEvYVA.jpg</v>
      </c>
      <c r="L146">
        <v>0</v>
      </c>
      <c r="M146">
        <v>0</v>
      </c>
      <c r="N146">
        <v>1</v>
      </c>
      <c r="O146">
        <v>0</v>
      </c>
    </row>
    <row r="147" spans="1:15" x14ac:dyDescent="0.2">
      <c r="A147" s="1" t="str">
        <f>HYPERLINK("http://www.twitter.com/banuakdenizli/status/1590078582503530496", "1590078582503530496")</f>
        <v>1590078582503530496</v>
      </c>
      <c r="B147" t="s">
        <v>15</v>
      </c>
      <c r="C147" s="2">
        <v>44873.852430555547</v>
      </c>
      <c r="D147">
        <v>5</v>
      </c>
      <c r="E147">
        <v>0</v>
      </c>
      <c r="G147" t="s">
        <v>175</v>
      </c>
      <c r="H147" t="str">
        <f>HYPERLINK("http://pbs.twimg.com/media/FhEYCsAWAAA9Dz5.jpg", "http://pbs.twimg.com/media/FhEYCsAWAAA9Dz5.jpg")</f>
        <v>http://pbs.twimg.com/media/FhEYCsAWAAA9Dz5.jpg</v>
      </c>
      <c r="I147" t="str">
        <f>HYPERLINK("http://pbs.twimg.com/media/FhEYCr8WIAAjPtM.jpg", "http://pbs.twimg.com/media/FhEYCr8WIAAjPtM.jpg")</f>
        <v>http://pbs.twimg.com/media/FhEYCr8WIAAjPtM.jpg</v>
      </c>
      <c r="J147" t="str">
        <f>HYPERLINK("http://pbs.twimg.com/media/FhEYCr-XkAApqhU.jpg", "http://pbs.twimg.com/media/FhEYCr-XkAApqhU.jpg")</f>
        <v>http://pbs.twimg.com/media/FhEYCr-XkAApqhU.jpg</v>
      </c>
      <c r="K147" t="str">
        <f>HYPERLINK("http://pbs.twimg.com/media/FhEYCr-WQAMfu5B.jpg", "http://pbs.twimg.com/media/FhEYCr-WQAMfu5B.jpg")</f>
        <v>http://pbs.twimg.com/media/FhEYCr-WQAMfu5B.jpg</v>
      </c>
      <c r="L147">
        <v>0</v>
      </c>
      <c r="M147">
        <v>0</v>
      </c>
      <c r="N147">
        <v>1</v>
      </c>
      <c r="O147">
        <v>0</v>
      </c>
    </row>
    <row r="148" spans="1:15" x14ac:dyDescent="0.2">
      <c r="A148" s="1" t="str">
        <f>HYPERLINK("http://www.twitter.com/banuakdenizli/status/1589682473713430528", "1589682473713430528")</f>
        <v>1589682473713430528</v>
      </c>
      <c r="B148" t="s">
        <v>15</v>
      </c>
      <c r="C148" s="2">
        <v>44872.759386574071</v>
      </c>
      <c r="D148">
        <v>10</v>
      </c>
      <c r="E148">
        <v>1</v>
      </c>
      <c r="G148" t="s">
        <v>176</v>
      </c>
      <c r="H148" t="str">
        <f>HYPERLINK("http://pbs.twimg.com/media/Fg-vyHkWAAI9V9Z.jpg", "http://pbs.twimg.com/media/Fg-vyHkWAAI9V9Z.jpg")</f>
        <v>http://pbs.twimg.com/media/Fg-vyHkWAAI9V9Z.jpg</v>
      </c>
      <c r="I148" t="str">
        <f>HYPERLINK("http://pbs.twimg.com/media/Fg-vyHnWIAAE82d.jpg", "http://pbs.twimg.com/media/Fg-vyHnWIAAE82d.jpg")</f>
        <v>http://pbs.twimg.com/media/Fg-vyHnWIAAE82d.jpg</v>
      </c>
      <c r="J148" t="str">
        <f>HYPERLINK("http://pbs.twimg.com/media/Fg-vyHhWAAI8QTz.jpg", "http://pbs.twimg.com/media/Fg-vyHhWAAI8QTz.jpg")</f>
        <v>http://pbs.twimg.com/media/Fg-vyHhWAAI8QTz.jpg</v>
      </c>
      <c r="K148" t="str">
        <f>HYPERLINK("http://pbs.twimg.com/media/Fg-vyHiX0AQZ4wP.jpg", "http://pbs.twimg.com/media/Fg-vyHiX0AQZ4wP.jpg")</f>
        <v>http://pbs.twimg.com/media/Fg-vyHiX0AQZ4wP.jpg</v>
      </c>
      <c r="L148">
        <v>0.63690000000000002</v>
      </c>
      <c r="M148">
        <v>0</v>
      </c>
      <c r="N148">
        <v>0.877</v>
      </c>
      <c r="O148">
        <v>0.123</v>
      </c>
    </row>
    <row r="149" spans="1:15" x14ac:dyDescent="0.2">
      <c r="A149" s="1" t="str">
        <f>HYPERLINK("http://www.twitter.com/banuakdenizli/status/1589682183941525504", "1589682183941525504")</f>
        <v>1589682183941525504</v>
      </c>
      <c r="B149" t="s">
        <v>15</v>
      </c>
      <c r="C149" s="2">
        <v>44872.758587962962</v>
      </c>
      <c r="D149">
        <v>2</v>
      </c>
      <c r="E149">
        <v>0</v>
      </c>
      <c r="G149" t="s">
        <v>177</v>
      </c>
      <c r="H149" t="str">
        <f>HYPERLINK("http://pbs.twimg.com/media/Fg-vhQlXkAICJk6.jpg", "http://pbs.twimg.com/media/Fg-vhQlXkAICJk6.jpg")</f>
        <v>http://pbs.twimg.com/media/Fg-vhQlXkAICJk6.jpg</v>
      </c>
      <c r="I149" t="str">
        <f>HYPERLINK("http://pbs.twimg.com/media/Fg-vhQnX0AEu-If.jpg", "http://pbs.twimg.com/media/Fg-vhQnX0AEu-If.jpg")</f>
        <v>http://pbs.twimg.com/media/Fg-vhQnX0AEu-If.jpg</v>
      </c>
      <c r="J149" t="str">
        <f>HYPERLINK("http://pbs.twimg.com/media/Fg-vhQkXwAAnBDH.jpg", "http://pbs.twimg.com/media/Fg-vhQkXwAAnBDH.jpg")</f>
        <v>http://pbs.twimg.com/media/Fg-vhQkXwAAnBDH.jpg</v>
      </c>
      <c r="K149" t="str">
        <f>HYPERLINK("http://pbs.twimg.com/media/Fg-vhQpWYAAu7mA.jpg", "http://pbs.twimg.com/media/Fg-vhQpWYAAu7mA.jpg")</f>
        <v>http://pbs.twimg.com/media/Fg-vhQpWYAAu7mA.jpg</v>
      </c>
      <c r="L149">
        <v>0</v>
      </c>
      <c r="M149">
        <v>0</v>
      </c>
      <c r="N149">
        <v>1</v>
      </c>
      <c r="O149">
        <v>0</v>
      </c>
    </row>
    <row r="150" spans="1:15" x14ac:dyDescent="0.2">
      <c r="A150" s="1" t="str">
        <f>HYPERLINK("http://www.twitter.com/banuakdenizli/status/1589268044915699712", "1589268044915699712")</f>
        <v>1589268044915699712</v>
      </c>
      <c r="B150" t="s">
        <v>15</v>
      </c>
      <c r="C150" s="2">
        <v>44871.61577546296</v>
      </c>
      <c r="D150">
        <v>2</v>
      </c>
      <c r="E150">
        <v>0</v>
      </c>
      <c r="G150" t="s">
        <v>178</v>
      </c>
      <c r="H150" t="str">
        <f>HYPERLINK("http://pbs.twimg.com/media/Fg423KeXkAITNFS.jpg", "http://pbs.twimg.com/media/Fg423KeXkAITNFS.jpg")</f>
        <v>http://pbs.twimg.com/media/Fg423KeXkAITNFS.jpg</v>
      </c>
      <c r="I150" t="str">
        <f>HYPERLINK("http://pbs.twimg.com/media/Fg423KjWAAIFEBp.jpg", "http://pbs.twimg.com/media/Fg423KjWAAIFEBp.jpg")</f>
        <v>http://pbs.twimg.com/media/Fg423KjWAAIFEBp.jpg</v>
      </c>
      <c r="J150" t="str">
        <f>HYPERLINK("http://pbs.twimg.com/media/Fg423KqWIAAopcQ.jpg", "http://pbs.twimg.com/media/Fg423KqWIAAopcQ.jpg")</f>
        <v>http://pbs.twimg.com/media/Fg423KqWIAAopcQ.jpg</v>
      </c>
      <c r="K150" t="str">
        <f>HYPERLINK("http://pbs.twimg.com/media/Fg423KoWAAE8P-_.jpg", "http://pbs.twimg.com/media/Fg423KoWAAE8P-_.jpg")</f>
        <v>http://pbs.twimg.com/media/Fg423KoWAAE8P-_.jpg</v>
      </c>
      <c r="L150">
        <v>0</v>
      </c>
      <c r="M150">
        <v>0</v>
      </c>
      <c r="N150">
        <v>1</v>
      </c>
      <c r="O150">
        <v>0</v>
      </c>
    </row>
    <row r="151" spans="1:15" x14ac:dyDescent="0.2">
      <c r="A151" s="1" t="str">
        <f>HYPERLINK("http://www.twitter.com/banuakdenizli/status/1589267964523843585", "1589267964523843585")</f>
        <v>1589267964523843585</v>
      </c>
      <c r="B151" t="s">
        <v>15</v>
      </c>
      <c r="C151" s="2">
        <v>44871.615555555552</v>
      </c>
      <c r="D151">
        <v>0</v>
      </c>
      <c r="E151">
        <v>0</v>
      </c>
      <c r="G151" t="s">
        <v>179</v>
      </c>
      <c r="H151" t="str">
        <f>HYPERLINK("http://pbs.twimg.com/media/Fg42ydGXoAMGuVl.jpg", "http://pbs.twimg.com/media/Fg42ydGXoAMGuVl.jpg")</f>
        <v>http://pbs.twimg.com/media/Fg42ydGXoAMGuVl.jpg</v>
      </c>
      <c r="I151" t="str">
        <f>HYPERLINK("http://pbs.twimg.com/media/Fg42ydFWYAEHUdZ.jpg", "http://pbs.twimg.com/media/Fg42ydFWYAEHUdZ.jpg")</f>
        <v>http://pbs.twimg.com/media/Fg42ydFWYAEHUdZ.jpg</v>
      </c>
      <c r="J151" t="str">
        <f>HYPERLINK("http://pbs.twimg.com/media/Fg42ydJWIAAv1Df.jpg", "http://pbs.twimg.com/media/Fg42ydJWIAAv1Df.jpg")</f>
        <v>http://pbs.twimg.com/media/Fg42ydJWIAAv1Df.jpg</v>
      </c>
      <c r="K151" t="str">
        <f>HYPERLINK("http://pbs.twimg.com/media/Fg42ydDWQAIeFMe.jpg", "http://pbs.twimg.com/media/Fg42ydDWQAIeFMe.jpg")</f>
        <v>http://pbs.twimg.com/media/Fg42ydDWQAIeFMe.jpg</v>
      </c>
      <c r="L151">
        <v>0</v>
      </c>
      <c r="M151">
        <v>0</v>
      </c>
      <c r="N151">
        <v>1</v>
      </c>
      <c r="O151">
        <v>0</v>
      </c>
    </row>
    <row r="152" spans="1:15" x14ac:dyDescent="0.2">
      <c r="A152" s="1" t="str">
        <f>HYPERLINK("http://www.twitter.com/banuakdenizli/status/1589267495185440768", "1589267495185440768")</f>
        <v>1589267495185440768</v>
      </c>
      <c r="B152" t="s">
        <v>15</v>
      </c>
      <c r="C152" s="2">
        <v>44871.614259259259</v>
      </c>
      <c r="D152">
        <v>4</v>
      </c>
      <c r="E152">
        <v>0</v>
      </c>
      <c r="G152" t="s">
        <v>180</v>
      </c>
      <c r="H152" t="str">
        <f>HYPERLINK("http://pbs.twimg.com/media/Fg42XCfXkAAxZg4.jpg", "http://pbs.twimg.com/media/Fg42XCfXkAAxZg4.jpg")</f>
        <v>http://pbs.twimg.com/media/Fg42XCfXkAAxZg4.jpg</v>
      </c>
      <c r="I152" t="str">
        <f>HYPERLINK("http://pbs.twimg.com/media/Fg42XCcWQAEP8LW.jpg", "http://pbs.twimg.com/media/Fg42XCcWQAEP8LW.jpg")</f>
        <v>http://pbs.twimg.com/media/Fg42XCcWQAEP8LW.jpg</v>
      </c>
      <c r="J152" t="str">
        <f>HYPERLINK("http://pbs.twimg.com/media/Fg42XCcWAAYi8bL.jpg", "http://pbs.twimg.com/media/Fg42XCcWAAYi8bL.jpg")</f>
        <v>http://pbs.twimg.com/media/Fg42XCcWAAYi8bL.jpg</v>
      </c>
      <c r="K152" t="str">
        <f>HYPERLINK("http://pbs.twimg.com/media/Fg42XCdXkAEuh-0.jpg", "http://pbs.twimg.com/media/Fg42XCdXkAEuh-0.jpg")</f>
        <v>http://pbs.twimg.com/media/Fg42XCdXkAEuh-0.jpg</v>
      </c>
      <c r="L152">
        <v>0.40189999999999998</v>
      </c>
      <c r="M152">
        <v>0</v>
      </c>
      <c r="N152">
        <v>0.91500000000000004</v>
      </c>
      <c r="O152">
        <v>8.5000000000000006E-2</v>
      </c>
    </row>
    <row r="153" spans="1:15" x14ac:dyDescent="0.2">
      <c r="A153" s="1" t="str">
        <f>HYPERLINK("http://www.twitter.com/banuakdenizli/status/1589267484162412545", "1589267484162412545")</f>
        <v>1589267484162412545</v>
      </c>
      <c r="B153" t="s">
        <v>15</v>
      </c>
      <c r="C153" s="2">
        <v>44871.614236111112</v>
      </c>
      <c r="D153">
        <v>6</v>
      </c>
      <c r="E153">
        <v>0</v>
      </c>
      <c r="G153" t="s">
        <v>181</v>
      </c>
      <c r="H153" t="str">
        <f>HYPERLINK("http://pbs.twimg.com/media/Fg42WcoXgAE_FUL.jpg", "http://pbs.twimg.com/media/Fg42WcoXgAE_FUL.jpg")</f>
        <v>http://pbs.twimg.com/media/Fg42WcoXgAE_FUL.jpg</v>
      </c>
      <c r="I153" t="str">
        <f>HYPERLINK("http://pbs.twimg.com/media/Fg42WclXkAAtgOh.jpg", "http://pbs.twimg.com/media/Fg42WclXkAAtgOh.jpg")</f>
        <v>http://pbs.twimg.com/media/Fg42WclXkAAtgOh.jpg</v>
      </c>
      <c r="J153" t="str">
        <f>HYPERLINK("http://pbs.twimg.com/media/Fg42WciWIAI55Wk.jpg", "http://pbs.twimg.com/media/Fg42WciWIAI55Wk.jpg")</f>
        <v>http://pbs.twimg.com/media/Fg42WciWIAI55Wk.jpg</v>
      </c>
      <c r="K153" t="str">
        <f>HYPERLINK("http://pbs.twimg.com/media/Fg42WckX0AAHER2.jpg", "http://pbs.twimg.com/media/Fg42WckX0AAHER2.jpg")</f>
        <v>http://pbs.twimg.com/media/Fg42WckX0AAHER2.jpg</v>
      </c>
      <c r="L153">
        <v>0.58589999999999998</v>
      </c>
      <c r="M153">
        <v>0</v>
      </c>
      <c r="N153">
        <v>0.89</v>
      </c>
      <c r="O153">
        <v>0.11</v>
      </c>
    </row>
    <row r="154" spans="1:15" x14ac:dyDescent="0.2">
      <c r="A154" s="1" t="str">
        <f>HYPERLINK("http://www.twitter.com/banuakdenizli/status/1589266409267564546", "1589266409267564546")</f>
        <v>1589266409267564546</v>
      </c>
      <c r="B154" t="s">
        <v>15</v>
      </c>
      <c r="C154" s="2">
        <v>44871.611261574071</v>
      </c>
      <c r="D154">
        <v>2</v>
      </c>
      <c r="E154">
        <v>0</v>
      </c>
      <c r="G154" t="s">
        <v>182</v>
      </c>
      <c r="H154" t="str">
        <f>HYPERLINK("http://pbs.twimg.com/media/Fg41X1JXwAY7lY6.jpg", "http://pbs.twimg.com/media/Fg41X1JXwAY7lY6.jpg")</f>
        <v>http://pbs.twimg.com/media/Fg41X1JXwAY7lY6.jpg</v>
      </c>
      <c r="I154" t="str">
        <f>HYPERLINK("http://pbs.twimg.com/media/Fg41X1LXEAA98gf.jpg", "http://pbs.twimg.com/media/Fg41X1LXEAA98gf.jpg")</f>
        <v>http://pbs.twimg.com/media/Fg41X1LXEAA98gf.jpg</v>
      </c>
      <c r="J154" t="str">
        <f>HYPERLINK("http://pbs.twimg.com/media/Fg41X1IXkAAwzwN.jpg", "http://pbs.twimg.com/media/Fg41X1IXkAAwzwN.jpg")</f>
        <v>http://pbs.twimg.com/media/Fg41X1IXkAAwzwN.jpg</v>
      </c>
      <c r="K154" t="str">
        <f>HYPERLINK("http://pbs.twimg.com/media/Fg41X1JX0AAiRar.jpg", "http://pbs.twimg.com/media/Fg41X1JX0AAiRar.jpg")</f>
        <v>http://pbs.twimg.com/media/Fg41X1JX0AAiRar.jpg</v>
      </c>
      <c r="L154">
        <v>0</v>
      </c>
      <c r="M154">
        <v>0</v>
      </c>
      <c r="N154">
        <v>1</v>
      </c>
      <c r="O154">
        <v>0</v>
      </c>
    </row>
    <row r="155" spans="1:15" x14ac:dyDescent="0.2">
      <c r="A155" s="1" t="str">
        <f>HYPERLINK("http://www.twitter.com/banuakdenizli/status/1589266398563696640", "1589266398563696640")</f>
        <v>1589266398563696640</v>
      </c>
      <c r="B155" t="s">
        <v>15</v>
      </c>
      <c r="C155" s="2">
        <v>44871.611238425918</v>
      </c>
      <c r="D155">
        <v>3</v>
      </c>
      <c r="E155">
        <v>1</v>
      </c>
      <c r="G155" t="s">
        <v>183</v>
      </c>
      <c r="H155" t="str">
        <f>HYPERLINK("http://pbs.twimg.com/media/Fg41XJZXwAELXFX.jpg", "http://pbs.twimg.com/media/Fg41XJZXwAELXFX.jpg")</f>
        <v>http://pbs.twimg.com/media/Fg41XJZXwAELXFX.jpg</v>
      </c>
      <c r="I155" t="str">
        <f>HYPERLINK("http://pbs.twimg.com/media/Fg41XJVWYAEbO4s.jpg", "http://pbs.twimg.com/media/Fg41XJVWYAEbO4s.jpg")</f>
        <v>http://pbs.twimg.com/media/Fg41XJVWYAEbO4s.jpg</v>
      </c>
      <c r="J155" t="str">
        <f>HYPERLINK("http://pbs.twimg.com/media/Fg41XJXWIAIBYki.jpg", "http://pbs.twimg.com/media/Fg41XJXWIAIBYki.jpg")</f>
        <v>http://pbs.twimg.com/media/Fg41XJXWIAIBYki.jpg</v>
      </c>
      <c r="K155" t="str">
        <f>HYPERLINK("http://pbs.twimg.com/media/Fg41XJWXwAQihvX.jpg", "http://pbs.twimg.com/media/Fg41XJWXwAQihvX.jpg")</f>
        <v>http://pbs.twimg.com/media/Fg41XJWXwAQihvX.jpg</v>
      </c>
      <c r="L155">
        <v>0</v>
      </c>
      <c r="M155">
        <v>0</v>
      </c>
      <c r="N155">
        <v>1</v>
      </c>
      <c r="O155">
        <v>0</v>
      </c>
    </row>
    <row r="156" spans="1:15" x14ac:dyDescent="0.2">
      <c r="A156" s="1" t="str">
        <f>HYPERLINK("http://www.twitter.com/banuakdenizli/status/1589197188516569089", "1589197188516569089")</f>
        <v>1589197188516569089</v>
      </c>
      <c r="B156" t="s">
        <v>15</v>
      </c>
      <c r="C156" s="2">
        <v>44871.420254629629</v>
      </c>
      <c r="D156">
        <v>2</v>
      </c>
      <c r="E156">
        <v>0</v>
      </c>
      <c r="G156" t="s">
        <v>184</v>
      </c>
      <c r="H156" t="str">
        <f>HYPERLINK("http://pbs.twimg.com/media/Fg32a2pWIAASjjH.jpg", "http://pbs.twimg.com/media/Fg32a2pWIAASjjH.jpg")</f>
        <v>http://pbs.twimg.com/media/Fg32a2pWIAASjjH.jpg</v>
      </c>
      <c r="I156" t="str">
        <f>HYPERLINK("http://pbs.twimg.com/media/Fg32a2nWQAAPpbw.jpg", "http://pbs.twimg.com/media/Fg32a2nWQAAPpbw.jpg")</f>
        <v>http://pbs.twimg.com/media/Fg32a2nWQAAPpbw.jpg</v>
      </c>
      <c r="J156" t="str">
        <f>HYPERLINK("http://pbs.twimg.com/media/Fg32a2mX0AAeX_-.jpg", "http://pbs.twimg.com/media/Fg32a2mX0AAeX_-.jpg")</f>
        <v>http://pbs.twimg.com/media/Fg32a2mX0AAeX_-.jpg</v>
      </c>
      <c r="L156">
        <v>0</v>
      </c>
      <c r="M156">
        <v>0</v>
      </c>
      <c r="N156">
        <v>1</v>
      </c>
      <c r="O156">
        <v>0</v>
      </c>
    </row>
    <row r="157" spans="1:15" x14ac:dyDescent="0.2">
      <c r="A157" s="1" t="str">
        <f>HYPERLINK("http://www.twitter.com/banuakdenizli/status/1589197119860400129", "1589197119860400129")</f>
        <v>1589197119860400129</v>
      </c>
      <c r="B157" t="s">
        <v>15</v>
      </c>
      <c r="C157" s="2">
        <v>44871.420057870368</v>
      </c>
      <c r="D157">
        <v>2</v>
      </c>
      <c r="E157">
        <v>0</v>
      </c>
      <c r="G157" t="s">
        <v>185</v>
      </c>
      <c r="H157" t="str">
        <f>HYPERLINK("http://pbs.twimg.com/media/Fg32W0uXwAAqAde.jpg", "http://pbs.twimg.com/media/Fg32W0uXwAAqAde.jpg")</f>
        <v>http://pbs.twimg.com/media/Fg32W0uXwAAqAde.jpg</v>
      </c>
      <c r="I157" t="str">
        <f>HYPERLINK("http://pbs.twimg.com/media/Fg32W0rWAAAltx8.jpg", "http://pbs.twimg.com/media/Fg32W0rWAAAltx8.jpg")</f>
        <v>http://pbs.twimg.com/media/Fg32W0rWAAAltx8.jpg</v>
      </c>
      <c r="J157" t="str">
        <f>HYPERLINK("http://pbs.twimg.com/media/Fg32W0tX0AI-gcz.jpg", "http://pbs.twimg.com/media/Fg32W0tX0AI-gcz.jpg")</f>
        <v>http://pbs.twimg.com/media/Fg32W0tX0AI-gcz.jpg</v>
      </c>
      <c r="K157" t="str">
        <f>HYPERLINK("http://pbs.twimg.com/media/Fg32W0sXgAE_Tw-.jpg", "http://pbs.twimg.com/media/Fg32W0sXgAE_Tw-.jpg")</f>
        <v>http://pbs.twimg.com/media/Fg32W0sXgAE_Tw-.jpg</v>
      </c>
      <c r="L157">
        <v>0</v>
      </c>
      <c r="M157">
        <v>0</v>
      </c>
      <c r="N157">
        <v>1</v>
      </c>
      <c r="O157">
        <v>0</v>
      </c>
    </row>
    <row r="158" spans="1:15" x14ac:dyDescent="0.2">
      <c r="A158" s="1" t="str">
        <f>HYPERLINK("http://www.twitter.com/banuakdenizli/status/1589197011467014144", "1589197011467014144")</f>
        <v>1589197011467014144</v>
      </c>
      <c r="B158" t="s">
        <v>15</v>
      </c>
      <c r="C158" s="2">
        <v>44871.419768518521</v>
      </c>
      <c r="D158">
        <v>4</v>
      </c>
      <c r="E158">
        <v>0</v>
      </c>
      <c r="G158" t="s">
        <v>186</v>
      </c>
      <c r="H158" t="str">
        <f>HYPERLINK("http://pbs.twimg.com/media/Fg32Qg8XwAIoG_0.jpg", "http://pbs.twimg.com/media/Fg32Qg8XwAIoG_0.jpg")</f>
        <v>http://pbs.twimg.com/media/Fg32Qg8XwAIoG_0.jpg</v>
      </c>
      <c r="I158" t="str">
        <f>HYPERLINK("http://pbs.twimg.com/media/Fg32QhNX0AIp3TB.jpg", "http://pbs.twimg.com/media/Fg32QhNX0AIp3TB.jpg")</f>
        <v>http://pbs.twimg.com/media/Fg32QhNX0AIp3TB.jpg</v>
      </c>
      <c r="J158" t="str">
        <f>HYPERLINK("http://pbs.twimg.com/media/Fg32Qg5WAAAnIAJ.jpg", "http://pbs.twimg.com/media/Fg32Qg5WAAAnIAJ.jpg")</f>
        <v>http://pbs.twimg.com/media/Fg32Qg5WAAAnIAJ.jpg</v>
      </c>
      <c r="K158" t="str">
        <f>HYPERLINK("http://pbs.twimg.com/media/Fg32Qg9WQAAhN7H.jpg", "http://pbs.twimg.com/media/Fg32Qg9WQAAhN7H.jpg")</f>
        <v>http://pbs.twimg.com/media/Fg32Qg9WQAAhN7H.jpg</v>
      </c>
      <c r="L158">
        <v>0.58589999999999998</v>
      </c>
      <c r="M158">
        <v>0</v>
      </c>
      <c r="N158">
        <v>0.90400000000000003</v>
      </c>
      <c r="O158">
        <v>9.6000000000000002E-2</v>
      </c>
    </row>
    <row r="159" spans="1:15" x14ac:dyDescent="0.2">
      <c r="A159" s="1" t="str">
        <f>HYPERLINK("http://www.twitter.com/banuakdenizli/status/1589196607165468673", "1589196607165468673")</f>
        <v>1589196607165468673</v>
      </c>
      <c r="B159" t="s">
        <v>15</v>
      </c>
      <c r="C159" s="2">
        <v>44871.418645833342</v>
      </c>
      <c r="D159">
        <v>1</v>
      </c>
      <c r="E159">
        <v>0</v>
      </c>
      <c r="G159" t="s">
        <v>187</v>
      </c>
      <c r="H159" t="str">
        <f>HYPERLINK("http://pbs.twimg.com/media/Fg314-fXEAAmgt7.jpg", "http://pbs.twimg.com/media/Fg314-fXEAAmgt7.jpg")</f>
        <v>http://pbs.twimg.com/media/Fg314-fXEAAmgt7.jpg</v>
      </c>
      <c r="I159" t="str">
        <f>HYPERLINK("http://pbs.twimg.com/media/Fg314-eX0AE0KQ7.jpg", "http://pbs.twimg.com/media/Fg314-eX0AE0KQ7.jpg")</f>
        <v>http://pbs.twimg.com/media/Fg314-eX0AE0KQ7.jpg</v>
      </c>
      <c r="J159" t="str">
        <f>HYPERLINK("http://pbs.twimg.com/media/Fg314-dXwAA_RvE.jpg", "http://pbs.twimg.com/media/Fg314-dXwAA_RvE.jpg")</f>
        <v>http://pbs.twimg.com/media/Fg314-dXwAA_RvE.jpg</v>
      </c>
      <c r="L159">
        <v>0</v>
      </c>
      <c r="M159">
        <v>0</v>
      </c>
      <c r="N159">
        <v>1</v>
      </c>
      <c r="O159">
        <v>0</v>
      </c>
    </row>
    <row r="160" spans="1:15" x14ac:dyDescent="0.2">
      <c r="A160" s="1" t="str">
        <f>HYPERLINK("http://www.twitter.com/banuakdenizli/status/1589196552954085378", "1589196552954085378")</f>
        <v>1589196552954085378</v>
      </c>
      <c r="B160" t="s">
        <v>15</v>
      </c>
      <c r="C160" s="2">
        <v>44871.418495370373</v>
      </c>
      <c r="D160">
        <v>1</v>
      </c>
      <c r="E160">
        <v>0</v>
      </c>
      <c r="G160" t="s">
        <v>188</v>
      </c>
      <c r="H160" t="str">
        <f>HYPERLINK("http://pbs.twimg.com/media/Fg3111TWAAM-i5b.jpg", "http://pbs.twimg.com/media/Fg3111TWAAM-i5b.jpg")</f>
        <v>http://pbs.twimg.com/media/Fg3111TWAAM-i5b.jpg</v>
      </c>
      <c r="I160" t="str">
        <f>HYPERLINK("http://pbs.twimg.com/media/Fg3111XXEAA9qp0.jpg", "http://pbs.twimg.com/media/Fg3111XXEAA9qp0.jpg")</f>
        <v>http://pbs.twimg.com/media/Fg3111XXEAA9qp0.jpg</v>
      </c>
      <c r="J160" t="str">
        <f>HYPERLINK("http://pbs.twimg.com/media/Fg3111UX0AIJwte.jpg", "http://pbs.twimg.com/media/Fg3111UX0AIJwte.jpg")</f>
        <v>http://pbs.twimg.com/media/Fg3111UX0AIJwte.jpg</v>
      </c>
      <c r="K160" t="str">
        <f>HYPERLINK("http://pbs.twimg.com/media/Fg3111TWIAIfHlO.jpg", "http://pbs.twimg.com/media/Fg3111TWIAIfHlO.jpg")</f>
        <v>http://pbs.twimg.com/media/Fg3111TWIAIfHlO.jpg</v>
      </c>
      <c r="L160">
        <v>0</v>
      </c>
      <c r="M160">
        <v>0</v>
      </c>
      <c r="N160">
        <v>1</v>
      </c>
      <c r="O160">
        <v>0</v>
      </c>
    </row>
    <row r="161" spans="1:15" x14ac:dyDescent="0.2">
      <c r="A161" s="1" t="str">
        <f>HYPERLINK("http://www.twitter.com/banuakdenizli/status/1589196460985184256", "1589196460985184256")</f>
        <v>1589196460985184256</v>
      </c>
      <c r="B161" t="s">
        <v>15</v>
      </c>
      <c r="C161" s="2">
        <v>44871.418240740742</v>
      </c>
      <c r="D161">
        <v>4</v>
      </c>
      <c r="E161">
        <v>0</v>
      </c>
      <c r="G161" t="s">
        <v>189</v>
      </c>
      <c r="H161" t="str">
        <f>HYPERLINK("http://pbs.twimg.com/media/Fg31wdfX0AAraO7.jpg", "http://pbs.twimg.com/media/Fg31wdfX0AAraO7.jpg")</f>
        <v>http://pbs.twimg.com/media/Fg31wdfX0AAraO7.jpg</v>
      </c>
      <c r="I161" t="str">
        <f>HYPERLINK("http://pbs.twimg.com/media/Fg31wddWIAIbgqW.jpg", "http://pbs.twimg.com/media/Fg31wddWIAIbgqW.jpg")</f>
        <v>http://pbs.twimg.com/media/Fg31wddWIAIbgqW.jpg</v>
      </c>
      <c r="J161" t="str">
        <f>HYPERLINK("http://pbs.twimg.com/media/Fg31wdeX0AIjC7T.jpg", "http://pbs.twimg.com/media/Fg31wdeX0AIjC7T.jpg")</f>
        <v>http://pbs.twimg.com/media/Fg31wdeX0AIjC7T.jpg</v>
      </c>
      <c r="K161" t="str">
        <f>HYPERLINK("http://pbs.twimg.com/media/Fg31wddXkAAwrDF.jpg", "http://pbs.twimg.com/media/Fg31wddXkAAwrDF.jpg")</f>
        <v>http://pbs.twimg.com/media/Fg31wddXkAAwrDF.jpg</v>
      </c>
      <c r="L161">
        <v>0</v>
      </c>
      <c r="M161">
        <v>0</v>
      </c>
      <c r="N161">
        <v>1</v>
      </c>
      <c r="O161">
        <v>0</v>
      </c>
    </row>
    <row r="162" spans="1:15" x14ac:dyDescent="0.2">
      <c r="A162" s="1" t="str">
        <f>HYPERLINK("http://www.twitter.com/banuakdenizli/status/1588829544014049280", "1588829544014049280")</f>
        <v>1588829544014049280</v>
      </c>
      <c r="B162" t="s">
        <v>15</v>
      </c>
      <c r="C162" s="2">
        <v>44870.405740740738</v>
      </c>
      <c r="D162">
        <v>0</v>
      </c>
      <c r="E162">
        <v>6</v>
      </c>
      <c r="F162" t="s">
        <v>18</v>
      </c>
      <c r="G162" t="s">
        <v>190</v>
      </c>
      <c r="H162" t="str">
        <f>HYPERLINK("http://pbs.twimg.com/media/FgwFPx_XwAENQQk.jpg", "http://pbs.twimg.com/media/FgwFPx_XwAENQQk.jpg")</f>
        <v>http://pbs.twimg.com/media/FgwFPx_XwAENQQk.jpg</v>
      </c>
      <c r="L162">
        <v>0</v>
      </c>
      <c r="M162">
        <v>0</v>
      </c>
      <c r="N162">
        <v>1</v>
      </c>
      <c r="O162">
        <v>0</v>
      </c>
    </row>
    <row r="163" spans="1:15" x14ac:dyDescent="0.2">
      <c r="A163" s="1" t="str">
        <f>HYPERLINK("http://www.twitter.com/banuakdenizli/status/1588519231074672640", "1588519231074672640")</f>
        <v>1588519231074672640</v>
      </c>
      <c r="B163" t="s">
        <v>15</v>
      </c>
      <c r="C163" s="2">
        <v>44869.549444444441</v>
      </c>
      <c r="D163">
        <v>5</v>
      </c>
      <c r="E163">
        <v>0</v>
      </c>
      <c r="G163" t="s">
        <v>191</v>
      </c>
      <c r="H163" t="str">
        <f>HYPERLINK("http://pbs.twimg.com/media/FguN0b7XoAEsvsp.jpg", "http://pbs.twimg.com/media/FguN0b7XoAEsvsp.jpg")</f>
        <v>http://pbs.twimg.com/media/FguN0b7XoAEsvsp.jpg</v>
      </c>
      <c r="I163" t="str">
        <f>HYPERLINK("http://pbs.twimg.com/media/FguN0b_XwAAQ0Km.jpg", "http://pbs.twimg.com/media/FguN0b_XwAAQ0Km.jpg")</f>
        <v>http://pbs.twimg.com/media/FguN0b_XwAAQ0Km.jpg</v>
      </c>
      <c r="L163">
        <v>0.34</v>
      </c>
      <c r="M163">
        <v>0</v>
      </c>
      <c r="N163">
        <v>0.94099999999999995</v>
      </c>
      <c r="O163">
        <v>5.8999999999999997E-2</v>
      </c>
    </row>
    <row r="164" spans="1:15" x14ac:dyDescent="0.2">
      <c r="A164" s="1" t="str">
        <f>HYPERLINK("http://www.twitter.com/banuakdenizli/status/1588519056315150336", "1588519056315150336")</f>
        <v>1588519056315150336</v>
      </c>
      <c r="B164" t="s">
        <v>15</v>
      </c>
      <c r="C164" s="2">
        <v>44869.548958333333</v>
      </c>
      <c r="D164">
        <v>2</v>
      </c>
      <c r="E164">
        <v>0</v>
      </c>
      <c r="G164" t="s">
        <v>192</v>
      </c>
      <c r="H164" t="str">
        <f>HYPERLINK("http://pbs.twimg.com/media/FguNqTCXEAAdrF6.jpg", "http://pbs.twimg.com/media/FguNqTCXEAAdrF6.jpg")</f>
        <v>http://pbs.twimg.com/media/FguNqTCXEAAdrF6.jpg</v>
      </c>
      <c r="I164" t="str">
        <f>HYPERLINK("http://pbs.twimg.com/media/FguNqUAX0AEBa2R.jpg", "http://pbs.twimg.com/media/FguNqUAX0AEBa2R.jpg")</f>
        <v>http://pbs.twimg.com/media/FguNqUAX0AEBa2R.jpg</v>
      </c>
      <c r="L164">
        <v>0</v>
      </c>
      <c r="M164">
        <v>0</v>
      </c>
      <c r="N164">
        <v>1</v>
      </c>
      <c r="O164">
        <v>0</v>
      </c>
    </row>
    <row r="165" spans="1:15" x14ac:dyDescent="0.2">
      <c r="A165" s="1" t="str">
        <f>HYPERLINK("http://www.twitter.com/banuakdenizli/status/1588511803906338816", "1588511803906338816")</f>
        <v>1588511803906338816</v>
      </c>
      <c r="B165" t="s">
        <v>15</v>
      </c>
      <c r="C165" s="2">
        <v>44869.528946759259</v>
      </c>
      <c r="D165">
        <v>1</v>
      </c>
      <c r="E165">
        <v>0</v>
      </c>
      <c r="G165" t="s">
        <v>193</v>
      </c>
      <c r="H165" t="str">
        <f>HYPERLINK("http://pbs.twimg.com/media/FguHEMzWAAAVtQX.jpg", "http://pbs.twimg.com/media/FguHEMzWAAAVtQX.jpg")</f>
        <v>http://pbs.twimg.com/media/FguHEMzWAAAVtQX.jpg</v>
      </c>
      <c r="I165" t="str">
        <f>HYPERLINK("http://pbs.twimg.com/media/FguHEM0WIAIHj8w.jpg", "http://pbs.twimg.com/media/FguHEM0WIAIHj8w.jpg")</f>
        <v>http://pbs.twimg.com/media/FguHEM0WIAIHj8w.jpg</v>
      </c>
      <c r="L165">
        <v>0</v>
      </c>
      <c r="M165">
        <v>0</v>
      </c>
      <c r="N165">
        <v>1</v>
      </c>
      <c r="O165">
        <v>0</v>
      </c>
    </row>
    <row r="166" spans="1:15" x14ac:dyDescent="0.2">
      <c r="A166" s="1" t="str">
        <f>HYPERLINK("http://www.twitter.com/banuakdenizli/status/1588511724017418240", "1588511724017418240")</f>
        <v>1588511724017418240</v>
      </c>
      <c r="B166" t="s">
        <v>15</v>
      </c>
      <c r="C166" s="2">
        <v>44869.528726851851</v>
      </c>
      <c r="D166">
        <v>2</v>
      </c>
      <c r="E166">
        <v>0</v>
      </c>
      <c r="G166" t="s">
        <v>194</v>
      </c>
      <c r="H166" t="str">
        <f>HYPERLINK("http://pbs.twimg.com/media/FguG_ewX0AgTl2B.jpg", "http://pbs.twimg.com/media/FguG_ewX0AgTl2B.jpg")</f>
        <v>http://pbs.twimg.com/media/FguG_ewX0AgTl2B.jpg</v>
      </c>
      <c r="I166" t="str">
        <f>HYPERLINK("http://pbs.twimg.com/media/FguG_evXEAEYZFE.jpg", "http://pbs.twimg.com/media/FguG_evXEAEYZFE.jpg")</f>
        <v>http://pbs.twimg.com/media/FguG_evXEAEYZFE.jpg</v>
      </c>
      <c r="J166" t="str">
        <f>HYPERLINK("http://pbs.twimg.com/media/FguG_eyXkAAwK7E.jpg", "http://pbs.twimg.com/media/FguG_eyXkAAwK7E.jpg")</f>
        <v>http://pbs.twimg.com/media/FguG_eyXkAAwK7E.jpg</v>
      </c>
      <c r="K166" t="str">
        <f>HYPERLINK("http://pbs.twimg.com/media/FguG_e0XgAI803k.jpg", "http://pbs.twimg.com/media/FguG_e0XgAI803k.jpg")</f>
        <v>http://pbs.twimg.com/media/FguG_e0XgAI803k.jpg</v>
      </c>
      <c r="L166">
        <v>0</v>
      </c>
      <c r="M166">
        <v>0</v>
      </c>
      <c r="N166">
        <v>1</v>
      </c>
      <c r="O166">
        <v>0</v>
      </c>
    </row>
    <row r="167" spans="1:15" x14ac:dyDescent="0.2">
      <c r="A167" s="1" t="str">
        <f>HYPERLINK("http://www.twitter.com/banuakdenizli/status/1588201814566047744", "1588201814566047744")</f>
        <v>1588201814566047744</v>
      </c>
      <c r="B167" t="s">
        <v>15</v>
      </c>
      <c r="C167" s="2">
        <v>44868.673541666663</v>
      </c>
      <c r="D167">
        <v>5</v>
      </c>
      <c r="E167">
        <v>0</v>
      </c>
      <c r="G167" t="s">
        <v>195</v>
      </c>
      <c r="H167" t="str">
        <f>HYPERLINK("http://pbs.twimg.com/media/FgptIaLX0AEytTZ.jpg", "http://pbs.twimg.com/media/FgptIaLX0AEytTZ.jpg")</f>
        <v>http://pbs.twimg.com/media/FgptIaLX0AEytTZ.jpg</v>
      </c>
      <c r="I167" t="str">
        <f>HYPERLINK("http://pbs.twimg.com/media/FgptIaGXoAEnA4D.jpg", "http://pbs.twimg.com/media/FgptIaGXoAEnA4D.jpg")</f>
        <v>http://pbs.twimg.com/media/FgptIaGXoAEnA4D.jpg</v>
      </c>
      <c r="L167">
        <v>0</v>
      </c>
      <c r="M167">
        <v>0</v>
      </c>
      <c r="N167">
        <v>1</v>
      </c>
      <c r="O167">
        <v>0</v>
      </c>
    </row>
    <row r="168" spans="1:15" x14ac:dyDescent="0.2">
      <c r="A168" s="1" t="str">
        <f>HYPERLINK("http://www.twitter.com/banuakdenizli/status/1588201743518560257", "1588201743518560257")</f>
        <v>1588201743518560257</v>
      </c>
      <c r="B168" t="s">
        <v>15</v>
      </c>
      <c r="C168" s="2">
        <v>44868.673344907409</v>
      </c>
      <c r="D168">
        <v>7</v>
      </c>
      <c r="E168">
        <v>1</v>
      </c>
      <c r="G168" t="s">
        <v>196</v>
      </c>
      <c r="H168" t="str">
        <f>HYPERLINK("http://pbs.twimg.com/media/FgptER2WAAAWF2P.jpg", "http://pbs.twimg.com/media/FgptER2WAAAWF2P.jpg")</f>
        <v>http://pbs.twimg.com/media/FgptER2WAAAWF2P.jpg</v>
      </c>
      <c r="I168" t="str">
        <f>HYPERLINK("http://pbs.twimg.com/media/FgptERyXwAIQCt8.jpg", "http://pbs.twimg.com/media/FgptERyXwAIQCt8.jpg")</f>
        <v>http://pbs.twimg.com/media/FgptERyXwAIQCt8.jpg</v>
      </c>
      <c r="J168" t="str">
        <f>HYPERLINK("http://pbs.twimg.com/media/FgptERwXkAIZNx-.jpg", "http://pbs.twimg.com/media/FgptERwXkAIZNx-.jpg")</f>
        <v>http://pbs.twimg.com/media/FgptERwXkAIZNx-.jpg</v>
      </c>
      <c r="K168" t="str">
        <f>HYPERLINK("http://pbs.twimg.com/media/FgptER1XoAE6O7h.jpg", "http://pbs.twimg.com/media/FgptER1XoAE6O7h.jpg")</f>
        <v>http://pbs.twimg.com/media/FgptER1XoAE6O7h.jpg</v>
      </c>
      <c r="L168">
        <v>0.34</v>
      </c>
      <c r="M168">
        <v>0</v>
      </c>
      <c r="N168">
        <v>0.93799999999999994</v>
      </c>
      <c r="O168">
        <v>6.2E-2</v>
      </c>
    </row>
    <row r="169" spans="1:15" x14ac:dyDescent="0.2">
      <c r="A169" s="1" t="str">
        <f>HYPERLINK("http://www.twitter.com/banuakdenizli/status/1586764296607989761", "1586764296607989761")</f>
        <v>1586764296607989761</v>
      </c>
      <c r="B169" t="s">
        <v>15</v>
      </c>
      <c r="C169" s="2">
        <v>44864.706747685188</v>
      </c>
      <c r="D169">
        <v>0</v>
      </c>
      <c r="E169">
        <v>3</v>
      </c>
      <c r="F169" t="s">
        <v>16</v>
      </c>
      <c r="G169" t="s">
        <v>197</v>
      </c>
      <c r="H169" t="str">
        <f>HYPERLINK("https://video.twimg.com/ext_tw_video/1586046993142583296/pu/vid/720x900/2Xp1eS3r0zRauUA5.mp4?tag=12", "https://video.twimg.com/ext_tw_video/1586046993142583296/pu/vid/720x900/2Xp1eS3r0zRauUA5.mp4?tag=12")</f>
        <v>https://video.twimg.com/ext_tw_video/1586046993142583296/pu/vid/720x900/2Xp1eS3r0zRauUA5.mp4?tag=12</v>
      </c>
      <c r="L169">
        <v>0.67049999999999998</v>
      </c>
      <c r="M169">
        <v>0</v>
      </c>
      <c r="N169">
        <v>0.81699999999999995</v>
      </c>
      <c r="O169">
        <v>0.183</v>
      </c>
    </row>
    <row r="170" spans="1:15" x14ac:dyDescent="0.2">
      <c r="A170" s="1" t="str">
        <f>HYPERLINK("http://www.twitter.com/banuakdenizli/status/1586764247715172352", "1586764247715172352")</f>
        <v>1586764247715172352</v>
      </c>
      <c r="B170" t="s">
        <v>15</v>
      </c>
      <c r="C170" s="2">
        <v>44864.706608796303</v>
      </c>
      <c r="D170">
        <v>0</v>
      </c>
      <c r="E170">
        <v>7</v>
      </c>
      <c r="F170" t="s">
        <v>18</v>
      </c>
      <c r="G170" t="s">
        <v>198</v>
      </c>
      <c r="H170" t="str">
        <f>HYPERLINK("http://pbs.twimg.com/media/FgK-rOMWIAArjZz.jpg", "http://pbs.twimg.com/media/FgK-rOMWIAArjZz.jpg")</f>
        <v>http://pbs.twimg.com/media/FgK-rOMWIAArjZz.jpg</v>
      </c>
      <c r="I170" t="str">
        <f>HYPERLINK("http://pbs.twimg.com/media/FgK-rOaX0AIqn_N.jpg", "http://pbs.twimg.com/media/FgK-rOaX0AIqn_N.jpg")</f>
        <v>http://pbs.twimg.com/media/FgK-rOaX0AIqn_N.jpg</v>
      </c>
      <c r="L170">
        <v>0</v>
      </c>
      <c r="M170">
        <v>0</v>
      </c>
      <c r="N170">
        <v>1</v>
      </c>
      <c r="O170">
        <v>0</v>
      </c>
    </row>
    <row r="171" spans="1:15" x14ac:dyDescent="0.2">
      <c r="A171" s="1" t="str">
        <f>HYPERLINK("http://www.twitter.com/banuakdenizli/status/1586764222209351685", "1586764222209351685")</f>
        <v>1586764222209351685</v>
      </c>
      <c r="B171" t="s">
        <v>15</v>
      </c>
      <c r="C171" s="2">
        <v>44864.70653935185</v>
      </c>
      <c r="D171">
        <v>0</v>
      </c>
      <c r="E171">
        <v>5</v>
      </c>
      <c r="F171" t="s">
        <v>18</v>
      </c>
      <c r="G171" t="s">
        <v>199</v>
      </c>
      <c r="H171" t="str">
        <f>HYPERLINK("http://pbs.twimg.com/media/FgQelupX0AMdTjc.jpg", "http://pbs.twimg.com/media/FgQelupX0AMdTjc.jpg")</f>
        <v>http://pbs.twimg.com/media/FgQelupX0AMdTjc.jpg</v>
      </c>
      <c r="L171">
        <v>0</v>
      </c>
      <c r="M171">
        <v>0</v>
      </c>
      <c r="N171">
        <v>1</v>
      </c>
      <c r="O171">
        <v>0</v>
      </c>
    </row>
    <row r="172" spans="1:15" x14ac:dyDescent="0.2">
      <c r="A172" s="1" t="str">
        <f>HYPERLINK("http://www.twitter.com/banuakdenizli/status/1586763675477622784", "1586763675477622784")</f>
        <v>1586763675477622784</v>
      </c>
      <c r="B172" t="s">
        <v>15</v>
      </c>
      <c r="C172" s="2">
        <v>44864.705034722218</v>
      </c>
      <c r="D172">
        <v>0</v>
      </c>
      <c r="E172">
        <v>64</v>
      </c>
      <c r="F172" t="s">
        <v>17</v>
      </c>
      <c r="G172" t="s">
        <v>200</v>
      </c>
      <c r="H172" t="str">
        <f>HYPERLINK("https://video.twimg.com/amplify_video/1586456249985830913/vid/720x720/1gqBD8lk6uZohvo2.mp4?tag=14", "https://video.twimg.com/amplify_video/1586456249985830913/vid/720x720/1gqBD8lk6uZohvo2.mp4?tag=14")</f>
        <v>https://video.twimg.com/amplify_video/1586456249985830913/vid/720x720/1gqBD8lk6uZohvo2.mp4?tag=14</v>
      </c>
      <c r="L172">
        <v>0</v>
      </c>
      <c r="M172">
        <v>0</v>
      </c>
      <c r="N172">
        <v>1</v>
      </c>
      <c r="O172">
        <v>0</v>
      </c>
    </row>
    <row r="173" spans="1:15" x14ac:dyDescent="0.2">
      <c r="A173" s="1" t="str">
        <f>HYPERLINK("http://www.twitter.com/banuakdenizli/status/1586763665029713921", "1586763665029713921")</f>
        <v>1586763665029713921</v>
      </c>
      <c r="B173" t="s">
        <v>15</v>
      </c>
      <c r="C173" s="2">
        <v>44864.705011574071</v>
      </c>
      <c r="D173">
        <v>0</v>
      </c>
      <c r="E173">
        <v>3</v>
      </c>
      <c r="F173" t="s">
        <v>17</v>
      </c>
      <c r="G173" t="s">
        <v>201</v>
      </c>
      <c r="H173" t="str">
        <f>HYPERLINK("http://pbs.twimg.com/media/FgQ4VJCXkAAlzt0.jpg", "http://pbs.twimg.com/media/FgQ4VJCXkAAlzt0.jpg")</f>
        <v>http://pbs.twimg.com/media/FgQ4VJCXkAAlzt0.jpg</v>
      </c>
      <c r="L173">
        <v>0</v>
      </c>
      <c r="M173">
        <v>0</v>
      </c>
      <c r="N173">
        <v>1</v>
      </c>
      <c r="O173">
        <v>0</v>
      </c>
    </row>
    <row r="174" spans="1:15" x14ac:dyDescent="0.2">
      <c r="A174" s="1" t="str">
        <f>HYPERLINK("http://www.twitter.com/banuakdenizli/status/1586763639834509317", "1586763639834509317")</f>
        <v>1586763639834509317</v>
      </c>
      <c r="B174" t="s">
        <v>15</v>
      </c>
      <c r="C174" s="2">
        <v>44864.704942129632</v>
      </c>
      <c r="D174">
        <v>0</v>
      </c>
      <c r="E174">
        <v>18</v>
      </c>
      <c r="F174" t="s">
        <v>17</v>
      </c>
      <c r="G174" t="s">
        <v>202</v>
      </c>
      <c r="H174" t="str">
        <f>HYPERLINK("http://pbs.twimg.com/media/FgL7au1WAAEUswr.jpg", "http://pbs.twimg.com/media/FgL7au1WAAEUswr.jpg")</f>
        <v>http://pbs.twimg.com/media/FgL7au1WAAEUswr.jpg</v>
      </c>
      <c r="I174" t="str">
        <f>HYPERLINK("http://pbs.twimg.com/media/FgL7bKsWAAo5l5V.jpg", "http://pbs.twimg.com/media/FgL7bKsWAAo5l5V.jpg")</f>
        <v>http://pbs.twimg.com/media/FgL7bKsWAAo5l5V.jpg</v>
      </c>
      <c r="J174" t="str">
        <f>HYPERLINK("http://pbs.twimg.com/media/FgL7by7XwAE-4gt.jpg", "http://pbs.twimg.com/media/FgL7by7XwAE-4gt.jpg")</f>
        <v>http://pbs.twimg.com/media/FgL7by7XwAE-4gt.jpg</v>
      </c>
      <c r="L174">
        <v>0</v>
      </c>
      <c r="M174">
        <v>0</v>
      </c>
      <c r="N174">
        <v>1</v>
      </c>
      <c r="O174">
        <v>0</v>
      </c>
    </row>
    <row r="175" spans="1:15" x14ac:dyDescent="0.2">
      <c r="A175" s="1" t="str">
        <f>HYPERLINK("http://www.twitter.com/banuakdenizli/status/1586763627226402818", "1586763627226402818")</f>
        <v>1586763627226402818</v>
      </c>
      <c r="B175" t="s">
        <v>15</v>
      </c>
      <c r="C175" s="2">
        <v>44864.704907407409</v>
      </c>
      <c r="D175">
        <v>0</v>
      </c>
      <c r="E175">
        <v>32</v>
      </c>
      <c r="F175" t="s">
        <v>17</v>
      </c>
      <c r="G175" t="s">
        <v>203</v>
      </c>
      <c r="H175" t="str">
        <f>HYPERLINK("https://video.twimg.com/ext_tw_video/1586024212225208321/pu/vid/720x720/ZKguuH-ADucqb9Ez.mp4?tag=12", "https://video.twimg.com/ext_tw_video/1586024212225208321/pu/vid/720x720/ZKguuH-ADucqb9Ez.mp4?tag=12")</f>
        <v>https://video.twimg.com/ext_tw_video/1586024212225208321/pu/vid/720x720/ZKguuH-ADucqb9Ez.mp4?tag=12</v>
      </c>
      <c r="L175">
        <v>0</v>
      </c>
      <c r="M175">
        <v>0</v>
      </c>
      <c r="N175">
        <v>1</v>
      </c>
      <c r="O175">
        <v>0</v>
      </c>
    </row>
    <row r="176" spans="1:15" x14ac:dyDescent="0.2">
      <c r="A176" s="1" t="str">
        <f>HYPERLINK("http://www.twitter.com/banuakdenizli/status/1585906396289462272", "1585906396289462272")</f>
        <v>1585906396289462272</v>
      </c>
      <c r="B176" t="s">
        <v>15</v>
      </c>
      <c r="C176" s="2">
        <v>44862.339398148149</v>
      </c>
      <c r="D176">
        <v>0</v>
      </c>
      <c r="E176">
        <v>169</v>
      </c>
      <c r="F176" t="s">
        <v>17</v>
      </c>
      <c r="G176" t="s">
        <v>204</v>
      </c>
      <c r="H176" t="str">
        <f>HYPERLINK("https://video.twimg.com/amplify_video/1541513980375486464/vid/720x720/eqjuaqbMpvtVrH4l.mp4?tag=14", "https://video.twimg.com/amplify_video/1541513980375486464/vid/720x720/eqjuaqbMpvtVrH4l.mp4?tag=14")</f>
        <v>https://video.twimg.com/amplify_video/1541513980375486464/vid/720x720/eqjuaqbMpvtVrH4l.mp4?tag=14</v>
      </c>
      <c r="L176">
        <v>0</v>
      </c>
      <c r="M176">
        <v>0</v>
      </c>
      <c r="N176">
        <v>1</v>
      </c>
      <c r="O176">
        <v>0</v>
      </c>
    </row>
    <row r="177" spans="1:15" x14ac:dyDescent="0.2">
      <c r="A177" s="1" t="str">
        <f>HYPERLINK("http://www.twitter.com/banuakdenizli/status/1585906384981270528", "1585906384981270528")</f>
        <v>1585906384981270528</v>
      </c>
      <c r="B177" t="s">
        <v>15</v>
      </c>
      <c r="C177" s="2">
        <v>44862.339363425926</v>
      </c>
      <c r="D177">
        <v>0</v>
      </c>
      <c r="E177">
        <v>16</v>
      </c>
      <c r="F177" t="s">
        <v>17</v>
      </c>
      <c r="G177" t="s">
        <v>205</v>
      </c>
      <c r="H177" t="str">
        <f>HYPERLINK("http://pbs.twimg.com/media/FgGdpLHWIAIihzX.jpg", "http://pbs.twimg.com/media/FgGdpLHWIAIihzX.jpg")</f>
        <v>http://pbs.twimg.com/media/FgGdpLHWIAIihzX.jpg</v>
      </c>
      <c r="L177">
        <v>0</v>
      </c>
      <c r="M177">
        <v>0</v>
      </c>
      <c r="N177">
        <v>1</v>
      </c>
      <c r="O177">
        <v>0</v>
      </c>
    </row>
    <row r="178" spans="1:15" x14ac:dyDescent="0.2">
      <c r="A178" s="1" t="str">
        <f>HYPERLINK("http://www.twitter.com/banuakdenizli/status/1585906270640705539", "1585906270640705539")</f>
        <v>1585906270640705539</v>
      </c>
      <c r="B178" t="s">
        <v>15</v>
      </c>
      <c r="C178" s="2">
        <v>44862.339050925933</v>
      </c>
      <c r="D178">
        <v>0</v>
      </c>
      <c r="E178">
        <v>6</v>
      </c>
      <c r="F178" t="s">
        <v>18</v>
      </c>
      <c r="G178" t="s">
        <v>206</v>
      </c>
      <c r="H178" t="str">
        <f>HYPERLINK("http://pbs.twimg.com/media/FgG2HJJXkAEX1yv.jpg", "http://pbs.twimg.com/media/FgG2HJJXkAEX1yv.jpg")</f>
        <v>http://pbs.twimg.com/media/FgG2HJJXkAEX1yv.jpg</v>
      </c>
      <c r="L178">
        <v>0</v>
      </c>
      <c r="M178">
        <v>0</v>
      </c>
      <c r="N178">
        <v>1</v>
      </c>
      <c r="O178">
        <v>0</v>
      </c>
    </row>
    <row r="179" spans="1:15" x14ac:dyDescent="0.2">
      <c r="A179" s="1" t="str">
        <f>HYPERLINK("http://www.twitter.com/banuakdenizli/status/1585634801453010944", "1585634801453010944")</f>
        <v>1585634801453010944</v>
      </c>
      <c r="B179" t="s">
        <v>15</v>
      </c>
      <c r="C179" s="2">
        <v>44861.589930555558</v>
      </c>
      <c r="D179">
        <v>3</v>
      </c>
      <c r="E179">
        <v>1</v>
      </c>
      <c r="G179" t="s">
        <v>207</v>
      </c>
      <c r="H179" t="str">
        <f>HYPERLINK("http://pbs.twimg.com/media/FgFOceSVQAIeBDl.jpg", "http://pbs.twimg.com/media/FgFOceSVQAIeBDl.jpg")</f>
        <v>http://pbs.twimg.com/media/FgFOceSVQAIeBDl.jpg</v>
      </c>
      <c r="L179">
        <v>0</v>
      </c>
      <c r="M179">
        <v>0</v>
      </c>
      <c r="N179">
        <v>1</v>
      </c>
      <c r="O179">
        <v>0</v>
      </c>
    </row>
    <row r="180" spans="1:15" x14ac:dyDescent="0.2">
      <c r="A180" s="1" t="str">
        <f>HYPERLINK("http://www.twitter.com/banuakdenizli/status/1585634410367311874", "1585634410367311874")</f>
        <v>1585634410367311874</v>
      </c>
      <c r="B180" t="s">
        <v>15</v>
      </c>
      <c r="C180" s="2">
        <v>44861.588854166657</v>
      </c>
      <c r="D180">
        <v>3</v>
      </c>
      <c r="E180">
        <v>0</v>
      </c>
      <c r="G180" t="s">
        <v>208</v>
      </c>
      <c r="H180" t="str">
        <f>HYPERLINK("http://pbs.twimg.com/media/FgFOFppVUAEBtg_.jpg", "http://pbs.twimg.com/media/FgFOFppVUAEBtg_.jpg")</f>
        <v>http://pbs.twimg.com/media/FgFOFppVUAEBtg_.jpg</v>
      </c>
      <c r="L180">
        <v>0</v>
      </c>
      <c r="M180">
        <v>0</v>
      </c>
      <c r="N180">
        <v>1</v>
      </c>
      <c r="O180">
        <v>0</v>
      </c>
    </row>
    <row r="181" spans="1:15" x14ac:dyDescent="0.2">
      <c r="A181" s="1" t="str">
        <f>HYPERLINK("http://www.twitter.com/banuakdenizli/status/1585579740370444289", "1585579740370444289")</f>
        <v>1585579740370444289</v>
      </c>
      <c r="B181" t="s">
        <v>15</v>
      </c>
      <c r="C181" s="2">
        <v>44861.437997685192</v>
      </c>
      <c r="D181">
        <v>0</v>
      </c>
      <c r="E181">
        <v>3</v>
      </c>
      <c r="F181" t="s">
        <v>18</v>
      </c>
      <c r="G181" t="s">
        <v>209</v>
      </c>
      <c r="H181" t="str">
        <f>HYPERLINK("http://pbs.twimg.com/media/FgBsbvlXgAIX6yU.jpg", "http://pbs.twimg.com/media/FgBsbvlXgAIX6yU.jpg")</f>
        <v>http://pbs.twimg.com/media/FgBsbvlXgAIX6yU.jpg</v>
      </c>
      <c r="L181">
        <v>0</v>
      </c>
      <c r="M181">
        <v>0</v>
      </c>
      <c r="N181">
        <v>1</v>
      </c>
      <c r="O181">
        <v>0</v>
      </c>
    </row>
    <row r="182" spans="1:15" x14ac:dyDescent="0.2">
      <c r="A182" s="1" t="str">
        <f>HYPERLINK("http://www.twitter.com/banuakdenizli/status/1585508088739729409", "1585508088739729409")</f>
        <v>1585508088739729409</v>
      </c>
      <c r="B182" t="s">
        <v>15</v>
      </c>
      <c r="C182" s="2">
        <v>44861.240277777782</v>
      </c>
      <c r="D182">
        <v>0</v>
      </c>
      <c r="E182">
        <v>3</v>
      </c>
      <c r="F182" t="s">
        <v>16</v>
      </c>
      <c r="G182" t="s">
        <v>210</v>
      </c>
      <c r="H182" t="str">
        <f>HYPERLINK("https://video.twimg.com/ext_tw_video/1585321951672909834/pu/vid/720x900/m2e_7SNLFODgktca.mp4?tag=12", "https://video.twimg.com/ext_tw_video/1585321951672909834/pu/vid/720x900/m2e_7SNLFODgktca.mp4?tag=12")</f>
        <v>https://video.twimg.com/ext_tw_video/1585321951672909834/pu/vid/720x900/m2e_7SNLFODgktca.mp4?tag=12</v>
      </c>
      <c r="L182">
        <v>0</v>
      </c>
      <c r="M182">
        <v>0</v>
      </c>
      <c r="N182">
        <v>1</v>
      </c>
      <c r="O182">
        <v>0</v>
      </c>
    </row>
    <row r="183" spans="1:15" x14ac:dyDescent="0.2">
      <c r="A183" s="1" t="str">
        <f>HYPERLINK("http://www.twitter.com/banuakdenizli/status/1585508031109922816", "1585508031109922816")</f>
        <v>1585508031109922816</v>
      </c>
      <c r="B183" t="s">
        <v>15</v>
      </c>
      <c r="C183" s="2">
        <v>44861.240115740737</v>
      </c>
      <c r="D183">
        <v>0</v>
      </c>
      <c r="E183">
        <v>18</v>
      </c>
      <c r="F183" t="s">
        <v>17</v>
      </c>
      <c r="G183" t="s">
        <v>211</v>
      </c>
      <c r="H183" t="str">
        <f>HYPERLINK("http://pbs.twimg.com/media/FgB4Uf4XgAo2bVp.jpg", "http://pbs.twimg.com/media/FgB4Uf4XgAo2bVp.jpg")</f>
        <v>http://pbs.twimg.com/media/FgB4Uf4XgAo2bVp.jpg</v>
      </c>
      <c r="I183" t="str">
        <f>HYPERLINK("http://pbs.twimg.com/media/FgB4Uf3XgAYQzxt.jpg", "http://pbs.twimg.com/media/FgB4Uf3XgAYQzxt.jpg")</f>
        <v>http://pbs.twimg.com/media/FgB4Uf3XgAYQzxt.jpg</v>
      </c>
      <c r="J183" t="str">
        <f>HYPERLINK("http://pbs.twimg.com/media/FgB4Uf4XgAc0XO3.jpg", "http://pbs.twimg.com/media/FgB4Uf4XgAc0XO3.jpg")</f>
        <v>http://pbs.twimg.com/media/FgB4Uf4XgAc0XO3.jpg</v>
      </c>
      <c r="K183" t="str">
        <f>HYPERLINK("http://pbs.twimg.com/media/FgB4Uf6XgB4pWnM.jpg", "http://pbs.twimg.com/media/FgB4Uf6XgB4pWnM.jpg")</f>
        <v>http://pbs.twimg.com/media/FgB4Uf6XgB4pWnM.jpg</v>
      </c>
      <c r="L183">
        <v>0</v>
      </c>
      <c r="M183">
        <v>0</v>
      </c>
      <c r="N183">
        <v>1</v>
      </c>
      <c r="O183">
        <v>0</v>
      </c>
    </row>
    <row r="184" spans="1:15" x14ac:dyDescent="0.2">
      <c r="A184" s="1" t="str">
        <f>HYPERLINK("http://www.twitter.com/banuakdenizli/status/1585508005998723073", "1585508005998723073")</f>
        <v>1585508005998723073</v>
      </c>
      <c r="B184" t="s">
        <v>15</v>
      </c>
      <c r="C184" s="2">
        <v>44861.240046296298</v>
      </c>
      <c r="D184">
        <v>0</v>
      </c>
      <c r="E184">
        <v>144</v>
      </c>
      <c r="F184" t="s">
        <v>17</v>
      </c>
      <c r="G184" t="s">
        <v>212</v>
      </c>
      <c r="H184" t="str">
        <f>HYPERLINK("https://video.twimg.com/amplify_video/1585385760622084099/vid/720x1280/mBhX-UH8dJei1fxO.mp4?tag=14", "https://video.twimg.com/amplify_video/1585385760622084099/vid/720x1280/mBhX-UH8dJei1fxO.mp4?tag=14")</f>
        <v>https://video.twimg.com/amplify_video/1585385760622084099/vid/720x1280/mBhX-UH8dJei1fxO.mp4?tag=14</v>
      </c>
      <c r="L184">
        <v>0</v>
      </c>
      <c r="M184">
        <v>0</v>
      </c>
      <c r="N184">
        <v>1</v>
      </c>
      <c r="O184">
        <v>0</v>
      </c>
    </row>
    <row r="185" spans="1:15" x14ac:dyDescent="0.2">
      <c r="A185" s="1" t="str">
        <f>HYPERLINK("http://www.twitter.com/banuakdenizli/status/1585378341691199488", "1585378341691199488")</f>
        <v>1585378341691199488</v>
      </c>
      <c r="B185" t="s">
        <v>15</v>
      </c>
      <c r="C185" s="2">
        <v>44860.882245370369</v>
      </c>
      <c r="D185">
        <v>2</v>
      </c>
      <c r="E185">
        <v>0</v>
      </c>
      <c r="G185" t="s">
        <v>213</v>
      </c>
      <c r="H185" t="str">
        <f>HYPERLINK("http://pbs.twimg.com/media/FgBlMMLXEAop73H.jpg", "http://pbs.twimg.com/media/FgBlMMLXEAop73H.jpg")</f>
        <v>http://pbs.twimg.com/media/FgBlMMLXEAop73H.jpg</v>
      </c>
      <c r="I185" t="str">
        <f>HYPERLINK("http://pbs.twimg.com/media/FgBlMMIXEAUhfcE.jpg", "http://pbs.twimg.com/media/FgBlMMIXEAUhfcE.jpg")</f>
        <v>http://pbs.twimg.com/media/FgBlMMIXEAUhfcE.jpg</v>
      </c>
      <c r="L185">
        <v>0</v>
      </c>
      <c r="M185">
        <v>0</v>
      </c>
      <c r="N185">
        <v>1</v>
      </c>
      <c r="O185">
        <v>0</v>
      </c>
    </row>
    <row r="186" spans="1:15" x14ac:dyDescent="0.2">
      <c r="A186" s="1" t="str">
        <f>HYPERLINK("http://www.twitter.com/banuakdenizli/status/1585378325593083905", "1585378325593083905")</f>
        <v>1585378325593083905</v>
      </c>
      <c r="B186" t="s">
        <v>15</v>
      </c>
      <c r="C186" s="2">
        <v>44860.882199074083</v>
      </c>
      <c r="D186">
        <v>2</v>
      </c>
      <c r="E186">
        <v>0</v>
      </c>
      <c r="G186" t="s">
        <v>214</v>
      </c>
      <c r="H186" t="str">
        <f>HYPERLINK("http://pbs.twimg.com/media/FgBlLGuXEBUVEVY.jpg", "http://pbs.twimg.com/media/FgBlLGuXEBUVEVY.jpg")</f>
        <v>http://pbs.twimg.com/media/FgBlLGuXEBUVEVY.jpg</v>
      </c>
      <c r="I186" t="str">
        <f>HYPERLINK("http://pbs.twimg.com/media/FgBlLG-XEA0FIIx.jpg", "http://pbs.twimg.com/media/FgBlLG-XEA0FIIx.jpg")</f>
        <v>http://pbs.twimg.com/media/FgBlLG-XEA0FIIx.jpg</v>
      </c>
      <c r="J186" t="str">
        <f>HYPERLINK("http://pbs.twimg.com/media/FgBlLG-XEBg1FZ-.jpg", "http://pbs.twimg.com/media/FgBlLG-XEBg1FZ-.jpg")</f>
        <v>http://pbs.twimg.com/media/FgBlLG-XEBg1FZ-.jpg</v>
      </c>
      <c r="K186" t="str">
        <f>HYPERLINK("http://pbs.twimg.com/media/FgBlLG2XEA4vP-0.jpg", "http://pbs.twimg.com/media/FgBlLG2XEA4vP-0.jpg")</f>
        <v>http://pbs.twimg.com/media/FgBlLG2XEA4vP-0.jpg</v>
      </c>
      <c r="L186">
        <v>0</v>
      </c>
      <c r="M186">
        <v>0</v>
      </c>
      <c r="N186">
        <v>1</v>
      </c>
      <c r="O186">
        <v>0</v>
      </c>
    </row>
    <row r="187" spans="1:15" x14ac:dyDescent="0.2">
      <c r="A187" s="1" t="str">
        <f>HYPERLINK("http://www.twitter.com/banuakdenizli/status/1585378306450673665", "1585378306450673665")</f>
        <v>1585378306450673665</v>
      </c>
      <c r="B187" t="s">
        <v>15</v>
      </c>
      <c r="C187" s="2">
        <v>44860.882141203707</v>
      </c>
      <c r="D187">
        <v>4</v>
      </c>
      <c r="E187">
        <v>0</v>
      </c>
      <c r="G187" t="s">
        <v>215</v>
      </c>
      <c r="H187" t="str">
        <f>HYPERLINK("http://pbs.twimg.com/media/FgBlKYrWAAA07uR.jpg", "http://pbs.twimg.com/media/FgBlKYrWAAA07uR.jpg")</f>
        <v>http://pbs.twimg.com/media/FgBlKYrWAAA07uR.jpg</v>
      </c>
      <c r="I187" t="str">
        <f>HYPERLINK("http://pbs.twimg.com/media/FgBlKYsXEAYE1Y6.jpg", "http://pbs.twimg.com/media/FgBlKYsXEAYE1Y6.jpg")</f>
        <v>http://pbs.twimg.com/media/FgBlKYsXEAYE1Y6.jpg</v>
      </c>
      <c r="J187" t="str">
        <f>HYPERLINK("http://pbs.twimg.com/media/FgBlKYqXEAc0soL.jpg", "http://pbs.twimg.com/media/FgBlKYqXEAc0soL.jpg")</f>
        <v>http://pbs.twimg.com/media/FgBlKYqXEAc0soL.jpg</v>
      </c>
      <c r="K187" t="str">
        <f>HYPERLINK("http://pbs.twimg.com/media/FgBlKYrXECcse9i.jpg", "http://pbs.twimg.com/media/FgBlKYrXECcse9i.jpg")</f>
        <v>http://pbs.twimg.com/media/FgBlKYrXECcse9i.jpg</v>
      </c>
      <c r="L187">
        <v>0</v>
      </c>
      <c r="M187">
        <v>0</v>
      </c>
      <c r="N187">
        <v>1</v>
      </c>
      <c r="O187">
        <v>0</v>
      </c>
    </row>
    <row r="188" spans="1:15" x14ac:dyDescent="0.2">
      <c r="A188" s="1" t="str">
        <f>HYPERLINK("http://www.twitter.com/banuakdenizli/status/1585378245611966464", "1585378245611966464")</f>
        <v>1585378245611966464</v>
      </c>
      <c r="B188" t="s">
        <v>15</v>
      </c>
      <c r="C188" s="2">
        <v>44860.881979166668</v>
      </c>
      <c r="D188">
        <v>2</v>
      </c>
      <c r="E188">
        <v>0</v>
      </c>
      <c r="G188" t="s">
        <v>216</v>
      </c>
      <c r="H188" t="str">
        <f>HYPERLINK("http://pbs.twimg.com/media/FgBlG44XwAEd38r.jpg", "http://pbs.twimg.com/media/FgBlG44XwAEd38r.jpg")</f>
        <v>http://pbs.twimg.com/media/FgBlG44XwAEd38r.jpg</v>
      </c>
      <c r="I188" t="str">
        <f>HYPERLINK("http://pbs.twimg.com/media/FgBlG41XgAAz2KT.jpg", "http://pbs.twimg.com/media/FgBlG41XgAAz2KT.jpg")</f>
        <v>http://pbs.twimg.com/media/FgBlG41XgAAz2KT.jpg</v>
      </c>
      <c r="L188">
        <v>0</v>
      </c>
      <c r="M188">
        <v>0</v>
      </c>
      <c r="N188">
        <v>1</v>
      </c>
      <c r="O188">
        <v>0</v>
      </c>
    </row>
    <row r="189" spans="1:15" x14ac:dyDescent="0.2">
      <c r="A189" s="1" t="str">
        <f>HYPERLINK("http://www.twitter.com/banuakdenizli/status/1585378234430263296", "1585378234430263296")</f>
        <v>1585378234430263296</v>
      </c>
      <c r="B189" t="s">
        <v>15</v>
      </c>
      <c r="C189" s="2">
        <v>44860.881944444453</v>
      </c>
      <c r="D189">
        <v>2</v>
      </c>
      <c r="E189">
        <v>0</v>
      </c>
      <c r="G189" t="s">
        <v>217</v>
      </c>
      <c r="H189" t="str">
        <f>HYPERLINK("http://pbs.twimg.com/media/FgBlGBeXEAQj34q.jpg", "http://pbs.twimg.com/media/FgBlGBeXEAQj34q.jpg")</f>
        <v>http://pbs.twimg.com/media/FgBlGBeXEAQj34q.jpg</v>
      </c>
      <c r="I189" t="str">
        <f>HYPERLINK("http://pbs.twimg.com/media/FgBlGBhXEAA4oS8.jpg", "http://pbs.twimg.com/media/FgBlGBhXEAA4oS8.jpg")</f>
        <v>http://pbs.twimg.com/media/FgBlGBhXEAA4oS8.jpg</v>
      </c>
      <c r="J189" t="str">
        <f>HYPERLINK("http://pbs.twimg.com/media/FgBlGBnXEBMMezK.jpg", "http://pbs.twimg.com/media/FgBlGBnXEBMMezK.jpg")</f>
        <v>http://pbs.twimg.com/media/FgBlGBnXEBMMezK.jpg</v>
      </c>
      <c r="K189" t="str">
        <f>HYPERLINK("http://pbs.twimg.com/media/FgBlGBdXEBo13Na.jpg", "http://pbs.twimg.com/media/FgBlGBdXEBo13Na.jpg")</f>
        <v>http://pbs.twimg.com/media/FgBlGBdXEBo13Na.jpg</v>
      </c>
      <c r="L189">
        <v>0</v>
      </c>
      <c r="M189">
        <v>0</v>
      </c>
      <c r="N189">
        <v>1</v>
      </c>
      <c r="O189">
        <v>0</v>
      </c>
    </row>
    <row r="190" spans="1:15" x14ac:dyDescent="0.2">
      <c r="A190" s="1" t="str">
        <f>HYPERLINK("http://www.twitter.com/banuakdenizli/status/1585378218592571393", "1585378218592571393")</f>
        <v>1585378218592571393</v>
      </c>
      <c r="B190" t="s">
        <v>15</v>
      </c>
      <c r="C190" s="2">
        <v>44860.881898148153</v>
      </c>
      <c r="D190">
        <v>4</v>
      </c>
      <c r="E190">
        <v>1</v>
      </c>
      <c r="G190" t="s">
        <v>218</v>
      </c>
      <c r="H190" t="str">
        <f>HYPERLINK("http://pbs.twimg.com/media/FgBlEG-XoAAmJ4X.jpg", "http://pbs.twimg.com/media/FgBlEG-XoAAmJ4X.jpg")</f>
        <v>http://pbs.twimg.com/media/FgBlEG-XoAAmJ4X.jpg</v>
      </c>
      <c r="I190" t="str">
        <f>HYPERLINK("http://pbs.twimg.com/media/FgBlEHVXEPYRmNT.jpg", "http://pbs.twimg.com/media/FgBlEHVXEPYRmNT.jpg")</f>
        <v>http://pbs.twimg.com/media/FgBlEHVXEPYRmNT.jpg</v>
      </c>
      <c r="J190" t="str">
        <f>HYPERLINK("http://pbs.twimg.com/media/FgBlEHXXEDs2jIn.jpg", "http://pbs.twimg.com/media/FgBlEHXXEDs2jIn.jpg")</f>
        <v>http://pbs.twimg.com/media/FgBlEHXXEDs2jIn.jpg</v>
      </c>
      <c r="K190" t="str">
        <f>HYPERLINK("http://pbs.twimg.com/media/FgBlEHAXkAABxLa.jpg", "http://pbs.twimg.com/media/FgBlEHAXkAABxLa.jpg")</f>
        <v>http://pbs.twimg.com/media/FgBlEHAXkAABxLa.jpg</v>
      </c>
      <c r="L190">
        <v>0</v>
      </c>
      <c r="M190">
        <v>0</v>
      </c>
      <c r="N190">
        <v>1</v>
      </c>
      <c r="O190">
        <v>0</v>
      </c>
    </row>
    <row r="191" spans="1:15" x14ac:dyDescent="0.2">
      <c r="A191" s="1" t="str">
        <f>HYPERLINK("http://www.twitter.com/banuakdenizli/status/1585331067564662784", "1585331067564662784")</f>
        <v>1585331067564662784</v>
      </c>
      <c r="B191" t="s">
        <v>15</v>
      </c>
      <c r="C191" s="2">
        <v>44860.751793981479</v>
      </c>
      <c r="D191">
        <v>0</v>
      </c>
      <c r="E191">
        <v>2</v>
      </c>
      <c r="F191" t="s">
        <v>219</v>
      </c>
      <c r="G191" t="s">
        <v>220</v>
      </c>
      <c r="H191" t="str">
        <f>HYPERLINK("https://video.twimg.com/amplify_video/1585269166424072193/vid/1280x720/RVtjBOrmlXtYrj5k.mp4?tag=14", "https://video.twimg.com/amplify_video/1585269166424072193/vid/1280x720/RVtjBOrmlXtYrj5k.mp4?tag=14")</f>
        <v>https://video.twimg.com/amplify_video/1585269166424072193/vid/1280x720/RVtjBOrmlXtYrj5k.mp4?tag=14</v>
      </c>
      <c r="L191">
        <v>0</v>
      </c>
      <c r="M191">
        <v>0</v>
      </c>
      <c r="N191">
        <v>1</v>
      </c>
      <c r="O191">
        <v>0</v>
      </c>
    </row>
    <row r="192" spans="1:15" x14ac:dyDescent="0.2">
      <c r="A192" s="1" t="str">
        <f>HYPERLINK("http://www.twitter.com/banuakdenizli/status/1585285118058438657", "1585285118058438657")</f>
        <v>1585285118058438657</v>
      </c>
      <c r="B192" t="s">
        <v>15</v>
      </c>
      <c r="C192" s="2">
        <v>44860.624988425923</v>
      </c>
      <c r="D192">
        <v>0</v>
      </c>
      <c r="E192">
        <v>2</v>
      </c>
      <c r="F192" t="s">
        <v>16</v>
      </c>
      <c r="G192" t="s">
        <v>221</v>
      </c>
      <c r="H192" t="str">
        <f>HYPERLINK("http://pbs.twimg.com/media/Ff7jd4oWQAEqeF4.jpg", "http://pbs.twimg.com/media/Ff7jd4oWQAEqeF4.jpg")</f>
        <v>http://pbs.twimg.com/media/Ff7jd4oWQAEqeF4.jpg</v>
      </c>
      <c r="L192">
        <v>0.74299999999999999</v>
      </c>
      <c r="M192">
        <v>0</v>
      </c>
      <c r="N192">
        <v>0.751</v>
      </c>
      <c r="O192">
        <v>0.249</v>
      </c>
    </row>
    <row r="193" spans="1:15" x14ac:dyDescent="0.2">
      <c r="A193" s="1" t="str">
        <f>HYPERLINK("http://www.twitter.com/banuakdenizli/status/1585285067596783616", "1585285067596783616")</f>
        <v>1585285067596783616</v>
      </c>
      <c r="B193" t="s">
        <v>15</v>
      </c>
      <c r="C193" s="2">
        <v>44860.624849537038</v>
      </c>
      <c r="D193">
        <v>0</v>
      </c>
      <c r="E193">
        <v>13</v>
      </c>
      <c r="F193" t="s">
        <v>17</v>
      </c>
      <c r="G193" t="s">
        <v>222</v>
      </c>
      <c r="H193" t="str">
        <f>HYPERLINK("http://pbs.twimg.com/media/FgAASPPX0AAKvq1.jpg", "http://pbs.twimg.com/media/FgAASPPX0AAKvq1.jpg")</f>
        <v>http://pbs.twimg.com/media/FgAASPPX0AAKvq1.jpg</v>
      </c>
      <c r="L193">
        <v>0</v>
      </c>
      <c r="M193">
        <v>0</v>
      </c>
      <c r="N193">
        <v>1</v>
      </c>
      <c r="O193">
        <v>0</v>
      </c>
    </row>
    <row r="194" spans="1:15" x14ac:dyDescent="0.2">
      <c r="A194" s="1" t="str">
        <f>HYPERLINK("http://www.twitter.com/banuakdenizli/status/1585285055915638785", "1585285055915638785")</f>
        <v>1585285055915638785</v>
      </c>
      <c r="B194" t="s">
        <v>15</v>
      </c>
      <c r="C194" s="2">
        <v>44860.624826388892</v>
      </c>
      <c r="D194">
        <v>0</v>
      </c>
      <c r="E194">
        <v>64</v>
      </c>
      <c r="F194" t="s">
        <v>17</v>
      </c>
      <c r="G194" t="s">
        <v>223</v>
      </c>
      <c r="H194" t="str">
        <f>HYPERLINK("http://pbs.twimg.com/media/Ff7YJU8WQAIAwHr.jpg", "http://pbs.twimg.com/media/Ff7YJU8WQAIAwHr.jpg")</f>
        <v>http://pbs.twimg.com/media/Ff7YJU8WQAIAwHr.jpg</v>
      </c>
      <c r="I194" t="str">
        <f>HYPERLINK("http://pbs.twimg.com/media/Ff7YJU9WIAYRTDn.jpg", "http://pbs.twimg.com/media/Ff7YJU9WIAYRTDn.jpg")</f>
        <v>http://pbs.twimg.com/media/Ff7YJU9WIAYRTDn.jpg</v>
      </c>
      <c r="L194">
        <v>0</v>
      </c>
      <c r="M194">
        <v>0</v>
      </c>
      <c r="N194">
        <v>1</v>
      </c>
      <c r="O194">
        <v>0</v>
      </c>
    </row>
    <row r="195" spans="1:15" x14ac:dyDescent="0.2">
      <c r="A195" s="1" t="str">
        <f>HYPERLINK("http://www.twitter.com/banuakdenizli/status/1585285041093050368", "1585285041093050368")</f>
        <v>1585285041093050368</v>
      </c>
      <c r="B195" t="s">
        <v>15</v>
      </c>
      <c r="C195" s="2">
        <v>44860.624780092592</v>
      </c>
      <c r="D195">
        <v>0</v>
      </c>
      <c r="E195">
        <v>19</v>
      </c>
      <c r="F195" t="s">
        <v>17</v>
      </c>
      <c r="G195" t="s">
        <v>224</v>
      </c>
      <c r="H195" t="str">
        <f>HYPERLINK("https://video.twimg.com/amplify_video/1584934889237139457/vid/720x1280/iSKgDUbSeKBtrpA0.mp4?tag=14", "https://video.twimg.com/amplify_video/1584934889237139457/vid/720x1280/iSKgDUbSeKBtrpA0.mp4?tag=14")</f>
        <v>https://video.twimg.com/amplify_video/1584934889237139457/vid/720x1280/iSKgDUbSeKBtrpA0.mp4?tag=14</v>
      </c>
      <c r="L195">
        <v>0</v>
      </c>
      <c r="M195">
        <v>0</v>
      </c>
      <c r="N195">
        <v>1</v>
      </c>
      <c r="O195">
        <v>0</v>
      </c>
    </row>
    <row r="196" spans="1:15" x14ac:dyDescent="0.2">
      <c r="A196" s="1" t="str">
        <f>HYPERLINK("http://www.twitter.com/banuakdenizli/status/1585285027306344448", "1585285027306344448")</f>
        <v>1585285027306344448</v>
      </c>
      <c r="B196" t="s">
        <v>15</v>
      </c>
      <c r="C196" s="2">
        <v>44860.624745370369</v>
      </c>
      <c r="D196">
        <v>0</v>
      </c>
      <c r="E196">
        <v>11</v>
      </c>
      <c r="F196" t="s">
        <v>17</v>
      </c>
      <c r="G196" t="s">
        <v>225</v>
      </c>
      <c r="H196" t="str">
        <f>HYPERLINK("http://pbs.twimg.com/media/Ff67rmeXoAgr3MS.jpg", "http://pbs.twimg.com/media/Ff67rmeXoAgr3MS.jpg")</f>
        <v>http://pbs.twimg.com/media/Ff67rmeXoAgr3MS.jpg</v>
      </c>
      <c r="L196">
        <v>0.126</v>
      </c>
      <c r="M196">
        <v>0</v>
      </c>
      <c r="N196">
        <v>0.94599999999999995</v>
      </c>
      <c r="O196">
        <v>5.3999999999999999E-2</v>
      </c>
    </row>
    <row r="197" spans="1:15" x14ac:dyDescent="0.2">
      <c r="A197" s="1" t="str">
        <f>HYPERLINK("http://www.twitter.com/banuakdenizli/status/1585284966329491458", "1585284966329491458")</f>
        <v>1585284966329491458</v>
      </c>
      <c r="B197" t="s">
        <v>15</v>
      </c>
      <c r="C197" s="2">
        <v>44860.624571759261</v>
      </c>
      <c r="D197">
        <v>0</v>
      </c>
      <c r="E197">
        <v>4</v>
      </c>
      <c r="F197" t="s">
        <v>18</v>
      </c>
      <c r="G197" t="s">
        <v>226</v>
      </c>
      <c r="H197" t="str">
        <f>HYPERLINK("http://pbs.twimg.com/media/Ff2HYmkWQAEeBZP.jpg", "http://pbs.twimg.com/media/Ff2HYmkWQAEeBZP.jpg")</f>
        <v>http://pbs.twimg.com/media/Ff2HYmkWQAEeBZP.jpg</v>
      </c>
      <c r="L197">
        <v>0</v>
      </c>
      <c r="M197">
        <v>0</v>
      </c>
      <c r="N197">
        <v>1</v>
      </c>
      <c r="O197">
        <v>0</v>
      </c>
    </row>
    <row r="198" spans="1:15" x14ac:dyDescent="0.2">
      <c r="A198" s="1" t="str">
        <f>HYPERLINK("http://www.twitter.com/banuakdenizli/status/1585284129859461120", "1585284129859461120")</f>
        <v>1585284129859461120</v>
      </c>
      <c r="B198" t="s">
        <v>15</v>
      </c>
      <c r="C198" s="2">
        <v>44860.62226851852</v>
      </c>
      <c r="D198">
        <v>0</v>
      </c>
      <c r="E198">
        <v>5</v>
      </c>
      <c r="F198" t="s">
        <v>18</v>
      </c>
      <c r="G198" t="s">
        <v>227</v>
      </c>
      <c r="H198" t="str">
        <f>HYPERLINK("http://pbs.twimg.com/media/Ff_f7DrWYAEmB99.jpg", "http://pbs.twimg.com/media/Ff_f7DrWYAEmB99.jpg")</f>
        <v>http://pbs.twimg.com/media/Ff_f7DrWYAEmB99.jpg</v>
      </c>
      <c r="L198">
        <v>0</v>
      </c>
      <c r="M198">
        <v>0</v>
      </c>
      <c r="N198">
        <v>1</v>
      </c>
      <c r="O198">
        <v>0</v>
      </c>
    </row>
    <row r="199" spans="1:15" x14ac:dyDescent="0.2">
      <c r="A199" s="1" t="str">
        <f>HYPERLINK("http://www.twitter.com/banuakdenizli/status/1584872340285841408", "1584872340285841408")</f>
        <v>1584872340285841408</v>
      </c>
      <c r="B199" t="s">
        <v>15</v>
      </c>
      <c r="C199" s="2">
        <v>44859.485949074071</v>
      </c>
      <c r="D199">
        <v>0</v>
      </c>
      <c r="E199">
        <v>2</v>
      </c>
      <c r="F199" t="s">
        <v>16</v>
      </c>
      <c r="G199" t="s">
        <v>228</v>
      </c>
      <c r="H199" t="str">
        <f>HYPERLINK("http://pbs.twimg.com/media/Ff2aDdXWAAAYFS-.jpg", "http://pbs.twimg.com/media/Ff2aDdXWAAAYFS-.jpg")</f>
        <v>http://pbs.twimg.com/media/Ff2aDdXWAAAYFS-.jpg</v>
      </c>
      <c r="L199">
        <v>0.57189999999999996</v>
      </c>
      <c r="M199">
        <v>0</v>
      </c>
      <c r="N199">
        <v>0.91100000000000003</v>
      </c>
      <c r="O199">
        <v>8.8999999999999996E-2</v>
      </c>
    </row>
    <row r="200" spans="1:15" x14ac:dyDescent="0.2">
      <c r="A200" s="1" t="str">
        <f>HYPERLINK("http://www.twitter.com/banuakdenizli/status/1584872284619444224", "1584872284619444224")</f>
        <v>1584872284619444224</v>
      </c>
      <c r="B200" t="s">
        <v>15</v>
      </c>
      <c r="C200" s="2">
        <v>44859.48578703704</v>
      </c>
      <c r="D200">
        <v>0</v>
      </c>
      <c r="E200">
        <v>40</v>
      </c>
      <c r="F200" t="s">
        <v>17</v>
      </c>
      <c r="G200" t="s">
        <v>229</v>
      </c>
      <c r="H200" t="str">
        <f>HYPERLINK("http://pbs.twimg.com/media/Ff29xi7WYAY8ohP.jpg", "http://pbs.twimg.com/media/Ff29xi7WYAY8ohP.jpg")</f>
        <v>http://pbs.twimg.com/media/Ff29xi7WYAY8ohP.jpg</v>
      </c>
      <c r="L200">
        <v>0</v>
      </c>
      <c r="M200">
        <v>0</v>
      </c>
      <c r="N200">
        <v>1</v>
      </c>
      <c r="O200">
        <v>0</v>
      </c>
    </row>
    <row r="201" spans="1:15" x14ac:dyDescent="0.2">
      <c r="A201" s="1" t="str">
        <f>HYPERLINK("http://www.twitter.com/banuakdenizli/status/1584872236799864832", "1584872236799864832")</f>
        <v>1584872236799864832</v>
      </c>
      <c r="B201" t="s">
        <v>15</v>
      </c>
      <c r="C201" s="2">
        <v>44859.485659722217</v>
      </c>
      <c r="D201">
        <v>0</v>
      </c>
      <c r="E201">
        <v>4</v>
      </c>
      <c r="F201" t="s">
        <v>18</v>
      </c>
      <c r="G201" t="s">
        <v>230</v>
      </c>
      <c r="H201" t="str">
        <f>HYPERLINK("https://video.twimg.com/amplify_video/1584541129805942784/vid/848x480/7oFnV-DWgjhDTEOn.mp4?tag=14", "https://video.twimg.com/amplify_video/1584541129805942784/vid/848x480/7oFnV-DWgjhDTEOn.mp4?tag=14")</f>
        <v>https://video.twimg.com/amplify_video/1584541129805942784/vid/848x480/7oFnV-DWgjhDTEOn.mp4?tag=14</v>
      </c>
      <c r="L201">
        <v>0</v>
      </c>
      <c r="M201">
        <v>0</v>
      </c>
      <c r="N201">
        <v>1</v>
      </c>
      <c r="O201">
        <v>0</v>
      </c>
    </row>
    <row r="202" spans="1:15" x14ac:dyDescent="0.2">
      <c r="A202" s="1" t="str">
        <f>HYPERLINK("http://www.twitter.com/banuakdenizli/status/1584855179572416513", "1584855179572416513")</f>
        <v>1584855179572416513</v>
      </c>
      <c r="B202" t="s">
        <v>15</v>
      </c>
      <c r="C202" s="2">
        <v>44859.438587962963</v>
      </c>
      <c r="D202">
        <v>3</v>
      </c>
      <c r="E202">
        <v>0</v>
      </c>
      <c r="G202" t="s">
        <v>231</v>
      </c>
      <c r="H202" t="str">
        <f>HYPERLINK("http://pbs.twimg.com/media/Ff6JYUmXoAA9CND.jpg", "http://pbs.twimg.com/media/Ff6JYUmXoAA9CND.jpg")</f>
        <v>http://pbs.twimg.com/media/Ff6JYUmXoAA9CND.jpg</v>
      </c>
      <c r="I202" t="str">
        <f>HYPERLINK("http://pbs.twimg.com/media/Ff6JYUaXoAAY-SD.jpg", "http://pbs.twimg.com/media/Ff6JYUaXoAAY-SD.jpg")</f>
        <v>http://pbs.twimg.com/media/Ff6JYUaXoAAY-SD.jpg</v>
      </c>
      <c r="J202" t="str">
        <f>HYPERLINK("http://pbs.twimg.com/media/Ff6JYUoXoAEy1jx.jpg", "http://pbs.twimg.com/media/Ff6JYUoXoAEy1jx.jpg")</f>
        <v>http://pbs.twimg.com/media/Ff6JYUoXoAEy1jx.jpg</v>
      </c>
      <c r="K202" t="str">
        <f>HYPERLINK("http://pbs.twimg.com/media/Ff6JYUkX0AYbWF4.jpg", "http://pbs.twimg.com/media/Ff6JYUkX0AYbWF4.jpg")</f>
        <v>http://pbs.twimg.com/media/Ff6JYUkX0AYbWF4.jpg</v>
      </c>
      <c r="L202">
        <v>0</v>
      </c>
      <c r="M202">
        <v>0</v>
      </c>
      <c r="N202">
        <v>1</v>
      </c>
      <c r="O202">
        <v>0</v>
      </c>
    </row>
    <row r="203" spans="1:15" x14ac:dyDescent="0.2">
      <c r="A203" s="1" t="str">
        <f>HYPERLINK("http://www.twitter.com/banuakdenizli/status/1584855071619051521", "1584855071619051521")</f>
        <v>1584855071619051521</v>
      </c>
      <c r="B203" t="s">
        <v>15</v>
      </c>
      <c r="C203" s="2">
        <v>44859.438287037039</v>
      </c>
      <c r="D203">
        <v>1</v>
      </c>
      <c r="E203">
        <v>0</v>
      </c>
      <c r="G203" t="s">
        <v>232</v>
      </c>
      <c r="H203" t="str">
        <f>HYPERLINK("http://pbs.twimg.com/media/Ff6JRpHWYAAHWeo.jpg", "http://pbs.twimg.com/media/Ff6JRpHWYAAHWeo.jpg")</f>
        <v>http://pbs.twimg.com/media/Ff6JRpHWYAAHWeo.jpg</v>
      </c>
      <c r="I203" t="str">
        <f>HYPERLINK("http://pbs.twimg.com/media/Ff6JRo-WIAA4X01.jpg", "http://pbs.twimg.com/media/Ff6JRo-WIAA4X01.jpg")</f>
        <v>http://pbs.twimg.com/media/Ff6JRo-WIAA4X01.jpg</v>
      </c>
      <c r="J203" t="str">
        <f>HYPERLINK("http://pbs.twimg.com/media/Ff6JRo-WYAA2u2F.jpg", "http://pbs.twimg.com/media/Ff6JRo-WYAA2u2F.jpg")</f>
        <v>http://pbs.twimg.com/media/Ff6JRo-WYAA2u2F.jpg</v>
      </c>
      <c r="K203" t="str">
        <f>HYPERLINK("http://pbs.twimg.com/media/Ff6JRo_XoAEY4CR.jpg", "http://pbs.twimg.com/media/Ff6JRo_XoAEY4CR.jpg")</f>
        <v>http://pbs.twimg.com/media/Ff6JRo_XoAEY4CR.jpg</v>
      </c>
      <c r="L203">
        <v>0</v>
      </c>
      <c r="M203">
        <v>0</v>
      </c>
      <c r="N203">
        <v>1</v>
      </c>
      <c r="O203">
        <v>0</v>
      </c>
    </row>
    <row r="204" spans="1:15" x14ac:dyDescent="0.2">
      <c r="A204" s="1" t="str">
        <f>HYPERLINK("http://www.twitter.com/banuakdenizli/status/1584463269988737025", "1584463269988737025")</f>
        <v>1584463269988737025</v>
      </c>
      <c r="B204" t="s">
        <v>15</v>
      </c>
      <c r="C204" s="2">
        <v>44858.357129629629</v>
      </c>
      <c r="D204">
        <v>0</v>
      </c>
      <c r="E204">
        <v>2</v>
      </c>
      <c r="F204" t="s">
        <v>233</v>
      </c>
      <c r="G204" t="s">
        <v>234</v>
      </c>
      <c r="H204" t="str">
        <f>HYPERLINK("https://video.twimg.com/ext_tw_video/1584443115800350721/pu/vid/1280x720/u8rWvjrshMtCzoE8.mp4?tag=12", "https://video.twimg.com/ext_tw_video/1584443115800350721/pu/vid/1280x720/u8rWvjrshMtCzoE8.mp4?tag=12")</f>
        <v>https://video.twimg.com/ext_tw_video/1584443115800350721/pu/vid/1280x720/u8rWvjrshMtCzoE8.mp4?tag=12</v>
      </c>
      <c r="L204">
        <v>0</v>
      </c>
      <c r="M204">
        <v>0</v>
      </c>
      <c r="N204">
        <v>1</v>
      </c>
      <c r="O204">
        <v>0</v>
      </c>
    </row>
    <row r="205" spans="1:15" x14ac:dyDescent="0.2">
      <c r="A205" s="1" t="str">
        <f>HYPERLINK("http://www.twitter.com/banuakdenizli/status/1584291272361390081", "1584291272361390081")</f>
        <v>1584291272361390081</v>
      </c>
      <c r="B205" t="s">
        <v>15</v>
      </c>
      <c r="C205" s="2">
        <v>44857.8825</v>
      </c>
      <c r="D205">
        <v>2</v>
      </c>
      <c r="E205">
        <v>0</v>
      </c>
      <c r="G205" t="s">
        <v>235</v>
      </c>
      <c r="H205" t="str">
        <f>HYPERLINK("http://pbs.twimg.com/media/FfyIg7iWQAE933W.jpg", "http://pbs.twimg.com/media/FfyIg7iWQAE933W.jpg")</f>
        <v>http://pbs.twimg.com/media/FfyIg7iWQAE933W.jpg</v>
      </c>
      <c r="I205" t="str">
        <f>HYPERLINK("http://pbs.twimg.com/media/FfyIg7kWIAI_cvE.jpg", "http://pbs.twimg.com/media/FfyIg7kWIAI_cvE.jpg")</f>
        <v>http://pbs.twimg.com/media/FfyIg7kWIAI_cvE.jpg</v>
      </c>
      <c r="L205">
        <v>0</v>
      </c>
      <c r="M205">
        <v>0</v>
      </c>
      <c r="N205">
        <v>1</v>
      </c>
      <c r="O205">
        <v>0</v>
      </c>
    </row>
    <row r="206" spans="1:15" x14ac:dyDescent="0.2">
      <c r="A206" s="1" t="str">
        <f>HYPERLINK("http://www.twitter.com/banuakdenizli/status/1584291265427886081", "1584291265427886081")</f>
        <v>1584291265427886081</v>
      </c>
      <c r="B206" t="s">
        <v>15</v>
      </c>
      <c r="C206" s="2">
        <v>44857.882488425923</v>
      </c>
      <c r="D206">
        <v>3</v>
      </c>
      <c r="E206">
        <v>0</v>
      </c>
      <c r="G206" t="s">
        <v>236</v>
      </c>
      <c r="H206" t="str">
        <f>HYPERLINK("http://pbs.twimg.com/media/FfyIgfNWYAMqkwl.jpg", "http://pbs.twimg.com/media/FfyIgfNWYAMqkwl.jpg")</f>
        <v>http://pbs.twimg.com/media/FfyIgfNWYAMqkwl.jpg</v>
      </c>
      <c r="I206" t="str">
        <f>HYPERLINK("http://pbs.twimg.com/media/FfyIgfSWAAMgXsR.jpg", "http://pbs.twimg.com/media/FfyIgfSWAAMgXsR.jpg")</f>
        <v>http://pbs.twimg.com/media/FfyIgfSWAAMgXsR.jpg</v>
      </c>
      <c r="J206" t="str">
        <f>HYPERLINK("http://pbs.twimg.com/media/FfyIgfPX0AUx4hM.jpg", "http://pbs.twimg.com/media/FfyIgfPX0AUx4hM.jpg")</f>
        <v>http://pbs.twimg.com/media/FfyIgfPX0AUx4hM.jpg</v>
      </c>
      <c r="K206" t="str">
        <f>HYPERLINK("http://pbs.twimg.com/media/FfyIgfRWAAMy9Ya.jpg", "http://pbs.twimg.com/media/FfyIgfRWAAMy9Ya.jpg")</f>
        <v>http://pbs.twimg.com/media/FfyIgfRWAAMy9Ya.jpg</v>
      </c>
      <c r="L206">
        <v>0</v>
      </c>
      <c r="M206">
        <v>0</v>
      </c>
      <c r="N206">
        <v>1</v>
      </c>
      <c r="O206">
        <v>0</v>
      </c>
    </row>
    <row r="207" spans="1:15" x14ac:dyDescent="0.2">
      <c r="A207" s="1" t="str">
        <f>HYPERLINK("http://www.twitter.com/banuakdenizli/status/1584290636030947328", "1584290636030947328")</f>
        <v>1584290636030947328</v>
      </c>
      <c r="B207" t="s">
        <v>15</v>
      </c>
      <c r="C207" s="2">
        <v>44857.880740740737</v>
      </c>
      <c r="D207">
        <v>1</v>
      </c>
      <c r="E207">
        <v>0</v>
      </c>
      <c r="G207" t="s">
        <v>237</v>
      </c>
      <c r="H207" t="str">
        <f>HYPERLINK("http://pbs.twimg.com/media/FfyH76EWAAAk-5r.jpg", "http://pbs.twimg.com/media/FfyH76EWAAAk-5r.jpg")</f>
        <v>http://pbs.twimg.com/media/FfyH76EWAAAk-5r.jpg</v>
      </c>
      <c r="I207" t="str">
        <f>HYPERLINK("http://pbs.twimg.com/media/FfyH76BWIAAqzbV.jpg", "http://pbs.twimg.com/media/FfyH76BWIAAqzbV.jpg")</f>
        <v>http://pbs.twimg.com/media/FfyH76BWIAAqzbV.jpg</v>
      </c>
      <c r="L207">
        <v>0</v>
      </c>
      <c r="M207">
        <v>0</v>
      </c>
      <c r="N207">
        <v>1</v>
      </c>
      <c r="O207">
        <v>0</v>
      </c>
    </row>
    <row r="208" spans="1:15" x14ac:dyDescent="0.2">
      <c r="A208" s="1" t="str">
        <f>HYPERLINK("http://www.twitter.com/banuakdenizli/status/1584290628854493185", "1584290628854493185")</f>
        <v>1584290628854493185</v>
      </c>
      <c r="B208" t="s">
        <v>15</v>
      </c>
      <c r="C208" s="2">
        <v>44857.880729166667</v>
      </c>
      <c r="D208">
        <v>1</v>
      </c>
      <c r="E208">
        <v>0</v>
      </c>
      <c r="G208" t="s">
        <v>238</v>
      </c>
      <c r="H208" t="str">
        <f>HYPERLINK("http://pbs.twimg.com/media/FfyH7aWXkAIyF0f.jpg", "http://pbs.twimg.com/media/FfyH7aWXkAIyF0f.jpg")</f>
        <v>http://pbs.twimg.com/media/FfyH7aWXkAIyF0f.jpg</v>
      </c>
      <c r="I208" t="str">
        <f>HYPERLINK("http://pbs.twimg.com/media/FfyH7aUXwAU9qZ4.jpg", "http://pbs.twimg.com/media/FfyH7aUXwAU9qZ4.jpg")</f>
        <v>http://pbs.twimg.com/media/FfyH7aUXwAU9qZ4.jpg</v>
      </c>
      <c r="J208" t="str">
        <f>HYPERLINK("http://pbs.twimg.com/media/FfyH7aTXwAEY3am.jpg", "http://pbs.twimg.com/media/FfyH7aTXwAEY3am.jpg")</f>
        <v>http://pbs.twimg.com/media/FfyH7aTXwAEY3am.jpg</v>
      </c>
      <c r="K208" t="str">
        <f>HYPERLINK("http://pbs.twimg.com/media/FfyH7aUXwAQzSG4.jpg", "http://pbs.twimg.com/media/FfyH7aUXwAQzSG4.jpg")</f>
        <v>http://pbs.twimg.com/media/FfyH7aUXwAQzSG4.jpg</v>
      </c>
      <c r="L208">
        <v>0</v>
      </c>
      <c r="M208">
        <v>0</v>
      </c>
      <c r="N208">
        <v>1</v>
      </c>
      <c r="O208">
        <v>0</v>
      </c>
    </row>
    <row r="209" spans="1:15" x14ac:dyDescent="0.2">
      <c r="A209" s="1" t="str">
        <f>HYPERLINK("http://www.twitter.com/banuakdenizli/status/1583501650115063809", "1583501650115063809")</f>
        <v>1583501650115063809</v>
      </c>
      <c r="B209" t="s">
        <v>15</v>
      </c>
      <c r="C209" s="2">
        <v>44855.703564814823</v>
      </c>
      <c r="D209">
        <v>0</v>
      </c>
      <c r="E209">
        <v>241</v>
      </c>
      <c r="F209" t="s">
        <v>17</v>
      </c>
      <c r="G209" t="s">
        <v>239</v>
      </c>
      <c r="H209" t="str">
        <f>HYPERLINK("http://pbs.twimg.com/media/Ffm2QxmXoAI7jzQ.jpg", "http://pbs.twimg.com/media/Ffm2QxmXoAI7jzQ.jpg")</f>
        <v>http://pbs.twimg.com/media/Ffm2QxmXoAI7jzQ.jpg</v>
      </c>
      <c r="L209">
        <v>0</v>
      </c>
      <c r="M209">
        <v>0</v>
      </c>
      <c r="N209">
        <v>1</v>
      </c>
      <c r="O209">
        <v>0</v>
      </c>
    </row>
    <row r="210" spans="1:15" x14ac:dyDescent="0.2">
      <c r="A210" s="1" t="str">
        <f>HYPERLINK("http://www.twitter.com/banuakdenizli/status/1583363653809901568", "1583363653809901568")</f>
        <v>1583363653809901568</v>
      </c>
      <c r="B210" t="s">
        <v>15</v>
      </c>
      <c r="C210" s="2">
        <v>44855.322766203702</v>
      </c>
      <c r="D210">
        <v>0</v>
      </c>
      <c r="E210">
        <v>74</v>
      </c>
      <c r="F210" t="s">
        <v>17</v>
      </c>
      <c r="G210" t="s">
        <v>240</v>
      </c>
      <c r="H210" t="str">
        <f>HYPERLINK("http://pbs.twimg.com/media/Ffh3BFlaUAA0V57.jpg", "http://pbs.twimg.com/media/Ffh3BFlaUAA0V57.jpg")</f>
        <v>http://pbs.twimg.com/media/Ffh3BFlaUAA0V57.jpg</v>
      </c>
      <c r="L210">
        <v>0</v>
      </c>
      <c r="M210">
        <v>0</v>
      </c>
      <c r="N210">
        <v>1</v>
      </c>
      <c r="O210">
        <v>0</v>
      </c>
    </row>
    <row r="211" spans="1:15" x14ac:dyDescent="0.2">
      <c r="A211" s="1" t="str">
        <f>HYPERLINK("http://www.twitter.com/banuakdenizli/status/1583363639532101633", "1583363639532101633")</f>
        <v>1583363639532101633</v>
      </c>
      <c r="B211" t="s">
        <v>15</v>
      </c>
      <c r="C211" s="2">
        <v>44855.32271990741</v>
      </c>
      <c r="D211">
        <v>0</v>
      </c>
      <c r="E211">
        <v>20</v>
      </c>
      <c r="F211" t="s">
        <v>17</v>
      </c>
      <c r="G211" t="s">
        <v>241</v>
      </c>
      <c r="H211" t="str">
        <f>HYPERLINK("https://video.twimg.com/amplify_video/1583124037794140161/vid/720x720/WIRK_by1YvHD1KYg.mp4?tag=14", "https://video.twimg.com/amplify_video/1583124037794140161/vid/720x720/WIRK_by1YvHD1KYg.mp4?tag=14")</f>
        <v>https://video.twimg.com/amplify_video/1583124037794140161/vid/720x720/WIRK_by1YvHD1KYg.mp4?tag=14</v>
      </c>
      <c r="L211">
        <v>0</v>
      </c>
      <c r="M211">
        <v>0</v>
      </c>
      <c r="N211">
        <v>1</v>
      </c>
      <c r="O211">
        <v>0</v>
      </c>
    </row>
    <row r="212" spans="1:15" x14ac:dyDescent="0.2">
      <c r="A212" s="1" t="str">
        <f>HYPERLINK("http://www.twitter.com/banuakdenizli/status/1583363628031672320", "1583363628031672320")</f>
        <v>1583363628031672320</v>
      </c>
      <c r="B212" t="s">
        <v>15</v>
      </c>
      <c r="C212" s="2">
        <v>44855.322696759264</v>
      </c>
      <c r="D212">
        <v>0</v>
      </c>
      <c r="E212">
        <v>387</v>
      </c>
      <c r="F212" t="s">
        <v>17</v>
      </c>
      <c r="G212" t="s">
        <v>242</v>
      </c>
      <c r="H212" t="str">
        <f>HYPERLINK("http://pbs.twimg.com/media/FfhNZhyXwAAcHeK.jpg", "http://pbs.twimg.com/media/FfhNZhyXwAAcHeK.jpg")</f>
        <v>http://pbs.twimg.com/media/FfhNZhyXwAAcHeK.jpg</v>
      </c>
      <c r="L212">
        <v>0</v>
      </c>
      <c r="M212">
        <v>0</v>
      </c>
      <c r="N212">
        <v>1</v>
      </c>
      <c r="O212">
        <v>0</v>
      </c>
    </row>
    <row r="213" spans="1:15" x14ac:dyDescent="0.2">
      <c r="A213" s="1" t="str">
        <f>HYPERLINK("http://www.twitter.com/banuakdenizli/status/1583150084916531200", "1583150084916531200")</f>
        <v>1583150084916531200</v>
      </c>
      <c r="B213" t="s">
        <v>15</v>
      </c>
      <c r="C213" s="2">
        <v>44854.733425925922</v>
      </c>
      <c r="D213">
        <v>0</v>
      </c>
      <c r="E213">
        <v>11</v>
      </c>
      <c r="F213" t="s">
        <v>17</v>
      </c>
      <c r="G213" t="s">
        <v>243</v>
      </c>
      <c r="H213" t="str">
        <f>HYPERLINK("https://video.twimg.com/amplify_video/1583142291111223296/vid/720x720/tJc_m0LThf9snoDv.mp4?tag=14", "https://video.twimg.com/amplify_video/1583142291111223296/vid/720x720/tJc_m0LThf9snoDv.mp4?tag=14")</f>
        <v>https://video.twimg.com/amplify_video/1583142291111223296/vid/720x720/tJc_m0LThf9snoDv.mp4?tag=14</v>
      </c>
      <c r="L213">
        <v>0</v>
      </c>
      <c r="M213">
        <v>0</v>
      </c>
      <c r="N213">
        <v>1</v>
      </c>
      <c r="O213">
        <v>0</v>
      </c>
    </row>
    <row r="214" spans="1:15" x14ac:dyDescent="0.2">
      <c r="A214" s="1" t="str">
        <f>HYPERLINK("http://www.twitter.com/banuakdenizli/status/1583001993055830018", "1583001993055830018")</f>
        <v>1583001993055830018</v>
      </c>
      <c r="B214" t="s">
        <v>15</v>
      </c>
      <c r="C214" s="2">
        <v>44854.32476851852</v>
      </c>
      <c r="D214">
        <v>0</v>
      </c>
      <c r="E214">
        <v>26</v>
      </c>
      <c r="F214" t="s">
        <v>17</v>
      </c>
      <c r="G214" t="s">
        <v>244</v>
      </c>
      <c r="L214">
        <v>0</v>
      </c>
      <c r="M214">
        <v>0</v>
      </c>
      <c r="N214">
        <v>1</v>
      </c>
      <c r="O214">
        <v>0</v>
      </c>
    </row>
    <row r="215" spans="1:15" x14ac:dyDescent="0.2">
      <c r="A215" s="1" t="str">
        <f>HYPERLINK("http://www.twitter.com/banuakdenizli/status/1583001830669156352", "1583001830669156352")</f>
        <v>1583001830669156352</v>
      </c>
      <c r="B215" t="s">
        <v>15</v>
      </c>
      <c r="C215" s="2">
        <v>44854.324317129627</v>
      </c>
      <c r="D215">
        <v>0</v>
      </c>
      <c r="E215">
        <v>5</v>
      </c>
      <c r="F215" t="s">
        <v>18</v>
      </c>
      <c r="G215" t="s">
        <v>245</v>
      </c>
      <c r="H215" t="str">
        <f>HYPERLINK("http://pbs.twimg.com/media/Ffc4T1oXwBQ5MT-.jpg", "http://pbs.twimg.com/media/Ffc4T1oXwBQ5MT-.jpg")</f>
        <v>http://pbs.twimg.com/media/Ffc4T1oXwBQ5MT-.jpg</v>
      </c>
      <c r="L215">
        <v>0</v>
      </c>
      <c r="M215">
        <v>0</v>
      </c>
      <c r="N215">
        <v>1</v>
      </c>
      <c r="O215">
        <v>0</v>
      </c>
    </row>
    <row r="216" spans="1:15" x14ac:dyDescent="0.2">
      <c r="A216" s="1" t="str">
        <f>HYPERLINK("http://www.twitter.com/banuakdenizli/status/1583001671432810496", "1583001671432810496")</f>
        <v>1583001671432810496</v>
      </c>
      <c r="B216" t="s">
        <v>15</v>
      </c>
      <c r="C216" s="2">
        <v>44854.323877314811</v>
      </c>
      <c r="D216">
        <v>0</v>
      </c>
      <c r="E216">
        <v>2</v>
      </c>
      <c r="F216" t="s">
        <v>16</v>
      </c>
      <c r="G216" t="s">
        <v>246</v>
      </c>
      <c r="H216" t="str">
        <f>HYPERLINK("http://pbs.twimg.com/media/Ffcv5jvWAAkVU4C.jpg", "http://pbs.twimg.com/media/Ffcv5jvWAAkVU4C.jpg")</f>
        <v>http://pbs.twimg.com/media/Ffcv5jvWAAkVU4C.jpg</v>
      </c>
      <c r="L216">
        <v>0.83599999999999997</v>
      </c>
      <c r="M216">
        <v>0</v>
      </c>
      <c r="N216">
        <v>0.82799999999999996</v>
      </c>
      <c r="O216">
        <v>0.17199999999999999</v>
      </c>
    </row>
    <row r="217" spans="1:15" x14ac:dyDescent="0.2">
      <c r="A217" s="1" t="str">
        <f>HYPERLINK("http://www.twitter.com/banuakdenizli/status/1582787390619680768", "1582787390619680768")</f>
        <v>1582787390619680768</v>
      </c>
      <c r="B217" t="s">
        <v>15</v>
      </c>
      <c r="C217" s="2">
        <v>44853.732581018521</v>
      </c>
      <c r="D217">
        <v>0</v>
      </c>
      <c r="E217">
        <v>147</v>
      </c>
      <c r="F217" t="s">
        <v>17</v>
      </c>
      <c r="G217" t="s">
        <v>247</v>
      </c>
      <c r="H217" t="str">
        <f>HYPERLINK("https://video.twimg.com/amplify_video/1582757393535942657/vid/720x720/hV73ZbIqmINsAzLm.mp4?tag=14", "https://video.twimg.com/amplify_video/1582757393535942657/vid/720x720/hV73ZbIqmINsAzLm.mp4?tag=14")</f>
        <v>https://video.twimg.com/amplify_video/1582757393535942657/vid/720x720/hV73ZbIqmINsAzLm.mp4?tag=14</v>
      </c>
      <c r="L217">
        <v>0</v>
      </c>
      <c r="M217">
        <v>0</v>
      </c>
      <c r="N217">
        <v>1</v>
      </c>
      <c r="O217">
        <v>0</v>
      </c>
    </row>
    <row r="218" spans="1:15" x14ac:dyDescent="0.2">
      <c r="A218" s="1" t="str">
        <f>HYPERLINK("http://www.twitter.com/banuakdenizli/status/1582787366388760577", "1582787366388760577")</f>
        <v>1582787366388760577</v>
      </c>
      <c r="B218" t="s">
        <v>15</v>
      </c>
      <c r="C218" s="2">
        <v>44853.732511574082</v>
      </c>
      <c r="D218">
        <v>0</v>
      </c>
      <c r="E218">
        <v>9</v>
      </c>
      <c r="F218" t="s">
        <v>17</v>
      </c>
      <c r="G218" t="s">
        <v>248</v>
      </c>
      <c r="H218" t="str">
        <f>HYPERLINK("http://pbs.twimg.com/media/FfcC579XwAESNnF.jpg", "http://pbs.twimg.com/media/FfcC579XwAESNnF.jpg")</f>
        <v>http://pbs.twimg.com/media/FfcC579XwAESNnF.jpg</v>
      </c>
      <c r="L218">
        <v>-0.29599999999999999</v>
      </c>
      <c r="M218">
        <v>0.104</v>
      </c>
      <c r="N218">
        <v>0.89600000000000002</v>
      </c>
      <c r="O218">
        <v>0</v>
      </c>
    </row>
    <row r="219" spans="1:15" x14ac:dyDescent="0.2">
      <c r="A219" s="1" t="str">
        <f>HYPERLINK("http://www.twitter.com/banuakdenizli/status/1582787306854834177", "1582787306854834177")</f>
        <v>1582787306854834177</v>
      </c>
      <c r="B219" t="s">
        <v>15</v>
      </c>
      <c r="C219" s="2">
        <v>44853.732349537036</v>
      </c>
      <c r="D219">
        <v>0</v>
      </c>
      <c r="E219">
        <v>16</v>
      </c>
      <c r="F219" t="s">
        <v>17</v>
      </c>
      <c r="G219" t="s">
        <v>249</v>
      </c>
      <c r="H219" t="str">
        <f>HYPERLINK("https://video.twimg.com/amplify_video/1582491735632101376/vid/720x1280/XCsvM3mG7XHXaqFi.mp4?tag=14", "https://video.twimg.com/amplify_video/1582491735632101376/vid/720x1280/XCsvM3mG7XHXaqFi.mp4?tag=14")</f>
        <v>https://video.twimg.com/amplify_video/1582491735632101376/vid/720x1280/XCsvM3mG7XHXaqFi.mp4?tag=14</v>
      </c>
      <c r="L219">
        <v>0</v>
      </c>
      <c r="M219">
        <v>0</v>
      </c>
      <c r="N219">
        <v>1</v>
      </c>
      <c r="O219">
        <v>0</v>
      </c>
    </row>
    <row r="220" spans="1:15" x14ac:dyDescent="0.2">
      <c r="A220" s="1" t="str">
        <f>HYPERLINK("http://www.twitter.com/banuakdenizli/status/1582787286726737926", "1582787286726737926")</f>
        <v>1582787286726737926</v>
      </c>
      <c r="B220" t="s">
        <v>15</v>
      </c>
      <c r="C220" s="2">
        <v>44853.732291666667</v>
      </c>
      <c r="D220">
        <v>0</v>
      </c>
      <c r="E220">
        <v>25</v>
      </c>
      <c r="F220" t="s">
        <v>17</v>
      </c>
      <c r="G220" t="s">
        <v>250</v>
      </c>
      <c r="H220" t="str">
        <f>HYPERLINK("http://pbs.twimg.com/media/FfYmGBeXkAAlPR4.jpg", "http://pbs.twimg.com/media/FfYmGBeXkAAlPR4.jpg")</f>
        <v>http://pbs.twimg.com/media/FfYmGBeXkAAlPR4.jpg</v>
      </c>
      <c r="I220" t="str">
        <f>HYPERLINK("http://pbs.twimg.com/media/FfYmJNiXkAIwH8a.jpg", "http://pbs.twimg.com/media/FfYmJNiXkAIwH8a.jpg")</f>
        <v>http://pbs.twimg.com/media/FfYmJNiXkAIwH8a.jpg</v>
      </c>
      <c r="J220" t="str">
        <f>HYPERLINK("http://pbs.twimg.com/media/FfYmJNxXgAEDjyb.jpg", "http://pbs.twimg.com/media/FfYmJNxXgAEDjyb.jpg")</f>
        <v>http://pbs.twimg.com/media/FfYmJNxXgAEDjyb.jpg</v>
      </c>
      <c r="K220" t="str">
        <f>HYPERLINK("http://pbs.twimg.com/media/FfYmKBZXwAEHcvP.jpg", "http://pbs.twimg.com/media/FfYmKBZXwAEHcvP.jpg")</f>
        <v>http://pbs.twimg.com/media/FfYmKBZXwAEHcvP.jpg</v>
      </c>
      <c r="L220">
        <v>-0.29599999999999999</v>
      </c>
      <c r="M220">
        <v>0.13600000000000001</v>
      </c>
      <c r="N220">
        <v>0.86399999999999999</v>
      </c>
      <c r="O220">
        <v>0</v>
      </c>
    </row>
    <row r="221" spans="1:15" x14ac:dyDescent="0.2">
      <c r="A221" s="1" t="str">
        <f>HYPERLINK("http://www.twitter.com/banuakdenizli/status/1582644592532279296", "1582644592532279296")</f>
        <v>1582644592532279296</v>
      </c>
      <c r="B221" t="s">
        <v>15</v>
      </c>
      <c r="C221" s="2">
        <v>44853.338530092587</v>
      </c>
      <c r="D221">
        <v>2</v>
      </c>
      <c r="E221">
        <v>3</v>
      </c>
      <c r="G221" t="s">
        <v>251</v>
      </c>
      <c r="L221">
        <v>0</v>
      </c>
      <c r="M221">
        <v>0</v>
      </c>
      <c r="N221">
        <v>1</v>
      </c>
      <c r="O221">
        <v>0</v>
      </c>
    </row>
    <row r="222" spans="1:15" x14ac:dyDescent="0.2">
      <c r="A222" s="1" t="str">
        <f>HYPERLINK("http://www.twitter.com/banuakdenizli/status/1582644170803408899", "1582644170803408899")</f>
        <v>1582644170803408899</v>
      </c>
      <c r="B222" t="s">
        <v>15</v>
      </c>
      <c r="C222" s="2">
        <v>44853.337372685193</v>
      </c>
      <c r="D222">
        <v>0</v>
      </c>
      <c r="E222">
        <v>0</v>
      </c>
      <c r="G222" t="s">
        <v>252</v>
      </c>
      <c r="L222">
        <v>0</v>
      </c>
      <c r="M222">
        <v>0</v>
      </c>
      <c r="N222">
        <v>1</v>
      </c>
      <c r="O222">
        <v>0</v>
      </c>
    </row>
    <row r="223" spans="1:15" x14ac:dyDescent="0.2">
      <c r="A223" s="1" t="str">
        <f>HYPERLINK("http://www.twitter.com/banuakdenizli/status/1582249915786272769", "1582249915786272769")</f>
        <v>1582249915786272769</v>
      </c>
      <c r="B223" t="s">
        <v>15</v>
      </c>
      <c r="C223" s="2">
        <v>44852.249432870369</v>
      </c>
      <c r="D223">
        <v>0</v>
      </c>
      <c r="E223">
        <v>23</v>
      </c>
      <c r="F223" t="s">
        <v>17</v>
      </c>
      <c r="G223" t="s">
        <v>253</v>
      </c>
      <c r="H223" t="str">
        <f>HYPERLINK("http://pbs.twimg.com/media/FfTB0fHWAA0MNzw.jpg", "http://pbs.twimg.com/media/FfTB0fHWAA0MNzw.jpg")</f>
        <v>http://pbs.twimg.com/media/FfTB0fHWAA0MNzw.jpg</v>
      </c>
      <c r="L223">
        <v>0</v>
      </c>
      <c r="M223">
        <v>0</v>
      </c>
      <c r="N223">
        <v>1</v>
      </c>
      <c r="O223">
        <v>0</v>
      </c>
    </row>
    <row r="224" spans="1:15" x14ac:dyDescent="0.2">
      <c r="A224" s="1" t="str">
        <f>HYPERLINK("http://www.twitter.com/banuakdenizli/status/1582249901072998400", "1582249901072998400")</f>
        <v>1582249901072998400</v>
      </c>
      <c r="B224" t="s">
        <v>15</v>
      </c>
      <c r="C224" s="2">
        <v>44852.249386574083</v>
      </c>
      <c r="D224">
        <v>0</v>
      </c>
      <c r="E224">
        <v>21</v>
      </c>
      <c r="F224" t="s">
        <v>17</v>
      </c>
      <c r="G224" t="s">
        <v>254</v>
      </c>
      <c r="H224" t="str">
        <f>HYPERLINK("https://video.twimg.com/amplify_video/1582075812471357463/vid/720x1280/AAhrA8yrwfMaxH_c.mp4?tag=14", "https://video.twimg.com/amplify_video/1582075812471357463/vid/720x1280/AAhrA8yrwfMaxH_c.mp4?tag=14")</f>
        <v>https://video.twimg.com/amplify_video/1582075812471357463/vid/720x1280/AAhrA8yrwfMaxH_c.mp4?tag=14</v>
      </c>
      <c r="L224">
        <v>0</v>
      </c>
      <c r="M224">
        <v>0</v>
      </c>
      <c r="N224">
        <v>1</v>
      </c>
      <c r="O224">
        <v>0</v>
      </c>
    </row>
    <row r="225" spans="1:15" x14ac:dyDescent="0.2">
      <c r="A225" s="1" t="str">
        <f>HYPERLINK("http://www.twitter.com/banuakdenizli/status/1582249820584304640", "1582249820584304640")</f>
        <v>1582249820584304640</v>
      </c>
      <c r="B225" t="s">
        <v>15</v>
      </c>
      <c r="C225" s="2">
        <v>44852.249166666668</v>
      </c>
      <c r="D225">
        <v>0</v>
      </c>
      <c r="E225">
        <v>22</v>
      </c>
      <c r="F225" t="s">
        <v>17</v>
      </c>
      <c r="G225" t="s">
        <v>255</v>
      </c>
      <c r="L225">
        <v>0</v>
      </c>
      <c r="M225">
        <v>0</v>
      </c>
      <c r="N225">
        <v>1</v>
      </c>
      <c r="O225">
        <v>0</v>
      </c>
    </row>
    <row r="226" spans="1:15" x14ac:dyDescent="0.2">
      <c r="A226" s="1" t="str">
        <f>HYPERLINK("http://www.twitter.com/banuakdenizli/status/1582249805710909441", "1582249805710909441")</f>
        <v>1582249805710909441</v>
      </c>
      <c r="B226" t="s">
        <v>15</v>
      </c>
      <c r="C226" s="2">
        <v>44852.249131944453</v>
      </c>
      <c r="D226">
        <v>0</v>
      </c>
      <c r="E226">
        <v>15</v>
      </c>
      <c r="F226" t="s">
        <v>17</v>
      </c>
      <c r="G226" t="s">
        <v>256</v>
      </c>
      <c r="H226" t="str">
        <f>HYPERLINK("http://pbs.twimg.com/media/FfRgOaqX0AEb_pr.jpg", "http://pbs.twimg.com/media/FfRgOaqX0AEb_pr.jpg")</f>
        <v>http://pbs.twimg.com/media/FfRgOaqX0AEb_pr.jpg</v>
      </c>
      <c r="L226">
        <v>0</v>
      </c>
      <c r="M226">
        <v>0</v>
      </c>
      <c r="N226">
        <v>1</v>
      </c>
      <c r="O226">
        <v>0</v>
      </c>
    </row>
    <row r="227" spans="1:15" x14ac:dyDescent="0.2">
      <c r="A227" s="1" t="str">
        <f>HYPERLINK("http://www.twitter.com/banuakdenizli/status/1582249638937387008", "1582249638937387008")</f>
        <v>1582249638937387008</v>
      </c>
      <c r="B227" t="s">
        <v>15</v>
      </c>
      <c r="C227" s="2">
        <v>44852.248668981483</v>
      </c>
      <c r="D227">
        <v>0</v>
      </c>
      <c r="E227">
        <v>1</v>
      </c>
      <c r="F227" t="s">
        <v>16</v>
      </c>
      <c r="G227" t="s">
        <v>257</v>
      </c>
      <c r="H227" t="str">
        <f>HYPERLINK("https://video.twimg.com/ext_tw_video/1582060375347961864/pu/vid/720x900/we2ndEgY7h7fXyr5.mp4?tag=12", "https://video.twimg.com/ext_tw_video/1582060375347961864/pu/vid/720x900/we2ndEgY7h7fXyr5.mp4?tag=12")</f>
        <v>https://video.twimg.com/ext_tw_video/1582060375347961864/pu/vid/720x900/we2ndEgY7h7fXyr5.mp4?tag=12</v>
      </c>
      <c r="L227">
        <v>0</v>
      </c>
      <c r="M227">
        <v>0</v>
      </c>
      <c r="N227">
        <v>1</v>
      </c>
      <c r="O227">
        <v>0</v>
      </c>
    </row>
    <row r="228" spans="1:15" x14ac:dyDescent="0.2">
      <c r="A228" s="1" t="str">
        <f>HYPERLINK("http://www.twitter.com/banuakdenizli/status/1582249612060295168", "1582249612060295168")</f>
        <v>1582249612060295168</v>
      </c>
      <c r="B228" t="s">
        <v>15</v>
      </c>
      <c r="C228" s="2">
        <v>44852.24858796296</v>
      </c>
      <c r="D228">
        <v>0</v>
      </c>
      <c r="E228">
        <v>13</v>
      </c>
      <c r="F228" t="s">
        <v>136</v>
      </c>
      <c r="G228" t="s">
        <v>258</v>
      </c>
      <c r="H228" t="str">
        <f>HYPERLINK("https://video.twimg.com/amplify_video/1581149885717520385/vid/720x900/X3We7fgiGHyQrP43.mp4?tag=14", "https://video.twimg.com/amplify_video/1581149885717520385/vid/720x900/X3We7fgiGHyQrP43.mp4?tag=14")</f>
        <v>https://video.twimg.com/amplify_video/1581149885717520385/vid/720x900/X3We7fgiGHyQrP43.mp4?tag=14</v>
      </c>
      <c r="L228">
        <v>0.44040000000000001</v>
      </c>
      <c r="M228">
        <v>0</v>
      </c>
      <c r="N228">
        <v>0.92700000000000005</v>
      </c>
      <c r="O228">
        <v>7.2999999999999995E-2</v>
      </c>
    </row>
    <row r="229" spans="1:15" x14ac:dyDescent="0.2">
      <c r="A229" s="1" t="str">
        <f>HYPERLINK("http://www.twitter.com/banuakdenizli/status/1580827272470069249", "1580827272470069249")</f>
        <v>1580827272470069249</v>
      </c>
      <c r="B229" t="s">
        <v>15</v>
      </c>
      <c r="C229" s="2">
        <v>44848.323680555557</v>
      </c>
      <c r="D229">
        <v>0</v>
      </c>
      <c r="E229">
        <v>118</v>
      </c>
      <c r="F229" t="s">
        <v>17</v>
      </c>
      <c r="G229" t="s">
        <v>259</v>
      </c>
      <c r="H229" t="str">
        <f>HYPERLINK("https://video.twimg.com/amplify_video/1575853163101536265/vid/720x900/ZrgniYMwRCMdHcUU.mp4?tag=14", "https://video.twimg.com/amplify_video/1575853163101536265/vid/720x900/ZrgniYMwRCMdHcUU.mp4?tag=14")</f>
        <v>https://video.twimg.com/amplify_video/1575853163101536265/vid/720x900/ZrgniYMwRCMdHcUU.mp4?tag=14</v>
      </c>
      <c r="L229">
        <v>0</v>
      </c>
      <c r="M229">
        <v>0</v>
      </c>
      <c r="N229">
        <v>1</v>
      </c>
      <c r="O229">
        <v>0</v>
      </c>
    </row>
    <row r="230" spans="1:15" x14ac:dyDescent="0.2">
      <c r="A230" s="1" t="str">
        <f>HYPERLINK("http://www.twitter.com/banuakdenizli/status/1580827253797445633", "1580827253797445633")</f>
        <v>1580827253797445633</v>
      </c>
      <c r="B230" t="s">
        <v>15</v>
      </c>
      <c r="C230" s="2">
        <v>44848.323634259257</v>
      </c>
      <c r="D230">
        <v>0</v>
      </c>
      <c r="E230">
        <v>14</v>
      </c>
      <c r="F230" t="s">
        <v>17</v>
      </c>
      <c r="G230" t="s">
        <v>260</v>
      </c>
      <c r="H230" t="str">
        <f>HYPERLINK("https://video.twimg.com/amplify_video/1580614914053443588/vid/720x720/LMNZ9KGUo68liz_M.mp4?tag=14", "https://video.twimg.com/amplify_video/1580614914053443588/vid/720x720/LMNZ9KGUo68liz_M.mp4?tag=14")</f>
        <v>https://video.twimg.com/amplify_video/1580614914053443588/vid/720x720/LMNZ9KGUo68liz_M.mp4?tag=14</v>
      </c>
      <c r="L230">
        <v>0</v>
      </c>
      <c r="M230">
        <v>0</v>
      </c>
      <c r="N230">
        <v>1</v>
      </c>
      <c r="O230">
        <v>0</v>
      </c>
    </row>
    <row r="231" spans="1:15" x14ac:dyDescent="0.2">
      <c r="A231" s="1" t="str">
        <f>HYPERLINK("http://www.twitter.com/banuakdenizli/status/1580827119034126336", "1580827119034126336")</f>
        <v>1580827119034126336</v>
      </c>
      <c r="B231" t="s">
        <v>15</v>
      </c>
      <c r="C231" s="2">
        <v>44848.323263888888</v>
      </c>
      <c r="D231">
        <v>0</v>
      </c>
      <c r="E231">
        <v>13</v>
      </c>
      <c r="F231" t="s">
        <v>17</v>
      </c>
      <c r="G231" t="s">
        <v>261</v>
      </c>
      <c r="H231" t="str">
        <f>HYPERLINK("http://pbs.twimg.com/media/Fe9Nk2AXkAAXPAq.jpg", "http://pbs.twimg.com/media/Fe9Nk2AXkAAXPAq.jpg")</f>
        <v>http://pbs.twimg.com/media/Fe9Nk2AXkAAXPAq.jpg</v>
      </c>
      <c r="L231">
        <v>0</v>
      </c>
      <c r="M231">
        <v>0</v>
      </c>
      <c r="N231">
        <v>1</v>
      </c>
      <c r="O231">
        <v>0</v>
      </c>
    </row>
    <row r="232" spans="1:15" x14ac:dyDescent="0.2">
      <c r="A232" s="1" t="str">
        <f>HYPERLINK("http://www.twitter.com/banuakdenizli/status/1580445186135445505", "1580445186135445505")</f>
        <v>1580445186135445505</v>
      </c>
      <c r="B232" t="s">
        <v>15</v>
      </c>
      <c r="C232" s="2">
        <v>44847.269328703696</v>
      </c>
      <c r="D232">
        <v>0</v>
      </c>
      <c r="E232">
        <v>6</v>
      </c>
      <c r="F232" t="s">
        <v>18</v>
      </c>
      <c r="G232" t="s">
        <v>262</v>
      </c>
      <c r="H232" t="str">
        <f>HYPERLINK("http://pbs.twimg.com/media/Fe5tzPnXEAMKg9b.jpg", "http://pbs.twimg.com/media/Fe5tzPnXEAMKg9b.jpg")</f>
        <v>http://pbs.twimg.com/media/Fe5tzPnXEAMKg9b.jpg</v>
      </c>
      <c r="L232">
        <v>0</v>
      </c>
      <c r="M232">
        <v>0</v>
      </c>
      <c r="N232">
        <v>1</v>
      </c>
      <c r="O232">
        <v>0</v>
      </c>
    </row>
    <row r="233" spans="1:15" x14ac:dyDescent="0.2">
      <c r="A233" s="1" t="str">
        <f>HYPERLINK("http://www.twitter.com/banuakdenizli/status/1580445114581024768", "1580445114581024768")</f>
        <v>1580445114581024768</v>
      </c>
      <c r="B233" t="s">
        <v>15</v>
      </c>
      <c r="C233" s="2">
        <v>44847.269131944442</v>
      </c>
      <c r="D233">
        <v>0</v>
      </c>
      <c r="E233">
        <v>47</v>
      </c>
      <c r="F233" t="s">
        <v>17</v>
      </c>
      <c r="G233" t="s">
        <v>263</v>
      </c>
      <c r="H233" t="str">
        <f>HYPERLINK("http://pbs.twimg.com/media/Fe4ifBsX0AAAgz9.jpg", "http://pbs.twimg.com/media/Fe4ifBsX0AAAgz9.jpg")</f>
        <v>http://pbs.twimg.com/media/Fe4ifBsX0AAAgz9.jpg</v>
      </c>
      <c r="I233" t="str">
        <f>HYPERLINK("http://pbs.twimg.com/media/Fe4ifBuWQAAwp8a.jpg", "http://pbs.twimg.com/media/Fe4ifBuWQAAwp8a.jpg")</f>
        <v>http://pbs.twimg.com/media/Fe4ifBuWQAAwp8a.jpg</v>
      </c>
      <c r="J233" t="str">
        <f>HYPERLINK("http://pbs.twimg.com/media/Fe4ifBqWAAQfP2S.jpg", "http://pbs.twimg.com/media/Fe4ifBqWAAQfP2S.jpg")</f>
        <v>http://pbs.twimg.com/media/Fe4ifBqWAAQfP2S.jpg</v>
      </c>
      <c r="L233">
        <v>0</v>
      </c>
      <c r="M233">
        <v>0</v>
      </c>
      <c r="N233">
        <v>1</v>
      </c>
      <c r="O233">
        <v>0</v>
      </c>
    </row>
    <row r="234" spans="1:15" x14ac:dyDescent="0.2">
      <c r="A234" s="1" t="str">
        <f>HYPERLINK("http://www.twitter.com/banuakdenizli/status/1580292383618396160", "1580292383618396160")</f>
        <v>1580292383618396160</v>
      </c>
      <c r="B234" t="s">
        <v>15</v>
      </c>
      <c r="C234" s="2">
        <v>44846.847673611112</v>
      </c>
      <c r="D234">
        <v>0</v>
      </c>
      <c r="E234">
        <v>0</v>
      </c>
      <c r="G234" t="s">
        <v>264</v>
      </c>
      <c r="H234" t="str">
        <f>HYPERLINK("http://pbs.twimg.com/media/Fe5TiuYXoBULT23.jpg", "http://pbs.twimg.com/media/Fe5TiuYXoBULT23.jpg")</f>
        <v>http://pbs.twimg.com/media/Fe5TiuYXoBULT23.jpg</v>
      </c>
      <c r="L234">
        <v>0</v>
      </c>
      <c r="M234">
        <v>0</v>
      </c>
      <c r="N234">
        <v>1</v>
      </c>
      <c r="O234">
        <v>0</v>
      </c>
    </row>
    <row r="235" spans="1:15" x14ac:dyDescent="0.2">
      <c r="A235" s="1" t="str">
        <f>HYPERLINK("http://www.twitter.com/banuakdenizli/status/1580292370998099971", "1580292370998099971")</f>
        <v>1580292370998099971</v>
      </c>
      <c r="B235" t="s">
        <v>15</v>
      </c>
      <c r="C235" s="2">
        <v>44846.847638888888</v>
      </c>
      <c r="D235">
        <v>1</v>
      </c>
      <c r="E235">
        <v>1</v>
      </c>
      <c r="G235" t="s">
        <v>265</v>
      </c>
      <c r="H235" t="str">
        <f>HYPERLINK("https://video.twimg.com/ext_tw_video/1580292320351723528/pu/vid/1280x700/Tt6whRFVXWRs8PcN.mp4?tag=12", "https://video.twimg.com/ext_tw_video/1580292320351723528/pu/vid/1280x700/Tt6whRFVXWRs8PcN.mp4?tag=12")</f>
        <v>https://video.twimg.com/ext_tw_video/1580292320351723528/pu/vid/1280x700/Tt6whRFVXWRs8PcN.mp4?tag=12</v>
      </c>
      <c r="L235">
        <v>0.47670000000000001</v>
      </c>
      <c r="M235">
        <v>0</v>
      </c>
      <c r="N235">
        <v>0.92600000000000005</v>
      </c>
      <c r="O235">
        <v>7.3999999999999996E-2</v>
      </c>
    </row>
    <row r="236" spans="1:15" x14ac:dyDescent="0.2">
      <c r="A236" s="1" t="str">
        <f>HYPERLINK("http://www.twitter.com/banuakdenizli/status/1580292159198334977", "1580292159198334977")</f>
        <v>1580292159198334977</v>
      </c>
      <c r="B236" t="s">
        <v>15</v>
      </c>
      <c r="C236" s="2">
        <v>44846.847048611111</v>
      </c>
      <c r="D236">
        <v>1</v>
      </c>
      <c r="E236">
        <v>1</v>
      </c>
      <c r="G236" t="s">
        <v>266</v>
      </c>
      <c r="H236" t="str">
        <f>HYPERLINK("http://pbs.twimg.com/media/Fe5TV3eXgAELApI.jpg", "http://pbs.twimg.com/media/Fe5TV3eXgAELApI.jpg")</f>
        <v>http://pbs.twimg.com/media/Fe5TV3eXgAELApI.jpg</v>
      </c>
      <c r="L236">
        <v>0</v>
      </c>
      <c r="M236">
        <v>0</v>
      </c>
      <c r="N236">
        <v>1</v>
      </c>
      <c r="O236">
        <v>0</v>
      </c>
    </row>
    <row r="237" spans="1:15" x14ac:dyDescent="0.2">
      <c r="A237" s="1" t="str">
        <f>HYPERLINK("http://www.twitter.com/banuakdenizli/status/1580292150058946560", "1580292150058946560")</f>
        <v>1580292150058946560</v>
      </c>
      <c r="B237" t="s">
        <v>15</v>
      </c>
      <c r="C237" s="2">
        <v>44846.847025462957</v>
      </c>
      <c r="D237">
        <v>2</v>
      </c>
      <c r="E237">
        <v>1</v>
      </c>
      <c r="G237" t="s">
        <v>267</v>
      </c>
      <c r="H237" t="str">
        <f>HYPERLINK("https://video.twimg.com/ext_tw_video/1580292113111162896/pu/vid/1280x700/GgL1DEAxt_ifBmMh.mp4?tag=12", "https://video.twimg.com/ext_tw_video/1580292113111162896/pu/vid/1280x700/GgL1DEAxt_ifBmMh.mp4?tag=12")</f>
        <v>https://video.twimg.com/ext_tw_video/1580292113111162896/pu/vid/1280x700/GgL1DEAxt_ifBmMh.mp4?tag=12</v>
      </c>
      <c r="L237">
        <v>0</v>
      </c>
      <c r="M237">
        <v>0</v>
      </c>
      <c r="N237">
        <v>1</v>
      </c>
      <c r="O237">
        <v>0</v>
      </c>
    </row>
    <row r="238" spans="1:15" x14ac:dyDescent="0.2">
      <c r="A238" s="1" t="str">
        <f>HYPERLINK("http://www.twitter.com/banuakdenizli/status/1580291919149944832", "1580291919149944832")</f>
        <v>1580291919149944832</v>
      </c>
      <c r="B238" t="s">
        <v>15</v>
      </c>
      <c r="C238" s="2">
        <v>44846.846388888887</v>
      </c>
      <c r="D238">
        <v>0</v>
      </c>
      <c r="E238">
        <v>5</v>
      </c>
      <c r="F238" t="s">
        <v>16</v>
      </c>
      <c r="G238" t="s">
        <v>268</v>
      </c>
      <c r="H238" t="str">
        <f>HYPERLINK("http://pbs.twimg.com/media/Fe4n0UNX0AY4h02.jpg", "http://pbs.twimg.com/media/Fe4n0UNX0AY4h02.jpg")</f>
        <v>http://pbs.twimg.com/media/Fe4n0UNX0AY4h02.jpg</v>
      </c>
      <c r="L238">
        <v>0</v>
      </c>
      <c r="M238">
        <v>0</v>
      </c>
      <c r="N238">
        <v>1</v>
      </c>
      <c r="O238">
        <v>0</v>
      </c>
    </row>
    <row r="239" spans="1:15" x14ac:dyDescent="0.2">
      <c r="A239" s="1" t="str">
        <f>HYPERLINK("http://www.twitter.com/banuakdenizli/status/1580291898216153089", "1580291898216153089")</f>
        <v>1580291898216153089</v>
      </c>
      <c r="B239" t="s">
        <v>15</v>
      </c>
      <c r="C239" s="2">
        <v>44846.846331018518</v>
      </c>
      <c r="D239">
        <v>0</v>
      </c>
      <c r="E239">
        <v>7</v>
      </c>
      <c r="F239" t="s">
        <v>16</v>
      </c>
      <c r="G239" t="s">
        <v>269</v>
      </c>
      <c r="H239" t="str">
        <f>HYPERLINK("https://video.twimg.com/ext_tw_video/1579883451951480833/pu/vid/720x900/kUDM3_25WCCCvHkQ.mp4?tag=12", "https://video.twimg.com/ext_tw_video/1579883451951480833/pu/vid/720x900/kUDM3_25WCCCvHkQ.mp4?tag=12")</f>
        <v>https://video.twimg.com/ext_tw_video/1579883451951480833/pu/vid/720x900/kUDM3_25WCCCvHkQ.mp4?tag=12</v>
      </c>
      <c r="L239">
        <v>0</v>
      </c>
      <c r="M239">
        <v>0</v>
      </c>
      <c r="N239">
        <v>1</v>
      </c>
      <c r="O239">
        <v>0</v>
      </c>
    </row>
    <row r="240" spans="1:15" x14ac:dyDescent="0.2">
      <c r="A240" s="1" t="str">
        <f>HYPERLINK("http://www.twitter.com/banuakdenizli/status/1580291758881067008", "1580291758881067008")</f>
        <v>1580291758881067008</v>
      </c>
      <c r="B240" t="s">
        <v>15</v>
      </c>
      <c r="C240" s="2">
        <v>44846.845949074072</v>
      </c>
      <c r="D240">
        <v>0</v>
      </c>
      <c r="E240">
        <v>33</v>
      </c>
      <c r="F240" t="s">
        <v>17</v>
      </c>
      <c r="G240" t="s">
        <v>270</v>
      </c>
      <c r="H240" t="str">
        <f>HYPERLINK("https://video.twimg.com/amplify_video/1580233592923357185/vid/720x1280/_SmfrRwcnl8EpBKr.mp4?tag=14", "https://video.twimg.com/amplify_video/1580233592923357185/vid/720x1280/_SmfrRwcnl8EpBKr.mp4?tag=14")</f>
        <v>https://video.twimg.com/amplify_video/1580233592923357185/vid/720x1280/_SmfrRwcnl8EpBKr.mp4?tag=14</v>
      </c>
      <c r="L240">
        <v>0</v>
      </c>
      <c r="M240">
        <v>0</v>
      </c>
      <c r="N240">
        <v>1</v>
      </c>
      <c r="O240">
        <v>0</v>
      </c>
    </row>
    <row r="241" spans="1:15" x14ac:dyDescent="0.2">
      <c r="A241" s="1" t="str">
        <f>HYPERLINK("http://www.twitter.com/banuakdenizli/status/1580291746021658625", "1580291746021658625")</f>
        <v>1580291746021658625</v>
      </c>
      <c r="B241" t="s">
        <v>15</v>
      </c>
      <c r="C241" s="2">
        <v>44846.845914351848</v>
      </c>
      <c r="D241">
        <v>0</v>
      </c>
      <c r="E241">
        <v>10</v>
      </c>
      <c r="F241" t="s">
        <v>17</v>
      </c>
      <c r="G241" t="s">
        <v>271</v>
      </c>
      <c r="H241" t="str">
        <f>HYPERLINK("https://video.twimg.com/amplify_video/1580184350934564866/vid/720x720/kYQlIMLX4M4QrJi8.mp4?tag=14", "https://video.twimg.com/amplify_video/1580184350934564866/vid/720x720/kYQlIMLX4M4QrJi8.mp4?tag=14")</f>
        <v>https://video.twimg.com/amplify_video/1580184350934564866/vid/720x720/kYQlIMLX4M4QrJi8.mp4?tag=14</v>
      </c>
      <c r="L241">
        <v>-0.29599999999999999</v>
      </c>
      <c r="M241">
        <v>0.115</v>
      </c>
      <c r="N241">
        <v>0.88500000000000001</v>
      </c>
      <c r="O241">
        <v>0</v>
      </c>
    </row>
    <row r="242" spans="1:15" x14ac:dyDescent="0.2">
      <c r="A242" s="1" t="str">
        <f>HYPERLINK("http://www.twitter.com/banuakdenizli/status/1580291732142710785", "1580291732142710785")</f>
        <v>1580291732142710785</v>
      </c>
      <c r="B242" t="s">
        <v>15</v>
      </c>
      <c r="C242" s="2">
        <v>44846.845879629633</v>
      </c>
      <c r="D242">
        <v>0</v>
      </c>
      <c r="E242">
        <v>8</v>
      </c>
      <c r="F242" t="s">
        <v>17</v>
      </c>
      <c r="G242" t="s">
        <v>272</v>
      </c>
      <c r="H242" t="str">
        <f>HYPERLINK("https://video.twimg.com/amplify_video/1442855379944280065/vid/720x900/2YIr6vejEUW1QCs1.mp4?tag=14", "https://video.twimg.com/amplify_video/1442855379944280065/vid/720x900/2YIr6vejEUW1QCs1.mp4?tag=14")</f>
        <v>https://video.twimg.com/amplify_video/1442855379944280065/vid/720x900/2YIr6vejEUW1QCs1.mp4?tag=14</v>
      </c>
      <c r="L242">
        <v>0</v>
      </c>
      <c r="M242">
        <v>0</v>
      </c>
      <c r="N242">
        <v>1</v>
      </c>
      <c r="O242">
        <v>0</v>
      </c>
    </row>
    <row r="243" spans="1:15" x14ac:dyDescent="0.2">
      <c r="A243" s="1" t="str">
        <f>HYPERLINK("http://www.twitter.com/banuakdenizli/status/1580291716359557120", "1580291716359557120")</f>
        <v>1580291716359557120</v>
      </c>
      <c r="B243" t="s">
        <v>15</v>
      </c>
      <c r="C243" s="2">
        <v>44846.845833333333</v>
      </c>
      <c r="D243">
        <v>0</v>
      </c>
      <c r="E243">
        <v>62</v>
      </c>
      <c r="F243" t="s">
        <v>17</v>
      </c>
      <c r="G243" t="s">
        <v>273</v>
      </c>
      <c r="H243" t="str">
        <f>HYPERLINK("https://video.twimg.com/amplify_video/1579904182538145811/vid/720x1280/H1L-EE0okSVj0vat.mp4?tag=14", "https://video.twimg.com/amplify_video/1579904182538145811/vid/720x1280/H1L-EE0okSVj0vat.mp4?tag=14")</f>
        <v>https://video.twimg.com/amplify_video/1579904182538145811/vid/720x1280/H1L-EE0okSVj0vat.mp4?tag=14</v>
      </c>
      <c r="L243">
        <v>0</v>
      </c>
      <c r="M243">
        <v>0</v>
      </c>
      <c r="N243">
        <v>1</v>
      </c>
      <c r="O243">
        <v>0</v>
      </c>
    </row>
    <row r="244" spans="1:15" x14ac:dyDescent="0.2">
      <c r="A244" s="1" t="str">
        <f>HYPERLINK("http://www.twitter.com/banuakdenizli/status/1580291701435867141", "1580291701435867141")</f>
        <v>1580291701435867141</v>
      </c>
      <c r="B244" t="s">
        <v>15</v>
      </c>
      <c r="C244" s="2">
        <v>44846.84578703704</v>
      </c>
      <c r="D244">
        <v>0</v>
      </c>
      <c r="E244">
        <v>8</v>
      </c>
      <c r="F244" t="s">
        <v>17</v>
      </c>
      <c r="G244" t="s">
        <v>274</v>
      </c>
      <c r="H244" t="str">
        <f>HYPERLINK("http://pbs.twimg.com/media/FezCBlGXkAIgd1l.jpg", "http://pbs.twimg.com/media/FezCBlGXkAIgd1l.jpg")</f>
        <v>http://pbs.twimg.com/media/FezCBlGXkAIgd1l.jpg</v>
      </c>
      <c r="L244">
        <v>0.126</v>
      </c>
      <c r="M244">
        <v>0</v>
      </c>
      <c r="N244">
        <v>0.94599999999999995</v>
      </c>
      <c r="O244">
        <v>5.3999999999999999E-2</v>
      </c>
    </row>
    <row r="245" spans="1:15" x14ac:dyDescent="0.2">
      <c r="A245" s="1" t="str">
        <f>HYPERLINK("http://www.twitter.com/banuakdenizli/status/1580187551021006848", "1580187551021006848")</f>
        <v>1580187551021006848</v>
      </c>
      <c r="B245" t="s">
        <v>15</v>
      </c>
      <c r="C245" s="2">
        <v>44846.558391203696</v>
      </c>
      <c r="D245">
        <v>0</v>
      </c>
      <c r="E245">
        <v>22</v>
      </c>
      <c r="F245" t="s">
        <v>275</v>
      </c>
      <c r="G245" t="s">
        <v>276</v>
      </c>
      <c r="L245">
        <v>0</v>
      </c>
      <c r="M245">
        <v>0</v>
      </c>
      <c r="N245">
        <v>1</v>
      </c>
      <c r="O245">
        <v>0</v>
      </c>
    </row>
    <row r="246" spans="1:15" x14ac:dyDescent="0.2">
      <c r="A246" s="1" t="str">
        <f>HYPERLINK("http://www.twitter.com/banuakdenizli/status/1580123876105015298", "1580123876105015298")</f>
        <v>1580123876105015298</v>
      </c>
      <c r="B246" t="s">
        <v>15</v>
      </c>
      <c r="C246" s="2">
        <v>44846.382685185177</v>
      </c>
      <c r="D246">
        <v>9</v>
      </c>
      <c r="E246">
        <v>3</v>
      </c>
      <c r="G246" t="s">
        <v>277</v>
      </c>
      <c r="H246" t="str">
        <f>HYPERLINK("http://pbs.twimg.com/media/Fe26Se4WQAAMG8P.jpg", "http://pbs.twimg.com/media/Fe26Se4WQAAMG8P.jpg")</f>
        <v>http://pbs.twimg.com/media/Fe26Se4WQAAMG8P.jpg</v>
      </c>
      <c r="L246">
        <v>0</v>
      </c>
      <c r="M246">
        <v>0</v>
      </c>
      <c r="N246">
        <v>1</v>
      </c>
      <c r="O246">
        <v>0</v>
      </c>
    </row>
    <row r="247" spans="1:15" x14ac:dyDescent="0.2">
      <c r="A247" s="1" t="str">
        <f>HYPERLINK("http://www.twitter.com/banuakdenizli/status/1580123854113935361", "1580123854113935361")</f>
        <v>1580123854113935361</v>
      </c>
      <c r="B247" t="s">
        <v>15</v>
      </c>
      <c r="C247" s="2">
        <v>44846.382615740738</v>
      </c>
      <c r="D247">
        <v>2</v>
      </c>
      <c r="E247">
        <v>0</v>
      </c>
      <c r="G247" t="s">
        <v>278</v>
      </c>
      <c r="H247" t="str">
        <f>HYPERLINK("http://pbs.twimg.com/media/Fe26RNKWAAAZYmA.jpg", "http://pbs.twimg.com/media/Fe26RNKWAAAZYmA.jpg")</f>
        <v>http://pbs.twimg.com/media/Fe26RNKWAAAZYmA.jpg</v>
      </c>
      <c r="L247">
        <v>0</v>
      </c>
      <c r="M247">
        <v>0</v>
      </c>
      <c r="N247">
        <v>1</v>
      </c>
      <c r="O247">
        <v>0</v>
      </c>
    </row>
    <row r="248" spans="1:15" x14ac:dyDescent="0.2">
      <c r="A248" s="1" t="str">
        <f>HYPERLINK("http://www.twitter.com/banuakdenizli/status/1579739546228776962", "1579739546228776962")</f>
        <v>1579739546228776962</v>
      </c>
      <c r="B248" t="s">
        <v>15</v>
      </c>
      <c r="C248" s="2">
        <v>44845.322129629632</v>
      </c>
      <c r="D248">
        <v>0</v>
      </c>
      <c r="E248">
        <v>6</v>
      </c>
      <c r="F248" t="s">
        <v>16</v>
      </c>
      <c r="G248" t="s">
        <v>279</v>
      </c>
      <c r="H248" t="str">
        <f>HYPERLINK("https://video.twimg.com/ext_tw_video/1579157411251863554/pu/vid/720x900/4CXUgiW7peyPRao7.mp4?tag=12", "https://video.twimg.com/ext_tw_video/1579157411251863554/pu/vid/720x900/4CXUgiW7peyPRao7.mp4?tag=12")</f>
        <v>https://video.twimg.com/ext_tw_video/1579157411251863554/pu/vid/720x900/4CXUgiW7peyPRao7.mp4?tag=12</v>
      </c>
      <c r="L248">
        <v>0.31819999999999998</v>
      </c>
      <c r="M248">
        <v>0</v>
      </c>
      <c r="N248">
        <v>0.93700000000000006</v>
      </c>
      <c r="O248">
        <v>6.3E-2</v>
      </c>
    </row>
    <row r="249" spans="1:15" x14ac:dyDescent="0.2">
      <c r="A249" s="1" t="str">
        <f>HYPERLINK("http://www.twitter.com/banuakdenizli/status/1579739313335840768", "1579739313335840768")</f>
        <v>1579739313335840768</v>
      </c>
      <c r="B249" t="s">
        <v>15</v>
      </c>
      <c r="C249" s="2">
        <v>44845.321493055562</v>
      </c>
      <c r="D249">
        <v>0</v>
      </c>
      <c r="E249">
        <v>6</v>
      </c>
      <c r="F249" t="s">
        <v>17</v>
      </c>
      <c r="G249" t="s">
        <v>280</v>
      </c>
      <c r="H249" t="str">
        <f>HYPERLINK("https://video.twimg.com/amplify_video/1578091139504250880/vid/1280x720/l-B9XKS-v6s1SXcr.mp4?tag=14", "https://video.twimg.com/amplify_video/1578091139504250880/vid/1280x720/l-B9XKS-v6s1SXcr.mp4?tag=14")</f>
        <v>https://video.twimg.com/amplify_video/1578091139504250880/vid/1280x720/l-B9XKS-v6s1SXcr.mp4?tag=14</v>
      </c>
      <c r="L249">
        <v>0</v>
      </c>
      <c r="M249">
        <v>0</v>
      </c>
      <c r="N249">
        <v>1</v>
      </c>
      <c r="O249">
        <v>0</v>
      </c>
    </row>
    <row r="250" spans="1:15" x14ac:dyDescent="0.2">
      <c r="A250" s="1" t="str">
        <f>HYPERLINK("http://www.twitter.com/banuakdenizli/status/1578367575985037312", "1578367575985037312")</f>
        <v>1578367575985037312</v>
      </c>
      <c r="B250" t="s">
        <v>15</v>
      </c>
      <c r="C250" s="2">
        <v>44841.536215277767</v>
      </c>
      <c r="D250">
        <v>0</v>
      </c>
      <c r="E250">
        <v>9</v>
      </c>
      <c r="F250" t="s">
        <v>17</v>
      </c>
      <c r="G250" t="s">
        <v>281</v>
      </c>
      <c r="H250" t="str">
        <f>HYPERLINK("http://pbs.twimg.com/media/FeaZUTvWAAALzmF.jpg", "http://pbs.twimg.com/media/FeaZUTvWAAALzmF.jpg")</f>
        <v>http://pbs.twimg.com/media/FeaZUTvWAAALzmF.jpg</v>
      </c>
      <c r="I250" t="str">
        <f>HYPERLINK("http://pbs.twimg.com/media/FeaZViQXgA4YMl9.jpg", "http://pbs.twimg.com/media/FeaZViQXgA4YMl9.jpg")</f>
        <v>http://pbs.twimg.com/media/FeaZViQXgA4YMl9.jpg</v>
      </c>
      <c r="J250" t="str">
        <f>HYPERLINK("http://pbs.twimg.com/media/FeaZW1aXgAsibp3.jpg", "http://pbs.twimg.com/media/FeaZW1aXgAsibp3.jpg")</f>
        <v>http://pbs.twimg.com/media/FeaZW1aXgAsibp3.jpg</v>
      </c>
      <c r="L250">
        <v>0</v>
      </c>
      <c r="M250">
        <v>0</v>
      </c>
      <c r="N250">
        <v>1</v>
      </c>
      <c r="O250">
        <v>0</v>
      </c>
    </row>
    <row r="251" spans="1:15" x14ac:dyDescent="0.2">
      <c r="A251" s="1" t="str">
        <f>HYPERLINK("http://www.twitter.com/banuakdenizli/status/1578308731263012864", "1578308731263012864")</f>
        <v>1578308731263012864</v>
      </c>
      <c r="B251" t="s">
        <v>15</v>
      </c>
      <c r="C251" s="2">
        <v>44841.373831018522</v>
      </c>
      <c r="D251">
        <v>2</v>
      </c>
      <c r="E251">
        <v>0</v>
      </c>
      <c r="G251" t="s">
        <v>282</v>
      </c>
      <c r="H251" t="str">
        <f>HYPERLINK("http://pbs.twimg.com/media/FedHbA2XwAAm1Mo.jpg", "http://pbs.twimg.com/media/FedHbA2XwAAm1Mo.jpg")</f>
        <v>http://pbs.twimg.com/media/FedHbA2XwAAm1Mo.jpg</v>
      </c>
      <c r="I251" t="str">
        <f>HYPERLINK("http://pbs.twimg.com/media/FedHbA4WQAAjWXn.jpg", "http://pbs.twimg.com/media/FedHbA4WQAAjWXn.jpg")</f>
        <v>http://pbs.twimg.com/media/FedHbA4WQAAjWXn.jpg</v>
      </c>
      <c r="J251" t="str">
        <f>HYPERLINK("http://pbs.twimg.com/media/FedHbA3XoAU5LlL.jpg", "http://pbs.twimg.com/media/FedHbA3XoAU5LlL.jpg")</f>
        <v>http://pbs.twimg.com/media/FedHbA3XoAU5LlL.jpg</v>
      </c>
      <c r="L251">
        <v>0</v>
      </c>
      <c r="M251">
        <v>0</v>
      </c>
      <c r="N251">
        <v>1</v>
      </c>
      <c r="O251">
        <v>0</v>
      </c>
    </row>
    <row r="252" spans="1:15" x14ac:dyDescent="0.2">
      <c r="A252" s="1" t="str">
        <f>HYPERLINK("http://www.twitter.com/banuakdenizli/status/1578308719573864448", "1578308719573864448")</f>
        <v>1578308719573864448</v>
      </c>
      <c r="B252" t="s">
        <v>15</v>
      </c>
      <c r="C252" s="2">
        <v>44841.373796296299</v>
      </c>
      <c r="D252">
        <v>5</v>
      </c>
      <c r="E252">
        <v>0</v>
      </c>
      <c r="G252" t="s">
        <v>283</v>
      </c>
      <c r="H252" t="str">
        <f>HYPERLINK("http://pbs.twimg.com/media/FedHaCGWYAI7We0.jpg", "http://pbs.twimg.com/media/FedHaCGWYAI7We0.jpg")</f>
        <v>http://pbs.twimg.com/media/FedHaCGWYAI7We0.jpg</v>
      </c>
      <c r="I252" t="str">
        <f>HYPERLINK("http://pbs.twimg.com/media/FedHaCHXEAMxXW2.jpg", "http://pbs.twimg.com/media/FedHaCHXEAMxXW2.jpg")</f>
        <v>http://pbs.twimg.com/media/FedHaCHXEAMxXW2.jpg</v>
      </c>
      <c r="J252" t="str">
        <f>HYPERLINK("http://pbs.twimg.com/media/FedHaCKXwAAgI9K.jpg", "http://pbs.twimg.com/media/FedHaCKXwAAgI9K.jpg")</f>
        <v>http://pbs.twimg.com/media/FedHaCKXwAAgI9K.jpg</v>
      </c>
      <c r="L252">
        <v>0</v>
      </c>
      <c r="M252">
        <v>0</v>
      </c>
      <c r="N252">
        <v>1</v>
      </c>
      <c r="O252">
        <v>0</v>
      </c>
    </row>
    <row r="253" spans="1:15" x14ac:dyDescent="0.2">
      <c r="A253" s="1" t="str">
        <f>HYPERLINK("http://www.twitter.com/banuakdenizli/status/1578306078789767168", "1578306078789767168")</f>
        <v>1578306078789767168</v>
      </c>
      <c r="B253" t="s">
        <v>15</v>
      </c>
      <c r="C253" s="2">
        <v>44841.366516203707</v>
      </c>
      <c r="D253">
        <v>1</v>
      </c>
      <c r="E253">
        <v>0</v>
      </c>
      <c r="G253" t="s">
        <v>284</v>
      </c>
      <c r="H253" t="str">
        <f>HYPERLINK("http://pbs.twimg.com/media/FedFAq2WYAE79Tt.jpg", "http://pbs.twimg.com/media/FedFAq2WYAE79Tt.jpg")</f>
        <v>http://pbs.twimg.com/media/FedFAq2WYAE79Tt.jpg</v>
      </c>
      <c r="I253" t="str">
        <f>HYPERLINK("http://pbs.twimg.com/media/FedFAq4XwAAUbvT.jpg", "http://pbs.twimg.com/media/FedFAq4XwAAUbvT.jpg")</f>
        <v>http://pbs.twimg.com/media/FedFAq4XwAAUbvT.jpg</v>
      </c>
      <c r="J253" t="str">
        <f>HYPERLINK("http://pbs.twimg.com/media/FedFAq2XgAAdLC1.jpg", "http://pbs.twimg.com/media/FedFAq2XgAAdLC1.jpg")</f>
        <v>http://pbs.twimg.com/media/FedFAq2XgAAdLC1.jpg</v>
      </c>
      <c r="L253">
        <v>0</v>
      </c>
      <c r="M253">
        <v>0</v>
      </c>
      <c r="N253">
        <v>1</v>
      </c>
      <c r="O253">
        <v>0</v>
      </c>
    </row>
    <row r="254" spans="1:15" x14ac:dyDescent="0.2">
      <c r="A254" s="1" t="str">
        <f>HYPERLINK("http://www.twitter.com/banuakdenizli/status/1578306065967370240", "1578306065967370240")</f>
        <v>1578306065967370240</v>
      </c>
      <c r="B254" t="s">
        <v>15</v>
      </c>
      <c r="C254" s="2">
        <v>44841.366481481477</v>
      </c>
      <c r="D254">
        <v>1</v>
      </c>
      <c r="E254">
        <v>0</v>
      </c>
      <c r="G254" t="s">
        <v>285</v>
      </c>
      <c r="H254" t="str">
        <f>HYPERLINK("http://pbs.twimg.com/media/FedE_ooWYAANBQ2.jpg", "http://pbs.twimg.com/media/FedE_ooWYAANBQ2.jpg")</f>
        <v>http://pbs.twimg.com/media/FedE_ooWYAANBQ2.jpg</v>
      </c>
      <c r="I254" t="str">
        <f>HYPERLINK("http://pbs.twimg.com/media/FedE_opXkAEluK2.jpg", "http://pbs.twimg.com/media/FedE_opXkAEluK2.jpg")</f>
        <v>http://pbs.twimg.com/media/FedE_opXkAEluK2.jpg</v>
      </c>
      <c r="J254" t="str">
        <f>HYPERLINK("http://pbs.twimg.com/media/FedE_ooXkAAoiQ0.jpg", "http://pbs.twimg.com/media/FedE_ooXkAAoiQ0.jpg")</f>
        <v>http://pbs.twimg.com/media/FedE_ooXkAAoiQ0.jpg</v>
      </c>
      <c r="L254">
        <v>0</v>
      </c>
      <c r="M254">
        <v>0</v>
      </c>
      <c r="N254">
        <v>1</v>
      </c>
      <c r="O254">
        <v>0</v>
      </c>
    </row>
    <row r="255" spans="1:15" x14ac:dyDescent="0.2">
      <c r="A255" s="1" t="str">
        <f>HYPERLINK("http://www.twitter.com/banuakdenizli/status/1578288699225145344", "1578288699225145344")</f>
        <v>1578288699225145344</v>
      </c>
      <c r="B255" t="s">
        <v>15</v>
      </c>
      <c r="C255" s="2">
        <v>44841.318553240737</v>
      </c>
      <c r="D255">
        <v>0</v>
      </c>
      <c r="E255">
        <v>262</v>
      </c>
      <c r="F255" t="s">
        <v>17</v>
      </c>
      <c r="G255" t="s">
        <v>286</v>
      </c>
      <c r="H255" t="str">
        <f>HYPERLINK("http://pbs.twimg.com/media/FeZj4L9X0AQPVCA.jpg", "http://pbs.twimg.com/media/FeZj4L9X0AQPVCA.jpg")</f>
        <v>http://pbs.twimg.com/media/FeZj4L9X0AQPVCA.jpg</v>
      </c>
      <c r="L255">
        <v>0</v>
      </c>
      <c r="M255">
        <v>0</v>
      </c>
      <c r="N255">
        <v>1</v>
      </c>
      <c r="O255">
        <v>0</v>
      </c>
    </row>
    <row r="256" spans="1:15" x14ac:dyDescent="0.2">
      <c r="A256" s="1" t="str">
        <f>HYPERLINK("http://www.twitter.com/banuakdenizli/status/1578011004771872770", "1578011004771872770")</f>
        <v>1578011004771872770</v>
      </c>
      <c r="B256" t="s">
        <v>15</v>
      </c>
      <c r="C256" s="2">
        <v>44840.552268518521</v>
      </c>
      <c r="D256">
        <v>3</v>
      </c>
      <c r="E256">
        <v>0</v>
      </c>
      <c r="G256" t="s">
        <v>287</v>
      </c>
      <c r="H256" t="str">
        <f>HYPERLINK("http://pbs.twimg.com/media/FeY4l4cXgAA_oj_.jpg", "http://pbs.twimg.com/media/FeY4l4cXgAA_oj_.jpg")</f>
        <v>http://pbs.twimg.com/media/FeY4l4cXgAA_oj_.jpg</v>
      </c>
      <c r="I256" t="str">
        <f>HYPERLINK("http://pbs.twimg.com/media/FeY4l4nWQAEqKsG.jpg", "http://pbs.twimg.com/media/FeY4l4nWQAEqKsG.jpg")</f>
        <v>http://pbs.twimg.com/media/FeY4l4nWQAEqKsG.jpg</v>
      </c>
      <c r="J256" t="str">
        <f>HYPERLINK("http://pbs.twimg.com/media/FeY4l4qXkAEiIzz.jpg", "http://pbs.twimg.com/media/FeY4l4qXkAEiIzz.jpg")</f>
        <v>http://pbs.twimg.com/media/FeY4l4qXkAEiIzz.jpg</v>
      </c>
      <c r="K256" t="str">
        <f>HYPERLINK("http://pbs.twimg.com/media/FeY4l4kXEAEsSdn.jpg", "http://pbs.twimg.com/media/FeY4l4kXEAEsSdn.jpg")</f>
        <v>http://pbs.twimg.com/media/FeY4l4kXEAEsSdn.jpg</v>
      </c>
      <c r="L256">
        <v>0</v>
      </c>
      <c r="M256">
        <v>0</v>
      </c>
      <c r="N256">
        <v>1</v>
      </c>
      <c r="O256">
        <v>0</v>
      </c>
    </row>
    <row r="257" spans="1:15" x14ac:dyDescent="0.2">
      <c r="A257" s="1" t="str">
        <f>HYPERLINK("http://www.twitter.com/banuakdenizli/status/1578010903517306880", "1578010903517306880")</f>
        <v>1578010903517306880</v>
      </c>
      <c r="B257" t="s">
        <v>15</v>
      </c>
      <c r="C257" s="2">
        <v>44840.551990740743</v>
      </c>
      <c r="D257">
        <v>1</v>
      </c>
      <c r="E257">
        <v>1</v>
      </c>
      <c r="G257" t="s">
        <v>288</v>
      </c>
      <c r="H257" t="str">
        <f>HYPERLINK("http://pbs.twimg.com/media/FeY4gWYXgAMT_tk.jpg", "http://pbs.twimg.com/media/FeY4gWYXgAMT_tk.jpg")</f>
        <v>http://pbs.twimg.com/media/FeY4gWYXgAMT_tk.jpg</v>
      </c>
      <c r="I257" t="str">
        <f>HYPERLINK("http://pbs.twimg.com/media/FeY4gXkX0AYfJe0.jpg", "http://pbs.twimg.com/media/FeY4gXkX0AYfJe0.jpg")</f>
        <v>http://pbs.twimg.com/media/FeY4gXkX0AYfJe0.jpg</v>
      </c>
      <c r="J257" t="str">
        <f>HYPERLINK("http://pbs.twimg.com/media/FeY4gXCXgAMjk55.jpg", "http://pbs.twimg.com/media/FeY4gXCXgAMjk55.jpg")</f>
        <v>http://pbs.twimg.com/media/FeY4gXCXgAMjk55.jpg</v>
      </c>
      <c r="K257" t="str">
        <f>HYPERLINK("http://pbs.twimg.com/media/FeY4gWoWIAAD5A6.jpg", "http://pbs.twimg.com/media/FeY4gWoWIAAD5A6.jpg")</f>
        <v>http://pbs.twimg.com/media/FeY4gWoWIAAD5A6.jpg</v>
      </c>
      <c r="L257">
        <v>0</v>
      </c>
      <c r="M257">
        <v>0</v>
      </c>
      <c r="N257">
        <v>1</v>
      </c>
      <c r="O257">
        <v>0</v>
      </c>
    </row>
    <row r="258" spans="1:15" x14ac:dyDescent="0.2">
      <c r="A258" s="1" t="str">
        <f>HYPERLINK("http://www.twitter.com/banuakdenizli/status/1577934052828512257", "1577934052828512257")</f>
        <v>1577934052828512257</v>
      </c>
      <c r="B258" t="s">
        <v>15</v>
      </c>
      <c r="C258" s="2">
        <v>44840.339918981481</v>
      </c>
      <c r="D258">
        <v>0</v>
      </c>
      <c r="E258">
        <v>4</v>
      </c>
      <c r="F258" t="s">
        <v>16</v>
      </c>
      <c r="G258" t="s">
        <v>289</v>
      </c>
      <c r="H258" t="str">
        <f>HYPERLINK("https://video.twimg.com/ext_tw_video/1577707173546704897/pu/vid/720x900/vE7NITHbUqQIhIAj.mp4?tag=12", "https://video.twimg.com/ext_tw_video/1577707173546704897/pu/vid/720x900/vE7NITHbUqQIhIAj.mp4?tag=12")</f>
        <v>https://video.twimg.com/ext_tw_video/1577707173546704897/pu/vid/720x900/vE7NITHbUqQIhIAj.mp4?tag=12</v>
      </c>
      <c r="L258">
        <v>0.81720000000000004</v>
      </c>
      <c r="M258">
        <v>0</v>
      </c>
      <c r="N258">
        <v>0.8</v>
      </c>
      <c r="O258">
        <v>0.2</v>
      </c>
    </row>
    <row r="259" spans="1:15" x14ac:dyDescent="0.2">
      <c r="A259" s="1" t="str">
        <f>HYPERLINK("http://www.twitter.com/banuakdenizli/status/1577934015478243330", "1577934015478243330")</f>
        <v>1577934015478243330</v>
      </c>
      <c r="B259" t="s">
        <v>15</v>
      </c>
      <c r="C259" s="2">
        <v>44840.339814814812</v>
      </c>
      <c r="D259">
        <v>0</v>
      </c>
      <c r="E259">
        <v>72</v>
      </c>
      <c r="F259" t="s">
        <v>17</v>
      </c>
      <c r="G259" t="s">
        <v>290</v>
      </c>
      <c r="H259" t="str">
        <f>HYPERLINK("http://pbs.twimg.com/media/FeWIpQNX0AAy0kw.jpg", "http://pbs.twimg.com/media/FeWIpQNX0AAy0kw.jpg")</f>
        <v>http://pbs.twimg.com/media/FeWIpQNX0AAy0kw.jpg</v>
      </c>
      <c r="I259" t="str">
        <f>HYPERLINK("http://pbs.twimg.com/media/FeWIu8jXoAA1mfa.jpg", "http://pbs.twimg.com/media/FeWIu8jXoAA1mfa.jpg")</f>
        <v>http://pbs.twimg.com/media/FeWIu8jXoAA1mfa.jpg</v>
      </c>
      <c r="L259">
        <v>0</v>
      </c>
      <c r="M259">
        <v>0</v>
      </c>
      <c r="N259">
        <v>1</v>
      </c>
      <c r="O259">
        <v>0</v>
      </c>
    </row>
    <row r="260" spans="1:15" x14ac:dyDescent="0.2">
      <c r="A260" s="1" t="str">
        <f>HYPERLINK("http://www.twitter.com/banuakdenizli/status/1577933845164425217", "1577933845164425217")</f>
        <v>1577933845164425217</v>
      </c>
      <c r="B260" t="s">
        <v>15</v>
      </c>
      <c r="C260" s="2">
        <v>44840.33934027778</v>
      </c>
      <c r="D260">
        <v>0</v>
      </c>
      <c r="E260">
        <v>7</v>
      </c>
      <c r="F260" t="s">
        <v>18</v>
      </c>
      <c r="G260" t="s">
        <v>291</v>
      </c>
      <c r="H260" t="str">
        <f>HYPERLINK("http://pbs.twimg.com/media/FeVophSWIAcc5Pz.jpg", "http://pbs.twimg.com/media/FeVophSWIAcc5Pz.jpg")</f>
        <v>http://pbs.twimg.com/media/FeVophSWIAcc5Pz.jpg</v>
      </c>
      <c r="L260">
        <v>0</v>
      </c>
      <c r="M260">
        <v>0</v>
      </c>
      <c r="N260">
        <v>1</v>
      </c>
      <c r="O260">
        <v>0</v>
      </c>
    </row>
    <row r="261" spans="1:15" x14ac:dyDescent="0.2">
      <c r="A261" s="1" t="str">
        <f>HYPERLINK("http://www.twitter.com/banuakdenizli/status/1577931561563049986", "1577931561563049986")</f>
        <v>1577931561563049986</v>
      </c>
      <c r="B261" t="s">
        <v>15</v>
      </c>
      <c r="C261" s="2">
        <v>44840.333043981482</v>
      </c>
      <c r="D261">
        <v>3</v>
      </c>
      <c r="E261">
        <v>2</v>
      </c>
      <c r="G261" t="s">
        <v>292</v>
      </c>
      <c r="H261" t="str">
        <f>HYPERLINK("http://pbs.twimg.com/media/FeXwYvJXwAEx22l.jpg", "http://pbs.twimg.com/media/FeXwYvJXwAEx22l.jpg")</f>
        <v>http://pbs.twimg.com/media/FeXwYvJXwAEx22l.jpg</v>
      </c>
      <c r="I261" t="str">
        <f>HYPERLINK("http://pbs.twimg.com/media/FeXwYvKXoAMbg5r.jpg", "http://pbs.twimg.com/media/FeXwYvKXoAMbg5r.jpg")</f>
        <v>http://pbs.twimg.com/media/FeXwYvKXoAMbg5r.jpg</v>
      </c>
      <c r="J261" t="str">
        <f>HYPERLINK("http://pbs.twimg.com/media/FeXwYvLWYAECqLv.jpg", "http://pbs.twimg.com/media/FeXwYvLWYAECqLv.jpg")</f>
        <v>http://pbs.twimg.com/media/FeXwYvLWYAECqLv.jpg</v>
      </c>
      <c r="L261">
        <v>0</v>
      </c>
      <c r="M261">
        <v>0</v>
      </c>
      <c r="N261">
        <v>1</v>
      </c>
      <c r="O261">
        <v>0</v>
      </c>
    </row>
    <row r="262" spans="1:15" x14ac:dyDescent="0.2">
      <c r="A262" s="1" t="str">
        <f>HYPERLINK("http://www.twitter.com/banuakdenizli/status/1577759760643940353", "1577759760643940353")</f>
        <v>1577759760643940353</v>
      </c>
      <c r="B262" t="s">
        <v>15</v>
      </c>
      <c r="C262" s="2">
        <v>44839.858958333331</v>
      </c>
      <c r="D262">
        <v>2</v>
      </c>
      <c r="E262">
        <v>1</v>
      </c>
      <c r="G262" t="s">
        <v>293</v>
      </c>
      <c r="H262" t="str">
        <f>HYPERLINK("http://pbs.twimg.com/media/FeVUI1YXEAUzaeU.jpg", "http://pbs.twimg.com/media/FeVUI1YXEAUzaeU.jpg")</f>
        <v>http://pbs.twimg.com/media/FeVUI1YXEAUzaeU.jpg</v>
      </c>
      <c r="I262" t="str">
        <f>HYPERLINK("http://pbs.twimg.com/media/FeVUI1dXEA4chJV.jpg", "http://pbs.twimg.com/media/FeVUI1dXEA4chJV.jpg")</f>
        <v>http://pbs.twimg.com/media/FeVUI1dXEA4chJV.jpg</v>
      </c>
      <c r="L262">
        <v>0</v>
      </c>
      <c r="M262">
        <v>0</v>
      </c>
      <c r="N262">
        <v>1</v>
      </c>
      <c r="O262">
        <v>0</v>
      </c>
    </row>
    <row r="263" spans="1:15" x14ac:dyDescent="0.2">
      <c r="A263" s="1" t="str">
        <f>HYPERLINK("http://www.twitter.com/banuakdenizli/status/1577759751232012289", "1577759751232012289")</f>
        <v>1577759751232012289</v>
      </c>
      <c r="B263" t="s">
        <v>15</v>
      </c>
      <c r="C263" s="2">
        <v>44839.858935185177</v>
      </c>
      <c r="D263">
        <v>2</v>
      </c>
      <c r="E263">
        <v>1</v>
      </c>
      <c r="G263" t="s">
        <v>294</v>
      </c>
      <c r="H263" t="str">
        <f>HYPERLINK("http://pbs.twimg.com/media/FeVUIPGXEAIPZEg.jpg", "http://pbs.twimg.com/media/FeVUIPGXEAIPZEg.jpg")</f>
        <v>http://pbs.twimg.com/media/FeVUIPGXEAIPZEg.jpg</v>
      </c>
      <c r="I263" t="str">
        <f>HYPERLINK("http://pbs.twimg.com/media/FeVUIPJWQAIGgde.jpg", "http://pbs.twimg.com/media/FeVUIPJWQAIGgde.jpg")</f>
        <v>http://pbs.twimg.com/media/FeVUIPJWQAIGgde.jpg</v>
      </c>
      <c r="J263" t="str">
        <f>HYPERLINK("http://pbs.twimg.com/media/FeVUIPMXgAA4d8a.jpg", "http://pbs.twimg.com/media/FeVUIPMXgAA4d8a.jpg")</f>
        <v>http://pbs.twimg.com/media/FeVUIPMXgAA4d8a.jpg</v>
      </c>
      <c r="K263" t="str">
        <f>HYPERLINK("http://pbs.twimg.com/media/FeVUIPNXEAMRdm_.jpg", "http://pbs.twimg.com/media/FeVUIPNXEAMRdm_.jpg")</f>
        <v>http://pbs.twimg.com/media/FeVUIPNXEAMRdm_.jpg</v>
      </c>
      <c r="L263">
        <v>0</v>
      </c>
      <c r="M263">
        <v>0</v>
      </c>
      <c r="N263">
        <v>1</v>
      </c>
      <c r="O263">
        <v>0</v>
      </c>
    </row>
    <row r="264" spans="1:15" x14ac:dyDescent="0.2">
      <c r="A264" s="1" t="str">
        <f>HYPERLINK("http://www.twitter.com/banuakdenizli/status/1577759741819985921", "1577759741819985921")</f>
        <v>1577759741819985921</v>
      </c>
      <c r="B264" t="s">
        <v>15</v>
      </c>
      <c r="C264" s="2">
        <v>44839.858912037038</v>
      </c>
      <c r="D264">
        <v>14</v>
      </c>
      <c r="E264">
        <v>6</v>
      </c>
      <c r="G264" t="s">
        <v>295</v>
      </c>
      <c r="H264" t="str">
        <f>HYPERLINK("http://pbs.twimg.com/media/FeVUHgWXwAAs0xJ.jpg", "http://pbs.twimg.com/media/FeVUHgWXwAAs0xJ.jpg")</f>
        <v>http://pbs.twimg.com/media/FeVUHgWXwAAs0xJ.jpg</v>
      </c>
      <c r="I264" t="str">
        <f>HYPERLINK("http://pbs.twimg.com/media/FeVUHgUXoAIZCap.jpg", "http://pbs.twimg.com/media/FeVUHgUXoAIZCap.jpg")</f>
        <v>http://pbs.twimg.com/media/FeVUHgUXoAIZCap.jpg</v>
      </c>
      <c r="J264" t="str">
        <f>HYPERLINK("http://pbs.twimg.com/media/FeVUHgWXEAUmy9B.jpg", "http://pbs.twimg.com/media/FeVUHgWXEAUmy9B.jpg")</f>
        <v>http://pbs.twimg.com/media/FeVUHgWXEAUmy9B.jpg</v>
      </c>
      <c r="K264" t="str">
        <f>HYPERLINK("http://pbs.twimg.com/media/FeVUHgWXEA8mPLa.jpg", "http://pbs.twimg.com/media/FeVUHgWXEA8mPLa.jpg")</f>
        <v>http://pbs.twimg.com/media/FeVUHgWXEA8mPLa.jpg</v>
      </c>
      <c r="L264">
        <v>0</v>
      </c>
      <c r="M264">
        <v>0</v>
      </c>
      <c r="N264">
        <v>1</v>
      </c>
      <c r="O264">
        <v>0</v>
      </c>
    </row>
    <row r="265" spans="1:15" x14ac:dyDescent="0.2">
      <c r="A265" s="1" t="str">
        <f>HYPERLINK("http://www.twitter.com/banuakdenizli/status/1577756426533048326", "1577756426533048326")</f>
        <v>1577756426533048326</v>
      </c>
      <c r="B265" t="s">
        <v>15</v>
      </c>
      <c r="C265" s="2">
        <v>44839.849768518521</v>
      </c>
      <c r="D265">
        <v>0</v>
      </c>
      <c r="E265">
        <v>10</v>
      </c>
      <c r="F265" t="s">
        <v>17</v>
      </c>
      <c r="G265" t="s">
        <v>296</v>
      </c>
      <c r="H265" t="str">
        <f>HYPERLINK("https://video.twimg.com/amplify_video/1577737081396264967/vid/720x1280/C12MQHQpowjcCNkl.mp4?tag=14", "https://video.twimg.com/amplify_video/1577737081396264967/vid/720x1280/C12MQHQpowjcCNkl.mp4?tag=14")</f>
        <v>https://video.twimg.com/amplify_video/1577737081396264967/vid/720x1280/C12MQHQpowjcCNkl.mp4?tag=14</v>
      </c>
      <c r="L265">
        <v>5.16E-2</v>
      </c>
      <c r="M265">
        <v>0</v>
      </c>
      <c r="N265">
        <v>0.97</v>
      </c>
      <c r="O265">
        <v>0.03</v>
      </c>
    </row>
    <row r="266" spans="1:15" x14ac:dyDescent="0.2">
      <c r="A266" s="1" t="str">
        <f>HYPERLINK("http://www.twitter.com/banuakdenizli/status/1577755090307485696", "1577755090307485696")</f>
        <v>1577755090307485696</v>
      </c>
      <c r="B266" t="s">
        <v>15</v>
      </c>
      <c r="C266" s="2">
        <v>44839.846076388887</v>
      </c>
      <c r="D266">
        <v>5</v>
      </c>
      <c r="E266">
        <v>5</v>
      </c>
      <c r="G266" t="s">
        <v>297</v>
      </c>
      <c r="H266" t="str">
        <f>HYPERLINK("http://pbs.twimg.com/media/FeVP49_WIAMwWMn.jpg", "http://pbs.twimg.com/media/FeVP49_WIAMwWMn.jpg")</f>
        <v>http://pbs.twimg.com/media/FeVP49_WIAMwWMn.jpg</v>
      </c>
      <c r="I266" t="str">
        <f>HYPERLINK("http://pbs.twimg.com/media/FeVP4-FXEAsG-hC.jpg", "http://pbs.twimg.com/media/FeVP4-FXEAsG-hC.jpg")</f>
        <v>http://pbs.twimg.com/media/FeVP4-FXEAsG-hC.jpg</v>
      </c>
      <c r="J266" t="str">
        <f>HYPERLINK("http://pbs.twimg.com/media/FeVP4-EXEAgcbuG.jpg", "http://pbs.twimg.com/media/FeVP4-EXEAgcbuG.jpg")</f>
        <v>http://pbs.twimg.com/media/FeVP4-EXEAgcbuG.jpg</v>
      </c>
      <c r="K266" t="str">
        <f>HYPERLINK("http://pbs.twimg.com/media/FeVP4-BXkAE378d.jpg", "http://pbs.twimg.com/media/FeVP4-BXkAE378d.jpg")</f>
        <v>http://pbs.twimg.com/media/FeVP4-BXkAE378d.jpg</v>
      </c>
      <c r="L266">
        <v>0.40029999999999999</v>
      </c>
      <c r="M266">
        <v>0</v>
      </c>
      <c r="N266">
        <v>0.94099999999999995</v>
      </c>
      <c r="O266">
        <v>5.8999999999999997E-2</v>
      </c>
    </row>
    <row r="267" spans="1:15" x14ac:dyDescent="0.2">
      <c r="A267" s="1" t="str">
        <f>HYPERLINK("http://www.twitter.com/banuakdenizli/status/1577612455852871680", "1577612455852871680")</f>
        <v>1577612455852871680</v>
      </c>
      <c r="B267" t="s">
        <v>15</v>
      </c>
      <c r="C267" s="2">
        <v>44839.452476851853</v>
      </c>
      <c r="D267">
        <v>0</v>
      </c>
      <c r="E267">
        <v>1</v>
      </c>
      <c r="F267" t="s">
        <v>233</v>
      </c>
      <c r="G267" t="s">
        <v>298</v>
      </c>
      <c r="H267" t="str">
        <f>HYPERLINK("https://video.twimg.com/ext_tw_video/1577606476230758401/pu/vid/1280x720/qmeVLUtmSk08FtHG.mp4?tag=12", "https://video.twimg.com/ext_tw_video/1577606476230758401/pu/vid/1280x720/qmeVLUtmSk08FtHG.mp4?tag=12")</f>
        <v>https://video.twimg.com/ext_tw_video/1577606476230758401/pu/vid/1280x720/qmeVLUtmSk08FtHG.mp4?tag=12</v>
      </c>
      <c r="L267">
        <v>0</v>
      </c>
      <c r="M267">
        <v>0</v>
      </c>
      <c r="N267">
        <v>1</v>
      </c>
      <c r="O267">
        <v>0</v>
      </c>
    </row>
    <row r="268" spans="1:15" x14ac:dyDescent="0.2">
      <c r="A268" s="1" t="str">
        <f>HYPERLINK("http://www.twitter.com/banuakdenizli/status/1577612306598563841", "1577612306598563841")</f>
        <v>1577612306598563841</v>
      </c>
      <c r="B268" t="s">
        <v>15</v>
      </c>
      <c r="C268" s="2">
        <v>44839.45207175926</v>
      </c>
      <c r="D268">
        <v>0</v>
      </c>
      <c r="E268">
        <v>1</v>
      </c>
      <c r="F268" t="s">
        <v>233</v>
      </c>
      <c r="G268" t="s">
        <v>299</v>
      </c>
      <c r="H268" t="str">
        <f>HYPERLINK("https://video.twimg.com/ext_tw_video/1577600527189286912/pu/vid/1280x720/ybRihdUpwWtSDlR0.mp4?tag=12", "https://video.twimg.com/ext_tw_video/1577600527189286912/pu/vid/1280x720/ybRihdUpwWtSDlR0.mp4?tag=12")</f>
        <v>https://video.twimg.com/ext_tw_video/1577600527189286912/pu/vid/1280x720/ybRihdUpwWtSDlR0.mp4?tag=12</v>
      </c>
      <c r="L268">
        <v>0.58589999999999998</v>
      </c>
      <c r="M268">
        <v>0</v>
      </c>
      <c r="N268">
        <v>0.51300000000000001</v>
      </c>
      <c r="O268">
        <v>0.48699999999999999</v>
      </c>
    </row>
    <row r="269" spans="1:15" x14ac:dyDescent="0.2">
      <c r="A269" s="1" t="str">
        <f>HYPERLINK("http://www.twitter.com/banuakdenizli/status/1577564177199235072", "1577564177199235072")</f>
        <v>1577564177199235072</v>
      </c>
      <c r="B269" t="s">
        <v>15</v>
      </c>
      <c r="C269" s="2">
        <v>44839.31925925926</v>
      </c>
      <c r="D269">
        <v>0</v>
      </c>
      <c r="E269">
        <v>3</v>
      </c>
      <c r="F269" t="s">
        <v>16</v>
      </c>
      <c r="G269" t="s">
        <v>300</v>
      </c>
      <c r="H269" t="str">
        <f>HYPERLINK("http://pbs.twimg.com/media/FePaUN7XwAwR7SX.jpg", "http://pbs.twimg.com/media/FePaUN7XwAwR7SX.jpg")</f>
        <v>http://pbs.twimg.com/media/FePaUN7XwAwR7SX.jpg</v>
      </c>
      <c r="L269">
        <v>0.9607</v>
      </c>
      <c r="M269">
        <v>0</v>
      </c>
      <c r="N269">
        <v>0.59899999999999998</v>
      </c>
      <c r="O269">
        <v>0.40100000000000002</v>
      </c>
    </row>
    <row r="270" spans="1:15" x14ac:dyDescent="0.2">
      <c r="A270" s="1" t="str">
        <f>HYPERLINK("http://www.twitter.com/banuakdenizli/status/1577564117023526916", "1577564117023526916")</f>
        <v>1577564117023526916</v>
      </c>
      <c r="B270" t="s">
        <v>15</v>
      </c>
      <c r="C270" s="2">
        <v>44839.319085648152</v>
      </c>
      <c r="D270">
        <v>0</v>
      </c>
      <c r="E270">
        <v>49</v>
      </c>
      <c r="F270" t="s">
        <v>17</v>
      </c>
      <c r="G270" t="s">
        <v>301</v>
      </c>
      <c r="H270" t="str">
        <f>HYPERLINK("https://video.twimg.com/amplify_video/1577425042132049927/vid/720x720/G49mmcMCZx3Ge4kr.mp4?tag=14", "https://video.twimg.com/amplify_video/1577425042132049927/vid/720x720/G49mmcMCZx3Ge4kr.mp4?tag=14")</f>
        <v>https://video.twimg.com/amplify_video/1577425042132049927/vid/720x720/G49mmcMCZx3Ge4kr.mp4?tag=14</v>
      </c>
      <c r="L270">
        <v>0</v>
      </c>
      <c r="M270">
        <v>0</v>
      </c>
      <c r="N270">
        <v>1</v>
      </c>
      <c r="O270">
        <v>0</v>
      </c>
    </row>
    <row r="271" spans="1:15" x14ac:dyDescent="0.2">
      <c r="A271" s="1" t="str">
        <f>HYPERLINK("http://www.twitter.com/banuakdenizli/status/1577564104922890240", "1577564104922890240")</f>
        <v>1577564104922890240</v>
      </c>
      <c r="B271" t="s">
        <v>15</v>
      </c>
      <c r="C271" s="2">
        <v>44839.319050925929</v>
      </c>
      <c r="D271">
        <v>0</v>
      </c>
      <c r="E271">
        <v>23</v>
      </c>
      <c r="F271" t="s">
        <v>17</v>
      </c>
      <c r="G271" t="s">
        <v>302</v>
      </c>
      <c r="H271" t="str">
        <f>HYPERLINK("https://video.twimg.com/amplify_video/1577416980713406466/vid/720x1280/pwf8hT_xqSyVP4Vk.mp4?tag=14", "https://video.twimg.com/amplify_video/1577416980713406466/vid/720x1280/pwf8hT_xqSyVP4Vk.mp4?tag=14")</f>
        <v>https://video.twimg.com/amplify_video/1577416980713406466/vid/720x1280/pwf8hT_xqSyVP4Vk.mp4?tag=14</v>
      </c>
      <c r="L271">
        <v>0</v>
      </c>
      <c r="M271">
        <v>0</v>
      </c>
      <c r="N271">
        <v>1</v>
      </c>
      <c r="O271">
        <v>0</v>
      </c>
    </row>
    <row r="272" spans="1:15" x14ac:dyDescent="0.2">
      <c r="A272" s="1" t="str">
        <f>HYPERLINK("http://www.twitter.com/banuakdenizli/status/1577564093942210560", "1577564093942210560")</f>
        <v>1577564093942210560</v>
      </c>
      <c r="B272" t="s">
        <v>15</v>
      </c>
      <c r="C272" s="2">
        <v>44839.319027777783</v>
      </c>
      <c r="D272">
        <v>0</v>
      </c>
      <c r="E272">
        <v>8</v>
      </c>
      <c r="F272" t="s">
        <v>17</v>
      </c>
      <c r="G272" t="s">
        <v>303</v>
      </c>
      <c r="H272" t="str">
        <f>HYPERLINK("http://pbs.twimg.com/media/FePOF9yXkAA-HVK.jpg", "http://pbs.twimg.com/media/FePOF9yXkAA-HVK.jpg")</f>
        <v>http://pbs.twimg.com/media/FePOF9yXkAA-HVK.jpg</v>
      </c>
      <c r="L272">
        <v>0.126</v>
      </c>
      <c r="M272">
        <v>0</v>
      </c>
      <c r="N272">
        <v>0.94599999999999995</v>
      </c>
      <c r="O272">
        <v>5.3999999999999999E-2</v>
      </c>
    </row>
    <row r="273" spans="1:15" x14ac:dyDescent="0.2">
      <c r="A273" s="1" t="str">
        <f>HYPERLINK("http://www.twitter.com/banuakdenizli/status/1577564072123441152", "1577564072123441152")</f>
        <v>1577564072123441152</v>
      </c>
      <c r="B273" t="s">
        <v>15</v>
      </c>
      <c r="C273" s="2">
        <v>44839.318969907406</v>
      </c>
      <c r="D273">
        <v>0</v>
      </c>
      <c r="E273">
        <v>59</v>
      </c>
      <c r="F273" t="s">
        <v>17</v>
      </c>
      <c r="G273" t="s">
        <v>304</v>
      </c>
      <c r="H273" t="str">
        <f>HYPERLINK("http://pbs.twimg.com/media/FeL_u2NWAAAhh_7.jpg", "http://pbs.twimg.com/media/FeL_u2NWAAAhh_7.jpg")</f>
        <v>http://pbs.twimg.com/media/FeL_u2NWAAAhh_7.jpg</v>
      </c>
      <c r="I273" t="str">
        <f>HYPERLINK("http://pbs.twimg.com/media/FeL_vZ9X0AA5laX.jpg", "http://pbs.twimg.com/media/FeL_vZ9X0AA5laX.jpg")</f>
        <v>http://pbs.twimg.com/media/FeL_vZ9X0AA5laX.jpg</v>
      </c>
      <c r="J273" t="str">
        <f>HYPERLINK("http://pbs.twimg.com/media/FeL_6BJXgAIV71d.jpg", "http://pbs.twimg.com/media/FeL_6BJXgAIV71d.jpg")</f>
        <v>http://pbs.twimg.com/media/FeL_6BJXgAIV71d.jpg</v>
      </c>
      <c r="K273" t="str">
        <f>HYPERLINK("http://pbs.twimg.com/media/FeL_6BKWAAA1FhX.jpg", "http://pbs.twimg.com/media/FeL_6BKWAAA1FhX.jpg")</f>
        <v>http://pbs.twimg.com/media/FeL_6BKWAAA1FhX.jpg</v>
      </c>
      <c r="L273">
        <v>0</v>
      </c>
      <c r="M273">
        <v>0</v>
      </c>
      <c r="N273">
        <v>1</v>
      </c>
      <c r="O273">
        <v>0</v>
      </c>
    </row>
    <row r="274" spans="1:15" x14ac:dyDescent="0.2">
      <c r="A274" s="1" t="str">
        <f>HYPERLINK("http://www.twitter.com/banuakdenizli/status/1577564062917005316", "1577564062917005316")</f>
        <v>1577564062917005316</v>
      </c>
      <c r="B274" t="s">
        <v>15</v>
      </c>
      <c r="C274" s="2">
        <v>44839.318935185183</v>
      </c>
      <c r="D274">
        <v>0</v>
      </c>
      <c r="E274">
        <v>83</v>
      </c>
      <c r="F274" t="s">
        <v>17</v>
      </c>
      <c r="G274" t="s">
        <v>305</v>
      </c>
      <c r="H274" t="str">
        <f>HYPERLINK("https://video.twimg.com/amplify_video/1576993189466181634/vid/720x720/dt0EGquAIxXGuSGQ.mp4?tag=14", "https://video.twimg.com/amplify_video/1576993189466181634/vid/720x720/dt0EGquAIxXGuSGQ.mp4?tag=14")</f>
        <v>https://video.twimg.com/amplify_video/1576993189466181634/vid/720x720/dt0EGquAIxXGuSGQ.mp4?tag=14</v>
      </c>
      <c r="L274">
        <v>0</v>
      </c>
      <c r="M274">
        <v>0</v>
      </c>
      <c r="N274">
        <v>1</v>
      </c>
      <c r="O274">
        <v>0</v>
      </c>
    </row>
    <row r="275" spans="1:15" x14ac:dyDescent="0.2">
      <c r="A275" s="1" t="str">
        <f>HYPERLINK("http://www.twitter.com/banuakdenizli/status/1576838257757020162", "1576838257757020162")</f>
        <v>1576838257757020162</v>
      </c>
      <c r="B275" t="s">
        <v>15</v>
      </c>
      <c r="C275" s="2">
        <v>44837.316099537027</v>
      </c>
      <c r="D275">
        <v>0</v>
      </c>
      <c r="E275">
        <v>14</v>
      </c>
      <c r="F275" t="s">
        <v>136</v>
      </c>
      <c r="G275" t="s">
        <v>306</v>
      </c>
      <c r="H275" t="str">
        <f>HYPERLINK("https://video.twimg.com/amplify_video/1576530186572599296/vid/1280x720/sRhcu1mYpVgjOty4.mp4?tag=14", "https://video.twimg.com/amplify_video/1576530186572599296/vid/1280x720/sRhcu1mYpVgjOty4.mp4?tag=14")</f>
        <v>https://video.twimg.com/amplify_video/1576530186572599296/vid/1280x720/sRhcu1mYpVgjOty4.mp4?tag=14</v>
      </c>
      <c r="L275">
        <v>0.7177</v>
      </c>
      <c r="M275">
        <v>0</v>
      </c>
      <c r="N275">
        <v>0.83799999999999997</v>
      </c>
      <c r="O275">
        <v>0.16200000000000001</v>
      </c>
    </row>
    <row r="276" spans="1:15" x14ac:dyDescent="0.2">
      <c r="A276" s="1" t="str">
        <f>HYPERLINK("http://www.twitter.com/banuakdenizli/status/1576838079276802049", "1576838079276802049")</f>
        <v>1576838079276802049</v>
      </c>
      <c r="B276" t="s">
        <v>15</v>
      </c>
      <c r="C276" s="2">
        <v>44837.315601851849</v>
      </c>
      <c r="D276">
        <v>0</v>
      </c>
      <c r="E276">
        <v>5</v>
      </c>
      <c r="F276" t="s">
        <v>18</v>
      </c>
      <c r="G276" t="s">
        <v>307</v>
      </c>
      <c r="H276" t="str">
        <f>HYPERLINK("http://pbs.twimg.com/media/FeFxh-aXgAEEEVJ.jpg", "http://pbs.twimg.com/media/FeFxh-aXgAEEEVJ.jpg")</f>
        <v>http://pbs.twimg.com/media/FeFxh-aXgAEEEVJ.jpg</v>
      </c>
      <c r="L276">
        <v>0</v>
      </c>
      <c r="M276">
        <v>0</v>
      </c>
      <c r="N276">
        <v>1</v>
      </c>
      <c r="O276">
        <v>0</v>
      </c>
    </row>
    <row r="277" spans="1:15" x14ac:dyDescent="0.2">
      <c r="A277" s="1" t="str">
        <f>HYPERLINK("http://www.twitter.com/banuakdenizli/status/1576838041456427008", "1576838041456427008")</f>
        <v>1576838041456427008</v>
      </c>
      <c r="B277" t="s">
        <v>15</v>
      </c>
      <c r="C277" s="2">
        <v>44837.315497685187</v>
      </c>
      <c r="D277">
        <v>0</v>
      </c>
      <c r="E277">
        <v>15</v>
      </c>
      <c r="F277" t="s">
        <v>17</v>
      </c>
      <c r="G277" t="s">
        <v>308</v>
      </c>
      <c r="H277" t="str">
        <f>HYPERLINK("http://pbs.twimg.com/media/FeF9ShZXkAIle6m.jpg", "http://pbs.twimg.com/media/FeF9ShZXkAIle6m.jpg")</f>
        <v>http://pbs.twimg.com/media/FeF9ShZXkAIle6m.jpg</v>
      </c>
      <c r="L277">
        <v>0</v>
      </c>
      <c r="M277">
        <v>0</v>
      </c>
      <c r="N277">
        <v>1</v>
      </c>
      <c r="O277">
        <v>0</v>
      </c>
    </row>
    <row r="278" spans="1:15" x14ac:dyDescent="0.2">
      <c r="A278" s="1" t="str">
        <f>HYPERLINK("http://www.twitter.com/banuakdenizli/status/1576609248200441856", "1576609248200441856")</f>
        <v>1576609248200441856</v>
      </c>
      <c r="B278" t="s">
        <v>15</v>
      </c>
      <c r="C278" s="2">
        <v>44836.684155092589</v>
      </c>
      <c r="D278">
        <v>0</v>
      </c>
      <c r="E278">
        <v>0</v>
      </c>
      <c r="G278" t="s">
        <v>309</v>
      </c>
      <c r="L278">
        <v>0.70960000000000001</v>
      </c>
      <c r="M278">
        <v>0</v>
      </c>
      <c r="N278">
        <v>0.85199999999999998</v>
      </c>
      <c r="O278">
        <v>0.14799999999999999</v>
      </c>
    </row>
    <row r="279" spans="1:15" x14ac:dyDescent="0.2">
      <c r="A279" s="1" t="str">
        <f>HYPERLINK("http://www.twitter.com/banuakdenizli/status/1576608811863134213", "1576608811863134213")</f>
        <v>1576608811863134213</v>
      </c>
      <c r="B279" t="s">
        <v>15</v>
      </c>
      <c r="C279" s="2">
        <v>44836.682951388888</v>
      </c>
      <c r="D279">
        <v>0</v>
      </c>
      <c r="E279">
        <v>1</v>
      </c>
      <c r="F279" t="s">
        <v>19</v>
      </c>
      <c r="G279" t="s">
        <v>310</v>
      </c>
      <c r="H279" t="str">
        <f>HYPERLINK("http://pbs.twimg.com/media/FeDZEouWIAIkT0L.jpg", "http://pbs.twimg.com/media/FeDZEouWIAIkT0L.jpg")</f>
        <v>http://pbs.twimg.com/media/FeDZEouWIAIkT0L.jpg</v>
      </c>
      <c r="L279">
        <v>0</v>
      </c>
      <c r="M279">
        <v>0</v>
      </c>
      <c r="N279">
        <v>1</v>
      </c>
      <c r="O279">
        <v>0</v>
      </c>
    </row>
    <row r="280" spans="1:15" x14ac:dyDescent="0.2">
      <c r="A280" s="1" t="str">
        <f>HYPERLINK("http://www.twitter.com/banuakdenizli/status/1576608621076840448", "1576608621076840448")</f>
        <v>1576608621076840448</v>
      </c>
      <c r="B280" t="s">
        <v>15</v>
      </c>
      <c r="C280" s="2">
        <v>44836.68241898148</v>
      </c>
      <c r="D280">
        <v>0</v>
      </c>
      <c r="E280">
        <v>18</v>
      </c>
      <c r="F280" t="s">
        <v>16</v>
      </c>
      <c r="G280" t="s">
        <v>311</v>
      </c>
      <c r="H280" t="str">
        <f>HYPERLINK("https://video.twimg.com/ext_tw_video/1576180215398731783/pu/vid/720x960/V_EEyDSLFRIOuW1h.mp4?tag=12", "https://video.twimg.com/ext_tw_video/1576180215398731783/pu/vid/720x960/V_EEyDSLFRIOuW1h.mp4?tag=12")</f>
        <v>https://video.twimg.com/ext_tw_video/1576180215398731783/pu/vid/720x960/V_EEyDSLFRIOuW1h.mp4?tag=12</v>
      </c>
      <c r="L280">
        <v>0.75680000000000003</v>
      </c>
      <c r="M280">
        <v>0</v>
      </c>
      <c r="N280">
        <v>0.83899999999999997</v>
      </c>
      <c r="O280">
        <v>0.161</v>
      </c>
    </row>
    <row r="281" spans="1:15" x14ac:dyDescent="0.2">
      <c r="A281" s="1" t="str">
        <f>HYPERLINK("http://www.twitter.com/banuakdenizli/status/1576608581759430656", "1576608581759430656")</f>
        <v>1576608581759430656</v>
      </c>
      <c r="B281" t="s">
        <v>15</v>
      </c>
      <c r="C281" s="2">
        <v>44836.682314814818</v>
      </c>
      <c r="D281">
        <v>0</v>
      </c>
      <c r="E281">
        <v>13</v>
      </c>
      <c r="F281" t="s">
        <v>16</v>
      </c>
      <c r="G281" t="s">
        <v>312</v>
      </c>
      <c r="H281" t="str">
        <f>HYPERLINK("https://video.twimg.com/ext_tw_video/1575787790113161217/pu/vid/720x900/h22BSPVY0n8XcTLx.mp4?tag=12", "https://video.twimg.com/ext_tw_video/1575787790113161217/pu/vid/720x900/h22BSPVY0n8XcTLx.mp4?tag=12")</f>
        <v>https://video.twimg.com/ext_tw_video/1575787790113161217/pu/vid/720x900/h22BSPVY0n8XcTLx.mp4?tag=12</v>
      </c>
      <c r="L281">
        <v>0</v>
      </c>
      <c r="M281">
        <v>0</v>
      </c>
      <c r="N281">
        <v>1</v>
      </c>
      <c r="O281">
        <v>0</v>
      </c>
    </row>
    <row r="282" spans="1:15" x14ac:dyDescent="0.2">
      <c r="A282" s="1" t="str">
        <f>HYPERLINK("http://www.twitter.com/banuakdenizli/status/1576608478067855360", "1576608478067855360")</f>
        <v>1576608478067855360</v>
      </c>
      <c r="B282" t="s">
        <v>15</v>
      </c>
      <c r="C282" s="2">
        <v>44836.682025462957</v>
      </c>
      <c r="D282">
        <v>0</v>
      </c>
      <c r="E282">
        <v>6</v>
      </c>
      <c r="F282" t="s">
        <v>17</v>
      </c>
      <c r="G282" t="s">
        <v>313</v>
      </c>
      <c r="H282" t="str">
        <f>HYPERLINK("http://pbs.twimg.com/media/FeA43NbXkAUfdAG.jpg", "http://pbs.twimg.com/media/FeA43NbXkAUfdAG.jpg")</f>
        <v>http://pbs.twimg.com/media/FeA43NbXkAUfdAG.jpg</v>
      </c>
      <c r="I282" t="str">
        <f>HYPERLINK("http://pbs.twimg.com/media/FeA43NZWQAkjpl4.jpg", "http://pbs.twimg.com/media/FeA43NZWQAkjpl4.jpg")</f>
        <v>http://pbs.twimg.com/media/FeA43NZWQAkjpl4.jpg</v>
      </c>
      <c r="J282" t="str">
        <f>HYPERLINK("http://pbs.twimg.com/media/FeA43NbWIAIEjjv.jpg", "http://pbs.twimg.com/media/FeA43NbWIAIEjjv.jpg")</f>
        <v>http://pbs.twimg.com/media/FeA43NbWIAIEjjv.jpg</v>
      </c>
      <c r="K282" t="str">
        <f>HYPERLINK("http://pbs.twimg.com/media/FeA43NcXkAIXW3j.jpg", "http://pbs.twimg.com/media/FeA43NcXkAIXW3j.jpg")</f>
        <v>http://pbs.twimg.com/media/FeA43NcXkAIXW3j.jpg</v>
      </c>
      <c r="L282">
        <v>0</v>
      </c>
      <c r="M282">
        <v>0</v>
      </c>
      <c r="N282">
        <v>1</v>
      </c>
      <c r="O282">
        <v>0</v>
      </c>
    </row>
    <row r="283" spans="1:15" x14ac:dyDescent="0.2">
      <c r="A283" s="1" t="str">
        <f>HYPERLINK("http://www.twitter.com/banuakdenizli/status/1576608461844250624", "1576608461844250624")</f>
        <v>1576608461844250624</v>
      </c>
      <c r="B283" t="s">
        <v>15</v>
      </c>
      <c r="C283" s="2">
        <v>44836.681979166657</v>
      </c>
      <c r="D283">
        <v>0</v>
      </c>
      <c r="E283">
        <v>21</v>
      </c>
      <c r="F283" t="s">
        <v>17</v>
      </c>
      <c r="G283" t="s">
        <v>314</v>
      </c>
      <c r="H283" t="str">
        <f>HYPERLINK("https://video.twimg.com/amplify_video/1575853162489077760/vid/720x720/E7-HFzBMKwZtD20C.mp4?tag=14", "https://video.twimg.com/amplify_video/1575853162489077760/vid/720x720/E7-HFzBMKwZtD20C.mp4?tag=14")</f>
        <v>https://video.twimg.com/amplify_video/1575853162489077760/vid/720x720/E7-HFzBMKwZtD20C.mp4?tag=14</v>
      </c>
      <c r="L283">
        <v>0</v>
      </c>
      <c r="M283">
        <v>0</v>
      </c>
      <c r="N283">
        <v>1</v>
      </c>
      <c r="O283">
        <v>0</v>
      </c>
    </row>
    <row r="284" spans="1:15" x14ac:dyDescent="0.2">
      <c r="A284" s="1" t="str">
        <f>HYPERLINK("http://www.twitter.com/banuakdenizli/status/1576608433981116416", "1576608433981116416")</f>
        <v>1576608433981116416</v>
      </c>
      <c r="B284" t="s">
        <v>15</v>
      </c>
      <c r="C284" s="2">
        <v>44836.681909722232</v>
      </c>
      <c r="D284">
        <v>0</v>
      </c>
      <c r="E284">
        <v>15</v>
      </c>
      <c r="F284" t="s">
        <v>17</v>
      </c>
      <c r="G284" t="s">
        <v>315</v>
      </c>
      <c r="H284" t="str">
        <f>HYPERLINK("https://video.twimg.com/amplify_video/1575977747175903240/vid/720x1280/sTwjUtdcY4kw-pY-.mp4?tag=14", "https://video.twimg.com/amplify_video/1575977747175903240/vid/720x1280/sTwjUtdcY4kw-pY-.mp4?tag=14")</f>
        <v>https://video.twimg.com/amplify_video/1575977747175903240/vid/720x1280/sTwjUtdcY4kw-pY-.mp4?tag=14</v>
      </c>
      <c r="L284">
        <v>0</v>
      </c>
      <c r="M284">
        <v>0</v>
      </c>
      <c r="N284">
        <v>1</v>
      </c>
      <c r="O284">
        <v>0</v>
      </c>
    </row>
    <row r="285" spans="1:15" x14ac:dyDescent="0.2">
      <c r="A285" s="1" t="str">
        <f>HYPERLINK("http://www.twitter.com/banuakdenizli/status/1576608372786597888", "1576608372786597888")</f>
        <v>1576608372786597888</v>
      </c>
      <c r="B285" t="s">
        <v>15</v>
      </c>
      <c r="C285" s="2">
        <v>44836.68173611111</v>
      </c>
      <c r="D285">
        <v>0</v>
      </c>
      <c r="E285">
        <v>2</v>
      </c>
      <c r="F285" t="s">
        <v>18</v>
      </c>
      <c r="G285" t="s">
        <v>316</v>
      </c>
      <c r="L285">
        <v>0</v>
      </c>
      <c r="M285">
        <v>0</v>
      </c>
      <c r="N285">
        <v>1</v>
      </c>
      <c r="O285">
        <v>0</v>
      </c>
    </row>
    <row r="286" spans="1:15" x14ac:dyDescent="0.2">
      <c r="A286" s="1" t="str">
        <f>HYPERLINK("http://www.twitter.com/banuakdenizli/status/1576608298995920898", "1576608298995920898")</f>
        <v>1576608298995920898</v>
      </c>
      <c r="B286" t="s">
        <v>15</v>
      </c>
      <c r="C286" s="2">
        <v>44836.681539351863</v>
      </c>
      <c r="D286">
        <v>0</v>
      </c>
      <c r="E286">
        <v>9</v>
      </c>
      <c r="F286" t="s">
        <v>317</v>
      </c>
      <c r="G286" t="s">
        <v>318</v>
      </c>
      <c r="H286" t="str">
        <f>HYPERLINK("https://video.twimg.com/ext_tw_video/1576222227313307648/pu/vid/1280x720/0zwGeIU5sIyX7hwz.mp4?tag=12", "https://video.twimg.com/ext_tw_video/1576222227313307648/pu/vid/1280x720/0zwGeIU5sIyX7hwz.mp4?tag=12")</f>
        <v>https://video.twimg.com/ext_tw_video/1576222227313307648/pu/vid/1280x720/0zwGeIU5sIyX7hwz.mp4?tag=12</v>
      </c>
      <c r="L286">
        <v>0</v>
      </c>
      <c r="M286">
        <v>0</v>
      </c>
      <c r="N286">
        <v>1</v>
      </c>
      <c r="O286">
        <v>0</v>
      </c>
    </row>
    <row r="287" spans="1:15" x14ac:dyDescent="0.2">
      <c r="A287" s="1" t="str">
        <f>HYPERLINK("http://www.twitter.com/banuakdenizli/status/1576281094122778624", "1576281094122778624")</f>
        <v>1576281094122778624</v>
      </c>
      <c r="B287" t="s">
        <v>15</v>
      </c>
      <c r="C287" s="2">
        <v>44835.778622685182</v>
      </c>
      <c r="D287">
        <v>2</v>
      </c>
      <c r="E287">
        <v>0</v>
      </c>
      <c r="G287" t="s">
        <v>319</v>
      </c>
      <c r="H287" t="str">
        <f>HYPERLINK("http://pbs.twimg.com/media/FeATTM2WQAAOTOB.jpg", "http://pbs.twimg.com/media/FeATTM2WQAAOTOB.jpg")</f>
        <v>http://pbs.twimg.com/media/FeATTM2WQAAOTOB.jpg</v>
      </c>
      <c r="I287" t="str">
        <f>HYPERLINK("http://pbs.twimg.com/media/FeATTM2WYAQk4Nx.jpg", "http://pbs.twimg.com/media/FeATTM2WYAQk4Nx.jpg")</f>
        <v>http://pbs.twimg.com/media/FeATTM2WYAQk4Nx.jpg</v>
      </c>
      <c r="L287">
        <v>0</v>
      </c>
      <c r="M287">
        <v>0</v>
      </c>
      <c r="N287">
        <v>1</v>
      </c>
      <c r="O287">
        <v>0</v>
      </c>
    </row>
    <row r="288" spans="1:15" x14ac:dyDescent="0.2">
      <c r="A288" s="1" t="str">
        <f>HYPERLINK("http://www.twitter.com/banuakdenizli/status/1576281087071821825", "1576281087071821825")</f>
        <v>1576281087071821825</v>
      </c>
      <c r="B288" t="s">
        <v>15</v>
      </c>
      <c r="C288" s="2">
        <v>44835.778599537043</v>
      </c>
      <c r="D288">
        <v>2</v>
      </c>
      <c r="E288">
        <v>0</v>
      </c>
      <c r="G288" t="s">
        <v>320</v>
      </c>
      <c r="H288" t="str">
        <f>HYPERLINK("http://pbs.twimg.com/media/FeATSvWXEAARovd.jpg", "http://pbs.twimg.com/media/FeATSvWXEAARovd.jpg")</f>
        <v>http://pbs.twimg.com/media/FeATSvWXEAARovd.jpg</v>
      </c>
      <c r="I288" t="str">
        <f>HYPERLINK("http://pbs.twimg.com/media/FeATSvVXkAQmjgx.jpg", "http://pbs.twimg.com/media/FeATSvVXkAQmjgx.jpg")</f>
        <v>http://pbs.twimg.com/media/FeATSvVXkAQmjgx.jpg</v>
      </c>
      <c r="J288" t="str">
        <f>HYPERLINK("http://pbs.twimg.com/media/FeATSvXXgAIPWlY.jpg", "http://pbs.twimg.com/media/FeATSvXXgAIPWlY.jpg")</f>
        <v>http://pbs.twimg.com/media/FeATSvXXgAIPWlY.jpg</v>
      </c>
      <c r="K288" t="str">
        <f>HYPERLINK("http://pbs.twimg.com/media/FeATSvUXwAIGDAj.jpg", "http://pbs.twimg.com/media/FeATSvUXwAIGDAj.jpg")</f>
        <v>http://pbs.twimg.com/media/FeATSvUXwAIGDAj.jpg</v>
      </c>
      <c r="L288">
        <v>0</v>
      </c>
      <c r="M288">
        <v>0</v>
      </c>
      <c r="N288">
        <v>1</v>
      </c>
      <c r="O288">
        <v>0</v>
      </c>
    </row>
    <row r="289" spans="1:15" x14ac:dyDescent="0.2">
      <c r="A289" s="1" t="str">
        <f>HYPERLINK("http://www.twitter.com/banuakdenizli/status/1576281078696120320", "1576281078696120320")</f>
        <v>1576281078696120320</v>
      </c>
      <c r="B289" t="s">
        <v>15</v>
      </c>
      <c r="C289" s="2">
        <v>44835.77857638889</v>
      </c>
      <c r="D289">
        <v>7</v>
      </c>
      <c r="E289">
        <v>3</v>
      </c>
      <c r="G289" t="s">
        <v>321</v>
      </c>
      <c r="H289" t="str">
        <f>HYPERLINK("http://pbs.twimg.com/media/FeATSM_XEAIt3u2.jpg", "http://pbs.twimg.com/media/FeATSM_XEAIt3u2.jpg")</f>
        <v>http://pbs.twimg.com/media/FeATSM_XEAIt3u2.jpg</v>
      </c>
      <c r="I289" t="str">
        <f>HYPERLINK("http://pbs.twimg.com/media/FeATSNGWIAIw_wI.jpg", "http://pbs.twimg.com/media/FeATSNGWIAIw_wI.jpg")</f>
        <v>http://pbs.twimg.com/media/FeATSNGWIAIw_wI.jpg</v>
      </c>
      <c r="J289" t="str">
        <f>HYPERLINK("http://pbs.twimg.com/media/FeATSM-XwAAk_Ug.jpg", "http://pbs.twimg.com/media/FeATSM-XwAAk_Ug.jpg")</f>
        <v>http://pbs.twimg.com/media/FeATSM-XwAAk_Ug.jpg</v>
      </c>
      <c r="K289" t="str">
        <f>HYPERLINK("http://pbs.twimg.com/media/FeATSM_WYAExVdL.jpg", "http://pbs.twimg.com/media/FeATSM_WYAExVdL.jpg")</f>
        <v>http://pbs.twimg.com/media/FeATSM_WYAExVdL.jpg</v>
      </c>
      <c r="L289">
        <v>0</v>
      </c>
      <c r="M289">
        <v>0</v>
      </c>
      <c r="N289">
        <v>1</v>
      </c>
      <c r="O289">
        <v>0</v>
      </c>
    </row>
    <row r="290" spans="1:15" x14ac:dyDescent="0.2">
      <c r="A290" s="1" t="str">
        <f>HYPERLINK("http://www.twitter.com/banuakdenizli/status/1576279496415936512", "1576279496415936512")</f>
        <v>1576279496415936512</v>
      </c>
      <c r="B290" t="s">
        <v>15</v>
      </c>
      <c r="C290" s="2">
        <v>44835.774212962962</v>
      </c>
      <c r="D290">
        <v>2</v>
      </c>
      <c r="E290">
        <v>1</v>
      </c>
      <c r="G290" t="s">
        <v>322</v>
      </c>
      <c r="H290" t="str">
        <f>HYPERLINK("http://pbs.twimg.com/media/FeAR2LTXoAILpkq.jpg", "http://pbs.twimg.com/media/FeAR2LTXoAILpkq.jpg")</f>
        <v>http://pbs.twimg.com/media/FeAR2LTXoAILpkq.jpg</v>
      </c>
      <c r="I290" t="str">
        <f>HYPERLINK("http://pbs.twimg.com/media/FeAR2LSWYAQPHEE.jpg", "http://pbs.twimg.com/media/FeAR2LSWYAQPHEE.jpg")</f>
        <v>http://pbs.twimg.com/media/FeAR2LSWYAQPHEE.jpg</v>
      </c>
      <c r="L290">
        <v>0</v>
      </c>
      <c r="M290">
        <v>0</v>
      </c>
      <c r="N290">
        <v>1</v>
      </c>
      <c r="O290">
        <v>0</v>
      </c>
    </row>
    <row r="291" spans="1:15" x14ac:dyDescent="0.2">
      <c r="A291" s="1" t="str">
        <f>HYPERLINK("http://www.twitter.com/banuakdenizli/status/1576279489192988672", "1576279489192988672")</f>
        <v>1576279489192988672</v>
      </c>
      <c r="B291" t="s">
        <v>15</v>
      </c>
      <c r="C291" s="2">
        <v>44835.774189814823</v>
      </c>
      <c r="D291">
        <v>2</v>
      </c>
      <c r="E291">
        <v>1</v>
      </c>
      <c r="G291" t="s">
        <v>323</v>
      </c>
      <c r="H291" t="str">
        <f>HYPERLINK("http://pbs.twimg.com/media/FeAR1vhXkAcJ2vO.jpg", "http://pbs.twimg.com/media/FeAR1vhXkAcJ2vO.jpg")</f>
        <v>http://pbs.twimg.com/media/FeAR1vhXkAcJ2vO.jpg</v>
      </c>
      <c r="I291" t="str">
        <f>HYPERLINK("http://pbs.twimg.com/media/FeAR1vfXEAQAWbU.jpg", "http://pbs.twimg.com/media/FeAR1vfXEAQAWbU.jpg")</f>
        <v>http://pbs.twimg.com/media/FeAR1vfXEAQAWbU.jpg</v>
      </c>
      <c r="J291" t="str">
        <f>HYPERLINK("http://pbs.twimg.com/media/FeAR1vjWQAEv6RV.jpg", "http://pbs.twimg.com/media/FeAR1vjWQAEv6RV.jpg")</f>
        <v>http://pbs.twimg.com/media/FeAR1vjWQAEv6RV.jpg</v>
      </c>
      <c r="K291" t="str">
        <f>HYPERLINK("http://pbs.twimg.com/media/FeAR1vdX0AEmaA6.jpg", "http://pbs.twimg.com/media/FeAR1vdX0AEmaA6.jpg")</f>
        <v>http://pbs.twimg.com/media/FeAR1vdX0AEmaA6.jpg</v>
      </c>
      <c r="L291">
        <v>0</v>
      </c>
      <c r="M291">
        <v>0</v>
      </c>
      <c r="N291">
        <v>1</v>
      </c>
      <c r="O291">
        <v>0</v>
      </c>
    </row>
    <row r="292" spans="1:15" x14ac:dyDescent="0.2">
      <c r="A292" s="1" t="str">
        <f>HYPERLINK("http://www.twitter.com/banuakdenizli/status/1576279481794277376", "1576279481794277376")</f>
        <v>1576279481794277376</v>
      </c>
      <c r="B292" t="s">
        <v>15</v>
      </c>
      <c r="C292" s="2">
        <v>44835.77416666667</v>
      </c>
      <c r="D292">
        <v>1</v>
      </c>
      <c r="E292">
        <v>1</v>
      </c>
      <c r="G292" t="s">
        <v>324</v>
      </c>
      <c r="H292" t="str">
        <f>HYPERLINK("http://pbs.twimg.com/media/FeAR1UxXoAUarQf.jpg", "http://pbs.twimg.com/media/FeAR1UxXoAUarQf.jpg")</f>
        <v>http://pbs.twimg.com/media/FeAR1UxXoAUarQf.jpg</v>
      </c>
      <c r="I292" t="str">
        <f>HYPERLINK("http://pbs.twimg.com/media/FeAR1UyWQAAnEhf.jpg", "http://pbs.twimg.com/media/FeAR1UyWQAAnEhf.jpg")</f>
        <v>http://pbs.twimg.com/media/FeAR1UyWQAAnEhf.jpg</v>
      </c>
      <c r="J292" t="str">
        <f>HYPERLINK("http://pbs.twimg.com/media/FeAR1UzXkAUPnkj.jpg", "http://pbs.twimg.com/media/FeAR1UzXkAUPnkj.jpg")</f>
        <v>http://pbs.twimg.com/media/FeAR1UzXkAUPnkj.jpg</v>
      </c>
      <c r="K292" t="str">
        <f>HYPERLINK("http://pbs.twimg.com/media/FeAR1UyWQAMWWdf.jpg", "http://pbs.twimg.com/media/FeAR1UyWQAMWWdf.jpg")</f>
        <v>http://pbs.twimg.com/media/FeAR1UyWQAMWWdf.jpg</v>
      </c>
      <c r="L292">
        <v>0</v>
      </c>
      <c r="M292">
        <v>0</v>
      </c>
      <c r="N292">
        <v>1</v>
      </c>
      <c r="O292">
        <v>0</v>
      </c>
    </row>
    <row r="293" spans="1:15" x14ac:dyDescent="0.2">
      <c r="A293" s="1" t="str">
        <f>HYPERLINK("http://www.twitter.com/banuakdenizli/status/1576279474081271808", "1576279474081271808")</f>
        <v>1576279474081271808</v>
      </c>
      <c r="B293" t="s">
        <v>15</v>
      </c>
      <c r="C293" s="2">
        <v>44835.774155092593</v>
      </c>
      <c r="D293">
        <v>3</v>
      </c>
      <c r="E293">
        <v>2</v>
      </c>
      <c r="G293" t="s">
        <v>325</v>
      </c>
      <c r="H293" t="str">
        <f>HYPERLINK("http://pbs.twimg.com/media/FeAR0wQXkAM1_xB.jpg", "http://pbs.twimg.com/media/FeAR0wQXkAM1_xB.jpg")</f>
        <v>http://pbs.twimg.com/media/FeAR0wQXkAM1_xB.jpg</v>
      </c>
      <c r="I293" t="str">
        <f>HYPERLINK("http://pbs.twimg.com/media/FeAR0wLXwAA-42P.jpg", "http://pbs.twimg.com/media/FeAR0wLXwAA-42P.jpg")</f>
        <v>http://pbs.twimg.com/media/FeAR0wLXwAA-42P.jpg</v>
      </c>
      <c r="J293" t="str">
        <f>HYPERLINK("http://pbs.twimg.com/media/FeAR0wLWYAA0H0M.jpg", "http://pbs.twimg.com/media/FeAR0wLWYAA0H0M.jpg")</f>
        <v>http://pbs.twimg.com/media/FeAR0wLWYAA0H0M.jpg</v>
      </c>
      <c r="K293" t="str">
        <f>HYPERLINK("http://pbs.twimg.com/media/FeAR0wNXwAIFyc1.jpg", "http://pbs.twimg.com/media/FeAR0wNXwAIFyc1.jpg")</f>
        <v>http://pbs.twimg.com/media/FeAR0wNXwAIFyc1.jpg</v>
      </c>
      <c r="L293">
        <v>0</v>
      </c>
      <c r="M293">
        <v>0</v>
      </c>
      <c r="N293">
        <v>1</v>
      </c>
      <c r="O29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2023-04-03T11:34:46Z</dcterms:modified>
</cp:coreProperties>
</file>